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026"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Acer\Downloads\"/>
    </mc:Choice>
  </mc:AlternateContent>
  <xr:revisionPtr revIDLastSave="0" documentId="13_ncr:1_{6A4AA177-570C-495A-A7D3-55FF6861F3CC}" xr6:coauthVersionLast="47" xr6:coauthVersionMax="47" xr10:uidLastSave="{00000000-0000-0000-0000-000000000000}"/>
  <bookViews>
    <workbookView xWindow="-110" yWindow="-110" windowWidth="19420" windowHeight="11500" tabRatio="832" firstSheet="4" activeTab="10" xr2:uid="{00000000-000D-0000-FFFF-FFFF00000000}"/>
  </bookViews>
  <sheets>
    <sheet name="BACK" sheetId="11" state="hidden" r:id="rId1"/>
    <sheet name="Master Januari-Desemebr 2024" sheetId="32" state="hidden" r:id="rId2"/>
    <sheet name="NO BPU" sheetId="1" state="hidden" r:id="rId3"/>
    <sheet name="Spesifikasi" sheetId="10" state="hidden" r:id="rId4"/>
    <sheet name="01PESAN" sheetId="19" r:id="rId5"/>
    <sheet name="Toko" sheetId="34" r:id="rId6"/>
    <sheet name="03RENCANA" sheetId="21" r:id="rId7"/>
    <sheet name="04SHP" sheetId="20" r:id="rId8"/>
    <sheet name="05BAT" sheetId="18" r:id="rId9"/>
    <sheet name="02BANDING" sheetId="22" state="hidden" r:id="rId10"/>
    <sheet name="Master" sheetId="25" r:id="rId11"/>
    <sheet name="Data2025" sheetId="36" r:id="rId12"/>
    <sheet name="Tabel Bantu" sheetId="26" state="hidden" r:id="rId13"/>
    <sheet name="Data Sekolah" sheetId="37" r:id="rId14"/>
    <sheet name="Sheet1" sheetId="27" r:id="rId15"/>
    <sheet name="Sheet3" sheetId="29" r:id="rId16"/>
    <sheet name="Sheet2" sheetId="31" r:id="rId17"/>
    <sheet name="Gagal Cetak" sheetId="33" state="hidden" r:id="rId18"/>
  </sheets>
  <externalReferences>
    <externalReference r:id="rId19"/>
  </externalReferences>
  <definedNames>
    <definedName name="_xlnm._FilterDatabase" localSheetId="9" hidden="1">'02BANDING'!$A$5:$A$127</definedName>
    <definedName name="_xlnm._FilterDatabase" localSheetId="8" hidden="1">'05BAT'!$A$31:$L$37</definedName>
    <definedName name="_xlnm._FilterDatabase" localSheetId="11" hidden="1">Data2025!$A$1:$V$329</definedName>
    <definedName name="_xlnm._FilterDatabase" localSheetId="10" hidden="1">Master!$A$2:$AI$1200</definedName>
    <definedName name="_xlnm._FilterDatabase" localSheetId="1" hidden="1">'Master Januari-Desemebr 2024'!$W$1:$W$1258</definedName>
    <definedName name="_xlnm.Database">'Master Januari-Desemebr 2024'!$A$1:$AG$498</definedName>
    <definedName name="kriteria">'Master Januari-Desemebr 2024'!$C:$C</definedName>
    <definedName name="Kriteriaatk2024">Master!$A$2:$A$79816</definedName>
    <definedName name="Masteratk2024">Master!$A$1:$AH$79816</definedName>
    <definedName name="_xlnm.Print_Area" localSheetId="4">'01PESAN'!$A$1:$K$170</definedName>
    <definedName name="_xlnm.Print_Area" localSheetId="9">'02BANDING'!$A$1:$I$140</definedName>
    <definedName name="_xlnm.Print_Area" localSheetId="6">'03RENCANA'!$A$1:$N$108</definedName>
    <definedName name="_xlnm.Print_Area" localSheetId="7">'04SHP'!$A$1:$J$126</definedName>
    <definedName name="_xlnm.Print_Area" localSheetId="8">'05BAT'!$A$1:$H$134</definedName>
    <definedName name="_xlnm.Print_Area" localSheetId="0">BACK!$A$1:$J$23</definedName>
    <definedName name="_xlnm.Print_Area" localSheetId="5">Toko!$A$1:$J$131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 i="34" l="1"/>
  <c r="A8" i="25"/>
  <c r="A3" i="36"/>
  <c r="C90" i="21"/>
  <c r="D28" i="18"/>
  <c r="D27" i="18"/>
  <c r="D26" i="18"/>
  <c r="D25" i="18"/>
  <c r="D24" i="18"/>
  <c r="A133" i="18"/>
  <c r="A134" i="18"/>
  <c r="A132" i="18"/>
  <c r="B123" i="18"/>
  <c r="B124" i="18"/>
  <c r="A126" i="20"/>
  <c r="A125" i="20"/>
  <c r="A124" i="20"/>
  <c r="B114" i="20"/>
  <c r="B113" i="20"/>
  <c r="D21" i="20"/>
  <c r="D20" i="20"/>
  <c r="D19" i="20"/>
  <c r="D18" i="20"/>
  <c r="D17" i="20"/>
  <c r="A168" i="19"/>
  <c r="E156" i="19"/>
  <c r="A156" i="19"/>
  <c r="C89" i="21"/>
  <c r="E4" i="21"/>
  <c r="E3" i="21"/>
  <c r="J105" i="21"/>
  <c r="J104" i="21"/>
  <c r="A169" i="19"/>
  <c r="A167" i="19"/>
  <c r="E157" i="19"/>
  <c r="E155" i="19"/>
  <c r="A157" i="19"/>
  <c r="A155" i="19"/>
  <c r="G123" i="19"/>
  <c r="G122" i="19"/>
  <c r="AH427" i="25"/>
  <c r="AH428" i="25"/>
  <c r="AH429" i="25"/>
  <c r="AH430" i="25"/>
  <c r="AH431" i="25"/>
  <c r="AH432" i="25"/>
  <c r="AH433" i="25"/>
  <c r="AH434" i="25"/>
  <c r="AH435" i="25"/>
  <c r="AH436" i="25"/>
  <c r="AH437" i="25"/>
  <c r="AH438" i="25"/>
  <c r="AH439" i="25"/>
  <c r="AH440" i="25"/>
  <c r="AH441" i="25"/>
  <c r="AH442" i="25"/>
  <c r="AH443" i="25"/>
  <c r="AH444" i="25"/>
  <c r="AH445" i="25"/>
  <c r="AH446" i="25"/>
  <c r="AH447" i="25"/>
  <c r="AH448" i="25"/>
  <c r="AH449" i="25"/>
  <c r="AH450" i="25"/>
  <c r="AH451" i="25"/>
  <c r="AH452" i="25"/>
  <c r="AH453" i="25"/>
  <c r="AH454" i="25"/>
  <c r="AH455" i="25"/>
  <c r="AH456" i="25"/>
  <c r="AH457" i="25"/>
  <c r="AH458" i="25"/>
  <c r="AH459" i="25"/>
  <c r="AH460" i="25"/>
  <c r="AH461" i="25"/>
  <c r="AH462" i="25"/>
  <c r="AH463" i="25"/>
  <c r="AH464" i="25"/>
  <c r="AH465" i="25"/>
  <c r="AH466" i="25"/>
  <c r="AH467" i="25"/>
  <c r="AH468" i="25"/>
  <c r="AH469" i="25"/>
  <c r="AH470" i="25"/>
  <c r="AH471" i="25"/>
  <c r="AH472" i="25"/>
  <c r="AH473" i="25"/>
  <c r="AH474" i="25"/>
  <c r="AH475" i="25"/>
  <c r="AH476" i="25"/>
  <c r="AH477" i="25"/>
  <c r="AH478" i="25"/>
  <c r="AH479" i="25"/>
  <c r="AH480" i="25"/>
  <c r="AH481" i="25"/>
  <c r="AH482" i="25"/>
  <c r="AH483" i="25"/>
  <c r="AH484" i="25"/>
  <c r="AH485" i="25"/>
  <c r="AH486" i="25"/>
  <c r="AH487" i="25"/>
  <c r="AH488" i="25"/>
  <c r="AH489" i="25"/>
  <c r="AH490" i="25"/>
  <c r="AH491" i="25"/>
  <c r="AH492" i="25"/>
  <c r="AH493" i="25"/>
  <c r="AH494" i="25"/>
  <c r="AH495" i="25"/>
  <c r="AH496" i="25"/>
  <c r="AH497" i="25"/>
  <c r="AH498" i="25"/>
  <c r="AH499" i="25"/>
  <c r="AH500" i="25"/>
  <c r="AH501" i="25"/>
  <c r="AH502" i="25"/>
  <c r="AH503" i="25"/>
  <c r="AH504" i="25"/>
  <c r="AH505" i="25"/>
  <c r="AH506" i="25"/>
  <c r="AH507" i="25"/>
  <c r="AH508" i="25"/>
  <c r="AH509" i="25"/>
  <c r="AH510" i="25"/>
  <c r="AH511" i="25"/>
  <c r="AH512" i="25"/>
  <c r="AH513" i="25"/>
  <c r="AH514" i="25"/>
  <c r="AH515" i="25"/>
  <c r="AH516" i="25"/>
  <c r="AH517" i="25"/>
  <c r="AH518" i="25"/>
  <c r="AH519" i="25"/>
  <c r="AH520" i="25"/>
  <c r="AH521" i="25"/>
  <c r="AH522" i="25"/>
  <c r="AH523" i="25"/>
  <c r="AH524" i="25"/>
  <c r="AH525" i="25"/>
  <c r="AH526" i="25"/>
  <c r="AH527" i="25"/>
  <c r="AH528" i="25"/>
  <c r="AH529" i="25"/>
  <c r="AH530" i="25"/>
  <c r="AH531" i="25"/>
  <c r="AH532" i="25"/>
  <c r="AH533" i="25"/>
  <c r="AH534" i="25"/>
  <c r="AH535" i="25"/>
  <c r="AH536" i="25"/>
  <c r="AH537" i="25"/>
  <c r="AH538" i="25"/>
  <c r="AH539" i="25"/>
  <c r="AH540" i="25"/>
  <c r="AH541" i="25"/>
  <c r="AH542" i="25"/>
  <c r="AH543" i="25"/>
  <c r="AH544" i="25"/>
  <c r="AH545" i="25"/>
  <c r="AH546" i="25"/>
  <c r="AH547" i="25"/>
  <c r="AH548" i="25"/>
  <c r="AH549" i="25"/>
  <c r="AH550" i="25"/>
  <c r="AH551" i="25"/>
  <c r="AH552" i="25"/>
  <c r="AH553" i="25"/>
  <c r="AH554" i="25"/>
  <c r="AH555" i="25"/>
  <c r="AH556" i="25"/>
  <c r="AH557" i="25"/>
  <c r="AH558" i="25"/>
  <c r="AH559" i="25"/>
  <c r="AH560" i="25"/>
  <c r="AH561" i="25"/>
  <c r="AH562" i="25"/>
  <c r="AH563" i="25"/>
  <c r="AH564" i="25"/>
  <c r="AH565" i="25"/>
  <c r="AH566" i="25"/>
  <c r="AH567" i="25"/>
  <c r="AH568" i="25"/>
  <c r="AH569" i="25"/>
  <c r="AH570" i="25"/>
  <c r="AH571" i="25"/>
  <c r="AH572" i="25"/>
  <c r="AH573" i="25"/>
  <c r="AH574" i="25"/>
  <c r="AH575" i="25"/>
  <c r="AH576" i="25"/>
  <c r="AH577" i="25"/>
  <c r="AH578" i="25"/>
  <c r="AH579" i="25"/>
  <c r="AH580" i="25"/>
  <c r="AH581" i="25"/>
  <c r="AH582" i="25"/>
  <c r="AH583" i="25"/>
  <c r="AH584" i="25"/>
  <c r="AH585" i="25"/>
  <c r="AH586" i="25"/>
  <c r="AH587" i="25"/>
  <c r="AH588" i="25"/>
  <c r="AH589" i="25"/>
  <c r="AH590" i="25"/>
  <c r="AH591" i="25"/>
  <c r="AH592" i="25"/>
  <c r="AH593" i="25"/>
  <c r="AH594" i="25"/>
  <c r="AH595" i="25"/>
  <c r="AH596" i="25"/>
  <c r="AH597" i="25"/>
  <c r="AH598" i="25"/>
  <c r="AH599" i="25"/>
  <c r="AH600" i="25"/>
  <c r="AH601" i="25"/>
  <c r="AH602" i="25"/>
  <c r="AH603" i="25"/>
  <c r="AH604" i="25"/>
  <c r="AH605" i="25"/>
  <c r="AH606" i="25"/>
  <c r="AH607" i="25"/>
  <c r="AH608" i="25"/>
  <c r="AH609" i="25"/>
  <c r="AH610" i="25"/>
  <c r="AH611" i="25"/>
  <c r="AH612" i="25"/>
  <c r="AH613" i="25"/>
  <c r="AH614" i="25"/>
  <c r="AH615" i="25"/>
  <c r="AH616" i="25"/>
  <c r="AH617" i="25"/>
  <c r="AH618" i="25"/>
  <c r="AH619" i="25"/>
  <c r="AH620" i="25"/>
  <c r="AH621" i="25"/>
  <c r="AH622" i="25"/>
  <c r="AH623" i="25"/>
  <c r="AH624" i="25"/>
  <c r="AH625" i="25"/>
  <c r="AH626" i="25"/>
  <c r="AH627" i="25"/>
  <c r="AH628" i="25"/>
  <c r="AH629" i="25"/>
  <c r="AH630" i="25"/>
  <c r="AH631" i="25"/>
  <c r="AH632" i="25"/>
  <c r="AH633" i="25"/>
  <c r="AH634" i="25"/>
  <c r="AH635" i="25"/>
  <c r="AH636" i="25"/>
  <c r="AH637" i="25"/>
  <c r="AH638" i="25"/>
  <c r="AH639" i="25"/>
  <c r="AH640" i="25"/>
  <c r="AH641" i="25"/>
  <c r="AH642" i="25"/>
  <c r="AH643" i="25"/>
  <c r="AH644" i="25"/>
  <c r="AH645" i="25"/>
  <c r="AH646" i="25"/>
  <c r="AH647" i="25"/>
  <c r="AH648" i="25"/>
  <c r="AH649" i="25"/>
  <c r="AH650" i="25"/>
  <c r="AH651" i="25"/>
  <c r="AH652" i="25"/>
  <c r="AH653" i="25"/>
  <c r="AH654" i="25"/>
  <c r="AH655" i="25"/>
  <c r="AH656" i="25"/>
  <c r="AH657" i="25"/>
  <c r="AH658" i="25"/>
  <c r="AH659" i="25"/>
  <c r="AH660" i="25"/>
  <c r="AH661" i="25"/>
  <c r="AH662" i="25"/>
  <c r="AH663" i="25"/>
  <c r="AH664" i="25"/>
  <c r="AH665" i="25"/>
  <c r="AH666" i="25"/>
  <c r="AH667" i="25"/>
  <c r="AH668" i="25"/>
  <c r="AH669" i="25"/>
  <c r="AH670" i="25"/>
  <c r="AH671" i="25"/>
  <c r="AH672" i="25"/>
  <c r="AH673" i="25"/>
  <c r="AH674" i="25"/>
  <c r="AH675" i="25"/>
  <c r="AH676" i="25"/>
  <c r="AH677" i="25"/>
  <c r="AH678" i="25"/>
  <c r="AH679" i="25"/>
  <c r="AH680" i="25"/>
  <c r="AH681" i="25"/>
  <c r="AH682" i="25"/>
  <c r="AH683" i="25"/>
  <c r="AH684" i="25"/>
  <c r="AH685" i="25"/>
  <c r="AH686" i="25"/>
  <c r="AH687" i="25"/>
  <c r="AH688" i="25"/>
  <c r="AH689" i="25"/>
  <c r="AH690" i="25"/>
  <c r="AH691" i="25"/>
  <c r="AH692" i="25"/>
  <c r="AH693" i="25"/>
  <c r="AH694" i="25"/>
  <c r="AH695" i="25"/>
  <c r="AH696" i="25"/>
  <c r="AH697" i="25"/>
  <c r="AH698" i="25"/>
  <c r="AH699" i="25"/>
  <c r="AH700" i="25"/>
  <c r="AH701" i="25"/>
  <c r="AH702" i="25"/>
  <c r="AH703" i="25"/>
  <c r="AH704" i="25"/>
  <c r="AH705" i="25"/>
  <c r="AH706" i="25"/>
  <c r="AH707" i="25"/>
  <c r="AH708" i="25"/>
  <c r="AH709" i="25"/>
  <c r="AH710" i="25"/>
  <c r="AH711" i="25"/>
  <c r="AH712" i="25"/>
  <c r="AH713" i="25"/>
  <c r="AH714" i="25"/>
  <c r="AH715" i="25"/>
  <c r="AH716" i="25"/>
  <c r="AH717" i="25"/>
  <c r="AH718" i="25"/>
  <c r="AH719" i="25"/>
  <c r="AH720" i="25"/>
  <c r="AH721" i="25"/>
  <c r="AH722" i="25"/>
  <c r="AH723" i="25"/>
  <c r="AH724" i="25"/>
  <c r="AH725" i="25"/>
  <c r="AH726" i="25"/>
  <c r="AH727" i="25"/>
  <c r="AH728" i="25"/>
  <c r="AH729" i="25"/>
  <c r="AH730" i="25"/>
  <c r="AH731" i="25"/>
  <c r="AH732" i="25"/>
  <c r="AH733" i="25"/>
  <c r="AH734" i="25"/>
  <c r="AH735" i="25"/>
  <c r="AH736" i="25"/>
  <c r="AH737" i="25"/>
  <c r="AH738" i="25"/>
  <c r="AH739" i="25"/>
  <c r="AH740" i="25"/>
  <c r="AH741" i="25"/>
  <c r="AH742" i="25"/>
  <c r="AH743" i="25"/>
  <c r="AH744" i="25"/>
  <c r="AH745" i="25"/>
  <c r="AH746" i="25"/>
  <c r="AH747" i="25"/>
  <c r="AH748" i="25"/>
  <c r="AH749" i="25"/>
  <c r="AH750" i="25"/>
  <c r="AH751" i="25"/>
  <c r="AH752" i="25"/>
  <c r="AH753" i="25"/>
  <c r="AH754" i="25"/>
  <c r="AH755" i="25"/>
  <c r="AH756" i="25"/>
  <c r="AH757" i="25"/>
  <c r="AH758" i="25"/>
  <c r="AH759" i="25"/>
  <c r="AH760" i="25"/>
  <c r="AH761" i="25"/>
  <c r="AH762" i="25"/>
  <c r="AH763" i="25"/>
  <c r="AH764" i="25"/>
  <c r="AH765" i="25"/>
  <c r="AH766" i="25"/>
  <c r="AH767" i="25"/>
  <c r="AH768" i="25"/>
  <c r="AH769" i="25"/>
  <c r="AH770" i="25"/>
  <c r="AH771" i="25"/>
  <c r="AH772" i="25"/>
  <c r="AH773" i="25"/>
  <c r="AH774" i="25"/>
  <c r="AH775" i="25"/>
  <c r="AH776" i="25"/>
  <c r="AH777" i="25"/>
  <c r="AH778" i="25"/>
  <c r="AH779" i="25"/>
  <c r="AH780" i="25"/>
  <c r="AH781" i="25"/>
  <c r="AH782" i="25"/>
  <c r="AH783" i="25"/>
  <c r="AH784" i="25"/>
  <c r="AH785" i="25"/>
  <c r="AH786" i="25"/>
  <c r="AH787" i="25"/>
  <c r="AH788" i="25"/>
  <c r="AH789" i="25"/>
  <c r="AH790" i="25"/>
  <c r="AH791" i="25"/>
  <c r="AH792" i="25"/>
  <c r="AH793" i="25"/>
  <c r="AH794" i="25"/>
  <c r="AH795" i="25"/>
  <c r="AH796" i="25"/>
  <c r="AH797" i="25"/>
  <c r="AH798" i="25"/>
  <c r="AH799" i="25"/>
  <c r="AH800" i="25"/>
  <c r="AH801" i="25"/>
  <c r="AH802" i="25"/>
  <c r="AH803" i="25"/>
  <c r="AH804" i="25"/>
  <c r="AH805" i="25"/>
  <c r="AH806" i="25"/>
  <c r="AH807" i="25"/>
  <c r="AH808" i="25"/>
  <c r="AH809" i="25"/>
  <c r="AH810" i="25"/>
  <c r="AH811" i="25"/>
  <c r="AH812" i="25"/>
  <c r="AH813" i="25"/>
  <c r="AH814" i="25"/>
  <c r="AH815" i="25"/>
  <c r="AH816" i="25"/>
  <c r="AH817" i="25"/>
  <c r="AH818" i="25"/>
  <c r="AH819" i="25"/>
  <c r="AH820" i="25"/>
  <c r="AH821" i="25"/>
  <c r="AH822" i="25"/>
  <c r="AH823" i="25"/>
  <c r="AH824" i="25"/>
  <c r="AH825" i="25"/>
  <c r="AH826" i="25"/>
  <c r="AH827" i="25"/>
  <c r="AH828" i="25"/>
  <c r="AH829" i="25"/>
  <c r="AH830" i="25"/>
  <c r="AH831" i="25"/>
  <c r="AH832" i="25"/>
  <c r="AH833" i="25"/>
  <c r="AH834" i="25"/>
  <c r="AH835" i="25"/>
  <c r="AH836" i="25"/>
  <c r="AH837" i="25"/>
  <c r="AH838" i="25"/>
  <c r="AH839" i="25"/>
  <c r="AH840" i="25"/>
  <c r="AH841" i="25"/>
  <c r="AH842" i="25"/>
  <c r="AH843" i="25"/>
  <c r="AH844" i="25"/>
  <c r="AH845" i="25"/>
  <c r="AH846" i="25"/>
  <c r="AH847" i="25"/>
  <c r="AH848" i="25"/>
  <c r="AH849" i="25"/>
  <c r="AH850" i="25"/>
  <c r="AH851" i="25"/>
  <c r="AH852" i="25"/>
  <c r="AH853" i="25"/>
  <c r="AH854" i="25"/>
  <c r="AH855" i="25"/>
  <c r="AH856" i="25"/>
  <c r="AH857" i="25"/>
  <c r="AH858" i="25"/>
  <c r="AH859" i="25"/>
  <c r="AH860" i="25"/>
  <c r="AH861" i="25"/>
  <c r="AH862" i="25"/>
  <c r="AH863" i="25"/>
  <c r="AH864" i="25"/>
  <c r="AH865" i="25"/>
  <c r="AH866" i="25"/>
  <c r="AH867" i="25"/>
  <c r="AH868" i="25"/>
  <c r="AH869" i="25"/>
  <c r="AH870" i="25"/>
  <c r="AH871" i="25"/>
  <c r="AH872" i="25"/>
  <c r="AH873" i="25"/>
  <c r="AH874" i="25"/>
  <c r="AH875" i="25"/>
  <c r="AH876" i="25"/>
  <c r="AH877" i="25"/>
  <c r="AH878" i="25"/>
  <c r="AH879" i="25"/>
  <c r="AH880" i="25"/>
  <c r="AH881" i="25"/>
  <c r="AH882" i="25"/>
  <c r="AH883" i="25"/>
  <c r="AH884" i="25"/>
  <c r="AH885" i="25"/>
  <c r="AH886" i="25"/>
  <c r="AH887" i="25"/>
  <c r="AH888" i="25"/>
  <c r="AH889" i="25"/>
  <c r="AH890" i="25"/>
  <c r="AH891" i="25"/>
  <c r="AH892" i="25"/>
  <c r="AH893" i="25"/>
  <c r="AH894" i="25"/>
  <c r="AH895" i="25"/>
  <c r="AH896" i="25"/>
  <c r="AH897" i="25"/>
  <c r="AH898" i="25"/>
  <c r="AH899" i="25"/>
  <c r="AH900" i="25"/>
  <c r="AH901" i="25"/>
  <c r="AH902" i="25"/>
  <c r="AH903" i="25"/>
  <c r="AH904" i="25"/>
  <c r="AH905" i="25"/>
  <c r="AH906" i="25"/>
  <c r="AH907" i="25"/>
  <c r="AH908" i="25"/>
  <c r="AH909" i="25"/>
  <c r="AH910" i="25"/>
  <c r="AH911" i="25"/>
  <c r="AH912" i="25"/>
  <c r="AH913" i="25"/>
  <c r="AH914" i="25"/>
  <c r="AH915" i="25"/>
  <c r="AH916" i="25"/>
  <c r="AH917" i="25"/>
  <c r="AH918" i="25"/>
  <c r="AH919" i="25"/>
  <c r="AH920" i="25"/>
  <c r="AH921" i="25"/>
  <c r="AH922" i="25"/>
  <c r="AH923" i="25"/>
  <c r="AH924" i="25"/>
  <c r="AH925" i="25"/>
  <c r="AH926" i="25"/>
  <c r="AH927" i="25"/>
  <c r="AH928" i="25"/>
  <c r="AH929" i="25"/>
  <c r="AH930" i="25"/>
  <c r="AH931" i="25"/>
  <c r="AH932" i="25"/>
  <c r="AH933" i="25"/>
  <c r="AH934" i="25"/>
  <c r="AH935" i="25"/>
  <c r="AH936" i="25"/>
  <c r="AH937" i="25"/>
  <c r="AH938" i="25"/>
  <c r="AH939" i="25"/>
  <c r="AH940" i="25"/>
  <c r="AH941" i="25"/>
  <c r="AH942" i="25"/>
  <c r="AH943" i="25"/>
  <c r="AH944" i="25"/>
  <c r="AH945" i="25"/>
  <c r="AH946" i="25"/>
  <c r="AH947" i="25"/>
  <c r="AH948" i="25"/>
  <c r="AH949" i="25"/>
  <c r="AH950" i="25"/>
  <c r="AH951" i="25"/>
  <c r="AH952" i="25"/>
  <c r="AH953" i="25"/>
  <c r="AH954" i="25"/>
  <c r="AH955" i="25"/>
  <c r="AH956" i="25"/>
  <c r="AH957" i="25"/>
  <c r="AH958" i="25"/>
  <c r="AH959" i="25"/>
  <c r="AH960" i="25"/>
  <c r="AH961" i="25"/>
  <c r="AH962" i="25"/>
  <c r="AH963" i="25"/>
  <c r="AH964" i="25"/>
  <c r="AH965" i="25"/>
  <c r="AH966" i="25"/>
  <c r="AH967" i="25"/>
  <c r="AH968" i="25"/>
  <c r="AH969" i="25"/>
  <c r="AH970" i="25"/>
  <c r="AH971" i="25"/>
  <c r="AH972" i="25"/>
  <c r="AH973" i="25"/>
  <c r="AH974" i="25"/>
  <c r="AH975" i="25"/>
  <c r="AH976" i="25"/>
  <c r="AH977" i="25"/>
  <c r="AH978" i="25"/>
  <c r="AH979" i="25"/>
  <c r="AH980" i="25"/>
  <c r="AH981" i="25"/>
  <c r="AH982" i="25"/>
  <c r="AH983" i="25"/>
  <c r="AH984" i="25"/>
  <c r="AH985" i="25"/>
  <c r="AH986" i="25"/>
  <c r="AH987" i="25"/>
  <c r="AH988" i="25"/>
  <c r="AH989" i="25"/>
  <c r="AH990" i="25"/>
  <c r="AH991" i="25"/>
  <c r="AH992" i="25"/>
  <c r="AH993" i="25"/>
  <c r="AH994" i="25"/>
  <c r="AH995" i="25"/>
  <c r="AH996" i="25"/>
  <c r="AH997" i="25"/>
  <c r="AH998" i="25"/>
  <c r="AH999" i="25"/>
  <c r="AH1000" i="25"/>
  <c r="AH1001" i="25"/>
  <c r="AH1002" i="25"/>
  <c r="AH1003" i="25"/>
  <c r="AH1004" i="25"/>
  <c r="AH1005" i="25"/>
  <c r="AH1006" i="25"/>
  <c r="AH1007" i="25"/>
  <c r="AH1008" i="25"/>
  <c r="AH1009" i="25"/>
  <c r="AH1010" i="25"/>
  <c r="AH1011" i="25"/>
  <c r="AH1012" i="25"/>
  <c r="AH1013" i="25"/>
  <c r="AH1014" i="25"/>
  <c r="AH1015" i="25"/>
  <c r="AH1016" i="25"/>
  <c r="AH1017" i="25"/>
  <c r="AH1018" i="25"/>
  <c r="AH1019" i="25"/>
  <c r="AH1020" i="25"/>
  <c r="AH1021" i="25"/>
  <c r="AH1022" i="25"/>
  <c r="AH1023" i="25"/>
  <c r="AH1024" i="25"/>
  <c r="AH1025" i="25"/>
  <c r="AH1026" i="25"/>
  <c r="AH1027" i="25"/>
  <c r="AH1028" i="25"/>
  <c r="AH1029" i="25"/>
  <c r="AH1030" i="25"/>
  <c r="AH1031" i="25"/>
  <c r="AH1032" i="25"/>
  <c r="AH1033" i="25"/>
  <c r="AH1034" i="25"/>
  <c r="AH1035" i="25"/>
  <c r="AH1036" i="25"/>
  <c r="AH1037" i="25"/>
  <c r="AH1038" i="25"/>
  <c r="AH1039" i="25"/>
  <c r="AH1040" i="25"/>
  <c r="AH1041" i="25"/>
  <c r="AH1042" i="25"/>
  <c r="AH1043" i="25"/>
  <c r="AH1044" i="25"/>
  <c r="AH1045" i="25"/>
  <c r="AH1046" i="25"/>
  <c r="AH1047" i="25"/>
  <c r="AH1048" i="25"/>
  <c r="AH1049" i="25"/>
  <c r="AH1050" i="25"/>
  <c r="AH1051" i="25"/>
  <c r="AH1052" i="25"/>
  <c r="AH1053" i="25"/>
  <c r="AH1054" i="25"/>
  <c r="AH1055" i="25"/>
  <c r="AH1056" i="25"/>
  <c r="AH1057" i="25"/>
  <c r="AH1058" i="25"/>
  <c r="AH1059" i="25"/>
  <c r="AH1060" i="25"/>
  <c r="AH1061" i="25"/>
  <c r="AH1062" i="25"/>
  <c r="AH1063" i="25"/>
  <c r="AH1064" i="25"/>
  <c r="AH1065" i="25"/>
  <c r="AH1066" i="25"/>
  <c r="AH1067" i="25"/>
  <c r="AH1068" i="25"/>
  <c r="AH1069" i="25"/>
  <c r="AH1070" i="25"/>
  <c r="AH1071" i="25"/>
  <c r="AH1072" i="25"/>
  <c r="AH1073" i="25"/>
  <c r="AH1074" i="25"/>
  <c r="AH1075" i="25"/>
  <c r="AH1076" i="25"/>
  <c r="AH1077" i="25"/>
  <c r="AH1078" i="25"/>
  <c r="AH1079" i="25"/>
  <c r="AH1080" i="25"/>
  <c r="AH1081" i="25"/>
  <c r="AH1082" i="25"/>
  <c r="AH1083" i="25"/>
  <c r="AH1084" i="25"/>
  <c r="AH1085" i="25"/>
  <c r="AH1086" i="25"/>
  <c r="AH1087" i="25"/>
  <c r="AH1088" i="25"/>
  <c r="AH1089" i="25"/>
  <c r="AH1090" i="25"/>
  <c r="AH1091" i="25"/>
  <c r="AH1092" i="25"/>
  <c r="AH1093" i="25"/>
  <c r="AH1094" i="25"/>
  <c r="AH1095" i="25"/>
  <c r="AH1096" i="25"/>
  <c r="AH1097" i="25"/>
  <c r="AH1098" i="25"/>
  <c r="AH1099" i="25"/>
  <c r="AH1100" i="25"/>
  <c r="AH1101" i="25"/>
  <c r="AH1102" i="25"/>
  <c r="AH1103" i="25"/>
  <c r="AH1104" i="25"/>
  <c r="AH1105" i="25"/>
  <c r="AH1106" i="25"/>
  <c r="AH1107" i="25"/>
  <c r="AH1108" i="25"/>
  <c r="AH1109" i="25"/>
  <c r="AH1110" i="25"/>
  <c r="AH1111" i="25"/>
  <c r="AH1112" i="25"/>
  <c r="AH1113" i="25"/>
  <c r="AH1114" i="25"/>
  <c r="AH1115" i="25"/>
  <c r="AH1116" i="25"/>
  <c r="AH1117" i="25"/>
  <c r="AH1118" i="25"/>
  <c r="AH1119" i="25"/>
  <c r="AH1120" i="25"/>
  <c r="AH1121" i="25"/>
  <c r="AH1122" i="25"/>
  <c r="AH1123" i="25"/>
  <c r="AH1124" i="25"/>
  <c r="AH1125" i="25"/>
  <c r="AH1126" i="25"/>
  <c r="AH1127" i="25"/>
  <c r="AH1128" i="25"/>
  <c r="AH1129" i="25"/>
  <c r="AH1130" i="25"/>
  <c r="AH1131" i="25"/>
  <c r="AH1132" i="25"/>
  <c r="AH1133" i="25"/>
  <c r="AH1134" i="25"/>
  <c r="AH1135" i="25"/>
  <c r="AH1136" i="25"/>
  <c r="AH1137" i="25"/>
  <c r="AH1138" i="25"/>
  <c r="AH1139" i="25"/>
  <c r="AH1140" i="25"/>
  <c r="AH1141" i="25"/>
  <c r="AH1142" i="25"/>
  <c r="AH1143" i="25"/>
  <c r="AH1144" i="25"/>
  <c r="AH1145" i="25"/>
  <c r="AH1146" i="25"/>
  <c r="AH1147" i="25"/>
  <c r="AH1148" i="25"/>
  <c r="AH1149" i="25"/>
  <c r="AH1150" i="25"/>
  <c r="AH1151" i="25"/>
  <c r="AH1152" i="25"/>
  <c r="AH1153" i="25"/>
  <c r="AH1154" i="25"/>
  <c r="AH1155" i="25"/>
  <c r="AH1156" i="25"/>
  <c r="AH1157" i="25"/>
  <c r="AH1158" i="25"/>
  <c r="AH1159" i="25"/>
  <c r="AH1160" i="25"/>
  <c r="AH1161" i="25"/>
  <c r="AH1162" i="25"/>
  <c r="AH1163" i="25"/>
  <c r="AH1164" i="25"/>
  <c r="AH1165" i="25"/>
  <c r="AH1166" i="25"/>
  <c r="AH1167" i="25"/>
  <c r="AH1168" i="25"/>
  <c r="AH1169" i="25"/>
  <c r="AH1170" i="25"/>
  <c r="AH1171" i="25"/>
  <c r="AH1172" i="25"/>
  <c r="AH1173" i="25"/>
  <c r="AH1174" i="25"/>
  <c r="AH1175" i="25"/>
  <c r="AH1176" i="25"/>
  <c r="AH1177" i="25"/>
  <c r="AH1178" i="25"/>
  <c r="AH1179" i="25"/>
  <c r="AH1180" i="25"/>
  <c r="AH1181" i="25"/>
  <c r="AH1182" i="25"/>
  <c r="AH1183" i="25"/>
  <c r="AH1184" i="25"/>
  <c r="AH1185" i="25"/>
  <c r="AH1186" i="25"/>
  <c r="AH1187" i="25"/>
  <c r="AH1188" i="25"/>
  <c r="AH1189" i="25"/>
  <c r="AH1190" i="25"/>
  <c r="AH1191" i="25"/>
  <c r="AH1192" i="25"/>
  <c r="AH1193" i="25"/>
  <c r="AH1194" i="25"/>
  <c r="AH1195" i="25"/>
  <c r="AH1196" i="25"/>
  <c r="AH1197" i="25"/>
  <c r="AH1198" i="25"/>
  <c r="AH1199" i="25"/>
  <c r="AH1200" i="25"/>
  <c r="Y5" i="25"/>
  <c r="Z5" i="25" s="1"/>
  <c r="Y6" i="25"/>
  <c r="Z6" i="25" s="1"/>
  <c r="Y7" i="25"/>
  <c r="Z7" i="25" s="1"/>
  <c r="Y8" i="25"/>
  <c r="Z8" i="25" s="1"/>
  <c r="Y9" i="25"/>
  <c r="Z9" i="25" s="1"/>
  <c r="Y10" i="25"/>
  <c r="Z10" i="25" s="1"/>
  <c r="Y11" i="25"/>
  <c r="Z11" i="25" s="1"/>
  <c r="Y12" i="25"/>
  <c r="Z12" i="25" s="1"/>
  <c r="Y13" i="25"/>
  <c r="Z13" i="25" s="1"/>
  <c r="Y14" i="25"/>
  <c r="Z14" i="25" s="1"/>
  <c r="Y15" i="25"/>
  <c r="Z15" i="25" s="1"/>
  <c r="Y16" i="25"/>
  <c r="Z16" i="25" s="1"/>
  <c r="Y17" i="25"/>
  <c r="Z17" i="25" s="1"/>
  <c r="Y18" i="25"/>
  <c r="Z18" i="25" s="1"/>
  <c r="Y19" i="25"/>
  <c r="Z19" i="25" s="1"/>
  <c r="Y20" i="25"/>
  <c r="Z20" i="25" s="1"/>
  <c r="Y21" i="25"/>
  <c r="Z21" i="25" s="1"/>
  <c r="Y22" i="25"/>
  <c r="Z22" i="25" s="1"/>
  <c r="Y23" i="25"/>
  <c r="Z23" i="25" s="1"/>
  <c r="Y24" i="25"/>
  <c r="Z24" i="25" s="1"/>
  <c r="Y25" i="25"/>
  <c r="Z25" i="25" s="1"/>
  <c r="Y26" i="25"/>
  <c r="Z26" i="25" s="1"/>
  <c r="Y27" i="25"/>
  <c r="Z27" i="25"/>
  <c r="Y28" i="25"/>
  <c r="Z28" i="25" s="1"/>
  <c r="Y29" i="25"/>
  <c r="Z29" i="25" s="1"/>
  <c r="Y30" i="25"/>
  <c r="Z30" i="25" s="1"/>
  <c r="Y31" i="25"/>
  <c r="Z31" i="25" s="1"/>
  <c r="Y32" i="25"/>
  <c r="Z32" i="25" s="1"/>
  <c r="Y33" i="25"/>
  <c r="Z33" i="25" s="1"/>
  <c r="Y34" i="25"/>
  <c r="Z34" i="25" s="1"/>
  <c r="Y35" i="25"/>
  <c r="Z35" i="25" s="1"/>
  <c r="Y36" i="25"/>
  <c r="Z36" i="25" s="1"/>
  <c r="Y37" i="25"/>
  <c r="Z37" i="25" s="1"/>
  <c r="Y38" i="25"/>
  <c r="Z38" i="25" s="1"/>
  <c r="Y39" i="25"/>
  <c r="Z39" i="25" s="1"/>
  <c r="Y40" i="25"/>
  <c r="Z40" i="25" s="1"/>
  <c r="Y41" i="25"/>
  <c r="Z41" i="25" s="1"/>
  <c r="Y42" i="25"/>
  <c r="Z42" i="25" s="1"/>
  <c r="Y43" i="25"/>
  <c r="Z43" i="25" s="1"/>
  <c r="Y44" i="25"/>
  <c r="Z44" i="25" s="1"/>
  <c r="Y45" i="25"/>
  <c r="Z45" i="25" s="1"/>
  <c r="Y46" i="25"/>
  <c r="Z46" i="25" s="1"/>
  <c r="Y47" i="25"/>
  <c r="Z47" i="25" s="1"/>
  <c r="Y48" i="25"/>
  <c r="Z48" i="25" s="1"/>
  <c r="Y49" i="25"/>
  <c r="Z49" i="25" s="1"/>
  <c r="Y50" i="25"/>
  <c r="Z50" i="25" s="1"/>
  <c r="Y51" i="25"/>
  <c r="Z51" i="25" s="1"/>
  <c r="Y52" i="25"/>
  <c r="Z52" i="25" s="1"/>
  <c r="Y53" i="25"/>
  <c r="Z53" i="25" s="1"/>
  <c r="Y54" i="25"/>
  <c r="Z54" i="25" s="1"/>
  <c r="Y55" i="25"/>
  <c r="Z55" i="25" s="1"/>
  <c r="Y56" i="25"/>
  <c r="Z56" i="25" s="1"/>
  <c r="Y57" i="25"/>
  <c r="Z57" i="25" s="1"/>
  <c r="Y58" i="25"/>
  <c r="Z58" i="25" s="1"/>
  <c r="Y59" i="25"/>
  <c r="Z59" i="25" s="1"/>
  <c r="Y60" i="25"/>
  <c r="Z60" i="25" s="1"/>
  <c r="Y61" i="25"/>
  <c r="Z61" i="25" s="1"/>
  <c r="Y62" i="25"/>
  <c r="Z62" i="25" s="1"/>
  <c r="Y63" i="25"/>
  <c r="Z63" i="25" s="1"/>
  <c r="Y64" i="25"/>
  <c r="Z64" i="25" s="1"/>
  <c r="Y65" i="25"/>
  <c r="Z65" i="25" s="1"/>
  <c r="Y66" i="25"/>
  <c r="Z66" i="25" s="1"/>
  <c r="Y67" i="25"/>
  <c r="Z67" i="25"/>
  <c r="Y68" i="25"/>
  <c r="Z68" i="25" s="1"/>
  <c r="Y69" i="25"/>
  <c r="Z69" i="25" s="1"/>
  <c r="Y70" i="25"/>
  <c r="Z70" i="25" s="1"/>
  <c r="Y71" i="25"/>
  <c r="Z71" i="25" s="1"/>
  <c r="Y72" i="25"/>
  <c r="Z72" i="25" s="1"/>
  <c r="Y73" i="25"/>
  <c r="Z73" i="25" s="1"/>
  <c r="Y74" i="25"/>
  <c r="Z74" i="25" s="1"/>
  <c r="Y75" i="25"/>
  <c r="Z75" i="25" s="1"/>
  <c r="Y76" i="25"/>
  <c r="Z76" i="25" s="1"/>
  <c r="Y77" i="25"/>
  <c r="Z77" i="25" s="1"/>
  <c r="Y78" i="25"/>
  <c r="Z78" i="25"/>
  <c r="Y79" i="25"/>
  <c r="Z79" i="25" s="1"/>
  <c r="Y80" i="25"/>
  <c r="Z80" i="25" s="1"/>
  <c r="Y81" i="25"/>
  <c r="Z81" i="25" s="1"/>
  <c r="Y82" i="25"/>
  <c r="Z82" i="25" s="1"/>
  <c r="Y83" i="25"/>
  <c r="Z83" i="25" s="1"/>
  <c r="Y84" i="25"/>
  <c r="Z84" i="25" s="1"/>
  <c r="Y85" i="25"/>
  <c r="Z85" i="25" s="1"/>
  <c r="Y86" i="25"/>
  <c r="Z86" i="25" s="1"/>
  <c r="Y87" i="25"/>
  <c r="Z87" i="25" s="1"/>
  <c r="Y88" i="25"/>
  <c r="Z88" i="25" s="1"/>
  <c r="Y89" i="25"/>
  <c r="Z89" i="25" s="1"/>
  <c r="Y90" i="25"/>
  <c r="Z90" i="25" s="1"/>
  <c r="Y91" i="25"/>
  <c r="Z91" i="25" s="1"/>
  <c r="Y92" i="25"/>
  <c r="Z92" i="25" s="1"/>
  <c r="Y93" i="25"/>
  <c r="Z93" i="25" s="1"/>
  <c r="Y94" i="25"/>
  <c r="Z94" i="25" s="1"/>
  <c r="Y95" i="25"/>
  <c r="Z95" i="25" s="1"/>
  <c r="Y96" i="25"/>
  <c r="Z96" i="25" s="1"/>
  <c r="Y97" i="25"/>
  <c r="Z97" i="25" s="1"/>
  <c r="Y98" i="25"/>
  <c r="Z98" i="25" s="1"/>
  <c r="Y99" i="25"/>
  <c r="Z99" i="25" s="1"/>
  <c r="Y100" i="25"/>
  <c r="Z100" i="25" s="1"/>
  <c r="Y101" i="25"/>
  <c r="Z101" i="25" s="1"/>
  <c r="Y102" i="25"/>
  <c r="Z102" i="25" s="1"/>
  <c r="Y103" i="25"/>
  <c r="Z103" i="25" s="1"/>
  <c r="Y104" i="25"/>
  <c r="Z104" i="25" s="1"/>
  <c r="Y105" i="25"/>
  <c r="Z105" i="25" s="1"/>
  <c r="Y106" i="25"/>
  <c r="Z106" i="25" s="1"/>
  <c r="Y107" i="25"/>
  <c r="Z107" i="25" s="1"/>
  <c r="Y108" i="25"/>
  <c r="Z108" i="25" s="1"/>
  <c r="Y109" i="25"/>
  <c r="Z109" i="25" s="1"/>
  <c r="Y110" i="25"/>
  <c r="Z110" i="25" s="1"/>
  <c r="Y111" i="25"/>
  <c r="Z111" i="25" s="1"/>
  <c r="Y112" i="25"/>
  <c r="Z112" i="25" s="1"/>
  <c r="Y113" i="25"/>
  <c r="Z113" i="25" s="1"/>
  <c r="Y114" i="25"/>
  <c r="Z114" i="25" s="1"/>
  <c r="Y115" i="25"/>
  <c r="Z115" i="25" s="1"/>
  <c r="Y116" i="25"/>
  <c r="Z116" i="25" s="1"/>
  <c r="Y117" i="25"/>
  <c r="Z117" i="25" s="1"/>
  <c r="Y118" i="25"/>
  <c r="Z118" i="25" s="1"/>
  <c r="Y119" i="25"/>
  <c r="Z119" i="25" s="1"/>
  <c r="Y120" i="25"/>
  <c r="Z120" i="25" s="1"/>
  <c r="Y121" i="25"/>
  <c r="Z121" i="25" s="1"/>
  <c r="Y122" i="25"/>
  <c r="Z122" i="25" s="1"/>
  <c r="Y123" i="25"/>
  <c r="Z123" i="25" s="1"/>
  <c r="Y124" i="25"/>
  <c r="Z124" i="25" s="1"/>
  <c r="Y125" i="25"/>
  <c r="Z125" i="25" s="1"/>
  <c r="Y126" i="25"/>
  <c r="Z126" i="25" s="1"/>
  <c r="Y127" i="25"/>
  <c r="Z127" i="25" s="1"/>
  <c r="Y128" i="25"/>
  <c r="Z128" i="25" s="1"/>
  <c r="Y129" i="25"/>
  <c r="Z129" i="25" s="1"/>
  <c r="Y130" i="25"/>
  <c r="Z130" i="25" s="1"/>
  <c r="Y131" i="25"/>
  <c r="Z131" i="25" s="1"/>
  <c r="Y132" i="25"/>
  <c r="Z132" i="25" s="1"/>
  <c r="Y133" i="25"/>
  <c r="Z133" i="25" s="1"/>
  <c r="Y134" i="25"/>
  <c r="Z134" i="25" s="1"/>
  <c r="Y135" i="25"/>
  <c r="Z135" i="25" s="1"/>
  <c r="Y136" i="25"/>
  <c r="Z136" i="25" s="1"/>
  <c r="Y137" i="25"/>
  <c r="Z137" i="25" s="1"/>
  <c r="Y138" i="25"/>
  <c r="Z138" i="25" s="1"/>
  <c r="Y139" i="25"/>
  <c r="Z139" i="25" s="1"/>
  <c r="Y140" i="25"/>
  <c r="Z140" i="25" s="1"/>
  <c r="Y141" i="25"/>
  <c r="Z141" i="25" s="1"/>
  <c r="Y142" i="25"/>
  <c r="Z142" i="25" s="1"/>
  <c r="Y143" i="25"/>
  <c r="Z143" i="25" s="1"/>
  <c r="Y144" i="25"/>
  <c r="Z144" i="25" s="1"/>
  <c r="Y145" i="25"/>
  <c r="Z145" i="25" s="1"/>
  <c r="Y146" i="25"/>
  <c r="Z146" i="25" s="1"/>
  <c r="Y147" i="25"/>
  <c r="Z147" i="25" s="1"/>
  <c r="Y148" i="25"/>
  <c r="Z148" i="25" s="1"/>
  <c r="Y149" i="25"/>
  <c r="Z149" i="25" s="1"/>
  <c r="Y150" i="25"/>
  <c r="Z150" i="25" s="1"/>
  <c r="Y151" i="25"/>
  <c r="Z151" i="25" s="1"/>
  <c r="Y152" i="25"/>
  <c r="Z152" i="25" s="1"/>
  <c r="Y153" i="25"/>
  <c r="Z153" i="25" s="1"/>
  <c r="Y154" i="25"/>
  <c r="Z154" i="25" s="1"/>
  <c r="Y155" i="25"/>
  <c r="Z155" i="25" s="1"/>
  <c r="Y156" i="25"/>
  <c r="Z156" i="25" s="1"/>
  <c r="Y157" i="25"/>
  <c r="Z157" i="25" s="1"/>
  <c r="Y158" i="25"/>
  <c r="Z158" i="25" s="1"/>
  <c r="Y159" i="25"/>
  <c r="Z159" i="25" s="1"/>
  <c r="Y160" i="25"/>
  <c r="Z160" i="25" s="1"/>
  <c r="Y161" i="25"/>
  <c r="Z161" i="25" s="1"/>
  <c r="Y162" i="25"/>
  <c r="Z162" i="25" s="1"/>
  <c r="Y163" i="25"/>
  <c r="Z163" i="25" s="1"/>
  <c r="Y164" i="25"/>
  <c r="Z164" i="25" s="1"/>
  <c r="Y165" i="25"/>
  <c r="Z165" i="25" s="1"/>
  <c r="Y166" i="25"/>
  <c r="Z166" i="25" s="1"/>
  <c r="Y167" i="25"/>
  <c r="Z167" i="25" s="1"/>
  <c r="Y168" i="25"/>
  <c r="Z168" i="25" s="1"/>
  <c r="Y169" i="25"/>
  <c r="Z169" i="25" s="1"/>
  <c r="Y170" i="25"/>
  <c r="Z170" i="25" s="1"/>
  <c r="Y171" i="25"/>
  <c r="Z171" i="25" s="1"/>
  <c r="Y172" i="25"/>
  <c r="Z172" i="25" s="1"/>
  <c r="Y173" i="25"/>
  <c r="Z173" i="25" s="1"/>
  <c r="Y174" i="25"/>
  <c r="Z174" i="25" s="1"/>
  <c r="Y175" i="25"/>
  <c r="Z175" i="25" s="1"/>
  <c r="Y176" i="25"/>
  <c r="Z176" i="25" s="1"/>
  <c r="Y177" i="25"/>
  <c r="Z177" i="25" s="1"/>
  <c r="Y178" i="25"/>
  <c r="Z178" i="25" s="1"/>
  <c r="Y179" i="25"/>
  <c r="Z179" i="25" s="1"/>
  <c r="Y180" i="25"/>
  <c r="Z180" i="25" s="1"/>
  <c r="Y181" i="25"/>
  <c r="Z181" i="25" s="1"/>
  <c r="Y182" i="25"/>
  <c r="Z182" i="25" s="1"/>
  <c r="Y183" i="25"/>
  <c r="Z183" i="25" s="1"/>
  <c r="Y184" i="25"/>
  <c r="Z184" i="25" s="1"/>
  <c r="Y185" i="25"/>
  <c r="Z185" i="25" s="1"/>
  <c r="Y186" i="25"/>
  <c r="Z186" i="25" s="1"/>
  <c r="Y187" i="25"/>
  <c r="Z187" i="25" s="1"/>
  <c r="Y188" i="25"/>
  <c r="Z188" i="25" s="1"/>
  <c r="Y189" i="25"/>
  <c r="Z189" i="25" s="1"/>
  <c r="Y190" i="25"/>
  <c r="Z190" i="25" s="1"/>
  <c r="Y191" i="25"/>
  <c r="Z191" i="25" s="1"/>
  <c r="Y192" i="25"/>
  <c r="Z192" i="25" s="1"/>
  <c r="Y193" i="25"/>
  <c r="Z193" i="25" s="1"/>
  <c r="Y194" i="25"/>
  <c r="Z194" i="25" s="1"/>
  <c r="Y195" i="25"/>
  <c r="Z195" i="25" s="1"/>
  <c r="Y196" i="25"/>
  <c r="Z196" i="25" s="1"/>
  <c r="Y197" i="25"/>
  <c r="Z197" i="25" s="1"/>
  <c r="Y198" i="25"/>
  <c r="Z198" i="25" s="1"/>
  <c r="Y199" i="25"/>
  <c r="Z199" i="25" s="1"/>
  <c r="Y200" i="25"/>
  <c r="Z200" i="25" s="1"/>
  <c r="Y201" i="25"/>
  <c r="Z201" i="25" s="1"/>
  <c r="Y202" i="25"/>
  <c r="Z202" i="25" s="1"/>
  <c r="Y203" i="25"/>
  <c r="Z203" i="25" s="1"/>
  <c r="Y204" i="25"/>
  <c r="Z204" i="25" s="1"/>
  <c r="Y205" i="25"/>
  <c r="Z205" i="25" s="1"/>
  <c r="Y206" i="25"/>
  <c r="Z206" i="25" s="1"/>
  <c r="Y207" i="25"/>
  <c r="Z207" i="25" s="1"/>
  <c r="Y208" i="25"/>
  <c r="Z208" i="25" s="1"/>
  <c r="Y209" i="25"/>
  <c r="Z209" i="25" s="1"/>
  <c r="Y210" i="25"/>
  <c r="Z210" i="25" s="1"/>
  <c r="Y211" i="25"/>
  <c r="Z211" i="25" s="1"/>
  <c r="Y212" i="25"/>
  <c r="Z212" i="25" s="1"/>
  <c r="Y213" i="25"/>
  <c r="Z213" i="25" s="1"/>
  <c r="Y214" i="25"/>
  <c r="Z214" i="25" s="1"/>
  <c r="Y215" i="25"/>
  <c r="Z215" i="25" s="1"/>
  <c r="Y216" i="25"/>
  <c r="Z216" i="25" s="1"/>
  <c r="Y217" i="25"/>
  <c r="Z217" i="25" s="1"/>
  <c r="Y218" i="25"/>
  <c r="Z218" i="25" s="1"/>
  <c r="Y219" i="25"/>
  <c r="Z219" i="25" s="1"/>
  <c r="Y220" i="25"/>
  <c r="Z220" i="25" s="1"/>
  <c r="Y221" i="25"/>
  <c r="Z221" i="25" s="1"/>
  <c r="Y222" i="25"/>
  <c r="Z222" i="25" s="1"/>
  <c r="Y223" i="25"/>
  <c r="Z223" i="25" s="1"/>
  <c r="Y224" i="25"/>
  <c r="Z224" i="25" s="1"/>
  <c r="Y225" i="25"/>
  <c r="Z225" i="25" s="1"/>
  <c r="Y226" i="25"/>
  <c r="Z226" i="25" s="1"/>
  <c r="Y227" i="25"/>
  <c r="Z227" i="25" s="1"/>
  <c r="Y228" i="25"/>
  <c r="Z228" i="25" s="1"/>
  <c r="Y229" i="25"/>
  <c r="Z229" i="25" s="1"/>
  <c r="Y230" i="25"/>
  <c r="Z230" i="25" s="1"/>
  <c r="Y231" i="25"/>
  <c r="Z231" i="25" s="1"/>
  <c r="Y232" i="25"/>
  <c r="Z232" i="25" s="1"/>
  <c r="Y233" i="25"/>
  <c r="Z233" i="25" s="1"/>
  <c r="Y234" i="25"/>
  <c r="Z234" i="25" s="1"/>
  <c r="Y235" i="25"/>
  <c r="Z235" i="25" s="1"/>
  <c r="Y236" i="25"/>
  <c r="Z236" i="25" s="1"/>
  <c r="Y237" i="25"/>
  <c r="Z237" i="25" s="1"/>
  <c r="Y238" i="25"/>
  <c r="Z238" i="25" s="1"/>
  <c r="Y239" i="25"/>
  <c r="Z239" i="25" s="1"/>
  <c r="Y240" i="25"/>
  <c r="Z240" i="25" s="1"/>
  <c r="Y241" i="25"/>
  <c r="Z241" i="25" s="1"/>
  <c r="Y242" i="25"/>
  <c r="Z242" i="25" s="1"/>
  <c r="Y243" i="25"/>
  <c r="Z243" i="25" s="1"/>
  <c r="Y244" i="25"/>
  <c r="Z244" i="25" s="1"/>
  <c r="Y245" i="25"/>
  <c r="Z245" i="25" s="1"/>
  <c r="Y246" i="25"/>
  <c r="Z246" i="25" s="1"/>
  <c r="Y247" i="25"/>
  <c r="Z247" i="25" s="1"/>
  <c r="Y248" i="25"/>
  <c r="Z248" i="25" s="1"/>
  <c r="Y249" i="25"/>
  <c r="Z249" i="25" s="1"/>
  <c r="Y250" i="25"/>
  <c r="Z250" i="25" s="1"/>
  <c r="Y251" i="25"/>
  <c r="Z251" i="25" s="1"/>
  <c r="Y252" i="25"/>
  <c r="Z252" i="25" s="1"/>
  <c r="Y253" i="25"/>
  <c r="Z253" i="25" s="1"/>
  <c r="Y254" i="25"/>
  <c r="Z254" i="25" s="1"/>
  <c r="Y255" i="25"/>
  <c r="Z255" i="25" s="1"/>
  <c r="Y256" i="25"/>
  <c r="Z256" i="25" s="1"/>
  <c r="Y257" i="25"/>
  <c r="Z257" i="25" s="1"/>
  <c r="Y258" i="25"/>
  <c r="Z258" i="25" s="1"/>
  <c r="Y259" i="25"/>
  <c r="Z259" i="25" s="1"/>
  <c r="Y260" i="25"/>
  <c r="Z260" i="25" s="1"/>
  <c r="Y261" i="25"/>
  <c r="Z261" i="25" s="1"/>
  <c r="Y262" i="25"/>
  <c r="Z262" i="25" s="1"/>
  <c r="Y263" i="25"/>
  <c r="Z263" i="25" s="1"/>
  <c r="Y264" i="25"/>
  <c r="Z264" i="25" s="1"/>
  <c r="Y265" i="25"/>
  <c r="Z265" i="25" s="1"/>
  <c r="Y266" i="25"/>
  <c r="Z266" i="25" s="1"/>
  <c r="Y267" i="25"/>
  <c r="Z267" i="25" s="1"/>
  <c r="Y268" i="25"/>
  <c r="Z268" i="25" s="1"/>
  <c r="Y269" i="25"/>
  <c r="Z269" i="25" s="1"/>
  <c r="Y270" i="25"/>
  <c r="Z270" i="25" s="1"/>
  <c r="Y271" i="25"/>
  <c r="Z271" i="25"/>
  <c r="Y272" i="25"/>
  <c r="Z272" i="25" s="1"/>
  <c r="Y273" i="25"/>
  <c r="Z273" i="25" s="1"/>
  <c r="Y274" i="25"/>
  <c r="Z274" i="25" s="1"/>
  <c r="Y275" i="25"/>
  <c r="Z275" i="25" s="1"/>
  <c r="Y276" i="25"/>
  <c r="Z276" i="25" s="1"/>
  <c r="Y277" i="25"/>
  <c r="Z277" i="25" s="1"/>
  <c r="Y278" i="25"/>
  <c r="Z278" i="25" s="1"/>
  <c r="Y279" i="25"/>
  <c r="Z279" i="25" s="1"/>
  <c r="Y280" i="25"/>
  <c r="Z280" i="25" s="1"/>
  <c r="Y281" i="25"/>
  <c r="Z281" i="25" s="1"/>
  <c r="Y282" i="25"/>
  <c r="Z282" i="25" s="1"/>
  <c r="Y283" i="25"/>
  <c r="Z283" i="25" s="1"/>
  <c r="Y284" i="25"/>
  <c r="Z284" i="25" s="1"/>
  <c r="Y285" i="25"/>
  <c r="Z285" i="25" s="1"/>
  <c r="Y286" i="25"/>
  <c r="Z286" i="25" s="1"/>
  <c r="Y287" i="25"/>
  <c r="Z287" i="25" s="1"/>
  <c r="Y288" i="25"/>
  <c r="Z288" i="25" s="1"/>
  <c r="Y289" i="25"/>
  <c r="Z289" i="25" s="1"/>
  <c r="Y290" i="25"/>
  <c r="Z290" i="25" s="1"/>
  <c r="Y291" i="25"/>
  <c r="Z291" i="25" s="1"/>
  <c r="Y292" i="25"/>
  <c r="Z292" i="25" s="1"/>
  <c r="Y293" i="25"/>
  <c r="Z293" i="25" s="1"/>
  <c r="Y294" i="25"/>
  <c r="Z294" i="25" s="1"/>
  <c r="Y295" i="25"/>
  <c r="Z295" i="25" s="1"/>
  <c r="Y296" i="25"/>
  <c r="Z296" i="25" s="1"/>
  <c r="Y297" i="25"/>
  <c r="Z297" i="25" s="1"/>
  <c r="Y298" i="25"/>
  <c r="Z298" i="25"/>
  <c r="Y299" i="25"/>
  <c r="Z299" i="25" s="1"/>
  <c r="Y300" i="25"/>
  <c r="Z300" i="25" s="1"/>
  <c r="Y301" i="25"/>
  <c r="Z301" i="25" s="1"/>
  <c r="Y302" i="25"/>
  <c r="Z302" i="25" s="1"/>
  <c r="Y303" i="25"/>
  <c r="Z303" i="25" s="1"/>
  <c r="Y304" i="25"/>
  <c r="Z304" i="25" s="1"/>
  <c r="Y305" i="25"/>
  <c r="Z305" i="25" s="1"/>
  <c r="Y306" i="25"/>
  <c r="Z306" i="25" s="1"/>
  <c r="Y307" i="25"/>
  <c r="Z307" i="25" s="1"/>
  <c r="Y308" i="25"/>
  <c r="Z308" i="25" s="1"/>
  <c r="Y309" i="25"/>
  <c r="Z309" i="25" s="1"/>
  <c r="Y310" i="25"/>
  <c r="Z310" i="25" s="1"/>
  <c r="Y311" i="25"/>
  <c r="Z311" i="25" s="1"/>
  <c r="Y312" i="25"/>
  <c r="Z312" i="25" s="1"/>
  <c r="Y313" i="25"/>
  <c r="Z313" i="25" s="1"/>
  <c r="Y314" i="25"/>
  <c r="Z314" i="25" s="1"/>
  <c r="Y315" i="25"/>
  <c r="Z315" i="25" s="1"/>
  <c r="Y316" i="25"/>
  <c r="Z316" i="25" s="1"/>
  <c r="Y317" i="25"/>
  <c r="Z317" i="25" s="1"/>
  <c r="Y318" i="25"/>
  <c r="Z318" i="25" s="1"/>
  <c r="Y319" i="25"/>
  <c r="Z319" i="25" s="1"/>
  <c r="Y320" i="25"/>
  <c r="Z320" i="25" s="1"/>
  <c r="Y321" i="25"/>
  <c r="Z321" i="25" s="1"/>
  <c r="Y322" i="25"/>
  <c r="Z322" i="25" s="1"/>
  <c r="Y323" i="25"/>
  <c r="Z323" i="25" s="1"/>
  <c r="Y324" i="25"/>
  <c r="Z324" i="25" s="1"/>
  <c r="Y325" i="25"/>
  <c r="Z325" i="25" s="1"/>
  <c r="Y326" i="25"/>
  <c r="Z326" i="25" s="1"/>
  <c r="Y327" i="25"/>
  <c r="Z327" i="25" s="1"/>
  <c r="Y328" i="25"/>
  <c r="Z328" i="25" s="1"/>
  <c r="Y329" i="25"/>
  <c r="Z329" i="25" s="1"/>
  <c r="Y330" i="25"/>
  <c r="Z330" i="25" s="1"/>
  <c r="Y331" i="25"/>
  <c r="Z331" i="25" s="1"/>
  <c r="Y332" i="25"/>
  <c r="Z332" i="25" s="1"/>
  <c r="Y333" i="25"/>
  <c r="Z333" i="25" s="1"/>
  <c r="Y334" i="25"/>
  <c r="Z334" i="25" s="1"/>
  <c r="Y335" i="25"/>
  <c r="Z335" i="25" s="1"/>
  <c r="Y336" i="25"/>
  <c r="Z336" i="25" s="1"/>
  <c r="Y337" i="25"/>
  <c r="Z337" i="25" s="1"/>
  <c r="Y338" i="25"/>
  <c r="Z338" i="25" s="1"/>
  <c r="Y339" i="25"/>
  <c r="Z339" i="25" s="1"/>
  <c r="Y340" i="25"/>
  <c r="Z340" i="25" s="1"/>
  <c r="Y341" i="25"/>
  <c r="Z341" i="25" s="1"/>
  <c r="Y342" i="25"/>
  <c r="Z342" i="25" s="1"/>
  <c r="Y343" i="25"/>
  <c r="Z343" i="25" s="1"/>
  <c r="Y344" i="25"/>
  <c r="Z344" i="25" s="1"/>
  <c r="Y345" i="25"/>
  <c r="Z345" i="25" s="1"/>
  <c r="Y346" i="25"/>
  <c r="Z346" i="25" s="1"/>
  <c r="Y347" i="25"/>
  <c r="Z347" i="25" s="1"/>
  <c r="Y348" i="25"/>
  <c r="Z348" i="25" s="1"/>
  <c r="Y349" i="25"/>
  <c r="Z349" i="25" s="1"/>
  <c r="Y350" i="25"/>
  <c r="Z350" i="25" s="1"/>
  <c r="Y351" i="25"/>
  <c r="Z351" i="25" s="1"/>
  <c r="Y352" i="25"/>
  <c r="Z352" i="25" s="1"/>
  <c r="Y353" i="25"/>
  <c r="Z353" i="25" s="1"/>
  <c r="Y354" i="25"/>
  <c r="Z354" i="25" s="1"/>
  <c r="Y355" i="25"/>
  <c r="Z355" i="25" s="1"/>
  <c r="Y356" i="25"/>
  <c r="Z356" i="25" s="1"/>
  <c r="Y357" i="25"/>
  <c r="Z357" i="25" s="1"/>
  <c r="Y358" i="25"/>
  <c r="Z358" i="25" s="1"/>
  <c r="Y359" i="25"/>
  <c r="Z359" i="25" s="1"/>
  <c r="Y360" i="25"/>
  <c r="Z360" i="25" s="1"/>
  <c r="Y361" i="25"/>
  <c r="Z361" i="25" s="1"/>
  <c r="Y362" i="25"/>
  <c r="Z362" i="25" s="1"/>
  <c r="Y363" i="25"/>
  <c r="Z363" i="25" s="1"/>
  <c r="Y364" i="25"/>
  <c r="Z364" i="25" s="1"/>
  <c r="Y365" i="25"/>
  <c r="Z365" i="25" s="1"/>
  <c r="Y366" i="25"/>
  <c r="Z366" i="25" s="1"/>
  <c r="Y367" i="25"/>
  <c r="Z367" i="25" s="1"/>
  <c r="Y368" i="25"/>
  <c r="Z368" i="25" s="1"/>
  <c r="Y369" i="25"/>
  <c r="Z369" i="25" s="1"/>
  <c r="Y370" i="25"/>
  <c r="Z370" i="25" s="1"/>
  <c r="Y371" i="25"/>
  <c r="Z371" i="25" s="1"/>
  <c r="Y372" i="25"/>
  <c r="Z372" i="25" s="1"/>
  <c r="Y373" i="25"/>
  <c r="Z373" i="25" s="1"/>
  <c r="Y374" i="25"/>
  <c r="Z374" i="25" s="1"/>
  <c r="Y375" i="25"/>
  <c r="Z375" i="25" s="1"/>
  <c r="Y376" i="25"/>
  <c r="Z376" i="25" s="1"/>
  <c r="Y377" i="25"/>
  <c r="Z377" i="25" s="1"/>
  <c r="Y378" i="25"/>
  <c r="Z378" i="25" s="1"/>
  <c r="Y379" i="25"/>
  <c r="Z379" i="25" s="1"/>
  <c r="Y380" i="25"/>
  <c r="Z380" i="25" s="1"/>
  <c r="Y381" i="25"/>
  <c r="Z381" i="25" s="1"/>
  <c r="Y382" i="25"/>
  <c r="Z382" i="25" s="1"/>
  <c r="Y383" i="25"/>
  <c r="Z383" i="25" s="1"/>
  <c r="Y384" i="25"/>
  <c r="Z384" i="25" s="1"/>
  <c r="Y385" i="25"/>
  <c r="Z385" i="25" s="1"/>
  <c r="Y386" i="25"/>
  <c r="Z386" i="25" s="1"/>
  <c r="Y387" i="25"/>
  <c r="Z387" i="25" s="1"/>
  <c r="Y388" i="25"/>
  <c r="Z388" i="25" s="1"/>
  <c r="Y389" i="25"/>
  <c r="Z389" i="25" s="1"/>
  <c r="Y390" i="25"/>
  <c r="Z390" i="25" s="1"/>
  <c r="Y391" i="25"/>
  <c r="Z391" i="25" s="1"/>
  <c r="Y392" i="25"/>
  <c r="Z392" i="25" s="1"/>
  <c r="Y393" i="25"/>
  <c r="Z393" i="25" s="1"/>
  <c r="Y394" i="25"/>
  <c r="Z394" i="25" s="1"/>
  <c r="Y395" i="25"/>
  <c r="Z395" i="25" s="1"/>
  <c r="Y396" i="25"/>
  <c r="Z396" i="25" s="1"/>
  <c r="Y397" i="25"/>
  <c r="Z397" i="25" s="1"/>
  <c r="Y398" i="25"/>
  <c r="Z398" i="25" s="1"/>
  <c r="Y399" i="25"/>
  <c r="Z399" i="25"/>
  <c r="Y400" i="25"/>
  <c r="Z400" i="25" s="1"/>
  <c r="Y401" i="25"/>
  <c r="Z401" i="25" s="1"/>
  <c r="Y402" i="25"/>
  <c r="Z402" i="25" s="1"/>
  <c r="Y403" i="25"/>
  <c r="Z403" i="25" s="1"/>
  <c r="Y404" i="25"/>
  <c r="Z404" i="25" s="1"/>
  <c r="Y405" i="25"/>
  <c r="Z405" i="25" s="1"/>
  <c r="Y406" i="25"/>
  <c r="Z406" i="25" s="1"/>
  <c r="Y407" i="25"/>
  <c r="Z407" i="25" s="1"/>
  <c r="Y408" i="25"/>
  <c r="Z408" i="25" s="1"/>
  <c r="Y409" i="25"/>
  <c r="Z409" i="25"/>
  <c r="Y410" i="25"/>
  <c r="Z410" i="25" s="1"/>
  <c r="Y411" i="25"/>
  <c r="Z411" i="25" s="1"/>
  <c r="Y412" i="25"/>
  <c r="Z412" i="25" s="1"/>
  <c r="Y413" i="25"/>
  <c r="Z413" i="25" s="1"/>
  <c r="Y414" i="25"/>
  <c r="Z414" i="25" s="1"/>
  <c r="Y415" i="25"/>
  <c r="Z415" i="25" s="1"/>
  <c r="Y416" i="25"/>
  <c r="Z416" i="25" s="1"/>
  <c r="Y417" i="25"/>
  <c r="Z417" i="25" s="1"/>
  <c r="Y418" i="25"/>
  <c r="Z418" i="25" s="1"/>
  <c r="Y419" i="25"/>
  <c r="Z419" i="25" s="1"/>
  <c r="Y420" i="25"/>
  <c r="Z420" i="25" s="1"/>
  <c r="Y421" i="25"/>
  <c r="Z421" i="25" s="1"/>
  <c r="Y422" i="25"/>
  <c r="Z422" i="25" s="1"/>
  <c r="Y423" i="25"/>
  <c r="Z423" i="25" s="1"/>
  <c r="Y424" i="25"/>
  <c r="Z424" i="25" s="1"/>
  <c r="Y425" i="25"/>
  <c r="Z425" i="25" s="1"/>
  <c r="Y426" i="25"/>
  <c r="Z426" i="25" s="1"/>
  <c r="Y427" i="25"/>
  <c r="Z427" i="25" s="1"/>
  <c r="Y428" i="25"/>
  <c r="Z428" i="25" s="1"/>
  <c r="Y429" i="25"/>
  <c r="Z429" i="25" s="1"/>
  <c r="Y430" i="25"/>
  <c r="Z430" i="25" s="1"/>
  <c r="Y431" i="25"/>
  <c r="Z431" i="25" s="1"/>
  <c r="Y432" i="25"/>
  <c r="Z432" i="25" s="1"/>
  <c r="Y433" i="25"/>
  <c r="Z433" i="25" s="1"/>
  <c r="Y434" i="25"/>
  <c r="Z434" i="25" s="1"/>
  <c r="Y435" i="25"/>
  <c r="Z435" i="25" s="1"/>
  <c r="Y436" i="25"/>
  <c r="Z436" i="25" s="1"/>
  <c r="Y437" i="25"/>
  <c r="Z437" i="25" s="1"/>
  <c r="Y438" i="25"/>
  <c r="Z438" i="25" s="1"/>
  <c r="Y439" i="25"/>
  <c r="Z439" i="25" s="1"/>
  <c r="Y440" i="25"/>
  <c r="Z440" i="25" s="1"/>
  <c r="Y441" i="25"/>
  <c r="Z441" i="25" s="1"/>
  <c r="Y442" i="25"/>
  <c r="Z442" i="25" s="1"/>
  <c r="Y443" i="25"/>
  <c r="Z443" i="25" s="1"/>
  <c r="Y444" i="25"/>
  <c r="Z444" i="25" s="1"/>
  <c r="Y445" i="25"/>
  <c r="Z445" i="25" s="1"/>
  <c r="Y446" i="25"/>
  <c r="Z446" i="25" s="1"/>
  <c r="Y447" i="25"/>
  <c r="Z447" i="25" s="1"/>
  <c r="Y448" i="25"/>
  <c r="Z448" i="25" s="1"/>
  <c r="Y449" i="25"/>
  <c r="Z449" i="25" s="1"/>
  <c r="Y450" i="25"/>
  <c r="Z450" i="25" s="1"/>
  <c r="Y451" i="25"/>
  <c r="Z451" i="25" s="1"/>
  <c r="Y452" i="25"/>
  <c r="Z452" i="25" s="1"/>
  <c r="Y453" i="25"/>
  <c r="Z453" i="25" s="1"/>
  <c r="Y454" i="25"/>
  <c r="Z454" i="25" s="1"/>
  <c r="Y455" i="25"/>
  <c r="Z455" i="25" s="1"/>
  <c r="Y456" i="25"/>
  <c r="Z456" i="25" s="1"/>
  <c r="Y457" i="25"/>
  <c r="Z457" i="25" s="1"/>
  <c r="Y458" i="25"/>
  <c r="Z458" i="25" s="1"/>
  <c r="Y459" i="25"/>
  <c r="Z459" i="25" s="1"/>
  <c r="Y460" i="25"/>
  <c r="Z460" i="25" s="1"/>
  <c r="Y461" i="25"/>
  <c r="Z461" i="25" s="1"/>
  <c r="Y462" i="25"/>
  <c r="Z462" i="25" s="1"/>
  <c r="Y463" i="25"/>
  <c r="Z463" i="25" s="1"/>
  <c r="Y464" i="25"/>
  <c r="Z464" i="25" s="1"/>
  <c r="Y465" i="25"/>
  <c r="Z465" i="25" s="1"/>
  <c r="Y466" i="25"/>
  <c r="Z466" i="25" s="1"/>
  <c r="Y467" i="25"/>
  <c r="Z467" i="25" s="1"/>
  <c r="Y468" i="25"/>
  <c r="Z468" i="25" s="1"/>
  <c r="Y469" i="25"/>
  <c r="Z469" i="25" s="1"/>
  <c r="Y470" i="25"/>
  <c r="Z470" i="25" s="1"/>
  <c r="Y471" i="25"/>
  <c r="Z471" i="25" s="1"/>
  <c r="Y472" i="25"/>
  <c r="Z472" i="25" s="1"/>
  <c r="Y473" i="25"/>
  <c r="Z473" i="25" s="1"/>
  <c r="Y474" i="25"/>
  <c r="Z474" i="25" s="1"/>
  <c r="Y475" i="25"/>
  <c r="Z475" i="25" s="1"/>
  <c r="Y476" i="25"/>
  <c r="Z476" i="25" s="1"/>
  <c r="Y477" i="25"/>
  <c r="Z477" i="25" s="1"/>
  <c r="Y478" i="25"/>
  <c r="Z478" i="25" s="1"/>
  <c r="Y479" i="25"/>
  <c r="Z479" i="25" s="1"/>
  <c r="Y480" i="25"/>
  <c r="Z480" i="25" s="1"/>
  <c r="Y481" i="25"/>
  <c r="Z481" i="25" s="1"/>
  <c r="Y482" i="25"/>
  <c r="Z482" i="25" s="1"/>
  <c r="Y483" i="25"/>
  <c r="Z483" i="25" s="1"/>
  <c r="Y484" i="25"/>
  <c r="Z484" i="25" s="1"/>
  <c r="Y485" i="25"/>
  <c r="Z485" i="25" s="1"/>
  <c r="Y486" i="25"/>
  <c r="Z486" i="25" s="1"/>
  <c r="Y487" i="25"/>
  <c r="Z487" i="25" s="1"/>
  <c r="Y488" i="25"/>
  <c r="Z488" i="25" s="1"/>
  <c r="Y489" i="25"/>
  <c r="Z489" i="25" s="1"/>
  <c r="Y490" i="25"/>
  <c r="Z490" i="25" s="1"/>
  <c r="Y491" i="25"/>
  <c r="Z491" i="25" s="1"/>
  <c r="Y492" i="25"/>
  <c r="Z492" i="25" s="1"/>
  <c r="Y493" i="25"/>
  <c r="Z493" i="25" s="1"/>
  <c r="Y494" i="25"/>
  <c r="Z494" i="25" s="1"/>
  <c r="Y495" i="25"/>
  <c r="Z495" i="25" s="1"/>
  <c r="Y496" i="25"/>
  <c r="Z496" i="25" s="1"/>
  <c r="Y497" i="25"/>
  <c r="Z497" i="25" s="1"/>
  <c r="Y498" i="25"/>
  <c r="Z498" i="25" s="1"/>
  <c r="Y499" i="25"/>
  <c r="Z499" i="25" s="1"/>
  <c r="Y500" i="25"/>
  <c r="Z500" i="25" s="1"/>
  <c r="Y501" i="25"/>
  <c r="Z501" i="25" s="1"/>
  <c r="Y502" i="25"/>
  <c r="Z502" i="25" s="1"/>
  <c r="Y503" i="25"/>
  <c r="Z503" i="25" s="1"/>
  <c r="Y504" i="25"/>
  <c r="Z504" i="25" s="1"/>
  <c r="Y505" i="25"/>
  <c r="Z505" i="25" s="1"/>
  <c r="Y506" i="25"/>
  <c r="Z506" i="25" s="1"/>
  <c r="Y507" i="25"/>
  <c r="Z507" i="25" s="1"/>
  <c r="Y508" i="25"/>
  <c r="Z508" i="25" s="1"/>
  <c r="Y509" i="25"/>
  <c r="Z509" i="25" s="1"/>
  <c r="Y510" i="25"/>
  <c r="Z510" i="25" s="1"/>
  <c r="Y511" i="25"/>
  <c r="Z511" i="25" s="1"/>
  <c r="Y512" i="25"/>
  <c r="Z512" i="25" s="1"/>
  <c r="Y513" i="25"/>
  <c r="Z513" i="25" s="1"/>
  <c r="Y514" i="25"/>
  <c r="Z514" i="25" s="1"/>
  <c r="Y515" i="25"/>
  <c r="Z515" i="25" s="1"/>
  <c r="Y516" i="25"/>
  <c r="Z516" i="25" s="1"/>
  <c r="Y517" i="25"/>
  <c r="Z517" i="25" s="1"/>
  <c r="Y518" i="25"/>
  <c r="Z518" i="25" s="1"/>
  <c r="Y519" i="25"/>
  <c r="Z519" i="25" s="1"/>
  <c r="Y520" i="25"/>
  <c r="Z520" i="25" s="1"/>
  <c r="Y521" i="25"/>
  <c r="Z521" i="25" s="1"/>
  <c r="Y522" i="25"/>
  <c r="Z522" i="25" s="1"/>
  <c r="Y523" i="25"/>
  <c r="Z523" i="25" s="1"/>
  <c r="Y524" i="25"/>
  <c r="Z524" i="25" s="1"/>
  <c r="Y525" i="25"/>
  <c r="Z525" i="25" s="1"/>
  <c r="Y526" i="25"/>
  <c r="Z526" i="25" s="1"/>
  <c r="Y527" i="25"/>
  <c r="Z527" i="25" s="1"/>
  <c r="Y528" i="25"/>
  <c r="Z528" i="25" s="1"/>
  <c r="Y529" i="25"/>
  <c r="Z529" i="25" s="1"/>
  <c r="Y530" i="25"/>
  <c r="Z530" i="25" s="1"/>
  <c r="Y531" i="25"/>
  <c r="Z531" i="25" s="1"/>
  <c r="Y532" i="25"/>
  <c r="Z532" i="25" s="1"/>
  <c r="Y533" i="25"/>
  <c r="Z533" i="25" s="1"/>
  <c r="Y534" i="25"/>
  <c r="Z534" i="25" s="1"/>
  <c r="Y535" i="25"/>
  <c r="Z535" i="25" s="1"/>
  <c r="Y536" i="25"/>
  <c r="Z536" i="25" s="1"/>
  <c r="Y537" i="25"/>
  <c r="Z537" i="25" s="1"/>
  <c r="Y538" i="25"/>
  <c r="Z538" i="25" s="1"/>
  <c r="Y539" i="25"/>
  <c r="Z539" i="25" s="1"/>
  <c r="Y540" i="25"/>
  <c r="Z540" i="25" s="1"/>
  <c r="Y541" i="25"/>
  <c r="Z541" i="25" s="1"/>
  <c r="Y542" i="25"/>
  <c r="Z542" i="25" s="1"/>
  <c r="Y543" i="25"/>
  <c r="Z543" i="25" s="1"/>
  <c r="Y544" i="25"/>
  <c r="Z544" i="25" s="1"/>
  <c r="Y545" i="25"/>
  <c r="Z545" i="25" s="1"/>
  <c r="Y546" i="25"/>
  <c r="Z546" i="25" s="1"/>
  <c r="Y547" i="25"/>
  <c r="Z547" i="25" s="1"/>
  <c r="Y548" i="25"/>
  <c r="Z548" i="25" s="1"/>
  <c r="Y549" i="25"/>
  <c r="Z549" i="25" s="1"/>
  <c r="Y550" i="25"/>
  <c r="Z550" i="25" s="1"/>
  <c r="Y551" i="25"/>
  <c r="Z551" i="25" s="1"/>
  <c r="Y552" i="25"/>
  <c r="Z552" i="25" s="1"/>
  <c r="Y553" i="25"/>
  <c r="Z553" i="25" s="1"/>
  <c r="Y554" i="25"/>
  <c r="Z554" i="25" s="1"/>
  <c r="Y555" i="25"/>
  <c r="Z555" i="25" s="1"/>
  <c r="Y556" i="25"/>
  <c r="Z556" i="25" s="1"/>
  <c r="Y557" i="25"/>
  <c r="Z557" i="25" s="1"/>
  <c r="Y558" i="25"/>
  <c r="Z558" i="25" s="1"/>
  <c r="Y559" i="25"/>
  <c r="Z559" i="25" s="1"/>
  <c r="Y560" i="25"/>
  <c r="Z560" i="25" s="1"/>
  <c r="Y561" i="25"/>
  <c r="Z561" i="25" s="1"/>
  <c r="Y562" i="25"/>
  <c r="Z562" i="25" s="1"/>
  <c r="Y563" i="25"/>
  <c r="Z563" i="25" s="1"/>
  <c r="Y564" i="25"/>
  <c r="Z564" i="25" s="1"/>
  <c r="Y565" i="25"/>
  <c r="Z565" i="25" s="1"/>
  <c r="Y566" i="25"/>
  <c r="Z566" i="25" s="1"/>
  <c r="Y567" i="25"/>
  <c r="Z567" i="25" s="1"/>
  <c r="Y568" i="25"/>
  <c r="Z568" i="25" s="1"/>
  <c r="Y569" i="25"/>
  <c r="Z569" i="25" s="1"/>
  <c r="Y570" i="25"/>
  <c r="Z570" i="25" s="1"/>
  <c r="Y571" i="25"/>
  <c r="Z571" i="25" s="1"/>
  <c r="Y572" i="25"/>
  <c r="Z572" i="25" s="1"/>
  <c r="Y573" i="25"/>
  <c r="Z573" i="25" s="1"/>
  <c r="Y574" i="25"/>
  <c r="Z574" i="25" s="1"/>
  <c r="Y575" i="25"/>
  <c r="Z575" i="25" s="1"/>
  <c r="Y576" i="25"/>
  <c r="Z576" i="25" s="1"/>
  <c r="Y577" i="25"/>
  <c r="Z577" i="25" s="1"/>
  <c r="Y578" i="25"/>
  <c r="Z578" i="25" s="1"/>
  <c r="Y579" i="25"/>
  <c r="Z579" i="25" s="1"/>
  <c r="Y580" i="25"/>
  <c r="Z580" i="25" s="1"/>
  <c r="Y581" i="25"/>
  <c r="Z581" i="25" s="1"/>
  <c r="Y582" i="25"/>
  <c r="Z582" i="25" s="1"/>
  <c r="Y583" i="25"/>
  <c r="Z583" i="25" s="1"/>
  <c r="Y584" i="25"/>
  <c r="Z584" i="25" s="1"/>
  <c r="Y585" i="25"/>
  <c r="Z585" i="25" s="1"/>
  <c r="Y586" i="25"/>
  <c r="Z586" i="25" s="1"/>
  <c r="Y587" i="25"/>
  <c r="Z587" i="25" s="1"/>
  <c r="Y588" i="25"/>
  <c r="Z588" i="25" s="1"/>
  <c r="Y589" i="25"/>
  <c r="Z589" i="25" s="1"/>
  <c r="Y590" i="25"/>
  <c r="Z590" i="25" s="1"/>
  <c r="Y591" i="25"/>
  <c r="Z591" i="25" s="1"/>
  <c r="Y592" i="25"/>
  <c r="Z592" i="25" s="1"/>
  <c r="Y593" i="25"/>
  <c r="Z593" i="25" s="1"/>
  <c r="Y594" i="25"/>
  <c r="Z594" i="25" s="1"/>
  <c r="Y595" i="25"/>
  <c r="Z595" i="25" s="1"/>
  <c r="Y596" i="25"/>
  <c r="Z596" i="25" s="1"/>
  <c r="Y597" i="25"/>
  <c r="Z597" i="25" s="1"/>
  <c r="Y598" i="25"/>
  <c r="Z598" i="25" s="1"/>
  <c r="Y599" i="25"/>
  <c r="Z599" i="25" s="1"/>
  <c r="Y600" i="25"/>
  <c r="Z600" i="25" s="1"/>
  <c r="Y601" i="25"/>
  <c r="Z601" i="25" s="1"/>
  <c r="Y602" i="25"/>
  <c r="Z602" i="25" s="1"/>
  <c r="Y603" i="25"/>
  <c r="Z603" i="25" s="1"/>
  <c r="Y604" i="25"/>
  <c r="Z604" i="25" s="1"/>
  <c r="Y605" i="25"/>
  <c r="Z605" i="25" s="1"/>
  <c r="Y606" i="25"/>
  <c r="Z606" i="25" s="1"/>
  <c r="Y607" i="25"/>
  <c r="Z607" i="25" s="1"/>
  <c r="Y608" i="25"/>
  <c r="Z608" i="25" s="1"/>
  <c r="Y609" i="25"/>
  <c r="Z609" i="25" s="1"/>
  <c r="Y610" i="25"/>
  <c r="Z610" i="25" s="1"/>
  <c r="Y611" i="25"/>
  <c r="Z611" i="25" s="1"/>
  <c r="Y612" i="25"/>
  <c r="Z612" i="25" s="1"/>
  <c r="Y613" i="25"/>
  <c r="Z613" i="25" s="1"/>
  <c r="Y614" i="25"/>
  <c r="Z614" i="25" s="1"/>
  <c r="Y615" i="25"/>
  <c r="Z615" i="25" s="1"/>
  <c r="Y616" i="25"/>
  <c r="Z616" i="25" s="1"/>
  <c r="Y617" i="25"/>
  <c r="Z617" i="25" s="1"/>
  <c r="Y618" i="25"/>
  <c r="Z618" i="25" s="1"/>
  <c r="Y619" i="25"/>
  <c r="Z619" i="25" s="1"/>
  <c r="Y620" i="25"/>
  <c r="Z620" i="25" s="1"/>
  <c r="Y621" i="25"/>
  <c r="Z621" i="25" s="1"/>
  <c r="Y622" i="25"/>
  <c r="Z622" i="25" s="1"/>
  <c r="Y623" i="25"/>
  <c r="Z623" i="25" s="1"/>
  <c r="Y624" i="25"/>
  <c r="Z624" i="25" s="1"/>
  <c r="Y625" i="25"/>
  <c r="Z625" i="25" s="1"/>
  <c r="Y626" i="25"/>
  <c r="Z626" i="25" s="1"/>
  <c r="Y627" i="25"/>
  <c r="Z627" i="25" s="1"/>
  <c r="Y628" i="25"/>
  <c r="Z628" i="25" s="1"/>
  <c r="Y629" i="25"/>
  <c r="Z629" i="25" s="1"/>
  <c r="Y630" i="25"/>
  <c r="Z630" i="25" s="1"/>
  <c r="Y631" i="25"/>
  <c r="Z631" i="25" s="1"/>
  <c r="Y632" i="25"/>
  <c r="Z632" i="25" s="1"/>
  <c r="Y633" i="25"/>
  <c r="Z633" i="25" s="1"/>
  <c r="Y634" i="25"/>
  <c r="Z634" i="25" s="1"/>
  <c r="Y635" i="25"/>
  <c r="Z635" i="25" s="1"/>
  <c r="Y636" i="25"/>
  <c r="Z636" i="25" s="1"/>
  <c r="Y637" i="25"/>
  <c r="Z637" i="25" s="1"/>
  <c r="Y638" i="25"/>
  <c r="Z638" i="25" s="1"/>
  <c r="Y639" i="25"/>
  <c r="Z639" i="25" s="1"/>
  <c r="Y640" i="25"/>
  <c r="Z640" i="25" s="1"/>
  <c r="Y641" i="25"/>
  <c r="Z641" i="25" s="1"/>
  <c r="Y642" i="25"/>
  <c r="Z642" i="25" s="1"/>
  <c r="Y643" i="25"/>
  <c r="Z643" i="25" s="1"/>
  <c r="Y644" i="25"/>
  <c r="Z644" i="25" s="1"/>
  <c r="Y645" i="25"/>
  <c r="Z645" i="25" s="1"/>
  <c r="Y646" i="25"/>
  <c r="Z646" i="25" s="1"/>
  <c r="Y647" i="25"/>
  <c r="Z647" i="25" s="1"/>
  <c r="Y648" i="25"/>
  <c r="Z648" i="25" s="1"/>
  <c r="Y649" i="25"/>
  <c r="Z649" i="25" s="1"/>
  <c r="Y650" i="25"/>
  <c r="Z650" i="25" s="1"/>
  <c r="Y651" i="25"/>
  <c r="Z651" i="25" s="1"/>
  <c r="Y652" i="25"/>
  <c r="Z652" i="25" s="1"/>
  <c r="Y653" i="25"/>
  <c r="Z653" i="25" s="1"/>
  <c r="Y654" i="25"/>
  <c r="Z654" i="25" s="1"/>
  <c r="Y655" i="25"/>
  <c r="Z655" i="25" s="1"/>
  <c r="Y656" i="25"/>
  <c r="Z656" i="25" s="1"/>
  <c r="Y657" i="25"/>
  <c r="Z657" i="25" s="1"/>
  <c r="Y658" i="25"/>
  <c r="Z658" i="25" s="1"/>
  <c r="Y659" i="25"/>
  <c r="Z659" i="25" s="1"/>
  <c r="Y660" i="25"/>
  <c r="Z660" i="25" s="1"/>
  <c r="Y661" i="25"/>
  <c r="Z661" i="25" s="1"/>
  <c r="Y662" i="25"/>
  <c r="Z662" i="25" s="1"/>
  <c r="Y663" i="25"/>
  <c r="Z663" i="25" s="1"/>
  <c r="Y664" i="25"/>
  <c r="Z664" i="25" s="1"/>
  <c r="Y665" i="25"/>
  <c r="Z665" i="25" s="1"/>
  <c r="Y666" i="25"/>
  <c r="Z666" i="25" s="1"/>
  <c r="Y667" i="25"/>
  <c r="Z667" i="25" s="1"/>
  <c r="Y668" i="25"/>
  <c r="Z668" i="25" s="1"/>
  <c r="Y669" i="25"/>
  <c r="Z669" i="25" s="1"/>
  <c r="Y670" i="25"/>
  <c r="Z670" i="25" s="1"/>
  <c r="Y671" i="25"/>
  <c r="Z671" i="25" s="1"/>
  <c r="Y672" i="25"/>
  <c r="Z672" i="25" s="1"/>
  <c r="Y673" i="25"/>
  <c r="Z673" i="25" s="1"/>
  <c r="Y674" i="25"/>
  <c r="Z674" i="25" s="1"/>
  <c r="Y675" i="25"/>
  <c r="Z675" i="25" s="1"/>
  <c r="Y676" i="25"/>
  <c r="Z676" i="25" s="1"/>
  <c r="Y677" i="25"/>
  <c r="Z677" i="25" s="1"/>
  <c r="Y678" i="25"/>
  <c r="Z678" i="25" s="1"/>
  <c r="Y679" i="25"/>
  <c r="Z679" i="25" s="1"/>
  <c r="Y680" i="25"/>
  <c r="Z680" i="25" s="1"/>
  <c r="Y681" i="25"/>
  <c r="Z681" i="25" s="1"/>
  <c r="Y682" i="25"/>
  <c r="Z682" i="25" s="1"/>
  <c r="Y683" i="25"/>
  <c r="Z683" i="25" s="1"/>
  <c r="Y684" i="25"/>
  <c r="Z684" i="25" s="1"/>
  <c r="Y685" i="25"/>
  <c r="Z685" i="25" s="1"/>
  <c r="Y686" i="25"/>
  <c r="Z686" i="25" s="1"/>
  <c r="Y687" i="25"/>
  <c r="Z687" i="25" s="1"/>
  <c r="Y688" i="25"/>
  <c r="Z688" i="25" s="1"/>
  <c r="Y689" i="25"/>
  <c r="Z689" i="25" s="1"/>
  <c r="Y690" i="25"/>
  <c r="Z690" i="25" s="1"/>
  <c r="Y691" i="25"/>
  <c r="Z691" i="25" s="1"/>
  <c r="Y692" i="25"/>
  <c r="Z692" i="25" s="1"/>
  <c r="Y693" i="25"/>
  <c r="Z693" i="25" s="1"/>
  <c r="Y694" i="25"/>
  <c r="Z694" i="25" s="1"/>
  <c r="Y695" i="25"/>
  <c r="Z695" i="25" s="1"/>
  <c r="Y696" i="25"/>
  <c r="Z696" i="25" s="1"/>
  <c r="Y697" i="25"/>
  <c r="Z697" i="25" s="1"/>
  <c r="Y698" i="25"/>
  <c r="Z698" i="25" s="1"/>
  <c r="Y699" i="25"/>
  <c r="Z699" i="25" s="1"/>
  <c r="Y700" i="25"/>
  <c r="Z700" i="25" s="1"/>
  <c r="Y701" i="25"/>
  <c r="Z701" i="25" s="1"/>
  <c r="Y702" i="25"/>
  <c r="Z702" i="25" s="1"/>
  <c r="Y703" i="25"/>
  <c r="Z703" i="25" s="1"/>
  <c r="Y704" i="25"/>
  <c r="Z704" i="25" s="1"/>
  <c r="Y705" i="25"/>
  <c r="Z705" i="25" s="1"/>
  <c r="Y706" i="25"/>
  <c r="Z706" i="25" s="1"/>
  <c r="Y707" i="25"/>
  <c r="Z707" i="25" s="1"/>
  <c r="Y708" i="25"/>
  <c r="Z708" i="25" s="1"/>
  <c r="Y709" i="25"/>
  <c r="Z709" i="25" s="1"/>
  <c r="Y710" i="25"/>
  <c r="Z710" i="25" s="1"/>
  <c r="Y711" i="25"/>
  <c r="Z711" i="25" s="1"/>
  <c r="Y712" i="25"/>
  <c r="Z712" i="25" s="1"/>
  <c r="Y713" i="25"/>
  <c r="Z713" i="25" s="1"/>
  <c r="Y714" i="25"/>
  <c r="Z714" i="25" s="1"/>
  <c r="Y715" i="25"/>
  <c r="Z715" i="25" s="1"/>
  <c r="Y716" i="25"/>
  <c r="Z716" i="25" s="1"/>
  <c r="Y717" i="25"/>
  <c r="Z717" i="25" s="1"/>
  <c r="Y718" i="25"/>
  <c r="Z718" i="25" s="1"/>
  <c r="Y719" i="25"/>
  <c r="Z719" i="25" s="1"/>
  <c r="Y720" i="25"/>
  <c r="Z720" i="25" s="1"/>
  <c r="Y721" i="25"/>
  <c r="Z721" i="25" s="1"/>
  <c r="Y722" i="25"/>
  <c r="Z722" i="25" s="1"/>
  <c r="Y723" i="25"/>
  <c r="Z723" i="25" s="1"/>
  <c r="Y724" i="25"/>
  <c r="Z724" i="25" s="1"/>
  <c r="Y725" i="25"/>
  <c r="Z725" i="25" s="1"/>
  <c r="Y726" i="25"/>
  <c r="Z726" i="25" s="1"/>
  <c r="Y727" i="25"/>
  <c r="Z727" i="25" s="1"/>
  <c r="Y728" i="25"/>
  <c r="Z728" i="25" s="1"/>
  <c r="Y729" i="25"/>
  <c r="Z729" i="25" s="1"/>
  <c r="Y730" i="25"/>
  <c r="Z730" i="25" s="1"/>
  <c r="Y731" i="25"/>
  <c r="Z731" i="25" s="1"/>
  <c r="Y732" i="25"/>
  <c r="Z732" i="25" s="1"/>
  <c r="Y733" i="25"/>
  <c r="Z733" i="25" s="1"/>
  <c r="Y734" i="25"/>
  <c r="Z734" i="25" s="1"/>
  <c r="Y735" i="25"/>
  <c r="Z735" i="25" s="1"/>
  <c r="Y736" i="25"/>
  <c r="Z736" i="25" s="1"/>
  <c r="Y737" i="25"/>
  <c r="Z737" i="25" s="1"/>
  <c r="Y738" i="25"/>
  <c r="Z738" i="25" s="1"/>
  <c r="Y739" i="25"/>
  <c r="Z739" i="25" s="1"/>
  <c r="Y740" i="25"/>
  <c r="Z740" i="25" s="1"/>
  <c r="Y741" i="25"/>
  <c r="Z741" i="25" s="1"/>
  <c r="Y742" i="25"/>
  <c r="Z742" i="25" s="1"/>
  <c r="Y743" i="25"/>
  <c r="Z743" i="25" s="1"/>
  <c r="Y744" i="25"/>
  <c r="Z744" i="25" s="1"/>
  <c r="Y745" i="25"/>
  <c r="Z745" i="25" s="1"/>
  <c r="Y746" i="25"/>
  <c r="Z746" i="25" s="1"/>
  <c r="Y747" i="25"/>
  <c r="Z747" i="25" s="1"/>
  <c r="Y748" i="25"/>
  <c r="Z748" i="25" s="1"/>
  <c r="Y749" i="25"/>
  <c r="Z749" i="25" s="1"/>
  <c r="Y750" i="25"/>
  <c r="Z750" i="25" s="1"/>
  <c r="Y751" i="25"/>
  <c r="Z751" i="25" s="1"/>
  <c r="Y752" i="25"/>
  <c r="Z752" i="25" s="1"/>
  <c r="Y753" i="25"/>
  <c r="Z753" i="25" s="1"/>
  <c r="Y754" i="25"/>
  <c r="Z754" i="25" s="1"/>
  <c r="Y755" i="25"/>
  <c r="Z755" i="25" s="1"/>
  <c r="Y756" i="25"/>
  <c r="Z756" i="25" s="1"/>
  <c r="Y757" i="25"/>
  <c r="Z757" i="25" s="1"/>
  <c r="Y758" i="25"/>
  <c r="Z758" i="25" s="1"/>
  <c r="Y759" i="25"/>
  <c r="Z759" i="25" s="1"/>
  <c r="Y760" i="25"/>
  <c r="Z760" i="25" s="1"/>
  <c r="Y761" i="25"/>
  <c r="Z761" i="25" s="1"/>
  <c r="Y762" i="25"/>
  <c r="Z762" i="25" s="1"/>
  <c r="Y763" i="25"/>
  <c r="Z763" i="25" s="1"/>
  <c r="Y764" i="25"/>
  <c r="Z764" i="25" s="1"/>
  <c r="Y765" i="25"/>
  <c r="Z765" i="25" s="1"/>
  <c r="Y766" i="25"/>
  <c r="Z766" i="25" s="1"/>
  <c r="Y767" i="25"/>
  <c r="Z767" i="25" s="1"/>
  <c r="Y768" i="25"/>
  <c r="Z768" i="25" s="1"/>
  <c r="Y769" i="25"/>
  <c r="Z769" i="25" s="1"/>
  <c r="Y770" i="25"/>
  <c r="Z770" i="25" s="1"/>
  <c r="Y771" i="25"/>
  <c r="Z771" i="25" s="1"/>
  <c r="Y772" i="25"/>
  <c r="Z772" i="25" s="1"/>
  <c r="Y773" i="25"/>
  <c r="Z773" i="25" s="1"/>
  <c r="Y774" i="25"/>
  <c r="Z774" i="25" s="1"/>
  <c r="Y775" i="25"/>
  <c r="Z775" i="25" s="1"/>
  <c r="Y776" i="25"/>
  <c r="Z776" i="25" s="1"/>
  <c r="Y777" i="25"/>
  <c r="Z777" i="25" s="1"/>
  <c r="Y778" i="25"/>
  <c r="Z778" i="25"/>
  <c r="Y779" i="25"/>
  <c r="Z779" i="25" s="1"/>
  <c r="Y780" i="25"/>
  <c r="Z780" i="25" s="1"/>
  <c r="Y781" i="25"/>
  <c r="Z781" i="25" s="1"/>
  <c r="Y782" i="25"/>
  <c r="Z782" i="25" s="1"/>
  <c r="Y783" i="25"/>
  <c r="Z783" i="25" s="1"/>
  <c r="Y784" i="25"/>
  <c r="Z784" i="25" s="1"/>
  <c r="Y785" i="25"/>
  <c r="Z785" i="25" s="1"/>
  <c r="Y786" i="25"/>
  <c r="Z786" i="25" s="1"/>
  <c r="Y787" i="25"/>
  <c r="Z787" i="25" s="1"/>
  <c r="Y788" i="25"/>
  <c r="Z788" i="25" s="1"/>
  <c r="Y789" i="25"/>
  <c r="Z789" i="25" s="1"/>
  <c r="Y790" i="25"/>
  <c r="Z790" i="25" s="1"/>
  <c r="Y791" i="25"/>
  <c r="Z791" i="25" s="1"/>
  <c r="Y792" i="25"/>
  <c r="Z792" i="25" s="1"/>
  <c r="Y793" i="25"/>
  <c r="Z793" i="25" s="1"/>
  <c r="Y794" i="25"/>
  <c r="Z794" i="25" s="1"/>
  <c r="Y795" i="25"/>
  <c r="Z795" i="25" s="1"/>
  <c r="Y796" i="25"/>
  <c r="Z796" i="25" s="1"/>
  <c r="Y797" i="25"/>
  <c r="Z797" i="25" s="1"/>
  <c r="Y798" i="25"/>
  <c r="Z798" i="25" s="1"/>
  <c r="Y799" i="25"/>
  <c r="Z799" i="25" s="1"/>
  <c r="Y800" i="25"/>
  <c r="Z800" i="25" s="1"/>
  <c r="Y801" i="25"/>
  <c r="Z801" i="25" s="1"/>
  <c r="Y802" i="25"/>
  <c r="Z802" i="25" s="1"/>
  <c r="Y803" i="25"/>
  <c r="Z803" i="25" s="1"/>
  <c r="Y804" i="25"/>
  <c r="Z804" i="25" s="1"/>
  <c r="Y805" i="25"/>
  <c r="Z805" i="25" s="1"/>
  <c r="Y806" i="25"/>
  <c r="Z806" i="25" s="1"/>
  <c r="Y807" i="25"/>
  <c r="Z807" i="25" s="1"/>
  <c r="Y808" i="25"/>
  <c r="Z808" i="25" s="1"/>
  <c r="Y809" i="25"/>
  <c r="Z809" i="25" s="1"/>
  <c r="Y810" i="25"/>
  <c r="Z810" i="25" s="1"/>
  <c r="Y811" i="25"/>
  <c r="Z811" i="25" s="1"/>
  <c r="Y812" i="25"/>
  <c r="Z812" i="25" s="1"/>
  <c r="Y813" i="25"/>
  <c r="Z813" i="25" s="1"/>
  <c r="Y814" i="25"/>
  <c r="Z814" i="25" s="1"/>
  <c r="Y815" i="25"/>
  <c r="Z815" i="25" s="1"/>
  <c r="Y816" i="25"/>
  <c r="Z816" i="25" s="1"/>
  <c r="Y817" i="25"/>
  <c r="Z817" i="25" s="1"/>
  <c r="Y818" i="25"/>
  <c r="Z818" i="25" s="1"/>
  <c r="Y819" i="25"/>
  <c r="Z819" i="25" s="1"/>
  <c r="Y820" i="25"/>
  <c r="Z820" i="25" s="1"/>
  <c r="Y821" i="25"/>
  <c r="Z821" i="25" s="1"/>
  <c r="Y822" i="25"/>
  <c r="Z822" i="25" s="1"/>
  <c r="Y823" i="25"/>
  <c r="Z823" i="25" s="1"/>
  <c r="Y824" i="25"/>
  <c r="Z824" i="25" s="1"/>
  <c r="Y825" i="25"/>
  <c r="Z825" i="25" s="1"/>
  <c r="Y826" i="25"/>
  <c r="Z826" i="25" s="1"/>
  <c r="Y827" i="25"/>
  <c r="Z827" i="25" s="1"/>
  <c r="Y828" i="25"/>
  <c r="Z828" i="25" s="1"/>
  <c r="Y829" i="25"/>
  <c r="Z829" i="25" s="1"/>
  <c r="Y830" i="25"/>
  <c r="Z830" i="25" s="1"/>
  <c r="Y831" i="25"/>
  <c r="Z831" i="25" s="1"/>
  <c r="Y832" i="25"/>
  <c r="Z832" i="25" s="1"/>
  <c r="Y833" i="25"/>
  <c r="Z833" i="25" s="1"/>
  <c r="Y834" i="25"/>
  <c r="Z834" i="25"/>
  <c r="Y835" i="25"/>
  <c r="Z835" i="25" s="1"/>
  <c r="Y836" i="25"/>
  <c r="Z836" i="25" s="1"/>
  <c r="Y837" i="25"/>
  <c r="Z837" i="25" s="1"/>
  <c r="Y838" i="25"/>
  <c r="Z838" i="25" s="1"/>
  <c r="Y839" i="25"/>
  <c r="Z839" i="25" s="1"/>
  <c r="Y840" i="25"/>
  <c r="Z840" i="25" s="1"/>
  <c r="Y841" i="25"/>
  <c r="Z841" i="25" s="1"/>
  <c r="Y842" i="25"/>
  <c r="Z842" i="25" s="1"/>
  <c r="Y843" i="25"/>
  <c r="Z843" i="25" s="1"/>
  <c r="Y844" i="25"/>
  <c r="Z844" i="25" s="1"/>
  <c r="Y845" i="25"/>
  <c r="Z845" i="25"/>
  <c r="Y846" i="25"/>
  <c r="Z846" i="25" s="1"/>
  <c r="Y847" i="25"/>
  <c r="Z847" i="25" s="1"/>
  <c r="Y848" i="25"/>
  <c r="Z848" i="25" s="1"/>
  <c r="Y849" i="25"/>
  <c r="Z849" i="25" s="1"/>
  <c r="Y850" i="25"/>
  <c r="Z850" i="25" s="1"/>
  <c r="Y851" i="25"/>
  <c r="Z851" i="25" s="1"/>
  <c r="Y852" i="25"/>
  <c r="Z852" i="25" s="1"/>
  <c r="Y853" i="25"/>
  <c r="Z853" i="25" s="1"/>
  <c r="Y854" i="25"/>
  <c r="Z854" i="25" s="1"/>
  <c r="Y855" i="25"/>
  <c r="Z855" i="25" s="1"/>
  <c r="Y856" i="25"/>
  <c r="Z856" i="25" s="1"/>
  <c r="Y857" i="25"/>
  <c r="Z857" i="25" s="1"/>
  <c r="Y858" i="25"/>
  <c r="Z858" i="25"/>
  <c r="Y859" i="25"/>
  <c r="Z859" i="25" s="1"/>
  <c r="Y860" i="25"/>
  <c r="Z860" i="25" s="1"/>
  <c r="Y861" i="25"/>
  <c r="Z861" i="25" s="1"/>
  <c r="Y862" i="25"/>
  <c r="Z862" i="25" s="1"/>
  <c r="Y863" i="25"/>
  <c r="Z863" i="25" s="1"/>
  <c r="Y864" i="25"/>
  <c r="Z864" i="25" s="1"/>
  <c r="Y865" i="25"/>
  <c r="Z865" i="25" s="1"/>
  <c r="Y866" i="25"/>
  <c r="Z866" i="25" s="1"/>
  <c r="Y867" i="25"/>
  <c r="Z867" i="25" s="1"/>
  <c r="Y868" i="25"/>
  <c r="Z868" i="25" s="1"/>
  <c r="Y869" i="25"/>
  <c r="Z869" i="25" s="1"/>
  <c r="Y870" i="25"/>
  <c r="Z870" i="25" s="1"/>
  <c r="Y871" i="25"/>
  <c r="Z871" i="25" s="1"/>
  <c r="Y872" i="25"/>
  <c r="Z872" i="25" s="1"/>
  <c r="Y873" i="25"/>
  <c r="Z873" i="25" s="1"/>
  <c r="Y874" i="25"/>
  <c r="Z874" i="25" s="1"/>
  <c r="Y875" i="25"/>
  <c r="Z875" i="25" s="1"/>
  <c r="Y876" i="25"/>
  <c r="Z876" i="25" s="1"/>
  <c r="Y877" i="25"/>
  <c r="Z877" i="25" s="1"/>
  <c r="Y878" i="25"/>
  <c r="Z878" i="25" s="1"/>
  <c r="Y879" i="25"/>
  <c r="Z879" i="25" s="1"/>
  <c r="Y880" i="25"/>
  <c r="Z880" i="25" s="1"/>
  <c r="Y881" i="25"/>
  <c r="Z881" i="25" s="1"/>
  <c r="Y882" i="25"/>
  <c r="Z882" i="25" s="1"/>
  <c r="Y883" i="25"/>
  <c r="Z883" i="25" s="1"/>
  <c r="Y884" i="25"/>
  <c r="Z884" i="25" s="1"/>
  <c r="Y885" i="25"/>
  <c r="Z885" i="25" s="1"/>
  <c r="Y886" i="25"/>
  <c r="Z886" i="25" s="1"/>
  <c r="Y887" i="25"/>
  <c r="Z887" i="25" s="1"/>
  <c r="Y888" i="25"/>
  <c r="Z888" i="25" s="1"/>
  <c r="Y889" i="25"/>
  <c r="Z889" i="25" s="1"/>
  <c r="Y890" i="25"/>
  <c r="Z890" i="25" s="1"/>
  <c r="Y891" i="25"/>
  <c r="Z891" i="25" s="1"/>
  <c r="Y892" i="25"/>
  <c r="Z892" i="25" s="1"/>
  <c r="Y893" i="25"/>
  <c r="Z893" i="25" s="1"/>
  <c r="Y894" i="25"/>
  <c r="Z894" i="25" s="1"/>
  <c r="Y895" i="25"/>
  <c r="Z895" i="25" s="1"/>
  <c r="Y896" i="25"/>
  <c r="Z896" i="25" s="1"/>
  <c r="Y897" i="25"/>
  <c r="Z897" i="25" s="1"/>
  <c r="Y898" i="25"/>
  <c r="Z898" i="25" s="1"/>
  <c r="Y899" i="25"/>
  <c r="Z899" i="25" s="1"/>
  <c r="Y900" i="25"/>
  <c r="Z900" i="25" s="1"/>
  <c r="Y901" i="25"/>
  <c r="Z901" i="25" s="1"/>
  <c r="Y902" i="25"/>
  <c r="Z902" i="25" s="1"/>
  <c r="Y903" i="25"/>
  <c r="Z903" i="25" s="1"/>
  <c r="Y904" i="25"/>
  <c r="Z904" i="25" s="1"/>
  <c r="Y905" i="25"/>
  <c r="Z905" i="25" s="1"/>
  <c r="Y906" i="25"/>
  <c r="Z906" i="25" s="1"/>
  <c r="Y907" i="25"/>
  <c r="Z907" i="25" s="1"/>
  <c r="Y908" i="25"/>
  <c r="Z908" i="25" s="1"/>
  <c r="Y909" i="25"/>
  <c r="Z909" i="25" s="1"/>
  <c r="Y910" i="25"/>
  <c r="Z910" i="25" s="1"/>
  <c r="Y911" i="25"/>
  <c r="Z911" i="25" s="1"/>
  <c r="Y912" i="25"/>
  <c r="Z912" i="25" s="1"/>
  <c r="Y913" i="25"/>
  <c r="Z913" i="25" s="1"/>
  <c r="Y914" i="25"/>
  <c r="Z914" i="25" s="1"/>
  <c r="Y915" i="25"/>
  <c r="Z915" i="25" s="1"/>
  <c r="Y916" i="25"/>
  <c r="Z916" i="25" s="1"/>
  <c r="Y917" i="25"/>
  <c r="Z917" i="25" s="1"/>
  <c r="Y918" i="25"/>
  <c r="Z918" i="25" s="1"/>
  <c r="Y919" i="25"/>
  <c r="Z919" i="25" s="1"/>
  <c r="Y920" i="25"/>
  <c r="Z920" i="25" s="1"/>
  <c r="Y921" i="25"/>
  <c r="Z921" i="25" s="1"/>
  <c r="Y922" i="25"/>
  <c r="Z922" i="25" s="1"/>
  <c r="Y923" i="25"/>
  <c r="Z923" i="25" s="1"/>
  <c r="Y924" i="25"/>
  <c r="Z924" i="25" s="1"/>
  <c r="Y925" i="25"/>
  <c r="Z925" i="25" s="1"/>
  <c r="Y926" i="25"/>
  <c r="Z926" i="25" s="1"/>
  <c r="Y927" i="25"/>
  <c r="Z927" i="25" s="1"/>
  <c r="Y928" i="25"/>
  <c r="Z928" i="25" s="1"/>
  <c r="Y929" i="25"/>
  <c r="Z929" i="25" s="1"/>
  <c r="Y930" i="25"/>
  <c r="Z930" i="25" s="1"/>
  <c r="Y931" i="25"/>
  <c r="Z931" i="25" s="1"/>
  <c r="Y932" i="25"/>
  <c r="Z932" i="25" s="1"/>
  <c r="Y933" i="25"/>
  <c r="Z933" i="25" s="1"/>
  <c r="Y934" i="25"/>
  <c r="Z934" i="25" s="1"/>
  <c r="Y935" i="25"/>
  <c r="Z935" i="25" s="1"/>
  <c r="Y936" i="25"/>
  <c r="Z936" i="25" s="1"/>
  <c r="Y937" i="25"/>
  <c r="Z937" i="25" s="1"/>
  <c r="Y938" i="25"/>
  <c r="Z938" i="25" s="1"/>
  <c r="Y939" i="25"/>
  <c r="Z939" i="25" s="1"/>
  <c r="Y940" i="25"/>
  <c r="Z940" i="25" s="1"/>
  <c r="Y941" i="25"/>
  <c r="Z941" i="25" s="1"/>
  <c r="Y942" i="25"/>
  <c r="Z942" i="25" s="1"/>
  <c r="Y943" i="25"/>
  <c r="Z943" i="25" s="1"/>
  <c r="Y944" i="25"/>
  <c r="Z944" i="25" s="1"/>
  <c r="Y945" i="25"/>
  <c r="Z945" i="25" s="1"/>
  <c r="Y946" i="25"/>
  <c r="Z946" i="25" s="1"/>
  <c r="Y947" i="25"/>
  <c r="Z947" i="25" s="1"/>
  <c r="Y948" i="25"/>
  <c r="Z948" i="25" s="1"/>
  <c r="Y949" i="25"/>
  <c r="Z949" i="25" s="1"/>
  <c r="Y950" i="25"/>
  <c r="Z950" i="25" s="1"/>
  <c r="Y951" i="25"/>
  <c r="Z951" i="25" s="1"/>
  <c r="Y952" i="25"/>
  <c r="Z952" i="25" s="1"/>
  <c r="Y953" i="25"/>
  <c r="Z953" i="25" s="1"/>
  <c r="Y954" i="25"/>
  <c r="Z954" i="25" s="1"/>
  <c r="Y955" i="25"/>
  <c r="Z955" i="25" s="1"/>
  <c r="Y956" i="25"/>
  <c r="Z956" i="25" s="1"/>
  <c r="Y957" i="25"/>
  <c r="Z957" i="25" s="1"/>
  <c r="Y958" i="25"/>
  <c r="Z958" i="25" s="1"/>
  <c r="Y959" i="25"/>
  <c r="Z959" i="25" s="1"/>
  <c r="Y960" i="25"/>
  <c r="Z960" i="25" s="1"/>
  <c r="Y961" i="25"/>
  <c r="Z961" i="25" s="1"/>
  <c r="Y962" i="25"/>
  <c r="Z962" i="25" s="1"/>
  <c r="Y963" i="25"/>
  <c r="Z963" i="25" s="1"/>
  <c r="Y964" i="25"/>
  <c r="Z964" i="25" s="1"/>
  <c r="Y965" i="25"/>
  <c r="Z965" i="25" s="1"/>
  <c r="Y966" i="25"/>
  <c r="Z966" i="25" s="1"/>
  <c r="Y967" i="25"/>
  <c r="Z967" i="25" s="1"/>
  <c r="Y968" i="25"/>
  <c r="Z968" i="25" s="1"/>
  <c r="Y969" i="25"/>
  <c r="Z969" i="25" s="1"/>
  <c r="Y970" i="25"/>
  <c r="Z970" i="25" s="1"/>
  <c r="Y971" i="25"/>
  <c r="Z971" i="25" s="1"/>
  <c r="Y972" i="25"/>
  <c r="Z972" i="25" s="1"/>
  <c r="Y973" i="25"/>
  <c r="Z973" i="25" s="1"/>
  <c r="Y974" i="25"/>
  <c r="Z974" i="25" s="1"/>
  <c r="Y975" i="25"/>
  <c r="Z975" i="25" s="1"/>
  <c r="Y976" i="25"/>
  <c r="Z976" i="25" s="1"/>
  <c r="Y977" i="25"/>
  <c r="Z977" i="25" s="1"/>
  <c r="Y978" i="25"/>
  <c r="Z978" i="25" s="1"/>
  <c r="Y979" i="25"/>
  <c r="Z979" i="25" s="1"/>
  <c r="Y980" i="25"/>
  <c r="Z980" i="25" s="1"/>
  <c r="Y981" i="25"/>
  <c r="Z981" i="25" s="1"/>
  <c r="Y982" i="25"/>
  <c r="Z982" i="25" s="1"/>
  <c r="Y983" i="25"/>
  <c r="Z983" i="25" s="1"/>
  <c r="Y984" i="25"/>
  <c r="Z984" i="25" s="1"/>
  <c r="Y985" i="25"/>
  <c r="Z985" i="25" s="1"/>
  <c r="Y986" i="25"/>
  <c r="Z986" i="25" s="1"/>
  <c r="Y987" i="25"/>
  <c r="Z987" i="25" s="1"/>
  <c r="Y988" i="25"/>
  <c r="Z988" i="25" s="1"/>
  <c r="Y989" i="25"/>
  <c r="Z989" i="25" s="1"/>
  <c r="Y990" i="25"/>
  <c r="Z990" i="25" s="1"/>
  <c r="Y991" i="25"/>
  <c r="Z991" i="25" s="1"/>
  <c r="Y992" i="25"/>
  <c r="Z992" i="25" s="1"/>
  <c r="Y993" i="25"/>
  <c r="Z993" i="25" s="1"/>
  <c r="Y994" i="25"/>
  <c r="Z994" i="25" s="1"/>
  <c r="Y995" i="25"/>
  <c r="Z995" i="25" s="1"/>
  <c r="Y996" i="25"/>
  <c r="Z996" i="25" s="1"/>
  <c r="Y997" i="25"/>
  <c r="Z997" i="25" s="1"/>
  <c r="Y998" i="25"/>
  <c r="Z998" i="25" s="1"/>
  <c r="Y999" i="25"/>
  <c r="Z999" i="25" s="1"/>
  <c r="Y1000" i="25"/>
  <c r="Z1000" i="25" s="1"/>
  <c r="Y1001" i="25"/>
  <c r="Z1001" i="25" s="1"/>
  <c r="Y1002" i="25"/>
  <c r="Z1002" i="25" s="1"/>
  <c r="Y1003" i="25"/>
  <c r="Z1003" i="25" s="1"/>
  <c r="Y1004" i="25"/>
  <c r="Z1004" i="25" s="1"/>
  <c r="Y1005" i="25"/>
  <c r="Z1005" i="25" s="1"/>
  <c r="Y1006" i="25"/>
  <c r="Z1006" i="25" s="1"/>
  <c r="Y1007" i="25"/>
  <c r="Z1007" i="25" s="1"/>
  <c r="Y1008" i="25"/>
  <c r="Z1008" i="25" s="1"/>
  <c r="Y1009" i="25"/>
  <c r="Z1009" i="25" s="1"/>
  <c r="Y1010" i="25"/>
  <c r="Z1010" i="25" s="1"/>
  <c r="Y1011" i="25"/>
  <c r="Z1011" i="25" s="1"/>
  <c r="Y1012" i="25"/>
  <c r="Z1012" i="25" s="1"/>
  <c r="Y1013" i="25"/>
  <c r="Z1013" i="25" s="1"/>
  <c r="Y1014" i="25"/>
  <c r="Z1014" i="25" s="1"/>
  <c r="Y1015" i="25"/>
  <c r="Z1015" i="25" s="1"/>
  <c r="Y1016" i="25"/>
  <c r="Z1016" i="25" s="1"/>
  <c r="Y1017" i="25"/>
  <c r="Z1017" i="25" s="1"/>
  <c r="Y1018" i="25"/>
  <c r="Z1018" i="25" s="1"/>
  <c r="Y1019" i="25"/>
  <c r="Z1019" i="25" s="1"/>
  <c r="Y1020" i="25"/>
  <c r="Z1020" i="25" s="1"/>
  <c r="Y1021" i="25"/>
  <c r="Z1021" i="25" s="1"/>
  <c r="Y1022" i="25"/>
  <c r="Z1022" i="25" s="1"/>
  <c r="Y1023" i="25"/>
  <c r="Z1023" i="25" s="1"/>
  <c r="Y1024" i="25"/>
  <c r="Z1024" i="25" s="1"/>
  <c r="Y1025" i="25"/>
  <c r="Z1025" i="25" s="1"/>
  <c r="Y1026" i="25"/>
  <c r="Z1026" i="25" s="1"/>
  <c r="Y1027" i="25"/>
  <c r="Z1027" i="25" s="1"/>
  <c r="Y1028" i="25"/>
  <c r="Z1028" i="25" s="1"/>
  <c r="Y1029" i="25"/>
  <c r="Z1029" i="25" s="1"/>
  <c r="Y1030" i="25"/>
  <c r="Z1030" i="25" s="1"/>
  <c r="Y1031" i="25"/>
  <c r="Z1031" i="25" s="1"/>
  <c r="Y1032" i="25"/>
  <c r="Z1032" i="25" s="1"/>
  <c r="Y1033" i="25"/>
  <c r="Z1033" i="25" s="1"/>
  <c r="Y1034" i="25"/>
  <c r="Z1034" i="25" s="1"/>
  <c r="Y1035" i="25"/>
  <c r="Z1035" i="25" s="1"/>
  <c r="Y1036" i="25"/>
  <c r="Z1036" i="25" s="1"/>
  <c r="Y1037" i="25"/>
  <c r="Z1037" i="25" s="1"/>
  <c r="Y1038" i="25"/>
  <c r="Z1038" i="25" s="1"/>
  <c r="Y1039" i="25"/>
  <c r="Z1039" i="25" s="1"/>
  <c r="Y1040" i="25"/>
  <c r="Z1040" i="25" s="1"/>
  <c r="Y1041" i="25"/>
  <c r="Z1041" i="25" s="1"/>
  <c r="Y1042" i="25"/>
  <c r="Z1042" i="25" s="1"/>
  <c r="Y1043" i="25"/>
  <c r="Z1043" i="25" s="1"/>
  <c r="Y1044" i="25"/>
  <c r="Z1044" i="25" s="1"/>
  <c r="Y1045" i="25"/>
  <c r="Z1045" i="25" s="1"/>
  <c r="Y1046" i="25"/>
  <c r="Z1046" i="25" s="1"/>
  <c r="Y1047" i="25"/>
  <c r="Z1047" i="25" s="1"/>
  <c r="Y1048" i="25"/>
  <c r="Z1048" i="25"/>
  <c r="Y1049" i="25"/>
  <c r="Z1049" i="25" s="1"/>
  <c r="Y1050" i="25"/>
  <c r="Z1050" i="25" s="1"/>
  <c r="Y1051" i="25"/>
  <c r="Z1051" i="25" s="1"/>
  <c r="Y1052" i="25"/>
  <c r="Z1052" i="25" s="1"/>
  <c r="Y1053" i="25"/>
  <c r="Z1053" i="25" s="1"/>
  <c r="Y1054" i="25"/>
  <c r="Z1054" i="25" s="1"/>
  <c r="Y1055" i="25"/>
  <c r="Z1055" i="25" s="1"/>
  <c r="Y1056" i="25"/>
  <c r="Z1056" i="25" s="1"/>
  <c r="Y1057" i="25"/>
  <c r="Z1057" i="25" s="1"/>
  <c r="Y1058" i="25"/>
  <c r="Z1058" i="25" s="1"/>
  <c r="Y1059" i="25"/>
  <c r="Z1059" i="25" s="1"/>
  <c r="Y1060" i="25"/>
  <c r="Z1060" i="25" s="1"/>
  <c r="Y1061" i="25"/>
  <c r="Z1061" i="25" s="1"/>
  <c r="Y1062" i="25"/>
  <c r="Z1062" i="25" s="1"/>
  <c r="Y1063" i="25"/>
  <c r="Z1063" i="25" s="1"/>
  <c r="Y1064" i="25"/>
  <c r="Z1064" i="25" s="1"/>
  <c r="Y1065" i="25"/>
  <c r="Z1065" i="25" s="1"/>
  <c r="Y1066" i="25"/>
  <c r="Z1066" i="25" s="1"/>
  <c r="Y1067" i="25"/>
  <c r="Z1067" i="25" s="1"/>
  <c r="Y1068" i="25"/>
  <c r="Z1068" i="25" s="1"/>
  <c r="Y1069" i="25"/>
  <c r="Z1069" i="25" s="1"/>
  <c r="Y1070" i="25"/>
  <c r="Z1070" i="25" s="1"/>
  <c r="Y1071" i="25"/>
  <c r="Z1071" i="25" s="1"/>
  <c r="Y1072" i="25"/>
  <c r="Z1072" i="25" s="1"/>
  <c r="Y1073" i="25"/>
  <c r="Z1073" i="25" s="1"/>
  <c r="Y1074" i="25"/>
  <c r="Z1074" i="25" s="1"/>
  <c r="Y1075" i="25"/>
  <c r="Z1075" i="25" s="1"/>
  <c r="Y1076" i="25"/>
  <c r="Z1076" i="25" s="1"/>
  <c r="Y1077" i="25"/>
  <c r="Z1077" i="25" s="1"/>
  <c r="Y1078" i="25"/>
  <c r="Z1078" i="25" s="1"/>
  <c r="Y1079" i="25"/>
  <c r="Z1079" i="25" s="1"/>
  <c r="Y1080" i="25"/>
  <c r="Z1080" i="25" s="1"/>
  <c r="Y1081" i="25"/>
  <c r="Z1081" i="25" s="1"/>
  <c r="Y1082" i="25"/>
  <c r="Z1082" i="25" s="1"/>
  <c r="Y1083" i="25"/>
  <c r="Z1083" i="25" s="1"/>
  <c r="Y1084" i="25"/>
  <c r="Z1084" i="25" s="1"/>
  <c r="Y1085" i="25"/>
  <c r="Z1085" i="25" s="1"/>
  <c r="Y1086" i="25"/>
  <c r="Z1086" i="25" s="1"/>
  <c r="Y1087" i="25"/>
  <c r="Z1087" i="25" s="1"/>
  <c r="Y1088" i="25"/>
  <c r="Z1088" i="25" s="1"/>
  <c r="Y1089" i="25"/>
  <c r="Z1089" i="25" s="1"/>
  <c r="Y1090" i="25"/>
  <c r="Z1090" i="25" s="1"/>
  <c r="Y1091" i="25"/>
  <c r="Z1091" i="25" s="1"/>
  <c r="Y1092" i="25"/>
  <c r="Z1092" i="25" s="1"/>
  <c r="Y1093" i="25"/>
  <c r="Z1093" i="25" s="1"/>
  <c r="Y1094" i="25"/>
  <c r="Z1094" i="25" s="1"/>
  <c r="Y1095" i="25"/>
  <c r="Z1095" i="25" s="1"/>
  <c r="Y1096" i="25"/>
  <c r="Z1096" i="25" s="1"/>
  <c r="Y1097" i="25"/>
  <c r="Z1097" i="25" s="1"/>
  <c r="Y1098" i="25"/>
  <c r="Z1098" i="25" s="1"/>
  <c r="Y1099" i="25"/>
  <c r="Z1099" i="25" s="1"/>
  <c r="Y1100" i="25"/>
  <c r="Z1100" i="25" s="1"/>
  <c r="Y1101" i="25"/>
  <c r="Z1101" i="25" s="1"/>
  <c r="Y1102" i="25"/>
  <c r="Z1102" i="25" s="1"/>
  <c r="Y1103" i="25"/>
  <c r="Z1103" i="25" s="1"/>
  <c r="Y1104" i="25"/>
  <c r="Z1104" i="25" s="1"/>
  <c r="Y1105" i="25"/>
  <c r="Z1105" i="25" s="1"/>
  <c r="Y1106" i="25"/>
  <c r="Z1106" i="25" s="1"/>
  <c r="Y1107" i="25"/>
  <c r="Z1107" i="25" s="1"/>
  <c r="Y1108" i="25"/>
  <c r="Z1108" i="25" s="1"/>
  <c r="Y1109" i="25"/>
  <c r="Z1109" i="25" s="1"/>
  <c r="Y1110" i="25"/>
  <c r="Z1110" i="25" s="1"/>
  <c r="Y1111" i="25"/>
  <c r="Z1111" i="25" s="1"/>
  <c r="Y1112" i="25"/>
  <c r="Z1112" i="25" s="1"/>
  <c r="Y1113" i="25"/>
  <c r="Z1113" i="25" s="1"/>
  <c r="Y1114" i="25"/>
  <c r="Z1114" i="25" s="1"/>
  <c r="Y1115" i="25"/>
  <c r="Z1115" i="25" s="1"/>
  <c r="Y1116" i="25"/>
  <c r="Z1116" i="25" s="1"/>
  <c r="Y1117" i="25"/>
  <c r="Z1117" i="25" s="1"/>
  <c r="Y1118" i="25"/>
  <c r="Z1118" i="25" s="1"/>
  <c r="Y1119" i="25"/>
  <c r="Z1119" i="25" s="1"/>
  <c r="Y1120" i="25"/>
  <c r="Z1120" i="25" s="1"/>
  <c r="Y1121" i="25"/>
  <c r="Z1121" i="25" s="1"/>
  <c r="Y1122" i="25"/>
  <c r="Z1122" i="25" s="1"/>
  <c r="Y1123" i="25"/>
  <c r="Z1123" i="25" s="1"/>
  <c r="Y1124" i="25"/>
  <c r="Z1124" i="25" s="1"/>
  <c r="Y1125" i="25"/>
  <c r="Z1125" i="25" s="1"/>
  <c r="Y1126" i="25"/>
  <c r="Z1126" i="25" s="1"/>
  <c r="Y1127" i="25"/>
  <c r="Z1127" i="25" s="1"/>
  <c r="Y1128" i="25"/>
  <c r="Z1128" i="25" s="1"/>
  <c r="Y1129" i="25"/>
  <c r="Z1129" i="25" s="1"/>
  <c r="Y1130" i="25"/>
  <c r="Z1130" i="25" s="1"/>
  <c r="Y1131" i="25"/>
  <c r="Z1131" i="25" s="1"/>
  <c r="Y1132" i="25"/>
  <c r="Z1132" i="25" s="1"/>
  <c r="Y1133" i="25"/>
  <c r="Z1133" i="25" s="1"/>
  <c r="Y1134" i="25"/>
  <c r="Z1134" i="25" s="1"/>
  <c r="Y1135" i="25"/>
  <c r="Z1135" i="25" s="1"/>
  <c r="Y1136" i="25"/>
  <c r="Z1136" i="25" s="1"/>
  <c r="Y1137" i="25"/>
  <c r="Z1137" i="25" s="1"/>
  <c r="Y1138" i="25"/>
  <c r="Z1138" i="25" s="1"/>
  <c r="Y1139" i="25"/>
  <c r="Z1139" i="25" s="1"/>
  <c r="Y1140" i="25"/>
  <c r="Z1140" i="25" s="1"/>
  <c r="Y1141" i="25"/>
  <c r="Z1141" i="25" s="1"/>
  <c r="Y1142" i="25"/>
  <c r="Z1142" i="25" s="1"/>
  <c r="Y1143" i="25"/>
  <c r="Z1143" i="25" s="1"/>
  <c r="Y1144" i="25"/>
  <c r="Z1144" i="25" s="1"/>
  <c r="Y1145" i="25"/>
  <c r="Z1145" i="25" s="1"/>
  <c r="Y1146" i="25"/>
  <c r="Z1146" i="25" s="1"/>
  <c r="Y1147" i="25"/>
  <c r="Z1147" i="25" s="1"/>
  <c r="Y1148" i="25"/>
  <c r="Z1148" i="25" s="1"/>
  <c r="Y1149" i="25"/>
  <c r="Z1149" i="25" s="1"/>
  <c r="Y1150" i="25"/>
  <c r="Z1150" i="25" s="1"/>
  <c r="Y1151" i="25"/>
  <c r="Z1151" i="25" s="1"/>
  <c r="Y1152" i="25"/>
  <c r="Z1152" i="25" s="1"/>
  <c r="Y1153" i="25"/>
  <c r="Z1153" i="25" s="1"/>
  <c r="Y1154" i="25"/>
  <c r="Z1154" i="25" s="1"/>
  <c r="Y1155" i="25"/>
  <c r="Z1155" i="25" s="1"/>
  <c r="Y1156" i="25"/>
  <c r="Z1156" i="25" s="1"/>
  <c r="Y1157" i="25"/>
  <c r="Z1157" i="25" s="1"/>
  <c r="Y1158" i="25"/>
  <c r="Z1158" i="25" s="1"/>
  <c r="Y1159" i="25"/>
  <c r="Z1159" i="25" s="1"/>
  <c r="Y1160" i="25"/>
  <c r="Z1160" i="25" s="1"/>
  <c r="Y1161" i="25"/>
  <c r="Z1161" i="25" s="1"/>
  <c r="Y1162" i="25"/>
  <c r="Z1162" i="25" s="1"/>
  <c r="Y1163" i="25"/>
  <c r="Z1163" i="25" s="1"/>
  <c r="Y1164" i="25"/>
  <c r="Z1164" i="25" s="1"/>
  <c r="Y1165" i="25"/>
  <c r="Z1165" i="25" s="1"/>
  <c r="Y1166" i="25"/>
  <c r="Z1166" i="25" s="1"/>
  <c r="Y1167" i="25"/>
  <c r="Z1167" i="25" s="1"/>
  <c r="Y1168" i="25"/>
  <c r="Z1168" i="25" s="1"/>
  <c r="Y1169" i="25"/>
  <c r="Z1169" i="25" s="1"/>
  <c r="Y1170" i="25"/>
  <c r="Z1170" i="25" s="1"/>
  <c r="Y1171" i="25"/>
  <c r="Z1171" i="25" s="1"/>
  <c r="Y1172" i="25"/>
  <c r="Z1172" i="25" s="1"/>
  <c r="Y1173" i="25"/>
  <c r="Z1173" i="25" s="1"/>
  <c r="Y1174" i="25"/>
  <c r="Z1174" i="25" s="1"/>
  <c r="Y1175" i="25"/>
  <c r="Z1175" i="25" s="1"/>
  <c r="Y1176" i="25"/>
  <c r="Z1176" i="25" s="1"/>
  <c r="Y1177" i="25"/>
  <c r="Z1177" i="25" s="1"/>
  <c r="Y1178" i="25"/>
  <c r="Z1178" i="25" s="1"/>
  <c r="Y1179" i="25"/>
  <c r="Z1179" i="25" s="1"/>
  <c r="Y1180" i="25"/>
  <c r="Z1180" i="25" s="1"/>
  <c r="Y1181" i="25"/>
  <c r="Z1181" i="25" s="1"/>
  <c r="Y1182" i="25"/>
  <c r="Z1182" i="25" s="1"/>
  <c r="Y1183" i="25"/>
  <c r="Z1183" i="25" s="1"/>
  <c r="Y1184" i="25"/>
  <c r="Z1184" i="25" s="1"/>
  <c r="Y1185" i="25"/>
  <c r="Z1185" i="25" s="1"/>
  <c r="Y1186" i="25"/>
  <c r="Z1186" i="25" s="1"/>
  <c r="Y1187" i="25"/>
  <c r="Z1187" i="25" s="1"/>
  <c r="Y1188" i="25"/>
  <c r="Z1188" i="25" s="1"/>
  <c r="Y1189" i="25"/>
  <c r="Z1189" i="25" s="1"/>
  <c r="Y1190" i="25"/>
  <c r="Z1190" i="25" s="1"/>
  <c r="Y1191" i="25"/>
  <c r="Z1191" i="25" s="1"/>
  <c r="Y1192" i="25"/>
  <c r="Z1192" i="25" s="1"/>
  <c r="Y1193" i="25"/>
  <c r="Z1193" i="25" s="1"/>
  <c r="Y1194" i="25"/>
  <c r="Z1194" i="25" s="1"/>
  <c r="Y1195" i="25"/>
  <c r="Z1195" i="25" s="1"/>
  <c r="Y1196" i="25"/>
  <c r="Z1196" i="25" s="1"/>
  <c r="Y1197" i="25"/>
  <c r="Z1197" i="25" s="1"/>
  <c r="Y1198" i="25"/>
  <c r="Z1198" i="25" s="1"/>
  <c r="Y1199" i="25"/>
  <c r="Z1199" i="25" s="1"/>
  <c r="Y1200" i="25"/>
  <c r="Z1200" i="25" s="1"/>
  <c r="Y4" i="25"/>
  <c r="Z4" i="25" s="1"/>
  <c r="T5" i="25"/>
  <c r="T6" i="25"/>
  <c r="T7" i="25"/>
  <c r="T8" i="25"/>
  <c r="T9" i="25"/>
  <c r="T10" i="25"/>
  <c r="T11" i="25"/>
  <c r="T12" i="25"/>
  <c r="T13" i="25"/>
  <c r="T14" i="25"/>
  <c r="T15" i="25"/>
  <c r="T16" i="25"/>
  <c r="T17" i="25"/>
  <c r="T18" i="25"/>
  <c r="T19" i="25"/>
  <c r="T20" i="25"/>
  <c r="T21" i="25"/>
  <c r="T22" i="25"/>
  <c r="T23" i="25"/>
  <c r="T24" i="25"/>
  <c r="T25" i="25"/>
  <c r="T26" i="25"/>
  <c r="T27" i="25"/>
  <c r="T28" i="25"/>
  <c r="T29" i="25"/>
  <c r="T30" i="25"/>
  <c r="T31" i="25"/>
  <c r="T32" i="25"/>
  <c r="T33" i="25"/>
  <c r="T34" i="25"/>
  <c r="T35" i="25"/>
  <c r="T36" i="25"/>
  <c r="T37" i="25"/>
  <c r="T38" i="25"/>
  <c r="T39" i="25"/>
  <c r="T40" i="25"/>
  <c r="T41" i="25"/>
  <c r="T42" i="25"/>
  <c r="T43" i="25"/>
  <c r="T44" i="25"/>
  <c r="T45" i="25"/>
  <c r="T46" i="25"/>
  <c r="T47" i="25"/>
  <c r="T48" i="25"/>
  <c r="T49" i="25"/>
  <c r="T50" i="25"/>
  <c r="T51" i="25"/>
  <c r="T52" i="25"/>
  <c r="T53" i="25"/>
  <c r="T54" i="25"/>
  <c r="T55" i="25"/>
  <c r="T56" i="25"/>
  <c r="T57" i="25"/>
  <c r="T58" i="25"/>
  <c r="T59" i="25"/>
  <c r="T60" i="25"/>
  <c r="T61" i="25"/>
  <c r="T62" i="25"/>
  <c r="T63" i="25"/>
  <c r="T64" i="25"/>
  <c r="T65" i="25"/>
  <c r="T66" i="25"/>
  <c r="T67" i="25"/>
  <c r="T68" i="25"/>
  <c r="T69" i="25"/>
  <c r="T70" i="25"/>
  <c r="T71" i="25"/>
  <c r="T72" i="25"/>
  <c r="T73" i="25"/>
  <c r="T74" i="25"/>
  <c r="T75" i="25"/>
  <c r="T76" i="25"/>
  <c r="T77" i="25"/>
  <c r="T78" i="25"/>
  <c r="T79" i="25"/>
  <c r="T80" i="25"/>
  <c r="T81" i="25"/>
  <c r="T82" i="25"/>
  <c r="T83" i="25"/>
  <c r="T84" i="25"/>
  <c r="T85" i="25"/>
  <c r="T86" i="25"/>
  <c r="T87" i="25"/>
  <c r="T88" i="25"/>
  <c r="T89" i="25"/>
  <c r="T90" i="25"/>
  <c r="T91" i="25"/>
  <c r="T92" i="25"/>
  <c r="T93" i="25"/>
  <c r="T94" i="25"/>
  <c r="T95" i="25"/>
  <c r="T96" i="25"/>
  <c r="T97" i="25"/>
  <c r="T98" i="25"/>
  <c r="T99" i="25"/>
  <c r="T100" i="25"/>
  <c r="T101" i="25"/>
  <c r="T102" i="25"/>
  <c r="T103" i="25"/>
  <c r="T104" i="25"/>
  <c r="T105" i="25"/>
  <c r="T106" i="25"/>
  <c r="T107" i="25"/>
  <c r="T108" i="25"/>
  <c r="T109" i="25"/>
  <c r="T110" i="25"/>
  <c r="T111" i="25"/>
  <c r="T112" i="25"/>
  <c r="T113" i="25"/>
  <c r="T114" i="25"/>
  <c r="T115" i="25"/>
  <c r="T116" i="25"/>
  <c r="T117" i="25"/>
  <c r="T118" i="25"/>
  <c r="T119" i="25"/>
  <c r="T120" i="25"/>
  <c r="T121" i="25"/>
  <c r="T122" i="25"/>
  <c r="T123" i="25"/>
  <c r="T124" i="25"/>
  <c r="T125" i="25"/>
  <c r="T126" i="25"/>
  <c r="T127" i="25"/>
  <c r="T128" i="25"/>
  <c r="T129" i="25"/>
  <c r="T130" i="25"/>
  <c r="T131" i="25"/>
  <c r="T132" i="25"/>
  <c r="T133" i="25"/>
  <c r="T134" i="25"/>
  <c r="T135" i="25"/>
  <c r="T136" i="25"/>
  <c r="T137" i="25"/>
  <c r="T138" i="25"/>
  <c r="T139" i="25"/>
  <c r="T140" i="25"/>
  <c r="T141" i="25"/>
  <c r="T142" i="25"/>
  <c r="T143" i="25"/>
  <c r="T144" i="25"/>
  <c r="T145" i="25"/>
  <c r="T146" i="25"/>
  <c r="T147" i="25"/>
  <c r="T148" i="25"/>
  <c r="T149" i="25"/>
  <c r="T150" i="25"/>
  <c r="T151" i="25"/>
  <c r="T152" i="25"/>
  <c r="T153" i="25"/>
  <c r="T154" i="25"/>
  <c r="T155" i="25"/>
  <c r="T156" i="25"/>
  <c r="T157" i="25"/>
  <c r="T158" i="25"/>
  <c r="T159" i="25"/>
  <c r="T160" i="25"/>
  <c r="T161" i="25"/>
  <c r="T162" i="25"/>
  <c r="T163" i="25"/>
  <c r="T164" i="25"/>
  <c r="T165" i="25"/>
  <c r="T166" i="25"/>
  <c r="T167" i="25"/>
  <c r="T168" i="25"/>
  <c r="T169" i="25"/>
  <c r="T170" i="25"/>
  <c r="T171" i="25"/>
  <c r="T172" i="25"/>
  <c r="T173" i="25"/>
  <c r="T174" i="25"/>
  <c r="T175" i="25"/>
  <c r="T176" i="25"/>
  <c r="T177" i="25"/>
  <c r="T178" i="25"/>
  <c r="T179" i="25"/>
  <c r="T180" i="25"/>
  <c r="T181" i="25"/>
  <c r="T182" i="25"/>
  <c r="T183" i="25"/>
  <c r="T184" i="25"/>
  <c r="T185" i="25"/>
  <c r="T186" i="25"/>
  <c r="T187" i="25"/>
  <c r="T188" i="25"/>
  <c r="T189" i="25"/>
  <c r="T190" i="25"/>
  <c r="T191" i="25"/>
  <c r="T192" i="25"/>
  <c r="T193" i="25"/>
  <c r="T194" i="25"/>
  <c r="T195" i="25"/>
  <c r="T196" i="25"/>
  <c r="T197" i="25"/>
  <c r="T198" i="25"/>
  <c r="T199" i="25"/>
  <c r="T200" i="25"/>
  <c r="T201" i="25"/>
  <c r="T202" i="25"/>
  <c r="T203" i="25"/>
  <c r="T204" i="25"/>
  <c r="T205" i="25"/>
  <c r="T206" i="25"/>
  <c r="T207" i="25"/>
  <c r="T208" i="25"/>
  <c r="T209" i="25"/>
  <c r="T210" i="25"/>
  <c r="T211" i="25"/>
  <c r="T212" i="25"/>
  <c r="T213" i="25"/>
  <c r="T214" i="25"/>
  <c r="T215" i="25"/>
  <c r="T216" i="25"/>
  <c r="T217" i="25"/>
  <c r="T218" i="25"/>
  <c r="T219" i="25"/>
  <c r="T220" i="25"/>
  <c r="T221" i="25"/>
  <c r="T222" i="25"/>
  <c r="T223" i="25"/>
  <c r="T224" i="25"/>
  <c r="T225" i="25"/>
  <c r="T226" i="25"/>
  <c r="T227" i="25"/>
  <c r="T228" i="25"/>
  <c r="T229" i="25"/>
  <c r="T230" i="25"/>
  <c r="T231" i="25"/>
  <c r="T232" i="25"/>
  <c r="T233" i="25"/>
  <c r="T234" i="25"/>
  <c r="T235" i="25"/>
  <c r="T236" i="25"/>
  <c r="T237" i="25"/>
  <c r="T238" i="25"/>
  <c r="T239" i="25"/>
  <c r="T240" i="25"/>
  <c r="T241" i="25"/>
  <c r="T242" i="25"/>
  <c r="T243" i="25"/>
  <c r="T244" i="25"/>
  <c r="T245" i="25"/>
  <c r="T246" i="25"/>
  <c r="T247" i="25"/>
  <c r="T248" i="25"/>
  <c r="T249" i="25"/>
  <c r="T250" i="25"/>
  <c r="T251" i="25"/>
  <c r="T252" i="25"/>
  <c r="T253" i="25"/>
  <c r="T254" i="25"/>
  <c r="T255" i="25"/>
  <c r="T256" i="25"/>
  <c r="T257" i="25"/>
  <c r="T258" i="25"/>
  <c r="T259" i="25"/>
  <c r="T260" i="25"/>
  <c r="T261" i="25"/>
  <c r="T262" i="25"/>
  <c r="T263" i="25"/>
  <c r="T264" i="25"/>
  <c r="T265" i="25"/>
  <c r="T266" i="25"/>
  <c r="T267" i="25"/>
  <c r="T268" i="25"/>
  <c r="T269" i="25"/>
  <c r="T270" i="25"/>
  <c r="T271" i="25"/>
  <c r="T272" i="25"/>
  <c r="T273" i="25"/>
  <c r="T274" i="25"/>
  <c r="T275" i="25"/>
  <c r="T276" i="25"/>
  <c r="T277" i="25"/>
  <c r="T278" i="25"/>
  <c r="T279" i="25"/>
  <c r="T280" i="25"/>
  <c r="T281" i="25"/>
  <c r="T282" i="25"/>
  <c r="T283" i="25"/>
  <c r="T284" i="25"/>
  <c r="T285" i="25"/>
  <c r="T286" i="25"/>
  <c r="T287" i="25"/>
  <c r="T288" i="25"/>
  <c r="T289" i="25"/>
  <c r="T290" i="25"/>
  <c r="T291" i="25"/>
  <c r="T292" i="25"/>
  <c r="T293" i="25"/>
  <c r="T294" i="25"/>
  <c r="T295" i="25"/>
  <c r="T296" i="25"/>
  <c r="T297" i="25"/>
  <c r="T298" i="25"/>
  <c r="T299" i="25"/>
  <c r="T300" i="25"/>
  <c r="T301" i="25"/>
  <c r="T302" i="25"/>
  <c r="T303" i="25"/>
  <c r="T304" i="25"/>
  <c r="T305" i="25"/>
  <c r="T306" i="25"/>
  <c r="T307" i="25"/>
  <c r="T308" i="25"/>
  <c r="T309" i="25"/>
  <c r="T310" i="25"/>
  <c r="T311" i="25"/>
  <c r="T312" i="25"/>
  <c r="T313" i="25"/>
  <c r="T314" i="25"/>
  <c r="T315" i="25"/>
  <c r="T316" i="25"/>
  <c r="T317" i="25"/>
  <c r="T318" i="25"/>
  <c r="T319" i="25"/>
  <c r="T320" i="25"/>
  <c r="T321" i="25"/>
  <c r="T322" i="25"/>
  <c r="T323" i="25"/>
  <c r="T324" i="25"/>
  <c r="T325" i="25"/>
  <c r="T326" i="25"/>
  <c r="T327" i="25"/>
  <c r="T328" i="25"/>
  <c r="T329" i="25"/>
  <c r="T330" i="25"/>
  <c r="T331" i="25"/>
  <c r="T332" i="25"/>
  <c r="T333" i="25"/>
  <c r="T334" i="25"/>
  <c r="T335" i="25"/>
  <c r="T336" i="25"/>
  <c r="T337" i="25"/>
  <c r="T338" i="25"/>
  <c r="T339" i="25"/>
  <c r="T340" i="25"/>
  <c r="T341" i="25"/>
  <c r="T342" i="25"/>
  <c r="T343" i="25"/>
  <c r="T344" i="25"/>
  <c r="T345" i="25"/>
  <c r="T346" i="25"/>
  <c r="T347" i="25"/>
  <c r="T348" i="25"/>
  <c r="T349" i="25"/>
  <c r="T350" i="25"/>
  <c r="T351" i="25"/>
  <c r="T352" i="25"/>
  <c r="T353" i="25"/>
  <c r="T354" i="25"/>
  <c r="T355" i="25"/>
  <c r="T356" i="25"/>
  <c r="T357" i="25"/>
  <c r="T358" i="25"/>
  <c r="T359" i="25"/>
  <c r="T360" i="25"/>
  <c r="T361" i="25"/>
  <c r="T362" i="25"/>
  <c r="T363" i="25"/>
  <c r="T364" i="25"/>
  <c r="T365" i="25"/>
  <c r="T366" i="25"/>
  <c r="T367" i="25"/>
  <c r="T368" i="25"/>
  <c r="T369" i="25"/>
  <c r="T370" i="25"/>
  <c r="T371" i="25"/>
  <c r="T372" i="25"/>
  <c r="T373" i="25"/>
  <c r="T374" i="25"/>
  <c r="T375" i="25"/>
  <c r="T376" i="25"/>
  <c r="T377" i="25"/>
  <c r="T378" i="25"/>
  <c r="T379" i="25"/>
  <c r="T380" i="25"/>
  <c r="T381" i="25"/>
  <c r="T382" i="25"/>
  <c r="T383" i="25"/>
  <c r="T384" i="25"/>
  <c r="T385" i="25"/>
  <c r="T386" i="25"/>
  <c r="T387" i="25"/>
  <c r="T388" i="25"/>
  <c r="T389" i="25"/>
  <c r="T390" i="25"/>
  <c r="T391" i="25"/>
  <c r="T392" i="25"/>
  <c r="T393" i="25"/>
  <c r="T394" i="25"/>
  <c r="T395" i="25"/>
  <c r="T396" i="25"/>
  <c r="T397" i="25"/>
  <c r="T398" i="25"/>
  <c r="T399" i="25"/>
  <c r="T400" i="25"/>
  <c r="T401" i="25"/>
  <c r="T402" i="25"/>
  <c r="T403" i="25"/>
  <c r="T404" i="25"/>
  <c r="T405" i="25"/>
  <c r="T406" i="25"/>
  <c r="T407" i="25"/>
  <c r="T408" i="25"/>
  <c r="T409" i="25"/>
  <c r="T410" i="25"/>
  <c r="T411" i="25"/>
  <c r="T412" i="25"/>
  <c r="T413" i="25"/>
  <c r="T414" i="25"/>
  <c r="T415" i="25"/>
  <c r="T416" i="25"/>
  <c r="T417" i="25"/>
  <c r="T418" i="25"/>
  <c r="T419" i="25"/>
  <c r="T420" i="25"/>
  <c r="T421" i="25"/>
  <c r="T422" i="25"/>
  <c r="T423" i="25"/>
  <c r="T424" i="25"/>
  <c r="T425" i="25"/>
  <c r="T426" i="25"/>
  <c r="T427" i="25"/>
  <c r="T428" i="25"/>
  <c r="T429" i="25"/>
  <c r="T430" i="25"/>
  <c r="T431" i="25"/>
  <c r="T432" i="25"/>
  <c r="T433" i="25"/>
  <c r="T434" i="25"/>
  <c r="T435" i="25"/>
  <c r="T436" i="25"/>
  <c r="T437" i="25"/>
  <c r="T438" i="25"/>
  <c r="T439" i="25"/>
  <c r="T440" i="25"/>
  <c r="T441" i="25"/>
  <c r="T442" i="25"/>
  <c r="T443" i="25"/>
  <c r="T444" i="25"/>
  <c r="T445" i="25"/>
  <c r="T446" i="25"/>
  <c r="T447" i="25"/>
  <c r="T448" i="25"/>
  <c r="T449" i="25"/>
  <c r="T450" i="25"/>
  <c r="T451" i="25"/>
  <c r="T452" i="25"/>
  <c r="T453" i="25"/>
  <c r="T454" i="25"/>
  <c r="T455" i="25"/>
  <c r="T456" i="25"/>
  <c r="T457" i="25"/>
  <c r="T458" i="25"/>
  <c r="T459" i="25"/>
  <c r="T460" i="25"/>
  <c r="T461" i="25"/>
  <c r="T462" i="25"/>
  <c r="T463" i="25"/>
  <c r="T464" i="25"/>
  <c r="T465" i="25"/>
  <c r="T466" i="25"/>
  <c r="T467" i="25"/>
  <c r="T468" i="25"/>
  <c r="T469" i="25"/>
  <c r="T470" i="25"/>
  <c r="T471" i="25"/>
  <c r="T472" i="25"/>
  <c r="T473" i="25"/>
  <c r="T474" i="25"/>
  <c r="T475" i="25"/>
  <c r="T476" i="25"/>
  <c r="T477" i="25"/>
  <c r="T478" i="25"/>
  <c r="T479" i="25"/>
  <c r="T480" i="25"/>
  <c r="T481" i="25"/>
  <c r="T482" i="25"/>
  <c r="T483" i="25"/>
  <c r="T484" i="25"/>
  <c r="T485" i="25"/>
  <c r="T486" i="25"/>
  <c r="T487" i="25"/>
  <c r="T488" i="25"/>
  <c r="T489" i="25"/>
  <c r="T490" i="25"/>
  <c r="T491" i="25"/>
  <c r="T492" i="25"/>
  <c r="T493" i="25"/>
  <c r="T494" i="25"/>
  <c r="T495" i="25"/>
  <c r="T496" i="25"/>
  <c r="T497" i="25"/>
  <c r="T498" i="25"/>
  <c r="T499" i="25"/>
  <c r="T500" i="25"/>
  <c r="T501" i="25"/>
  <c r="T502" i="25"/>
  <c r="T503" i="25"/>
  <c r="T504" i="25"/>
  <c r="T505" i="25"/>
  <c r="T506" i="25"/>
  <c r="T507" i="25"/>
  <c r="T508" i="25"/>
  <c r="T509" i="25"/>
  <c r="T510" i="25"/>
  <c r="T511" i="25"/>
  <c r="T512" i="25"/>
  <c r="T513" i="25"/>
  <c r="T514" i="25"/>
  <c r="T515" i="25"/>
  <c r="T516" i="25"/>
  <c r="T517" i="25"/>
  <c r="T518" i="25"/>
  <c r="T519" i="25"/>
  <c r="T520" i="25"/>
  <c r="T521" i="25"/>
  <c r="T522" i="25"/>
  <c r="T523" i="25"/>
  <c r="T524" i="25"/>
  <c r="T525" i="25"/>
  <c r="T526" i="25"/>
  <c r="T527" i="25"/>
  <c r="T528" i="25"/>
  <c r="T529" i="25"/>
  <c r="T530" i="25"/>
  <c r="T531" i="25"/>
  <c r="T532" i="25"/>
  <c r="T533" i="25"/>
  <c r="T534" i="25"/>
  <c r="T535" i="25"/>
  <c r="T536" i="25"/>
  <c r="T537" i="25"/>
  <c r="T538" i="25"/>
  <c r="T539" i="25"/>
  <c r="T540" i="25"/>
  <c r="T541" i="25"/>
  <c r="T542" i="25"/>
  <c r="T543" i="25"/>
  <c r="T544" i="25"/>
  <c r="T545" i="25"/>
  <c r="T546" i="25"/>
  <c r="T547" i="25"/>
  <c r="T548" i="25"/>
  <c r="T549" i="25"/>
  <c r="T550" i="25"/>
  <c r="T551" i="25"/>
  <c r="T552" i="25"/>
  <c r="T553" i="25"/>
  <c r="T554" i="25"/>
  <c r="T555" i="25"/>
  <c r="T556" i="25"/>
  <c r="T557" i="25"/>
  <c r="T558" i="25"/>
  <c r="T559" i="25"/>
  <c r="T560" i="25"/>
  <c r="T561" i="25"/>
  <c r="T562" i="25"/>
  <c r="T563" i="25"/>
  <c r="T564" i="25"/>
  <c r="T565" i="25"/>
  <c r="T566" i="25"/>
  <c r="T567" i="25"/>
  <c r="T568" i="25"/>
  <c r="T569" i="25"/>
  <c r="T570" i="25"/>
  <c r="T571" i="25"/>
  <c r="T572" i="25"/>
  <c r="T573" i="25"/>
  <c r="T574" i="25"/>
  <c r="T575" i="25"/>
  <c r="T576" i="25"/>
  <c r="T577" i="25"/>
  <c r="T578" i="25"/>
  <c r="T579" i="25"/>
  <c r="T580" i="25"/>
  <c r="T581" i="25"/>
  <c r="T582" i="25"/>
  <c r="T583" i="25"/>
  <c r="T584" i="25"/>
  <c r="T585" i="25"/>
  <c r="T586" i="25"/>
  <c r="T587" i="25"/>
  <c r="T588" i="25"/>
  <c r="T589" i="25"/>
  <c r="T590" i="25"/>
  <c r="T591" i="25"/>
  <c r="T592" i="25"/>
  <c r="T593" i="25"/>
  <c r="T594" i="25"/>
  <c r="T595" i="25"/>
  <c r="T596" i="25"/>
  <c r="T597" i="25"/>
  <c r="T598" i="25"/>
  <c r="T599" i="25"/>
  <c r="T600" i="25"/>
  <c r="T601" i="25"/>
  <c r="T602" i="25"/>
  <c r="T603" i="25"/>
  <c r="T604" i="25"/>
  <c r="T605" i="25"/>
  <c r="T606" i="25"/>
  <c r="T607" i="25"/>
  <c r="T608" i="25"/>
  <c r="T609" i="25"/>
  <c r="T610" i="25"/>
  <c r="T611" i="25"/>
  <c r="T612" i="25"/>
  <c r="T613" i="25"/>
  <c r="T614" i="25"/>
  <c r="T615" i="25"/>
  <c r="T616" i="25"/>
  <c r="T617" i="25"/>
  <c r="T618" i="25"/>
  <c r="T619" i="25"/>
  <c r="T620" i="25"/>
  <c r="T621" i="25"/>
  <c r="T622" i="25"/>
  <c r="T623" i="25"/>
  <c r="T624" i="25"/>
  <c r="T625" i="25"/>
  <c r="T626" i="25"/>
  <c r="T627" i="25"/>
  <c r="T628" i="25"/>
  <c r="T629" i="25"/>
  <c r="T630" i="25"/>
  <c r="T631" i="25"/>
  <c r="T632" i="25"/>
  <c r="T633" i="25"/>
  <c r="T634" i="25"/>
  <c r="T635" i="25"/>
  <c r="T636" i="25"/>
  <c r="T637" i="25"/>
  <c r="T638" i="25"/>
  <c r="T639" i="25"/>
  <c r="T640" i="25"/>
  <c r="T641" i="25"/>
  <c r="T642" i="25"/>
  <c r="T643" i="25"/>
  <c r="T644" i="25"/>
  <c r="T645" i="25"/>
  <c r="T646" i="25"/>
  <c r="T647" i="25"/>
  <c r="T648" i="25"/>
  <c r="T649" i="25"/>
  <c r="T650" i="25"/>
  <c r="T651" i="25"/>
  <c r="T652" i="25"/>
  <c r="T653" i="25"/>
  <c r="T654" i="25"/>
  <c r="T655" i="25"/>
  <c r="T656" i="25"/>
  <c r="T657" i="25"/>
  <c r="T658" i="25"/>
  <c r="T659" i="25"/>
  <c r="T660" i="25"/>
  <c r="T661" i="25"/>
  <c r="T662" i="25"/>
  <c r="T663" i="25"/>
  <c r="T664" i="25"/>
  <c r="T665" i="25"/>
  <c r="T666" i="25"/>
  <c r="T667" i="25"/>
  <c r="T668" i="25"/>
  <c r="T669" i="25"/>
  <c r="T670" i="25"/>
  <c r="T671" i="25"/>
  <c r="T672" i="25"/>
  <c r="T673" i="25"/>
  <c r="T674" i="25"/>
  <c r="T675" i="25"/>
  <c r="T676" i="25"/>
  <c r="T677" i="25"/>
  <c r="T678" i="25"/>
  <c r="T679" i="25"/>
  <c r="T680" i="25"/>
  <c r="T681" i="25"/>
  <c r="T682" i="25"/>
  <c r="T683" i="25"/>
  <c r="T684" i="25"/>
  <c r="T685" i="25"/>
  <c r="T686" i="25"/>
  <c r="T687" i="25"/>
  <c r="T688" i="25"/>
  <c r="T689" i="25"/>
  <c r="T690" i="25"/>
  <c r="T691" i="25"/>
  <c r="T692" i="25"/>
  <c r="T693" i="25"/>
  <c r="T694" i="25"/>
  <c r="T695" i="25"/>
  <c r="T696" i="25"/>
  <c r="T697" i="25"/>
  <c r="T698" i="25"/>
  <c r="T699" i="25"/>
  <c r="T700" i="25"/>
  <c r="T701" i="25"/>
  <c r="T702" i="25"/>
  <c r="T703" i="25"/>
  <c r="T704" i="25"/>
  <c r="T705" i="25"/>
  <c r="T706" i="25"/>
  <c r="T707" i="25"/>
  <c r="T708" i="25"/>
  <c r="T709" i="25"/>
  <c r="T710" i="25"/>
  <c r="T711" i="25"/>
  <c r="T712" i="25"/>
  <c r="T713" i="25"/>
  <c r="T714" i="25"/>
  <c r="T715" i="25"/>
  <c r="T716" i="25"/>
  <c r="T717" i="25"/>
  <c r="T718" i="25"/>
  <c r="T719" i="25"/>
  <c r="T720" i="25"/>
  <c r="T721" i="25"/>
  <c r="T722" i="25"/>
  <c r="T723" i="25"/>
  <c r="T724" i="25"/>
  <c r="T725" i="25"/>
  <c r="T726" i="25"/>
  <c r="T727" i="25"/>
  <c r="T728" i="25"/>
  <c r="T729" i="25"/>
  <c r="T730" i="25"/>
  <c r="T731" i="25"/>
  <c r="T732" i="25"/>
  <c r="T733" i="25"/>
  <c r="T734" i="25"/>
  <c r="T735" i="25"/>
  <c r="T736" i="25"/>
  <c r="T737" i="25"/>
  <c r="T738" i="25"/>
  <c r="T739" i="25"/>
  <c r="T740" i="25"/>
  <c r="T741" i="25"/>
  <c r="T742" i="25"/>
  <c r="T743" i="25"/>
  <c r="T744" i="25"/>
  <c r="T745" i="25"/>
  <c r="T746" i="25"/>
  <c r="T747" i="25"/>
  <c r="T748" i="25"/>
  <c r="T749" i="25"/>
  <c r="T750" i="25"/>
  <c r="T751" i="25"/>
  <c r="T752" i="25"/>
  <c r="T753" i="25"/>
  <c r="T754" i="25"/>
  <c r="T755" i="25"/>
  <c r="T756" i="25"/>
  <c r="T757" i="25"/>
  <c r="T758" i="25"/>
  <c r="T759" i="25"/>
  <c r="T760" i="25"/>
  <c r="T761" i="25"/>
  <c r="T762" i="25"/>
  <c r="T763" i="25"/>
  <c r="T764" i="25"/>
  <c r="T765" i="25"/>
  <c r="T766" i="25"/>
  <c r="T767" i="25"/>
  <c r="T768" i="25"/>
  <c r="T769" i="25"/>
  <c r="T770" i="25"/>
  <c r="T771" i="25"/>
  <c r="T772" i="25"/>
  <c r="T773" i="25"/>
  <c r="T774" i="25"/>
  <c r="T775" i="25"/>
  <c r="T776" i="25"/>
  <c r="T777" i="25"/>
  <c r="T778" i="25"/>
  <c r="T779" i="25"/>
  <c r="T780" i="25"/>
  <c r="T781" i="25"/>
  <c r="T782" i="25"/>
  <c r="T783" i="25"/>
  <c r="T784" i="25"/>
  <c r="T785" i="25"/>
  <c r="T786" i="25"/>
  <c r="T787" i="25"/>
  <c r="T788" i="25"/>
  <c r="T789" i="25"/>
  <c r="T790" i="25"/>
  <c r="T791" i="25"/>
  <c r="T792" i="25"/>
  <c r="T793" i="25"/>
  <c r="T794" i="25"/>
  <c r="T795" i="25"/>
  <c r="T796" i="25"/>
  <c r="T797" i="25"/>
  <c r="T798" i="25"/>
  <c r="T799" i="25"/>
  <c r="T800" i="25"/>
  <c r="T801" i="25"/>
  <c r="T802" i="25"/>
  <c r="T803" i="25"/>
  <c r="T804" i="25"/>
  <c r="T805" i="25"/>
  <c r="T806" i="25"/>
  <c r="T807" i="25"/>
  <c r="T808" i="25"/>
  <c r="T809" i="25"/>
  <c r="T810" i="25"/>
  <c r="T811" i="25"/>
  <c r="T812" i="25"/>
  <c r="T813" i="25"/>
  <c r="T814" i="25"/>
  <c r="T815" i="25"/>
  <c r="T816" i="25"/>
  <c r="T817" i="25"/>
  <c r="T818" i="25"/>
  <c r="T819" i="25"/>
  <c r="T820" i="25"/>
  <c r="T821" i="25"/>
  <c r="T822" i="25"/>
  <c r="T823" i="25"/>
  <c r="T824" i="25"/>
  <c r="T825" i="25"/>
  <c r="T826" i="25"/>
  <c r="T827" i="25"/>
  <c r="T828" i="25"/>
  <c r="T829" i="25"/>
  <c r="T830" i="25"/>
  <c r="T831" i="25"/>
  <c r="T832" i="25"/>
  <c r="T833" i="25"/>
  <c r="T834" i="25"/>
  <c r="T835" i="25"/>
  <c r="T836" i="25"/>
  <c r="T837" i="25"/>
  <c r="T838" i="25"/>
  <c r="T839" i="25"/>
  <c r="T840" i="25"/>
  <c r="T841" i="25"/>
  <c r="T842" i="25"/>
  <c r="T843" i="25"/>
  <c r="T844" i="25"/>
  <c r="T845" i="25"/>
  <c r="T846" i="25"/>
  <c r="T847" i="25"/>
  <c r="T848" i="25"/>
  <c r="T849" i="25"/>
  <c r="T850" i="25"/>
  <c r="T851" i="25"/>
  <c r="T852" i="25"/>
  <c r="T853" i="25"/>
  <c r="T854" i="25"/>
  <c r="T855" i="25"/>
  <c r="T856" i="25"/>
  <c r="T857" i="25"/>
  <c r="T858" i="25"/>
  <c r="T859" i="25"/>
  <c r="T860" i="25"/>
  <c r="T861" i="25"/>
  <c r="T862" i="25"/>
  <c r="T863" i="25"/>
  <c r="T864" i="25"/>
  <c r="T865" i="25"/>
  <c r="T866" i="25"/>
  <c r="T867" i="25"/>
  <c r="T868" i="25"/>
  <c r="T869" i="25"/>
  <c r="T870" i="25"/>
  <c r="T871" i="25"/>
  <c r="T872" i="25"/>
  <c r="T873" i="25"/>
  <c r="T874" i="25"/>
  <c r="T875" i="25"/>
  <c r="T876" i="25"/>
  <c r="T877" i="25"/>
  <c r="T878" i="25"/>
  <c r="T879" i="25"/>
  <c r="T880" i="25"/>
  <c r="T881" i="25"/>
  <c r="T882" i="25"/>
  <c r="T883" i="25"/>
  <c r="T884" i="25"/>
  <c r="T885" i="25"/>
  <c r="T886" i="25"/>
  <c r="T887" i="25"/>
  <c r="T888" i="25"/>
  <c r="T889" i="25"/>
  <c r="T890" i="25"/>
  <c r="T891" i="25"/>
  <c r="T892" i="25"/>
  <c r="T893" i="25"/>
  <c r="T894" i="25"/>
  <c r="T895" i="25"/>
  <c r="T896" i="25"/>
  <c r="T897" i="25"/>
  <c r="T898" i="25"/>
  <c r="T899" i="25"/>
  <c r="T900" i="25"/>
  <c r="T901" i="25"/>
  <c r="T902" i="25"/>
  <c r="T903" i="25"/>
  <c r="T904" i="25"/>
  <c r="T905" i="25"/>
  <c r="T906" i="25"/>
  <c r="T907" i="25"/>
  <c r="T908" i="25"/>
  <c r="T909" i="25"/>
  <c r="T910" i="25"/>
  <c r="T911" i="25"/>
  <c r="T912" i="25"/>
  <c r="T913" i="25"/>
  <c r="T914" i="25"/>
  <c r="T915" i="25"/>
  <c r="T916" i="25"/>
  <c r="T917" i="25"/>
  <c r="T918" i="25"/>
  <c r="T919" i="25"/>
  <c r="T920" i="25"/>
  <c r="T921" i="25"/>
  <c r="T922" i="25"/>
  <c r="T923" i="25"/>
  <c r="T924" i="25"/>
  <c r="T925" i="25"/>
  <c r="T926" i="25"/>
  <c r="T927" i="25"/>
  <c r="T928" i="25"/>
  <c r="T929" i="25"/>
  <c r="T930" i="25"/>
  <c r="T931" i="25"/>
  <c r="T932" i="25"/>
  <c r="T933" i="25"/>
  <c r="T934" i="25"/>
  <c r="T935" i="25"/>
  <c r="T936" i="25"/>
  <c r="T937" i="25"/>
  <c r="T938" i="25"/>
  <c r="T939" i="25"/>
  <c r="T940" i="25"/>
  <c r="T941" i="25"/>
  <c r="T942" i="25"/>
  <c r="T943" i="25"/>
  <c r="T944" i="25"/>
  <c r="T945" i="25"/>
  <c r="T946" i="25"/>
  <c r="T947" i="25"/>
  <c r="T948" i="25"/>
  <c r="T949" i="25"/>
  <c r="T950" i="25"/>
  <c r="T951" i="25"/>
  <c r="T952" i="25"/>
  <c r="T953" i="25"/>
  <c r="T954" i="25"/>
  <c r="T955" i="25"/>
  <c r="T956" i="25"/>
  <c r="T957" i="25"/>
  <c r="T958" i="25"/>
  <c r="T959" i="25"/>
  <c r="T960" i="25"/>
  <c r="T961" i="25"/>
  <c r="T962" i="25"/>
  <c r="T963" i="25"/>
  <c r="T964" i="25"/>
  <c r="T965" i="25"/>
  <c r="T966" i="25"/>
  <c r="T967" i="25"/>
  <c r="T968" i="25"/>
  <c r="T969" i="25"/>
  <c r="T970" i="25"/>
  <c r="T971" i="25"/>
  <c r="T972" i="25"/>
  <c r="T973" i="25"/>
  <c r="T974" i="25"/>
  <c r="T975" i="25"/>
  <c r="T976" i="25"/>
  <c r="T977" i="25"/>
  <c r="T978" i="25"/>
  <c r="T979" i="25"/>
  <c r="T980" i="25"/>
  <c r="T981" i="25"/>
  <c r="T982" i="25"/>
  <c r="T983" i="25"/>
  <c r="T984" i="25"/>
  <c r="T985" i="25"/>
  <c r="T986" i="25"/>
  <c r="T987" i="25"/>
  <c r="T988" i="25"/>
  <c r="T989" i="25"/>
  <c r="T990" i="25"/>
  <c r="T991" i="25"/>
  <c r="T992" i="25"/>
  <c r="T993" i="25"/>
  <c r="T994" i="25"/>
  <c r="T995" i="25"/>
  <c r="T996" i="25"/>
  <c r="T997" i="25"/>
  <c r="T998" i="25"/>
  <c r="T999" i="25"/>
  <c r="T1000" i="25"/>
  <c r="T1001" i="25"/>
  <c r="T1002" i="25"/>
  <c r="T1003" i="25"/>
  <c r="T1004" i="25"/>
  <c r="T1005" i="25"/>
  <c r="T1006" i="25"/>
  <c r="T1007" i="25"/>
  <c r="T1008" i="25"/>
  <c r="T1009" i="25"/>
  <c r="T1010" i="25"/>
  <c r="T1011" i="25"/>
  <c r="T1012" i="25"/>
  <c r="T1013" i="25"/>
  <c r="T1014" i="25"/>
  <c r="T1015" i="25"/>
  <c r="T1016" i="25"/>
  <c r="T1017" i="25"/>
  <c r="T1018" i="25"/>
  <c r="T1019" i="25"/>
  <c r="T1020" i="25"/>
  <c r="T1021" i="25"/>
  <c r="T1022" i="25"/>
  <c r="T1023" i="25"/>
  <c r="T1024" i="25"/>
  <c r="T1025" i="25"/>
  <c r="T1026" i="25"/>
  <c r="T1027" i="25"/>
  <c r="T1028" i="25"/>
  <c r="T1029" i="25"/>
  <c r="T1030" i="25"/>
  <c r="T1031" i="25"/>
  <c r="T1032" i="25"/>
  <c r="T1033" i="25"/>
  <c r="T1034" i="25"/>
  <c r="T1035" i="25"/>
  <c r="T1036" i="25"/>
  <c r="T1037" i="25"/>
  <c r="T1038" i="25"/>
  <c r="T1039" i="25"/>
  <c r="T1040" i="25"/>
  <c r="T1041" i="25"/>
  <c r="T1042" i="25"/>
  <c r="T1043" i="25"/>
  <c r="T1044" i="25"/>
  <c r="T1045" i="25"/>
  <c r="T1046" i="25"/>
  <c r="T1047" i="25"/>
  <c r="T1048" i="25"/>
  <c r="T1049" i="25"/>
  <c r="T1050" i="25"/>
  <c r="T1051" i="25"/>
  <c r="T1052" i="25"/>
  <c r="T1053" i="25"/>
  <c r="T1054" i="25"/>
  <c r="T1055" i="25"/>
  <c r="T1056" i="25"/>
  <c r="T1057" i="25"/>
  <c r="T1058" i="25"/>
  <c r="T1059" i="25"/>
  <c r="T1060" i="25"/>
  <c r="T1061" i="25"/>
  <c r="T1062" i="25"/>
  <c r="T1063" i="25"/>
  <c r="T1064" i="25"/>
  <c r="T1065" i="25"/>
  <c r="T1066" i="25"/>
  <c r="T1067" i="25"/>
  <c r="T1068" i="25"/>
  <c r="T1069" i="25"/>
  <c r="T1070" i="25"/>
  <c r="T1071" i="25"/>
  <c r="T1072" i="25"/>
  <c r="T1073" i="25"/>
  <c r="T1074" i="25"/>
  <c r="T1075" i="25"/>
  <c r="T1076" i="25"/>
  <c r="T1077" i="25"/>
  <c r="T1078" i="25"/>
  <c r="T1079" i="25"/>
  <c r="T1080" i="25"/>
  <c r="T1081" i="25"/>
  <c r="T1082" i="25"/>
  <c r="T1083" i="25"/>
  <c r="T1084" i="25"/>
  <c r="T1085" i="25"/>
  <c r="T1086" i="25"/>
  <c r="T1087" i="25"/>
  <c r="T1088" i="25"/>
  <c r="T1089" i="25"/>
  <c r="T1090" i="25"/>
  <c r="T1091" i="25"/>
  <c r="T1092" i="25"/>
  <c r="T1093" i="25"/>
  <c r="T1094" i="25"/>
  <c r="T1095" i="25"/>
  <c r="T1096" i="25"/>
  <c r="T1097" i="25"/>
  <c r="T1098" i="25"/>
  <c r="T1099" i="25"/>
  <c r="T1100" i="25"/>
  <c r="T1101" i="25"/>
  <c r="T1102" i="25"/>
  <c r="T1103" i="25"/>
  <c r="T1104" i="25"/>
  <c r="T1105" i="25"/>
  <c r="T1106" i="25"/>
  <c r="T1107" i="25"/>
  <c r="T1108" i="25"/>
  <c r="T1109" i="25"/>
  <c r="T1110" i="25"/>
  <c r="T1111" i="25"/>
  <c r="T1112" i="25"/>
  <c r="T1113" i="25"/>
  <c r="T1114" i="25"/>
  <c r="T1115" i="25"/>
  <c r="T1116" i="25"/>
  <c r="T1117" i="25"/>
  <c r="T1118" i="25"/>
  <c r="T1119" i="25"/>
  <c r="T1120" i="25"/>
  <c r="T1121" i="25"/>
  <c r="T1122" i="25"/>
  <c r="T1123" i="25"/>
  <c r="T1124" i="25"/>
  <c r="T1125" i="25"/>
  <c r="T1126" i="25"/>
  <c r="T1127" i="25"/>
  <c r="T1128" i="25"/>
  <c r="T1129" i="25"/>
  <c r="T1130" i="25"/>
  <c r="T1131" i="25"/>
  <c r="T1132" i="25"/>
  <c r="T1133" i="25"/>
  <c r="T1134" i="25"/>
  <c r="T1135" i="25"/>
  <c r="T1136" i="25"/>
  <c r="T1137" i="25"/>
  <c r="T1138" i="25"/>
  <c r="T1139" i="25"/>
  <c r="T1140" i="25"/>
  <c r="T1141" i="25"/>
  <c r="T1142" i="25"/>
  <c r="T1143" i="25"/>
  <c r="T1144" i="25"/>
  <c r="T1145" i="25"/>
  <c r="T1146" i="25"/>
  <c r="T1147" i="25"/>
  <c r="T1148" i="25"/>
  <c r="T1149" i="25"/>
  <c r="T1150" i="25"/>
  <c r="T1151" i="25"/>
  <c r="T1152" i="25"/>
  <c r="T1153" i="25"/>
  <c r="T1154" i="25"/>
  <c r="T1155" i="25"/>
  <c r="T1156" i="25"/>
  <c r="T1157" i="25"/>
  <c r="T1158" i="25"/>
  <c r="T1159" i="25"/>
  <c r="T1160" i="25"/>
  <c r="T1161" i="25"/>
  <c r="T1162" i="25"/>
  <c r="T1163" i="25"/>
  <c r="T1164" i="25"/>
  <c r="T1165" i="25"/>
  <c r="T1166" i="25"/>
  <c r="T1167" i="25"/>
  <c r="T1168" i="25"/>
  <c r="T1169" i="25"/>
  <c r="T1170" i="25"/>
  <c r="T1171" i="25"/>
  <c r="T1172" i="25"/>
  <c r="T1173" i="25"/>
  <c r="T1174" i="25"/>
  <c r="T1175" i="25"/>
  <c r="T1176" i="25"/>
  <c r="T1177" i="25"/>
  <c r="T1178" i="25"/>
  <c r="T1179" i="25"/>
  <c r="T1180" i="25"/>
  <c r="T1181" i="25"/>
  <c r="T1182" i="25"/>
  <c r="T1183" i="25"/>
  <c r="T1184" i="25"/>
  <c r="T1185" i="25"/>
  <c r="T1186" i="25"/>
  <c r="T1187" i="25"/>
  <c r="T1188" i="25"/>
  <c r="T1189" i="25"/>
  <c r="T1190" i="25"/>
  <c r="T1191" i="25"/>
  <c r="T1192" i="25"/>
  <c r="T1193" i="25"/>
  <c r="T1194" i="25"/>
  <c r="T1195" i="25"/>
  <c r="T1196" i="25"/>
  <c r="T1197" i="25"/>
  <c r="T1198" i="25"/>
  <c r="T1199" i="25"/>
  <c r="T1200" i="25"/>
  <c r="V427" i="25"/>
  <c r="W427" i="25"/>
  <c r="V428" i="25"/>
  <c r="W428" i="25"/>
  <c r="V429" i="25"/>
  <c r="W429" i="25"/>
  <c r="V430" i="25"/>
  <c r="W430" i="25"/>
  <c r="V431" i="25"/>
  <c r="W431" i="25"/>
  <c r="V432" i="25"/>
  <c r="W432" i="25"/>
  <c r="V433" i="25"/>
  <c r="W433" i="25"/>
  <c r="V434" i="25"/>
  <c r="W434" i="25"/>
  <c r="V435" i="25"/>
  <c r="W435" i="25"/>
  <c r="V436" i="25"/>
  <c r="W436" i="25"/>
  <c r="V437" i="25"/>
  <c r="W437" i="25"/>
  <c r="V438" i="25"/>
  <c r="W438" i="25"/>
  <c r="V439" i="25"/>
  <c r="W439" i="25"/>
  <c r="V440" i="25"/>
  <c r="W440" i="25"/>
  <c r="V441" i="25"/>
  <c r="W441" i="25"/>
  <c r="V442" i="25"/>
  <c r="W442" i="25"/>
  <c r="V443" i="25"/>
  <c r="W443" i="25"/>
  <c r="V444" i="25"/>
  <c r="W444" i="25"/>
  <c r="V445" i="25"/>
  <c r="W445" i="25"/>
  <c r="V446" i="25"/>
  <c r="W446" i="25"/>
  <c r="V447" i="25"/>
  <c r="W447" i="25"/>
  <c r="V448" i="25"/>
  <c r="W448" i="25"/>
  <c r="V449" i="25"/>
  <c r="W449" i="25"/>
  <c r="V450" i="25"/>
  <c r="W450" i="25"/>
  <c r="V451" i="25"/>
  <c r="W451" i="25"/>
  <c r="V452" i="25"/>
  <c r="W452" i="25"/>
  <c r="V453" i="25"/>
  <c r="W453" i="25"/>
  <c r="V454" i="25"/>
  <c r="W454" i="25"/>
  <c r="V455" i="25"/>
  <c r="W455" i="25"/>
  <c r="V456" i="25"/>
  <c r="W456" i="25"/>
  <c r="V457" i="25"/>
  <c r="W457" i="25"/>
  <c r="V458" i="25"/>
  <c r="W458" i="25"/>
  <c r="V459" i="25"/>
  <c r="W459" i="25"/>
  <c r="V460" i="25"/>
  <c r="W460" i="25"/>
  <c r="V461" i="25"/>
  <c r="W461" i="25"/>
  <c r="V462" i="25"/>
  <c r="W462" i="25"/>
  <c r="V463" i="25"/>
  <c r="W463" i="25"/>
  <c r="V464" i="25"/>
  <c r="W464" i="25"/>
  <c r="V465" i="25"/>
  <c r="W465" i="25"/>
  <c r="V466" i="25"/>
  <c r="W466" i="25"/>
  <c r="V467" i="25"/>
  <c r="W467" i="25"/>
  <c r="V468" i="25"/>
  <c r="W468" i="25"/>
  <c r="V469" i="25"/>
  <c r="W469" i="25"/>
  <c r="V470" i="25"/>
  <c r="W470" i="25"/>
  <c r="V471" i="25"/>
  <c r="W471" i="25"/>
  <c r="V472" i="25"/>
  <c r="W472" i="25"/>
  <c r="V473" i="25"/>
  <c r="W473" i="25"/>
  <c r="V474" i="25"/>
  <c r="W474" i="25"/>
  <c r="V475" i="25"/>
  <c r="W475" i="25"/>
  <c r="V476" i="25"/>
  <c r="W476" i="25"/>
  <c r="V477" i="25"/>
  <c r="W477" i="25"/>
  <c r="V478" i="25"/>
  <c r="W478" i="25"/>
  <c r="V479" i="25"/>
  <c r="W479" i="25"/>
  <c r="V480" i="25"/>
  <c r="W480" i="25"/>
  <c r="V481" i="25"/>
  <c r="W481" i="25"/>
  <c r="V482" i="25"/>
  <c r="W482" i="25"/>
  <c r="V483" i="25"/>
  <c r="W483" i="25"/>
  <c r="V484" i="25"/>
  <c r="W484" i="25"/>
  <c r="V485" i="25"/>
  <c r="W485" i="25"/>
  <c r="V486" i="25"/>
  <c r="W486" i="25"/>
  <c r="V487" i="25"/>
  <c r="W487" i="25"/>
  <c r="V488" i="25"/>
  <c r="W488" i="25"/>
  <c r="V489" i="25"/>
  <c r="W489" i="25"/>
  <c r="V490" i="25"/>
  <c r="W490" i="25"/>
  <c r="V491" i="25"/>
  <c r="W491" i="25"/>
  <c r="V492" i="25"/>
  <c r="W492" i="25"/>
  <c r="V493" i="25"/>
  <c r="W493" i="25"/>
  <c r="V494" i="25"/>
  <c r="W494" i="25"/>
  <c r="V495" i="25"/>
  <c r="W495" i="25"/>
  <c r="V496" i="25"/>
  <c r="W496" i="25"/>
  <c r="V497" i="25"/>
  <c r="W497" i="25"/>
  <c r="V498" i="25"/>
  <c r="W498" i="25"/>
  <c r="V499" i="25"/>
  <c r="W499" i="25"/>
  <c r="V500" i="25"/>
  <c r="W500" i="25"/>
  <c r="V501" i="25"/>
  <c r="W501" i="25"/>
  <c r="V502" i="25"/>
  <c r="W502" i="25"/>
  <c r="V503" i="25"/>
  <c r="W503" i="25"/>
  <c r="V504" i="25"/>
  <c r="W504" i="25"/>
  <c r="V505" i="25"/>
  <c r="W505" i="25"/>
  <c r="V506" i="25"/>
  <c r="W506" i="25"/>
  <c r="V507" i="25"/>
  <c r="W507" i="25"/>
  <c r="V508" i="25"/>
  <c r="W508" i="25"/>
  <c r="V509" i="25"/>
  <c r="W509" i="25"/>
  <c r="V510" i="25"/>
  <c r="W510" i="25"/>
  <c r="V511" i="25"/>
  <c r="W511" i="25"/>
  <c r="V512" i="25"/>
  <c r="W512" i="25"/>
  <c r="V513" i="25"/>
  <c r="W513" i="25"/>
  <c r="V514" i="25"/>
  <c r="W514" i="25"/>
  <c r="V515" i="25"/>
  <c r="W515" i="25"/>
  <c r="V516" i="25"/>
  <c r="W516" i="25"/>
  <c r="V517" i="25"/>
  <c r="W517" i="25"/>
  <c r="V518" i="25"/>
  <c r="W518" i="25"/>
  <c r="V519" i="25"/>
  <c r="W519" i="25"/>
  <c r="V520" i="25"/>
  <c r="W520" i="25"/>
  <c r="V521" i="25"/>
  <c r="W521" i="25"/>
  <c r="V522" i="25"/>
  <c r="W522" i="25"/>
  <c r="V523" i="25"/>
  <c r="W523" i="25"/>
  <c r="V524" i="25"/>
  <c r="W524" i="25"/>
  <c r="V525" i="25"/>
  <c r="W525" i="25"/>
  <c r="V526" i="25"/>
  <c r="W526" i="25"/>
  <c r="V527" i="25"/>
  <c r="W527" i="25"/>
  <c r="V528" i="25"/>
  <c r="W528" i="25"/>
  <c r="V529" i="25"/>
  <c r="W529" i="25"/>
  <c r="V530" i="25"/>
  <c r="W530" i="25"/>
  <c r="V531" i="25"/>
  <c r="W531" i="25"/>
  <c r="V532" i="25"/>
  <c r="W532" i="25"/>
  <c r="V533" i="25"/>
  <c r="W533" i="25"/>
  <c r="V534" i="25"/>
  <c r="W534" i="25"/>
  <c r="V535" i="25"/>
  <c r="W535" i="25"/>
  <c r="V536" i="25"/>
  <c r="W536" i="25"/>
  <c r="V537" i="25"/>
  <c r="W537" i="25"/>
  <c r="V538" i="25"/>
  <c r="W538" i="25"/>
  <c r="V539" i="25"/>
  <c r="W539" i="25"/>
  <c r="V540" i="25"/>
  <c r="W540" i="25"/>
  <c r="V541" i="25"/>
  <c r="W541" i="25"/>
  <c r="V542" i="25"/>
  <c r="W542" i="25"/>
  <c r="V543" i="25"/>
  <c r="W543" i="25"/>
  <c r="V544" i="25"/>
  <c r="W544" i="25"/>
  <c r="V545" i="25"/>
  <c r="W545" i="25"/>
  <c r="V546" i="25"/>
  <c r="W546" i="25"/>
  <c r="V547" i="25"/>
  <c r="W547" i="25"/>
  <c r="V548" i="25"/>
  <c r="W548" i="25"/>
  <c r="V549" i="25"/>
  <c r="W549" i="25"/>
  <c r="V550" i="25"/>
  <c r="W550" i="25"/>
  <c r="V551" i="25"/>
  <c r="W551" i="25"/>
  <c r="V552" i="25"/>
  <c r="W552" i="25"/>
  <c r="V553" i="25"/>
  <c r="W553" i="25"/>
  <c r="V554" i="25"/>
  <c r="W554" i="25"/>
  <c r="V555" i="25"/>
  <c r="W555" i="25"/>
  <c r="V556" i="25"/>
  <c r="W556" i="25"/>
  <c r="V557" i="25"/>
  <c r="W557" i="25"/>
  <c r="V558" i="25"/>
  <c r="W558" i="25"/>
  <c r="V559" i="25"/>
  <c r="W559" i="25"/>
  <c r="V560" i="25"/>
  <c r="W560" i="25"/>
  <c r="V561" i="25"/>
  <c r="W561" i="25"/>
  <c r="V562" i="25"/>
  <c r="W562" i="25"/>
  <c r="V563" i="25"/>
  <c r="W563" i="25"/>
  <c r="V564" i="25"/>
  <c r="W564" i="25"/>
  <c r="V565" i="25"/>
  <c r="W565" i="25"/>
  <c r="V566" i="25"/>
  <c r="W566" i="25"/>
  <c r="V567" i="25"/>
  <c r="W567" i="25"/>
  <c r="V568" i="25"/>
  <c r="W568" i="25"/>
  <c r="V569" i="25"/>
  <c r="W569" i="25"/>
  <c r="V570" i="25"/>
  <c r="W570" i="25"/>
  <c r="V571" i="25"/>
  <c r="W571" i="25"/>
  <c r="V572" i="25"/>
  <c r="W572" i="25"/>
  <c r="V573" i="25"/>
  <c r="W573" i="25"/>
  <c r="V574" i="25"/>
  <c r="W574" i="25"/>
  <c r="V575" i="25"/>
  <c r="W575" i="25"/>
  <c r="V576" i="25"/>
  <c r="W576" i="25"/>
  <c r="V577" i="25"/>
  <c r="W577" i="25"/>
  <c r="V578" i="25"/>
  <c r="W578" i="25"/>
  <c r="V579" i="25"/>
  <c r="W579" i="25"/>
  <c r="V580" i="25"/>
  <c r="W580" i="25"/>
  <c r="V581" i="25"/>
  <c r="W581" i="25"/>
  <c r="V582" i="25"/>
  <c r="W582" i="25"/>
  <c r="V583" i="25"/>
  <c r="W583" i="25"/>
  <c r="V584" i="25"/>
  <c r="W584" i="25"/>
  <c r="V585" i="25"/>
  <c r="W585" i="25"/>
  <c r="V586" i="25"/>
  <c r="W586" i="25"/>
  <c r="V587" i="25"/>
  <c r="W587" i="25"/>
  <c r="V588" i="25"/>
  <c r="W588" i="25"/>
  <c r="V589" i="25"/>
  <c r="W589" i="25"/>
  <c r="V590" i="25"/>
  <c r="W590" i="25"/>
  <c r="V591" i="25"/>
  <c r="W591" i="25"/>
  <c r="V592" i="25"/>
  <c r="W592" i="25"/>
  <c r="V593" i="25"/>
  <c r="W593" i="25"/>
  <c r="V594" i="25"/>
  <c r="W594" i="25"/>
  <c r="V595" i="25"/>
  <c r="W595" i="25"/>
  <c r="V596" i="25"/>
  <c r="W596" i="25"/>
  <c r="V597" i="25"/>
  <c r="W597" i="25"/>
  <c r="V598" i="25"/>
  <c r="W598" i="25"/>
  <c r="V599" i="25"/>
  <c r="W599" i="25"/>
  <c r="V600" i="25"/>
  <c r="W600" i="25"/>
  <c r="V601" i="25"/>
  <c r="W601" i="25"/>
  <c r="V602" i="25"/>
  <c r="W602" i="25"/>
  <c r="V603" i="25"/>
  <c r="W603" i="25"/>
  <c r="V604" i="25"/>
  <c r="W604" i="25"/>
  <c r="V605" i="25"/>
  <c r="W605" i="25"/>
  <c r="V606" i="25"/>
  <c r="W606" i="25"/>
  <c r="V607" i="25"/>
  <c r="W607" i="25"/>
  <c r="V608" i="25"/>
  <c r="W608" i="25"/>
  <c r="V609" i="25"/>
  <c r="W609" i="25"/>
  <c r="V610" i="25"/>
  <c r="W610" i="25"/>
  <c r="V611" i="25"/>
  <c r="W611" i="25"/>
  <c r="V612" i="25"/>
  <c r="W612" i="25"/>
  <c r="V613" i="25"/>
  <c r="W613" i="25"/>
  <c r="V614" i="25"/>
  <c r="W614" i="25"/>
  <c r="V615" i="25"/>
  <c r="W615" i="25"/>
  <c r="V616" i="25"/>
  <c r="W616" i="25"/>
  <c r="V617" i="25"/>
  <c r="W617" i="25"/>
  <c r="V618" i="25"/>
  <c r="W618" i="25"/>
  <c r="V619" i="25"/>
  <c r="W619" i="25"/>
  <c r="V620" i="25"/>
  <c r="W620" i="25"/>
  <c r="V621" i="25"/>
  <c r="W621" i="25"/>
  <c r="V622" i="25"/>
  <c r="W622" i="25"/>
  <c r="V623" i="25"/>
  <c r="W623" i="25"/>
  <c r="V624" i="25"/>
  <c r="W624" i="25"/>
  <c r="V625" i="25"/>
  <c r="W625" i="25"/>
  <c r="V626" i="25"/>
  <c r="W626" i="25"/>
  <c r="V627" i="25"/>
  <c r="W627" i="25"/>
  <c r="V628" i="25"/>
  <c r="W628" i="25"/>
  <c r="V629" i="25"/>
  <c r="W629" i="25"/>
  <c r="V630" i="25"/>
  <c r="W630" i="25"/>
  <c r="V631" i="25"/>
  <c r="W631" i="25"/>
  <c r="V632" i="25"/>
  <c r="W632" i="25"/>
  <c r="V633" i="25"/>
  <c r="W633" i="25"/>
  <c r="V634" i="25"/>
  <c r="W634" i="25"/>
  <c r="V635" i="25"/>
  <c r="W635" i="25"/>
  <c r="V636" i="25"/>
  <c r="W636" i="25"/>
  <c r="V637" i="25"/>
  <c r="W637" i="25"/>
  <c r="V638" i="25"/>
  <c r="W638" i="25"/>
  <c r="V639" i="25"/>
  <c r="W639" i="25"/>
  <c r="V640" i="25"/>
  <c r="W640" i="25"/>
  <c r="V641" i="25"/>
  <c r="W641" i="25"/>
  <c r="V642" i="25"/>
  <c r="W642" i="25"/>
  <c r="V643" i="25"/>
  <c r="W643" i="25"/>
  <c r="V644" i="25"/>
  <c r="W644" i="25"/>
  <c r="V645" i="25"/>
  <c r="W645" i="25"/>
  <c r="V646" i="25"/>
  <c r="W646" i="25"/>
  <c r="V647" i="25"/>
  <c r="W647" i="25"/>
  <c r="V648" i="25"/>
  <c r="W648" i="25"/>
  <c r="V649" i="25"/>
  <c r="W649" i="25"/>
  <c r="V650" i="25"/>
  <c r="W650" i="25"/>
  <c r="V651" i="25"/>
  <c r="W651" i="25"/>
  <c r="V652" i="25"/>
  <c r="W652" i="25"/>
  <c r="V653" i="25"/>
  <c r="W653" i="25"/>
  <c r="V654" i="25"/>
  <c r="W654" i="25"/>
  <c r="V655" i="25"/>
  <c r="W655" i="25"/>
  <c r="V656" i="25"/>
  <c r="W656" i="25"/>
  <c r="V657" i="25"/>
  <c r="W657" i="25"/>
  <c r="V658" i="25"/>
  <c r="W658" i="25"/>
  <c r="V659" i="25"/>
  <c r="W659" i="25"/>
  <c r="V660" i="25"/>
  <c r="W660" i="25"/>
  <c r="V661" i="25"/>
  <c r="W661" i="25"/>
  <c r="V662" i="25"/>
  <c r="W662" i="25"/>
  <c r="V663" i="25"/>
  <c r="W663" i="25"/>
  <c r="V664" i="25"/>
  <c r="W664" i="25"/>
  <c r="V665" i="25"/>
  <c r="W665" i="25"/>
  <c r="V666" i="25"/>
  <c r="W666" i="25"/>
  <c r="V667" i="25"/>
  <c r="W667" i="25"/>
  <c r="V668" i="25"/>
  <c r="W668" i="25"/>
  <c r="V669" i="25"/>
  <c r="W669" i="25"/>
  <c r="V670" i="25"/>
  <c r="W670" i="25"/>
  <c r="V671" i="25"/>
  <c r="W671" i="25"/>
  <c r="V672" i="25"/>
  <c r="W672" i="25"/>
  <c r="V673" i="25"/>
  <c r="W673" i="25"/>
  <c r="V674" i="25"/>
  <c r="W674" i="25"/>
  <c r="V675" i="25"/>
  <c r="W675" i="25"/>
  <c r="V676" i="25"/>
  <c r="W676" i="25"/>
  <c r="V677" i="25"/>
  <c r="W677" i="25"/>
  <c r="V678" i="25"/>
  <c r="W678" i="25"/>
  <c r="V679" i="25"/>
  <c r="W679" i="25"/>
  <c r="V680" i="25"/>
  <c r="W680" i="25"/>
  <c r="V681" i="25"/>
  <c r="W681" i="25"/>
  <c r="V682" i="25"/>
  <c r="W682" i="25"/>
  <c r="V683" i="25"/>
  <c r="W683" i="25"/>
  <c r="V684" i="25"/>
  <c r="W684" i="25"/>
  <c r="V685" i="25"/>
  <c r="W685" i="25"/>
  <c r="V686" i="25"/>
  <c r="W686" i="25"/>
  <c r="V687" i="25"/>
  <c r="W687" i="25"/>
  <c r="V688" i="25"/>
  <c r="W688" i="25"/>
  <c r="V689" i="25"/>
  <c r="W689" i="25"/>
  <c r="V690" i="25"/>
  <c r="W690" i="25"/>
  <c r="V691" i="25"/>
  <c r="W691" i="25"/>
  <c r="V692" i="25"/>
  <c r="W692" i="25"/>
  <c r="V693" i="25"/>
  <c r="W693" i="25"/>
  <c r="V694" i="25"/>
  <c r="W694" i="25"/>
  <c r="V695" i="25"/>
  <c r="W695" i="25"/>
  <c r="V696" i="25"/>
  <c r="W696" i="25"/>
  <c r="V697" i="25"/>
  <c r="W697" i="25"/>
  <c r="V698" i="25"/>
  <c r="W698" i="25"/>
  <c r="V699" i="25"/>
  <c r="W699" i="25"/>
  <c r="V700" i="25"/>
  <c r="W700" i="25"/>
  <c r="V701" i="25"/>
  <c r="W701" i="25"/>
  <c r="V702" i="25"/>
  <c r="W702" i="25"/>
  <c r="V703" i="25"/>
  <c r="W703" i="25"/>
  <c r="V704" i="25"/>
  <c r="W704" i="25"/>
  <c r="V705" i="25"/>
  <c r="W705" i="25"/>
  <c r="V706" i="25"/>
  <c r="W706" i="25"/>
  <c r="V707" i="25"/>
  <c r="W707" i="25"/>
  <c r="V708" i="25"/>
  <c r="W708" i="25"/>
  <c r="V709" i="25"/>
  <c r="W709" i="25"/>
  <c r="V710" i="25"/>
  <c r="W710" i="25"/>
  <c r="V711" i="25"/>
  <c r="W711" i="25"/>
  <c r="V712" i="25"/>
  <c r="W712" i="25"/>
  <c r="V713" i="25"/>
  <c r="W713" i="25"/>
  <c r="V714" i="25"/>
  <c r="W714" i="25"/>
  <c r="V715" i="25"/>
  <c r="W715" i="25"/>
  <c r="V716" i="25"/>
  <c r="W716" i="25"/>
  <c r="V717" i="25"/>
  <c r="W717" i="25"/>
  <c r="V718" i="25"/>
  <c r="W718" i="25"/>
  <c r="V719" i="25"/>
  <c r="W719" i="25"/>
  <c r="V720" i="25"/>
  <c r="W720" i="25"/>
  <c r="V721" i="25"/>
  <c r="W721" i="25"/>
  <c r="V722" i="25"/>
  <c r="W722" i="25"/>
  <c r="V723" i="25"/>
  <c r="W723" i="25"/>
  <c r="V724" i="25"/>
  <c r="W724" i="25"/>
  <c r="V725" i="25"/>
  <c r="W725" i="25"/>
  <c r="V726" i="25"/>
  <c r="W726" i="25"/>
  <c r="V727" i="25"/>
  <c r="W727" i="25"/>
  <c r="V728" i="25"/>
  <c r="W728" i="25"/>
  <c r="V729" i="25"/>
  <c r="W729" i="25"/>
  <c r="V730" i="25"/>
  <c r="W730" i="25"/>
  <c r="V731" i="25"/>
  <c r="W731" i="25"/>
  <c r="V732" i="25"/>
  <c r="W732" i="25"/>
  <c r="V733" i="25"/>
  <c r="W733" i="25"/>
  <c r="V734" i="25"/>
  <c r="W734" i="25"/>
  <c r="V735" i="25"/>
  <c r="W735" i="25"/>
  <c r="V736" i="25"/>
  <c r="W736" i="25"/>
  <c r="V737" i="25"/>
  <c r="W737" i="25"/>
  <c r="V738" i="25"/>
  <c r="W738" i="25"/>
  <c r="V739" i="25"/>
  <c r="W739" i="25"/>
  <c r="V740" i="25"/>
  <c r="W740" i="25"/>
  <c r="V741" i="25"/>
  <c r="W741" i="25"/>
  <c r="V742" i="25"/>
  <c r="W742" i="25"/>
  <c r="V743" i="25"/>
  <c r="W743" i="25"/>
  <c r="V744" i="25"/>
  <c r="W744" i="25"/>
  <c r="V745" i="25"/>
  <c r="W745" i="25"/>
  <c r="V746" i="25"/>
  <c r="W746" i="25"/>
  <c r="V747" i="25"/>
  <c r="W747" i="25"/>
  <c r="V748" i="25"/>
  <c r="W748" i="25"/>
  <c r="V749" i="25"/>
  <c r="W749" i="25"/>
  <c r="V750" i="25"/>
  <c r="W750" i="25"/>
  <c r="V751" i="25"/>
  <c r="W751" i="25"/>
  <c r="V752" i="25"/>
  <c r="W752" i="25"/>
  <c r="V753" i="25"/>
  <c r="W753" i="25"/>
  <c r="V754" i="25"/>
  <c r="W754" i="25"/>
  <c r="V755" i="25"/>
  <c r="W755" i="25"/>
  <c r="V756" i="25"/>
  <c r="W756" i="25"/>
  <c r="V757" i="25"/>
  <c r="W757" i="25"/>
  <c r="V758" i="25"/>
  <c r="W758" i="25"/>
  <c r="V759" i="25"/>
  <c r="W759" i="25"/>
  <c r="V760" i="25"/>
  <c r="W760" i="25"/>
  <c r="V761" i="25"/>
  <c r="W761" i="25"/>
  <c r="V762" i="25"/>
  <c r="W762" i="25"/>
  <c r="V763" i="25"/>
  <c r="W763" i="25"/>
  <c r="V764" i="25"/>
  <c r="W764" i="25"/>
  <c r="V765" i="25"/>
  <c r="W765" i="25"/>
  <c r="V766" i="25"/>
  <c r="W766" i="25"/>
  <c r="V767" i="25"/>
  <c r="W767" i="25"/>
  <c r="V768" i="25"/>
  <c r="W768" i="25"/>
  <c r="V769" i="25"/>
  <c r="W769" i="25"/>
  <c r="V770" i="25"/>
  <c r="W770" i="25"/>
  <c r="V771" i="25"/>
  <c r="W771" i="25"/>
  <c r="V772" i="25"/>
  <c r="W772" i="25"/>
  <c r="V773" i="25"/>
  <c r="W773" i="25"/>
  <c r="V774" i="25"/>
  <c r="W774" i="25"/>
  <c r="V775" i="25"/>
  <c r="W775" i="25"/>
  <c r="V776" i="25"/>
  <c r="W776" i="25"/>
  <c r="V777" i="25"/>
  <c r="W777" i="25"/>
  <c r="V778" i="25"/>
  <c r="W778" i="25"/>
  <c r="V779" i="25"/>
  <c r="W779" i="25"/>
  <c r="V780" i="25"/>
  <c r="W780" i="25"/>
  <c r="V781" i="25"/>
  <c r="W781" i="25"/>
  <c r="V782" i="25"/>
  <c r="W782" i="25"/>
  <c r="V783" i="25"/>
  <c r="W783" i="25"/>
  <c r="V784" i="25"/>
  <c r="W784" i="25"/>
  <c r="V785" i="25"/>
  <c r="W785" i="25"/>
  <c r="V786" i="25"/>
  <c r="W786" i="25"/>
  <c r="V787" i="25"/>
  <c r="W787" i="25"/>
  <c r="V788" i="25"/>
  <c r="W788" i="25"/>
  <c r="V789" i="25"/>
  <c r="W789" i="25"/>
  <c r="V790" i="25"/>
  <c r="W790" i="25"/>
  <c r="V791" i="25"/>
  <c r="W791" i="25"/>
  <c r="V792" i="25"/>
  <c r="W792" i="25"/>
  <c r="V793" i="25"/>
  <c r="W793" i="25"/>
  <c r="V794" i="25"/>
  <c r="W794" i="25"/>
  <c r="V795" i="25"/>
  <c r="W795" i="25"/>
  <c r="V796" i="25"/>
  <c r="W796" i="25"/>
  <c r="V797" i="25"/>
  <c r="W797" i="25"/>
  <c r="V798" i="25"/>
  <c r="W798" i="25"/>
  <c r="V799" i="25"/>
  <c r="W799" i="25"/>
  <c r="V800" i="25"/>
  <c r="W800" i="25"/>
  <c r="V801" i="25"/>
  <c r="W801" i="25"/>
  <c r="V802" i="25"/>
  <c r="W802" i="25"/>
  <c r="V803" i="25"/>
  <c r="W803" i="25"/>
  <c r="V804" i="25"/>
  <c r="W804" i="25"/>
  <c r="V805" i="25"/>
  <c r="W805" i="25"/>
  <c r="V806" i="25"/>
  <c r="W806" i="25"/>
  <c r="V807" i="25"/>
  <c r="W807" i="25"/>
  <c r="V808" i="25"/>
  <c r="W808" i="25"/>
  <c r="V809" i="25"/>
  <c r="W809" i="25"/>
  <c r="V810" i="25"/>
  <c r="W810" i="25"/>
  <c r="V811" i="25"/>
  <c r="W811" i="25"/>
  <c r="V812" i="25"/>
  <c r="W812" i="25"/>
  <c r="V813" i="25"/>
  <c r="W813" i="25"/>
  <c r="V814" i="25"/>
  <c r="W814" i="25"/>
  <c r="V815" i="25"/>
  <c r="W815" i="25"/>
  <c r="V816" i="25"/>
  <c r="W816" i="25"/>
  <c r="V817" i="25"/>
  <c r="W817" i="25"/>
  <c r="V818" i="25"/>
  <c r="W818" i="25"/>
  <c r="V819" i="25"/>
  <c r="W819" i="25"/>
  <c r="V820" i="25"/>
  <c r="W820" i="25"/>
  <c r="V821" i="25"/>
  <c r="W821" i="25"/>
  <c r="V822" i="25"/>
  <c r="W822" i="25"/>
  <c r="V823" i="25"/>
  <c r="W823" i="25"/>
  <c r="V824" i="25"/>
  <c r="W824" i="25"/>
  <c r="V825" i="25"/>
  <c r="W825" i="25"/>
  <c r="V826" i="25"/>
  <c r="W826" i="25"/>
  <c r="V827" i="25"/>
  <c r="W827" i="25"/>
  <c r="V828" i="25"/>
  <c r="W828" i="25"/>
  <c r="V829" i="25"/>
  <c r="W829" i="25"/>
  <c r="V830" i="25"/>
  <c r="W830" i="25"/>
  <c r="V831" i="25"/>
  <c r="W831" i="25"/>
  <c r="V832" i="25"/>
  <c r="W832" i="25"/>
  <c r="V833" i="25"/>
  <c r="W833" i="25"/>
  <c r="V834" i="25"/>
  <c r="W834" i="25"/>
  <c r="V835" i="25"/>
  <c r="W835" i="25"/>
  <c r="V836" i="25"/>
  <c r="W836" i="25"/>
  <c r="V837" i="25"/>
  <c r="W837" i="25"/>
  <c r="V838" i="25"/>
  <c r="W838" i="25"/>
  <c r="V839" i="25"/>
  <c r="W839" i="25"/>
  <c r="V840" i="25"/>
  <c r="W840" i="25"/>
  <c r="V841" i="25"/>
  <c r="W841" i="25"/>
  <c r="V842" i="25"/>
  <c r="W842" i="25"/>
  <c r="V843" i="25"/>
  <c r="W843" i="25"/>
  <c r="V844" i="25"/>
  <c r="W844" i="25"/>
  <c r="V845" i="25"/>
  <c r="W845" i="25"/>
  <c r="V846" i="25"/>
  <c r="W846" i="25"/>
  <c r="V847" i="25"/>
  <c r="W847" i="25"/>
  <c r="V848" i="25"/>
  <c r="W848" i="25"/>
  <c r="V849" i="25"/>
  <c r="W849" i="25"/>
  <c r="V850" i="25"/>
  <c r="W850" i="25"/>
  <c r="V851" i="25"/>
  <c r="W851" i="25"/>
  <c r="V852" i="25"/>
  <c r="W852" i="25"/>
  <c r="V853" i="25"/>
  <c r="W853" i="25"/>
  <c r="V854" i="25"/>
  <c r="W854" i="25"/>
  <c r="V855" i="25"/>
  <c r="W855" i="25"/>
  <c r="V856" i="25"/>
  <c r="W856" i="25"/>
  <c r="V857" i="25"/>
  <c r="W857" i="25"/>
  <c r="V858" i="25"/>
  <c r="W858" i="25"/>
  <c r="V859" i="25"/>
  <c r="W859" i="25"/>
  <c r="V860" i="25"/>
  <c r="W860" i="25"/>
  <c r="V861" i="25"/>
  <c r="W861" i="25"/>
  <c r="V862" i="25"/>
  <c r="W862" i="25"/>
  <c r="V863" i="25"/>
  <c r="W863" i="25"/>
  <c r="V864" i="25"/>
  <c r="W864" i="25"/>
  <c r="V865" i="25"/>
  <c r="W865" i="25"/>
  <c r="V866" i="25"/>
  <c r="W866" i="25"/>
  <c r="V867" i="25"/>
  <c r="W867" i="25"/>
  <c r="V868" i="25"/>
  <c r="W868" i="25"/>
  <c r="V869" i="25"/>
  <c r="W869" i="25"/>
  <c r="V870" i="25"/>
  <c r="W870" i="25"/>
  <c r="V871" i="25"/>
  <c r="W871" i="25"/>
  <c r="V872" i="25"/>
  <c r="W872" i="25"/>
  <c r="V873" i="25"/>
  <c r="W873" i="25"/>
  <c r="V874" i="25"/>
  <c r="W874" i="25"/>
  <c r="V875" i="25"/>
  <c r="W875" i="25"/>
  <c r="V876" i="25"/>
  <c r="W876" i="25"/>
  <c r="V877" i="25"/>
  <c r="W877" i="25"/>
  <c r="V878" i="25"/>
  <c r="W878" i="25"/>
  <c r="V879" i="25"/>
  <c r="W879" i="25"/>
  <c r="V880" i="25"/>
  <c r="W880" i="25"/>
  <c r="V881" i="25"/>
  <c r="W881" i="25"/>
  <c r="V882" i="25"/>
  <c r="W882" i="25"/>
  <c r="V883" i="25"/>
  <c r="W883" i="25"/>
  <c r="V884" i="25"/>
  <c r="W884" i="25"/>
  <c r="V885" i="25"/>
  <c r="W885" i="25"/>
  <c r="V886" i="25"/>
  <c r="W886" i="25"/>
  <c r="V887" i="25"/>
  <c r="W887" i="25"/>
  <c r="V888" i="25"/>
  <c r="W888" i="25"/>
  <c r="V889" i="25"/>
  <c r="W889" i="25"/>
  <c r="V890" i="25"/>
  <c r="W890" i="25"/>
  <c r="V891" i="25"/>
  <c r="W891" i="25"/>
  <c r="V892" i="25"/>
  <c r="W892" i="25"/>
  <c r="V893" i="25"/>
  <c r="W893" i="25"/>
  <c r="V894" i="25"/>
  <c r="W894" i="25"/>
  <c r="V895" i="25"/>
  <c r="W895" i="25"/>
  <c r="V896" i="25"/>
  <c r="W896" i="25"/>
  <c r="V897" i="25"/>
  <c r="W897" i="25"/>
  <c r="V898" i="25"/>
  <c r="W898" i="25"/>
  <c r="V899" i="25"/>
  <c r="W899" i="25"/>
  <c r="V900" i="25"/>
  <c r="W900" i="25"/>
  <c r="V901" i="25"/>
  <c r="W901" i="25"/>
  <c r="V902" i="25"/>
  <c r="W902" i="25"/>
  <c r="V903" i="25"/>
  <c r="W903" i="25"/>
  <c r="V904" i="25"/>
  <c r="W904" i="25"/>
  <c r="V905" i="25"/>
  <c r="W905" i="25"/>
  <c r="V906" i="25"/>
  <c r="W906" i="25"/>
  <c r="V907" i="25"/>
  <c r="W907" i="25"/>
  <c r="V908" i="25"/>
  <c r="W908" i="25"/>
  <c r="V909" i="25"/>
  <c r="W909" i="25"/>
  <c r="V910" i="25"/>
  <c r="W910" i="25"/>
  <c r="V911" i="25"/>
  <c r="W911" i="25"/>
  <c r="V912" i="25"/>
  <c r="W912" i="25"/>
  <c r="V913" i="25"/>
  <c r="W913" i="25"/>
  <c r="V914" i="25"/>
  <c r="W914" i="25"/>
  <c r="V915" i="25"/>
  <c r="W915" i="25"/>
  <c r="V916" i="25"/>
  <c r="W916" i="25"/>
  <c r="V917" i="25"/>
  <c r="W917" i="25"/>
  <c r="V918" i="25"/>
  <c r="W918" i="25"/>
  <c r="V919" i="25"/>
  <c r="W919" i="25"/>
  <c r="V920" i="25"/>
  <c r="W920" i="25"/>
  <c r="V921" i="25"/>
  <c r="W921" i="25"/>
  <c r="V922" i="25"/>
  <c r="W922" i="25"/>
  <c r="V923" i="25"/>
  <c r="W923" i="25"/>
  <c r="V924" i="25"/>
  <c r="W924" i="25"/>
  <c r="V925" i="25"/>
  <c r="W925" i="25"/>
  <c r="V926" i="25"/>
  <c r="W926" i="25"/>
  <c r="V927" i="25"/>
  <c r="W927" i="25"/>
  <c r="V928" i="25"/>
  <c r="W928" i="25"/>
  <c r="V929" i="25"/>
  <c r="W929" i="25"/>
  <c r="V930" i="25"/>
  <c r="W930" i="25"/>
  <c r="V931" i="25"/>
  <c r="W931" i="25"/>
  <c r="V932" i="25"/>
  <c r="W932" i="25"/>
  <c r="V933" i="25"/>
  <c r="W933" i="25"/>
  <c r="V934" i="25"/>
  <c r="W934" i="25"/>
  <c r="V935" i="25"/>
  <c r="W935" i="25"/>
  <c r="V936" i="25"/>
  <c r="W936" i="25"/>
  <c r="V937" i="25"/>
  <c r="W937" i="25"/>
  <c r="V938" i="25"/>
  <c r="W938" i="25"/>
  <c r="V939" i="25"/>
  <c r="W939" i="25"/>
  <c r="V940" i="25"/>
  <c r="W940" i="25"/>
  <c r="V941" i="25"/>
  <c r="W941" i="25"/>
  <c r="V942" i="25"/>
  <c r="W942" i="25"/>
  <c r="V943" i="25"/>
  <c r="W943" i="25"/>
  <c r="V944" i="25"/>
  <c r="W944" i="25"/>
  <c r="V945" i="25"/>
  <c r="W945" i="25"/>
  <c r="V946" i="25"/>
  <c r="W946" i="25"/>
  <c r="V947" i="25"/>
  <c r="W947" i="25"/>
  <c r="V948" i="25"/>
  <c r="W948" i="25"/>
  <c r="V949" i="25"/>
  <c r="W949" i="25"/>
  <c r="V950" i="25"/>
  <c r="W950" i="25"/>
  <c r="V951" i="25"/>
  <c r="W951" i="25"/>
  <c r="V952" i="25"/>
  <c r="W952" i="25"/>
  <c r="V953" i="25"/>
  <c r="W953" i="25"/>
  <c r="V954" i="25"/>
  <c r="W954" i="25"/>
  <c r="V955" i="25"/>
  <c r="W955" i="25"/>
  <c r="V956" i="25"/>
  <c r="W956" i="25"/>
  <c r="V957" i="25"/>
  <c r="W957" i="25"/>
  <c r="V958" i="25"/>
  <c r="W958" i="25"/>
  <c r="V959" i="25"/>
  <c r="W959" i="25"/>
  <c r="V960" i="25"/>
  <c r="W960" i="25"/>
  <c r="V961" i="25"/>
  <c r="W961" i="25"/>
  <c r="V962" i="25"/>
  <c r="W962" i="25"/>
  <c r="V963" i="25"/>
  <c r="W963" i="25"/>
  <c r="V964" i="25"/>
  <c r="W964" i="25"/>
  <c r="V965" i="25"/>
  <c r="W965" i="25"/>
  <c r="V966" i="25"/>
  <c r="W966" i="25"/>
  <c r="V967" i="25"/>
  <c r="W967" i="25"/>
  <c r="V968" i="25"/>
  <c r="W968" i="25"/>
  <c r="V969" i="25"/>
  <c r="W969" i="25"/>
  <c r="V970" i="25"/>
  <c r="W970" i="25"/>
  <c r="V971" i="25"/>
  <c r="W971" i="25"/>
  <c r="V972" i="25"/>
  <c r="W972" i="25"/>
  <c r="V973" i="25"/>
  <c r="W973" i="25"/>
  <c r="V974" i="25"/>
  <c r="W974" i="25"/>
  <c r="V975" i="25"/>
  <c r="W975" i="25"/>
  <c r="V976" i="25"/>
  <c r="W976" i="25"/>
  <c r="V977" i="25"/>
  <c r="W977" i="25"/>
  <c r="V978" i="25"/>
  <c r="W978" i="25"/>
  <c r="V979" i="25"/>
  <c r="W979" i="25"/>
  <c r="V980" i="25"/>
  <c r="W980" i="25"/>
  <c r="V981" i="25"/>
  <c r="W981" i="25"/>
  <c r="V982" i="25"/>
  <c r="W982" i="25"/>
  <c r="V983" i="25"/>
  <c r="W983" i="25"/>
  <c r="V984" i="25"/>
  <c r="W984" i="25"/>
  <c r="V985" i="25"/>
  <c r="W985" i="25"/>
  <c r="V986" i="25"/>
  <c r="W986" i="25"/>
  <c r="V987" i="25"/>
  <c r="W987" i="25"/>
  <c r="V988" i="25"/>
  <c r="W988" i="25"/>
  <c r="V989" i="25"/>
  <c r="W989" i="25"/>
  <c r="V990" i="25"/>
  <c r="W990" i="25"/>
  <c r="V991" i="25"/>
  <c r="W991" i="25"/>
  <c r="V992" i="25"/>
  <c r="W992" i="25"/>
  <c r="V993" i="25"/>
  <c r="W993" i="25"/>
  <c r="V994" i="25"/>
  <c r="W994" i="25"/>
  <c r="V995" i="25"/>
  <c r="W995" i="25"/>
  <c r="V996" i="25"/>
  <c r="W996" i="25"/>
  <c r="V997" i="25"/>
  <c r="W997" i="25"/>
  <c r="V998" i="25"/>
  <c r="W998" i="25"/>
  <c r="V999" i="25"/>
  <c r="W999" i="25"/>
  <c r="V1000" i="25"/>
  <c r="W1000" i="25"/>
  <c r="V1001" i="25"/>
  <c r="W1001" i="25"/>
  <c r="V1002" i="25"/>
  <c r="W1002" i="25"/>
  <c r="V1003" i="25"/>
  <c r="W1003" i="25"/>
  <c r="V1004" i="25"/>
  <c r="W1004" i="25"/>
  <c r="V1005" i="25"/>
  <c r="W1005" i="25"/>
  <c r="V1006" i="25"/>
  <c r="W1006" i="25"/>
  <c r="V1007" i="25"/>
  <c r="W1007" i="25"/>
  <c r="V1008" i="25"/>
  <c r="W1008" i="25"/>
  <c r="V1009" i="25"/>
  <c r="W1009" i="25"/>
  <c r="V1010" i="25"/>
  <c r="W1010" i="25"/>
  <c r="V1011" i="25"/>
  <c r="W1011" i="25"/>
  <c r="V1012" i="25"/>
  <c r="W1012" i="25"/>
  <c r="V1013" i="25"/>
  <c r="W1013" i="25"/>
  <c r="V1014" i="25"/>
  <c r="W1014" i="25"/>
  <c r="V1015" i="25"/>
  <c r="W1015" i="25"/>
  <c r="V1016" i="25"/>
  <c r="W1016" i="25"/>
  <c r="V1017" i="25"/>
  <c r="W1017" i="25"/>
  <c r="V1018" i="25"/>
  <c r="W1018" i="25"/>
  <c r="V1019" i="25"/>
  <c r="W1019" i="25"/>
  <c r="V1020" i="25"/>
  <c r="W1020" i="25"/>
  <c r="V1021" i="25"/>
  <c r="W1021" i="25"/>
  <c r="V1022" i="25"/>
  <c r="W1022" i="25"/>
  <c r="V1023" i="25"/>
  <c r="W1023" i="25"/>
  <c r="V1024" i="25"/>
  <c r="W1024" i="25"/>
  <c r="V1025" i="25"/>
  <c r="W1025" i="25"/>
  <c r="V1026" i="25"/>
  <c r="W1026" i="25"/>
  <c r="V1027" i="25"/>
  <c r="W1027" i="25"/>
  <c r="V1028" i="25"/>
  <c r="W1028" i="25"/>
  <c r="V1029" i="25"/>
  <c r="W1029" i="25"/>
  <c r="V1030" i="25"/>
  <c r="W1030" i="25"/>
  <c r="V1031" i="25"/>
  <c r="W1031" i="25"/>
  <c r="V1032" i="25"/>
  <c r="W1032" i="25"/>
  <c r="V1033" i="25"/>
  <c r="W1033" i="25"/>
  <c r="V1034" i="25"/>
  <c r="W1034" i="25"/>
  <c r="V1035" i="25"/>
  <c r="W1035" i="25"/>
  <c r="V1036" i="25"/>
  <c r="W1036" i="25"/>
  <c r="V1037" i="25"/>
  <c r="W1037" i="25"/>
  <c r="V1038" i="25"/>
  <c r="W1038" i="25"/>
  <c r="V1039" i="25"/>
  <c r="W1039" i="25"/>
  <c r="V1040" i="25"/>
  <c r="W1040" i="25"/>
  <c r="V1041" i="25"/>
  <c r="W1041" i="25"/>
  <c r="V1042" i="25"/>
  <c r="W1042" i="25"/>
  <c r="V1043" i="25"/>
  <c r="W1043" i="25"/>
  <c r="V1044" i="25"/>
  <c r="W1044" i="25"/>
  <c r="V1045" i="25"/>
  <c r="W1045" i="25"/>
  <c r="V1046" i="25"/>
  <c r="W1046" i="25"/>
  <c r="V1047" i="25"/>
  <c r="W1047" i="25"/>
  <c r="V1048" i="25"/>
  <c r="W1048" i="25"/>
  <c r="V1049" i="25"/>
  <c r="W1049" i="25"/>
  <c r="V1050" i="25"/>
  <c r="W1050" i="25"/>
  <c r="V1051" i="25"/>
  <c r="W1051" i="25"/>
  <c r="V1052" i="25"/>
  <c r="W1052" i="25"/>
  <c r="V1053" i="25"/>
  <c r="W1053" i="25"/>
  <c r="V1054" i="25"/>
  <c r="W1054" i="25"/>
  <c r="V1055" i="25"/>
  <c r="W1055" i="25"/>
  <c r="V1056" i="25"/>
  <c r="W1056" i="25"/>
  <c r="V1057" i="25"/>
  <c r="W1057" i="25"/>
  <c r="V1058" i="25"/>
  <c r="W1058" i="25"/>
  <c r="V1059" i="25"/>
  <c r="W1059" i="25"/>
  <c r="V1060" i="25"/>
  <c r="W1060" i="25"/>
  <c r="V1061" i="25"/>
  <c r="W1061" i="25"/>
  <c r="V1062" i="25"/>
  <c r="W1062" i="25"/>
  <c r="V1063" i="25"/>
  <c r="W1063" i="25"/>
  <c r="V1064" i="25"/>
  <c r="W1064" i="25"/>
  <c r="V1065" i="25"/>
  <c r="W1065" i="25"/>
  <c r="V1066" i="25"/>
  <c r="W1066" i="25"/>
  <c r="V1067" i="25"/>
  <c r="W1067" i="25"/>
  <c r="V1068" i="25"/>
  <c r="W1068" i="25"/>
  <c r="V1069" i="25"/>
  <c r="W1069" i="25"/>
  <c r="V1070" i="25"/>
  <c r="W1070" i="25"/>
  <c r="V1071" i="25"/>
  <c r="W1071" i="25"/>
  <c r="V1072" i="25"/>
  <c r="W1072" i="25"/>
  <c r="V1073" i="25"/>
  <c r="W1073" i="25"/>
  <c r="V1074" i="25"/>
  <c r="W1074" i="25"/>
  <c r="V1075" i="25"/>
  <c r="W1075" i="25"/>
  <c r="V1076" i="25"/>
  <c r="W1076" i="25"/>
  <c r="V1077" i="25"/>
  <c r="W1077" i="25"/>
  <c r="V1078" i="25"/>
  <c r="W1078" i="25"/>
  <c r="V1079" i="25"/>
  <c r="W1079" i="25"/>
  <c r="V1080" i="25"/>
  <c r="W1080" i="25"/>
  <c r="V1081" i="25"/>
  <c r="W1081" i="25"/>
  <c r="V1082" i="25"/>
  <c r="W1082" i="25"/>
  <c r="V1083" i="25"/>
  <c r="W1083" i="25"/>
  <c r="V1084" i="25"/>
  <c r="W1084" i="25"/>
  <c r="V1085" i="25"/>
  <c r="W1085" i="25"/>
  <c r="V1086" i="25"/>
  <c r="W1086" i="25"/>
  <c r="V1087" i="25"/>
  <c r="W1087" i="25"/>
  <c r="V1088" i="25"/>
  <c r="W1088" i="25"/>
  <c r="V1089" i="25"/>
  <c r="W1089" i="25"/>
  <c r="V1090" i="25"/>
  <c r="W1090" i="25"/>
  <c r="V1091" i="25"/>
  <c r="W1091" i="25"/>
  <c r="V1092" i="25"/>
  <c r="W1092" i="25"/>
  <c r="V1093" i="25"/>
  <c r="W1093" i="25"/>
  <c r="V1094" i="25"/>
  <c r="W1094" i="25"/>
  <c r="V1095" i="25"/>
  <c r="W1095" i="25"/>
  <c r="V1096" i="25"/>
  <c r="W1096" i="25"/>
  <c r="V1097" i="25"/>
  <c r="W1097" i="25"/>
  <c r="V1098" i="25"/>
  <c r="W1098" i="25"/>
  <c r="V1099" i="25"/>
  <c r="W1099" i="25"/>
  <c r="V1100" i="25"/>
  <c r="W1100" i="25"/>
  <c r="V1101" i="25"/>
  <c r="W1101" i="25"/>
  <c r="V1102" i="25"/>
  <c r="W1102" i="25"/>
  <c r="V1103" i="25"/>
  <c r="W1103" i="25"/>
  <c r="V1104" i="25"/>
  <c r="W1104" i="25"/>
  <c r="V1105" i="25"/>
  <c r="W1105" i="25"/>
  <c r="V1106" i="25"/>
  <c r="W1106" i="25"/>
  <c r="V1107" i="25"/>
  <c r="W1107" i="25"/>
  <c r="V1108" i="25"/>
  <c r="W1108" i="25"/>
  <c r="V1109" i="25"/>
  <c r="W1109" i="25"/>
  <c r="V1110" i="25"/>
  <c r="W1110" i="25"/>
  <c r="V1111" i="25"/>
  <c r="W1111" i="25"/>
  <c r="V1112" i="25"/>
  <c r="W1112" i="25"/>
  <c r="V1113" i="25"/>
  <c r="W1113" i="25"/>
  <c r="V1114" i="25"/>
  <c r="W1114" i="25"/>
  <c r="V1115" i="25"/>
  <c r="W1115" i="25"/>
  <c r="V1116" i="25"/>
  <c r="W1116" i="25"/>
  <c r="V1117" i="25"/>
  <c r="W1117" i="25"/>
  <c r="V1118" i="25"/>
  <c r="W1118" i="25"/>
  <c r="V1119" i="25"/>
  <c r="W1119" i="25"/>
  <c r="V1120" i="25"/>
  <c r="W1120" i="25"/>
  <c r="V1121" i="25"/>
  <c r="W1121" i="25"/>
  <c r="V1122" i="25"/>
  <c r="W1122" i="25"/>
  <c r="V1123" i="25"/>
  <c r="W1123" i="25"/>
  <c r="V1124" i="25"/>
  <c r="W1124" i="25"/>
  <c r="V1125" i="25"/>
  <c r="W1125" i="25"/>
  <c r="V1126" i="25"/>
  <c r="W1126" i="25"/>
  <c r="V1127" i="25"/>
  <c r="W1127" i="25"/>
  <c r="V1128" i="25"/>
  <c r="W1128" i="25"/>
  <c r="V1129" i="25"/>
  <c r="W1129" i="25"/>
  <c r="V1130" i="25"/>
  <c r="W1130" i="25"/>
  <c r="V1131" i="25"/>
  <c r="W1131" i="25"/>
  <c r="V1132" i="25"/>
  <c r="W1132" i="25"/>
  <c r="V1133" i="25"/>
  <c r="W1133" i="25"/>
  <c r="V1134" i="25"/>
  <c r="W1134" i="25"/>
  <c r="V1135" i="25"/>
  <c r="W1135" i="25"/>
  <c r="V1136" i="25"/>
  <c r="W1136" i="25"/>
  <c r="V1137" i="25"/>
  <c r="W1137" i="25"/>
  <c r="V1138" i="25"/>
  <c r="W1138" i="25"/>
  <c r="V1139" i="25"/>
  <c r="W1139" i="25"/>
  <c r="V1140" i="25"/>
  <c r="W1140" i="25"/>
  <c r="V1141" i="25"/>
  <c r="W1141" i="25"/>
  <c r="V1142" i="25"/>
  <c r="W1142" i="25"/>
  <c r="V1143" i="25"/>
  <c r="W1143" i="25"/>
  <c r="V1144" i="25"/>
  <c r="W1144" i="25"/>
  <c r="V1145" i="25"/>
  <c r="W1145" i="25"/>
  <c r="V1146" i="25"/>
  <c r="W1146" i="25"/>
  <c r="V1147" i="25"/>
  <c r="W1147" i="25"/>
  <c r="V1148" i="25"/>
  <c r="W1148" i="25"/>
  <c r="V1149" i="25"/>
  <c r="W1149" i="25"/>
  <c r="V1150" i="25"/>
  <c r="W1150" i="25"/>
  <c r="V1151" i="25"/>
  <c r="W1151" i="25"/>
  <c r="V1152" i="25"/>
  <c r="W1152" i="25"/>
  <c r="V1153" i="25"/>
  <c r="W1153" i="25"/>
  <c r="V1154" i="25"/>
  <c r="W1154" i="25"/>
  <c r="V1155" i="25"/>
  <c r="W1155" i="25"/>
  <c r="V1156" i="25"/>
  <c r="W1156" i="25"/>
  <c r="V1157" i="25"/>
  <c r="W1157" i="25"/>
  <c r="V1158" i="25"/>
  <c r="W1158" i="25"/>
  <c r="V1159" i="25"/>
  <c r="W1159" i="25"/>
  <c r="V1160" i="25"/>
  <c r="W1160" i="25"/>
  <c r="V1161" i="25"/>
  <c r="W1161" i="25"/>
  <c r="V1162" i="25"/>
  <c r="W1162" i="25"/>
  <c r="V1163" i="25"/>
  <c r="W1163" i="25"/>
  <c r="V1164" i="25"/>
  <c r="W1164" i="25"/>
  <c r="V1165" i="25"/>
  <c r="W1165" i="25"/>
  <c r="V1166" i="25"/>
  <c r="W1166" i="25"/>
  <c r="V1167" i="25"/>
  <c r="W1167" i="25"/>
  <c r="V1168" i="25"/>
  <c r="W1168" i="25"/>
  <c r="V1169" i="25"/>
  <c r="W1169" i="25"/>
  <c r="V1170" i="25"/>
  <c r="W1170" i="25"/>
  <c r="V1171" i="25"/>
  <c r="W1171" i="25"/>
  <c r="V1172" i="25"/>
  <c r="W1172" i="25"/>
  <c r="V1173" i="25"/>
  <c r="W1173" i="25"/>
  <c r="V1174" i="25"/>
  <c r="W1174" i="25"/>
  <c r="V1175" i="25"/>
  <c r="W1175" i="25"/>
  <c r="V1176" i="25"/>
  <c r="W1176" i="25"/>
  <c r="V1177" i="25"/>
  <c r="W1177" i="25"/>
  <c r="V1178" i="25"/>
  <c r="W1178" i="25"/>
  <c r="V1179" i="25"/>
  <c r="W1179" i="25"/>
  <c r="V1180" i="25"/>
  <c r="W1180" i="25"/>
  <c r="V1181" i="25"/>
  <c r="W1181" i="25"/>
  <c r="V1182" i="25"/>
  <c r="W1182" i="25"/>
  <c r="V1183" i="25"/>
  <c r="W1183" i="25"/>
  <c r="V1184" i="25"/>
  <c r="W1184" i="25"/>
  <c r="V1185" i="25"/>
  <c r="W1185" i="25"/>
  <c r="V1186" i="25"/>
  <c r="W1186" i="25"/>
  <c r="V1187" i="25"/>
  <c r="W1187" i="25"/>
  <c r="V1188" i="25"/>
  <c r="W1188" i="25"/>
  <c r="V1189" i="25"/>
  <c r="W1189" i="25"/>
  <c r="V1190" i="25"/>
  <c r="W1190" i="25"/>
  <c r="V1191" i="25"/>
  <c r="W1191" i="25"/>
  <c r="V1192" i="25"/>
  <c r="W1192" i="25"/>
  <c r="V1193" i="25"/>
  <c r="W1193" i="25"/>
  <c r="V1194" i="25"/>
  <c r="W1194" i="25"/>
  <c r="V1195" i="25"/>
  <c r="W1195" i="25"/>
  <c r="V1196" i="25"/>
  <c r="W1196" i="25"/>
  <c r="V1197" i="25"/>
  <c r="W1197" i="25"/>
  <c r="V1198" i="25"/>
  <c r="W1198" i="25"/>
  <c r="V1199" i="25"/>
  <c r="W1199" i="25"/>
  <c r="V1200" i="25"/>
  <c r="W1200" i="25"/>
  <c r="V4" i="36"/>
  <c r="V5" i="25" s="1"/>
  <c r="X4" i="36"/>
  <c r="W5" i="25" s="1"/>
  <c r="V5" i="36"/>
  <c r="V6" i="25" s="1"/>
  <c r="X5" i="36"/>
  <c r="W6" i="25" s="1"/>
  <c r="V6" i="36"/>
  <c r="V7" i="25" s="1"/>
  <c r="W6" i="36"/>
  <c r="AH7" i="25" s="1"/>
  <c r="X6" i="36"/>
  <c r="W7" i="25" s="1"/>
  <c r="V7" i="36"/>
  <c r="V8" i="25" s="1"/>
  <c r="W7" i="36"/>
  <c r="AH8" i="25" s="1"/>
  <c r="X7" i="36"/>
  <c r="W8" i="25" s="1"/>
  <c r="V8" i="36"/>
  <c r="V9" i="25" s="1"/>
  <c r="W8" i="36"/>
  <c r="AH9" i="25" s="1"/>
  <c r="X8" i="36"/>
  <c r="W9" i="25" s="1"/>
  <c r="V9" i="36"/>
  <c r="V10" i="25" s="1"/>
  <c r="X9" i="36"/>
  <c r="W10" i="25" s="1"/>
  <c r="V10" i="36"/>
  <c r="V11" i="25" s="1"/>
  <c r="W10" i="36"/>
  <c r="AH11" i="25" s="1"/>
  <c r="X10" i="36"/>
  <c r="W11" i="25" s="1"/>
  <c r="V11" i="36"/>
  <c r="V12" i="25" s="1"/>
  <c r="W11" i="36"/>
  <c r="AH12" i="25" s="1"/>
  <c r="X11" i="36"/>
  <c r="W12" i="25" s="1"/>
  <c r="V12" i="36"/>
  <c r="V13" i="25" s="1"/>
  <c r="W12" i="36"/>
  <c r="AH13" i="25" s="1"/>
  <c r="X12" i="36"/>
  <c r="W13" i="25" s="1"/>
  <c r="V13" i="36"/>
  <c r="V14" i="25" s="1"/>
  <c r="X13" i="36"/>
  <c r="W14" i="25" s="1"/>
  <c r="V14" i="36"/>
  <c r="V15" i="25" s="1"/>
  <c r="W14" i="36"/>
  <c r="AH15" i="25" s="1"/>
  <c r="X14" i="36"/>
  <c r="W15" i="25" s="1"/>
  <c r="V15" i="36"/>
  <c r="V16" i="25" s="1"/>
  <c r="W15" i="36"/>
  <c r="AH16" i="25" s="1"/>
  <c r="X15" i="36"/>
  <c r="W16" i="25" s="1"/>
  <c r="V16" i="36"/>
  <c r="V17" i="25" s="1"/>
  <c r="W16" i="36"/>
  <c r="AH17" i="25" s="1"/>
  <c r="X16" i="36"/>
  <c r="W17" i="25" s="1"/>
  <c r="V17" i="36"/>
  <c r="V18" i="25" s="1"/>
  <c r="X17" i="36"/>
  <c r="W18" i="25" s="1"/>
  <c r="V18" i="36"/>
  <c r="V19" i="25" s="1"/>
  <c r="W18" i="36"/>
  <c r="AH19" i="25" s="1"/>
  <c r="X18" i="36"/>
  <c r="W19" i="25" s="1"/>
  <c r="V19" i="36"/>
  <c r="V20" i="25" s="1"/>
  <c r="W19" i="36"/>
  <c r="AH20" i="25" s="1"/>
  <c r="X19" i="36"/>
  <c r="W20" i="25" s="1"/>
  <c r="V20" i="36"/>
  <c r="V21" i="25" s="1"/>
  <c r="W20" i="36"/>
  <c r="AH21" i="25" s="1"/>
  <c r="X20" i="36"/>
  <c r="W21" i="25" s="1"/>
  <c r="V21" i="36"/>
  <c r="V22" i="25" s="1"/>
  <c r="X21" i="36"/>
  <c r="W22" i="25" s="1"/>
  <c r="V22" i="36"/>
  <c r="V23" i="25" s="1"/>
  <c r="W22" i="36"/>
  <c r="AH23" i="25" s="1"/>
  <c r="X22" i="36"/>
  <c r="W23" i="25" s="1"/>
  <c r="V23" i="36"/>
  <c r="V24" i="25" s="1"/>
  <c r="W23" i="36"/>
  <c r="AH24" i="25" s="1"/>
  <c r="X23" i="36"/>
  <c r="W24" i="25" s="1"/>
  <c r="V24" i="36"/>
  <c r="V25" i="25" s="1"/>
  <c r="W24" i="36"/>
  <c r="AH25" i="25" s="1"/>
  <c r="X24" i="36"/>
  <c r="W25" i="25" s="1"/>
  <c r="V25" i="36"/>
  <c r="V26" i="25" s="1"/>
  <c r="X25" i="36"/>
  <c r="W26" i="25" s="1"/>
  <c r="V26" i="36"/>
  <c r="V27" i="25" s="1"/>
  <c r="W26" i="36"/>
  <c r="AH27" i="25" s="1"/>
  <c r="X26" i="36"/>
  <c r="W27" i="25" s="1"/>
  <c r="V27" i="36"/>
  <c r="V28" i="25" s="1"/>
  <c r="W27" i="36"/>
  <c r="AH28" i="25" s="1"/>
  <c r="X27" i="36"/>
  <c r="W28" i="25" s="1"/>
  <c r="V28" i="36"/>
  <c r="V29" i="25" s="1"/>
  <c r="W28" i="36"/>
  <c r="AH29" i="25" s="1"/>
  <c r="X28" i="36"/>
  <c r="W29" i="25" s="1"/>
  <c r="V29" i="36"/>
  <c r="V30" i="25" s="1"/>
  <c r="X29" i="36"/>
  <c r="W30" i="25" s="1"/>
  <c r="V30" i="36"/>
  <c r="V31" i="25" s="1"/>
  <c r="W30" i="36"/>
  <c r="AH31" i="25" s="1"/>
  <c r="X30" i="36"/>
  <c r="W31" i="25" s="1"/>
  <c r="V31" i="36"/>
  <c r="V32" i="25" s="1"/>
  <c r="W31" i="36"/>
  <c r="AH32" i="25" s="1"/>
  <c r="X31" i="36"/>
  <c r="W32" i="25" s="1"/>
  <c r="V32" i="36"/>
  <c r="V33" i="25" s="1"/>
  <c r="W32" i="36"/>
  <c r="AH33" i="25" s="1"/>
  <c r="X32" i="36"/>
  <c r="W33" i="25" s="1"/>
  <c r="V33" i="36"/>
  <c r="V34" i="25" s="1"/>
  <c r="X33" i="36"/>
  <c r="W34" i="25" s="1"/>
  <c r="V34" i="36"/>
  <c r="V35" i="25" s="1"/>
  <c r="W34" i="36"/>
  <c r="AH35" i="25" s="1"/>
  <c r="X34" i="36"/>
  <c r="W35" i="25" s="1"/>
  <c r="V35" i="36"/>
  <c r="V36" i="25" s="1"/>
  <c r="W35" i="36"/>
  <c r="AH36" i="25" s="1"/>
  <c r="X35" i="36"/>
  <c r="W36" i="25" s="1"/>
  <c r="V36" i="36"/>
  <c r="V37" i="25" s="1"/>
  <c r="W36" i="36"/>
  <c r="AH37" i="25" s="1"/>
  <c r="X36" i="36"/>
  <c r="W37" i="25" s="1"/>
  <c r="V37" i="36"/>
  <c r="V38" i="25" s="1"/>
  <c r="X37" i="36"/>
  <c r="W38" i="25" s="1"/>
  <c r="V38" i="36"/>
  <c r="V39" i="25" s="1"/>
  <c r="W38" i="36"/>
  <c r="AH39" i="25" s="1"/>
  <c r="X38" i="36"/>
  <c r="W39" i="25" s="1"/>
  <c r="V39" i="36"/>
  <c r="V40" i="25" s="1"/>
  <c r="W39" i="36"/>
  <c r="AH40" i="25" s="1"/>
  <c r="X39" i="36"/>
  <c r="W40" i="25" s="1"/>
  <c r="V40" i="36"/>
  <c r="V41" i="25" s="1"/>
  <c r="W40" i="36"/>
  <c r="AH41" i="25" s="1"/>
  <c r="X40" i="36"/>
  <c r="W41" i="25" s="1"/>
  <c r="V41" i="36"/>
  <c r="V42" i="25" s="1"/>
  <c r="X41" i="36"/>
  <c r="W42" i="25" s="1"/>
  <c r="V42" i="36"/>
  <c r="V43" i="25" s="1"/>
  <c r="W42" i="36"/>
  <c r="AH43" i="25" s="1"/>
  <c r="X42" i="36"/>
  <c r="W43" i="25" s="1"/>
  <c r="V43" i="36"/>
  <c r="V44" i="25" s="1"/>
  <c r="W43" i="36"/>
  <c r="AH44" i="25" s="1"/>
  <c r="X43" i="36"/>
  <c r="W44" i="25" s="1"/>
  <c r="V44" i="36"/>
  <c r="V45" i="25" s="1"/>
  <c r="W44" i="36"/>
  <c r="AH45" i="25" s="1"/>
  <c r="X44" i="36"/>
  <c r="W45" i="25" s="1"/>
  <c r="V45" i="36"/>
  <c r="V46" i="25" s="1"/>
  <c r="X45" i="36"/>
  <c r="W46" i="25" s="1"/>
  <c r="V46" i="36"/>
  <c r="V47" i="25" s="1"/>
  <c r="W46" i="36"/>
  <c r="AH47" i="25" s="1"/>
  <c r="X46" i="36"/>
  <c r="W47" i="25" s="1"/>
  <c r="V47" i="36"/>
  <c r="V48" i="25" s="1"/>
  <c r="W47" i="36"/>
  <c r="AH48" i="25" s="1"/>
  <c r="X47" i="36"/>
  <c r="W48" i="25" s="1"/>
  <c r="V48" i="36"/>
  <c r="V49" i="25" s="1"/>
  <c r="W48" i="36"/>
  <c r="AH49" i="25" s="1"/>
  <c r="X48" i="36"/>
  <c r="W49" i="25" s="1"/>
  <c r="V49" i="36"/>
  <c r="V50" i="25" s="1"/>
  <c r="X49" i="36"/>
  <c r="W50" i="25" s="1"/>
  <c r="V50" i="36"/>
  <c r="V51" i="25" s="1"/>
  <c r="W50" i="36"/>
  <c r="AH51" i="25" s="1"/>
  <c r="X50" i="36"/>
  <c r="W51" i="25" s="1"/>
  <c r="V51" i="36"/>
  <c r="V52" i="25" s="1"/>
  <c r="W51" i="36"/>
  <c r="AH52" i="25" s="1"/>
  <c r="X51" i="36"/>
  <c r="W52" i="25" s="1"/>
  <c r="V52" i="36"/>
  <c r="V53" i="25" s="1"/>
  <c r="W52" i="36"/>
  <c r="AH53" i="25" s="1"/>
  <c r="X52" i="36"/>
  <c r="W53" i="25" s="1"/>
  <c r="V53" i="36"/>
  <c r="V54" i="25" s="1"/>
  <c r="X53" i="36"/>
  <c r="W54" i="25" s="1"/>
  <c r="V54" i="36"/>
  <c r="V55" i="25" s="1"/>
  <c r="W54" i="36"/>
  <c r="AH55" i="25" s="1"/>
  <c r="X54" i="36"/>
  <c r="W55" i="25" s="1"/>
  <c r="V55" i="36"/>
  <c r="V56" i="25" s="1"/>
  <c r="W55" i="36"/>
  <c r="AH56" i="25" s="1"/>
  <c r="X55" i="36"/>
  <c r="W56" i="25" s="1"/>
  <c r="V56" i="36"/>
  <c r="V57" i="25" s="1"/>
  <c r="W56" i="36"/>
  <c r="AH57" i="25" s="1"/>
  <c r="X56" i="36"/>
  <c r="W57" i="25" s="1"/>
  <c r="V57" i="36"/>
  <c r="V58" i="25" s="1"/>
  <c r="X57" i="36"/>
  <c r="W58" i="25" s="1"/>
  <c r="V58" i="36"/>
  <c r="V59" i="25" s="1"/>
  <c r="W58" i="36"/>
  <c r="AH59" i="25" s="1"/>
  <c r="X58" i="36"/>
  <c r="W59" i="25" s="1"/>
  <c r="V59" i="36"/>
  <c r="V60" i="25" s="1"/>
  <c r="W59" i="36"/>
  <c r="AH60" i="25" s="1"/>
  <c r="X59" i="36"/>
  <c r="W60" i="25" s="1"/>
  <c r="V60" i="36"/>
  <c r="V61" i="25" s="1"/>
  <c r="W60" i="36"/>
  <c r="AH61" i="25" s="1"/>
  <c r="X60" i="36"/>
  <c r="W61" i="25" s="1"/>
  <c r="V61" i="36"/>
  <c r="V62" i="25" s="1"/>
  <c r="X61" i="36"/>
  <c r="W62" i="25" s="1"/>
  <c r="V62" i="36"/>
  <c r="V63" i="25" s="1"/>
  <c r="W62" i="36"/>
  <c r="AH63" i="25" s="1"/>
  <c r="X62" i="36"/>
  <c r="W63" i="25" s="1"/>
  <c r="V63" i="36"/>
  <c r="V64" i="25" s="1"/>
  <c r="W63" i="36"/>
  <c r="AH64" i="25" s="1"/>
  <c r="X63" i="36"/>
  <c r="W64" i="25" s="1"/>
  <c r="V64" i="36"/>
  <c r="V65" i="25" s="1"/>
  <c r="W64" i="36"/>
  <c r="AH65" i="25" s="1"/>
  <c r="X64" i="36"/>
  <c r="W65" i="25" s="1"/>
  <c r="V65" i="36"/>
  <c r="V66" i="25" s="1"/>
  <c r="X65" i="36"/>
  <c r="W66" i="25" s="1"/>
  <c r="V66" i="36"/>
  <c r="V67" i="25" s="1"/>
  <c r="W66" i="36"/>
  <c r="AH67" i="25" s="1"/>
  <c r="X66" i="36"/>
  <c r="W67" i="25" s="1"/>
  <c r="V67" i="36"/>
  <c r="V68" i="25" s="1"/>
  <c r="W67" i="36"/>
  <c r="AH68" i="25" s="1"/>
  <c r="X67" i="36"/>
  <c r="W68" i="25" s="1"/>
  <c r="V68" i="36"/>
  <c r="V69" i="25" s="1"/>
  <c r="W68" i="36"/>
  <c r="AH69" i="25" s="1"/>
  <c r="X68" i="36"/>
  <c r="W69" i="25" s="1"/>
  <c r="V69" i="36"/>
  <c r="V70" i="25" s="1"/>
  <c r="X69" i="36"/>
  <c r="W70" i="25" s="1"/>
  <c r="V70" i="36"/>
  <c r="V71" i="25" s="1"/>
  <c r="W70" i="36"/>
  <c r="AH71" i="25" s="1"/>
  <c r="X70" i="36"/>
  <c r="W71" i="25" s="1"/>
  <c r="V71" i="36"/>
  <c r="V72" i="25" s="1"/>
  <c r="W71" i="36"/>
  <c r="AH72" i="25" s="1"/>
  <c r="X71" i="36"/>
  <c r="W72" i="25" s="1"/>
  <c r="V72" i="36"/>
  <c r="V73" i="25" s="1"/>
  <c r="W72" i="36"/>
  <c r="AH73" i="25" s="1"/>
  <c r="X72" i="36"/>
  <c r="W73" i="25" s="1"/>
  <c r="V73" i="36"/>
  <c r="V74" i="25" s="1"/>
  <c r="X73" i="36"/>
  <c r="W74" i="25" s="1"/>
  <c r="V74" i="36"/>
  <c r="V75" i="25" s="1"/>
  <c r="W74" i="36"/>
  <c r="AH75" i="25" s="1"/>
  <c r="X74" i="36"/>
  <c r="W75" i="25" s="1"/>
  <c r="V75" i="36"/>
  <c r="V76" i="25" s="1"/>
  <c r="W75" i="36"/>
  <c r="AH76" i="25" s="1"/>
  <c r="X75" i="36"/>
  <c r="W76" i="25" s="1"/>
  <c r="V76" i="36"/>
  <c r="V77" i="25" s="1"/>
  <c r="W76" i="36"/>
  <c r="AH77" i="25" s="1"/>
  <c r="X76" i="36"/>
  <c r="W77" i="25" s="1"/>
  <c r="V77" i="36"/>
  <c r="V78" i="25" s="1"/>
  <c r="X77" i="36"/>
  <c r="W78" i="25" s="1"/>
  <c r="V78" i="36"/>
  <c r="V79" i="25" s="1"/>
  <c r="W78" i="36"/>
  <c r="AH79" i="25" s="1"/>
  <c r="X78" i="36"/>
  <c r="W79" i="25" s="1"/>
  <c r="V79" i="36"/>
  <c r="V80" i="25" s="1"/>
  <c r="W79" i="36"/>
  <c r="AH80" i="25" s="1"/>
  <c r="X79" i="36"/>
  <c r="W80" i="25" s="1"/>
  <c r="V80" i="36"/>
  <c r="V81" i="25" s="1"/>
  <c r="W80" i="36"/>
  <c r="AH81" i="25" s="1"/>
  <c r="X80" i="36"/>
  <c r="W81" i="25" s="1"/>
  <c r="V81" i="36"/>
  <c r="V82" i="25" s="1"/>
  <c r="X81" i="36"/>
  <c r="W82" i="25" s="1"/>
  <c r="V82" i="36"/>
  <c r="V83" i="25" s="1"/>
  <c r="W82" i="36"/>
  <c r="AH83" i="25" s="1"/>
  <c r="X82" i="36"/>
  <c r="W83" i="25" s="1"/>
  <c r="V83" i="36"/>
  <c r="V84" i="25" s="1"/>
  <c r="W83" i="36"/>
  <c r="AH84" i="25" s="1"/>
  <c r="X83" i="36"/>
  <c r="W84" i="25" s="1"/>
  <c r="V84" i="36"/>
  <c r="V85" i="25" s="1"/>
  <c r="W84" i="36"/>
  <c r="AH85" i="25" s="1"/>
  <c r="X84" i="36"/>
  <c r="W85" i="25" s="1"/>
  <c r="V85" i="36"/>
  <c r="V86" i="25" s="1"/>
  <c r="X85" i="36"/>
  <c r="W86" i="25" s="1"/>
  <c r="V86" i="36"/>
  <c r="V87" i="25" s="1"/>
  <c r="W86" i="36"/>
  <c r="AH87" i="25" s="1"/>
  <c r="X86" i="36"/>
  <c r="W87" i="25" s="1"/>
  <c r="V87" i="36"/>
  <c r="V88" i="25" s="1"/>
  <c r="W87" i="36"/>
  <c r="AH88" i="25" s="1"/>
  <c r="X87" i="36"/>
  <c r="W88" i="25" s="1"/>
  <c r="V88" i="36"/>
  <c r="V89" i="25" s="1"/>
  <c r="W88" i="36"/>
  <c r="AH89" i="25" s="1"/>
  <c r="X88" i="36"/>
  <c r="W89" i="25" s="1"/>
  <c r="V89" i="36"/>
  <c r="V90" i="25" s="1"/>
  <c r="X89" i="36"/>
  <c r="W90" i="25" s="1"/>
  <c r="V90" i="36"/>
  <c r="V91" i="25" s="1"/>
  <c r="W90" i="36"/>
  <c r="AH91" i="25" s="1"/>
  <c r="X90" i="36"/>
  <c r="W91" i="25" s="1"/>
  <c r="V91" i="36"/>
  <c r="V92" i="25" s="1"/>
  <c r="W91" i="36"/>
  <c r="AH92" i="25" s="1"/>
  <c r="X91" i="36"/>
  <c r="W92" i="25" s="1"/>
  <c r="V92" i="36"/>
  <c r="V93" i="25" s="1"/>
  <c r="W92" i="36"/>
  <c r="AH93" i="25" s="1"/>
  <c r="X92" i="36"/>
  <c r="W93" i="25" s="1"/>
  <c r="V93" i="36"/>
  <c r="V94" i="25" s="1"/>
  <c r="X93" i="36"/>
  <c r="W94" i="25" s="1"/>
  <c r="V94" i="36"/>
  <c r="V95" i="25" s="1"/>
  <c r="X94" i="36"/>
  <c r="W95" i="25" s="1"/>
  <c r="V95" i="36"/>
  <c r="V96" i="25" s="1"/>
  <c r="X95" i="36"/>
  <c r="W96" i="25" s="1"/>
  <c r="V96" i="36"/>
  <c r="V97" i="25" s="1"/>
  <c r="W96" i="36"/>
  <c r="AH97" i="25" s="1"/>
  <c r="X96" i="36"/>
  <c r="W97" i="25" s="1"/>
  <c r="V97" i="36"/>
  <c r="V98" i="25" s="1"/>
  <c r="W97" i="36"/>
  <c r="AH98" i="25" s="1"/>
  <c r="X97" i="36"/>
  <c r="W98" i="25" s="1"/>
  <c r="V98" i="36"/>
  <c r="V99" i="25" s="1"/>
  <c r="W98" i="36"/>
  <c r="AH99" i="25" s="1"/>
  <c r="X98" i="36"/>
  <c r="W99" i="25" s="1"/>
  <c r="V99" i="36"/>
  <c r="V100" i="25" s="1"/>
  <c r="W99" i="36"/>
  <c r="AH100" i="25" s="1"/>
  <c r="X99" i="36"/>
  <c r="W100" i="25" s="1"/>
  <c r="V100" i="36"/>
  <c r="V101" i="25" s="1"/>
  <c r="X100" i="36"/>
  <c r="W101" i="25" s="1"/>
  <c r="V101" i="36"/>
  <c r="V102" i="25" s="1"/>
  <c r="X101" i="36"/>
  <c r="W102" i="25" s="1"/>
  <c r="V102" i="36"/>
  <c r="V103" i="25" s="1"/>
  <c r="X102" i="36"/>
  <c r="W103" i="25" s="1"/>
  <c r="V103" i="36"/>
  <c r="V104" i="25" s="1"/>
  <c r="X103" i="36"/>
  <c r="W104" i="25" s="1"/>
  <c r="V104" i="36"/>
  <c r="V105" i="25" s="1"/>
  <c r="X104" i="36"/>
  <c r="W105" i="25" s="1"/>
  <c r="V105" i="36"/>
  <c r="V106" i="25" s="1"/>
  <c r="X105" i="36"/>
  <c r="W106" i="25" s="1"/>
  <c r="V106" i="36"/>
  <c r="V107" i="25" s="1"/>
  <c r="X106" i="36"/>
  <c r="W107" i="25" s="1"/>
  <c r="V107" i="36"/>
  <c r="V108" i="25" s="1"/>
  <c r="X107" i="36"/>
  <c r="W108" i="25" s="1"/>
  <c r="V108" i="36"/>
  <c r="V109" i="25" s="1"/>
  <c r="X108" i="36"/>
  <c r="W109" i="25" s="1"/>
  <c r="V109" i="36"/>
  <c r="V110" i="25" s="1"/>
  <c r="X109" i="36"/>
  <c r="W110" i="25" s="1"/>
  <c r="V110" i="36"/>
  <c r="V111" i="25" s="1"/>
  <c r="W110" i="36"/>
  <c r="AH111" i="25" s="1"/>
  <c r="X110" i="36"/>
  <c r="W111" i="25" s="1"/>
  <c r="V111" i="36"/>
  <c r="V112" i="25" s="1"/>
  <c r="W111" i="36"/>
  <c r="AH112" i="25" s="1"/>
  <c r="X111" i="36"/>
  <c r="W112" i="25" s="1"/>
  <c r="V112" i="36"/>
  <c r="V113" i="25" s="1"/>
  <c r="X112" i="36"/>
  <c r="W113" i="25" s="1"/>
  <c r="V113" i="36"/>
  <c r="V114" i="25" s="1"/>
  <c r="X113" i="36"/>
  <c r="W114" i="25" s="1"/>
  <c r="V114" i="36"/>
  <c r="V115" i="25" s="1"/>
  <c r="W114" i="36"/>
  <c r="AH115" i="25" s="1"/>
  <c r="X114" i="36"/>
  <c r="W115" i="25" s="1"/>
  <c r="V115" i="36"/>
  <c r="V116" i="25" s="1"/>
  <c r="W115" i="36"/>
  <c r="AH116" i="25" s="1"/>
  <c r="X115" i="36"/>
  <c r="W116" i="25" s="1"/>
  <c r="V116" i="36"/>
  <c r="V117" i="25" s="1"/>
  <c r="W116" i="36"/>
  <c r="AH117" i="25" s="1"/>
  <c r="X116" i="36"/>
  <c r="W117" i="25" s="1"/>
  <c r="V117" i="36"/>
  <c r="V118" i="25" s="1"/>
  <c r="W117" i="36"/>
  <c r="AH118" i="25" s="1"/>
  <c r="X117" i="36"/>
  <c r="W118" i="25" s="1"/>
  <c r="V118" i="36"/>
  <c r="V119" i="25" s="1"/>
  <c r="W118" i="36"/>
  <c r="AH119" i="25" s="1"/>
  <c r="X118" i="36"/>
  <c r="W119" i="25" s="1"/>
  <c r="V119" i="36"/>
  <c r="V120" i="25" s="1"/>
  <c r="W119" i="36"/>
  <c r="AH120" i="25" s="1"/>
  <c r="X119" i="36"/>
  <c r="W120" i="25" s="1"/>
  <c r="V120" i="36"/>
  <c r="V121" i="25" s="1"/>
  <c r="W120" i="36"/>
  <c r="AH121" i="25" s="1"/>
  <c r="X120" i="36"/>
  <c r="W121" i="25" s="1"/>
  <c r="V121" i="36"/>
  <c r="V122" i="25" s="1"/>
  <c r="W121" i="36"/>
  <c r="AH122" i="25" s="1"/>
  <c r="X121" i="36"/>
  <c r="W122" i="25" s="1"/>
  <c r="V122" i="36"/>
  <c r="V123" i="25" s="1"/>
  <c r="W122" i="36"/>
  <c r="AH123" i="25" s="1"/>
  <c r="X122" i="36"/>
  <c r="W123" i="25" s="1"/>
  <c r="V123" i="36"/>
  <c r="V124" i="25" s="1"/>
  <c r="W123" i="36"/>
  <c r="AH124" i="25" s="1"/>
  <c r="X123" i="36"/>
  <c r="W124" i="25" s="1"/>
  <c r="V124" i="36"/>
  <c r="V125" i="25" s="1"/>
  <c r="W124" i="36"/>
  <c r="AH125" i="25" s="1"/>
  <c r="X124" i="36"/>
  <c r="W125" i="25" s="1"/>
  <c r="V125" i="36"/>
  <c r="V126" i="25" s="1"/>
  <c r="W125" i="36"/>
  <c r="AH126" i="25" s="1"/>
  <c r="X125" i="36"/>
  <c r="W126" i="25" s="1"/>
  <c r="V126" i="36"/>
  <c r="V127" i="25" s="1"/>
  <c r="W126" i="36"/>
  <c r="AH127" i="25" s="1"/>
  <c r="X126" i="36"/>
  <c r="W127" i="25" s="1"/>
  <c r="V127" i="36"/>
  <c r="V128" i="25" s="1"/>
  <c r="W127" i="36"/>
  <c r="AH128" i="25" s="1"/>
  <c r="X127" i="36"/>
  <c r="W128" i="25" s="1"/>
  <c r="V128" i="36"/>
  <c r="V129" i="25" s="1"/>
  <c r="W128" i="36"/>
  <c r="AH129" i="25" s="1"/>
  <c r="X128" i="36"/>
  <c r="W129" i="25" s="1"/>
  <c r="V129" i="36"/>
  <c r="V130" i="25" s="1"/>
  <c r="W129" i="36"/>
  <c r="AH130" i="25" s="1"/>
  <c r="X129" i="36"/>
  <c r="W130" i="25" s="1"/>
  <c r="V130" i="36"/>
  <c r="V131" i="25" s="1"/>
  <c r="W130" i="36"/>
  <c r="AH131" i="25" s="1"/>
  <c r="X130" i="36"/>
  <c r="W131" i="25" s="1"/>
  <c r="V131" i="36"/>
  <c r="V132" i="25" s="1"/>
  <c r="W131" i="36"/>
  <c r="AH132" i="25" s="1"/>
  <c r="X131" i="36"/>
  <c r="W132" i="25" s="1"/>
  <c r="V132" i="36"/>
  <c r="V133" i="25" s="1"/>
  <c r="W132" i="36"/>
  <c r="AH133" i="25" s="1"/>
  <c r="X132" i="36"/>
  <c r="W133" i="25" s="1"/>
  <c r="V133" i="36"/>
  <c r="V134" i="25" s="1"/>
  <c r="W133" i="36"/>
  <c r="AH134" i="25" s="1"/>
  <c r="X133" i="36"/>
  <c r="W134" i="25" s="1"/>
  <c r="V134" i="36"/>
  <c r="V135" i="25" s="1"/>
  <c r="W134" i="36"/>
  <c r="AH135" i="25" s="1"/>
  <c r="X134" i="36"/>
  <c r="W135" i="25" s="1"/>
  <c r="V135" i="36"/>
  <c r="V136" i="25" s="1"/>
  <c r="W135" i="36"/>
  <c r="AH136" i="25" s="1"/>
  <c r="X135" i="36"/>
  <c r="W136" i="25" s="1"/>
  <c r="V136" i="36"/>
  <c r="V137" i="25" s="1"/>
  <c r="W136" i="36"/>
  <c r="AH137" i="25" s="1"/>
  <c r="X136" i="36"/>
  <c r="W137" i="25" s="1"/>
  <c r="V137" i="36"/>
  <c r="V138" i="25" s="1"/>
  <c r="W137" i="36"/>
  <c r="AH138" i="25" s="1"/>
  <c r="X137" i="36"/>
  <c r="W138" i="25" s="1"/>
  <c r="V138" i="36"/>
  <c r="V139" i="25" s="1"/>
  <c r="W138" i="36"/>
  <c r="AH139" i="25" s="1"/>
  <c r="X138" i="36"/>
  <c r="W139" i="25" s="1"/>
  <c r="V139" i="36"/>
  <c r="V140" i="25" s="1"/>
  <c r="W139" i="36"/>
  <c r="AH140" i="25" s="1"/>
  <c r="X139" i="36"/>
  <c r="W140" i="25" s="1"/>
  <c r="V140" i="36"/>
  <c r="V141" i="25" s="1"/>
  <c r="X140" i="36"/>
  <c r="W141" i="25" s="1"/>
  <c r="V141" i="36"/>
  <c r="V142" i="25" s="1"/>
  <c r="W141" i="36"/>
  <c r="AH142" i="25" s="1"/>
  <c r="X141" i="36"/>
  <c r="W142" i="25" s="1"/>
  <c r="V142" i="36"/>
  <c r="V143" i="25" s="1"/>
  <c r="X142" i="36"/>
  <c r="W143" i="25" s="1"/>
  <c r="V143" i="36"/>
  <c r="V144" i="25" s="1"/>
  <c r="X143" i="36"/>
  <c r="W144" i="25" s="1"/>
  <c r="V144" i="36"/>
  <c r="V145" i="25" s="1"/>
  <c r="X144" i="36"/>
  <c r="W145" i="25" s="1"/>
  <c r="V145" i="36"/>
  <c r="V146" i="25" s="1"/>
  <c r="W145" i="36"/>
  <c r="AH146" i="25" s="1"/>
  <c r="X145" i="36"/>
  <c r="W146" i="25" s="1"/>
  <c r="V146" i="36"/>
  <c r="V147" i="25" s="1"/>
  <c r="X146" i="36"/>
  <c r="W147" i="25" s="1"/>
  <c r="V147" i="36"/>
  <c r="V148" i="25" s="1"/>
  <c r="X147" i="36"/>
  <c r="W148" i="25" s="1"/>
  <c r="V148" i="36"/>
  <c r="V149" i="25" s="1"/>
  <c r="X148" i="36"/>
  <c r="W149" i="25" s="1"/>
  <c r="V149" i="36"/>
  <c r="V150" i="25" s="1"/>
  <c r="W149" i="36"/>
  <c r="AH150" i="25" s="1"/>
  <c r="X149" i="36"/>
  <c r="W150" i="25" s="1"/>
  <c r="V150" i="36"/>
  <c r="V151" i="25" s="1"/>
  <c r="X150" i="36"/>
  <c r="W151" i="25" s="1"/>
  <c r="V151" i="36"/>
  <c r="V152" i="25" s="1"/>
  <c r="X151" i="36"/>
  <c r="W152" i="25" s="1"/>
  <c r="V152" i="36"/>
  <c r="V153" i="25" s="1"/>
  <c r="X152" i="36"/>
  <c r="W153" i="25" s="1"/>
  <c r="V153" i="36"/>
  <c r="V154" i="25" s="1"/>
  <c r="W153" i="36"/>
  <c r="AH154" i="25" s="1"/>
  <c r="X153" i="36"/>
  <c r="W154" i="25" s="1"/>
  <c r="V154" i="36"/>
  <c r="V155" i="25" s="1"/>
  <c r="X154" i="36"/>
  <c r="W155" i="25" s="1"/>
  <c r="V155" i="36"/>
  <c r="V156" i="25" s="1"/>
  <c r="X155" i="36"/>
  <c r="W156" i="25" s="1"/>
  <c r="V156" i="36"/>
  <c r="V157" i="25" s="1"/>
  <c r="X156" i="36"/>
  <c r="W157" i="25" s="1"/>
  <c r="V157" i="36"/>
  <c r="V158" i="25" s="1"/>
  <c r="W157" i="36"/>
  <c r="AH158" i="25" s="1"/>
  <c r="X157" i="36"/>
  <c r="W158" i="25" s="1"/>
  <c r="V158" i="36"/>
  <c r="V159" i="25" s="1"/>
  <c r="X158" i="36"/>
  <c r="W159" i="25" s="1"/>
  <c r="V159" i="36"/>
  <c r="V160" i="25" s="1"/>
  <c r="X159" i="36"/>
  <c r="W160" i="25" s="1"/>
  <c r="V160" i="36"/>
  <c r="V161" i="25" s="1"/>
  <c r="X160" i="36"/>
  <c r="W161" i="25" s="1"/>
  <c r="V161" i="36"/>
  <c r="V162" i="25" s="1"/>
  <c r="W161" i="36"/>
  <c r="AH162" i="25" s="1"/>
  <c r="X161" i="36"/>
  <c r="W162" i="25" s="1"/>
  <c r="V162" i="36"/>
  <c r="V163" i="25" s="1"/>
  <c r="X162" i="36"/>
  <c r="W163" i="25" s="1"/>
  <c r="V163" i="36"/>
  <c r="V164" i="25" s="1"/>
  <c r="X163" i="36"/>
  <c r="W164" i="25" s="1"/>
  <c r="V164" i="36"/>
  <c r="V165" i="25" s="1"/>
  <c r="X164" i="36"/>
  <c r="W165" i="25" s="1"/>
  <c r="V165" i="36"/>
  <c r="V166" i="25" s="1"/>
  <c r="W165" i="36"/>
  <c r="AH166" i="25" s="1"/>
  <c r="X165" i="36"/>
  <c r="W166" i="25" s="1"/>
  <c r="V166" i="36"/>
  <c r="V167" i="25" s="1"/>
  <c r="X166" i="36"/>
  <c r="W167" i="25" s="1"/>
  <c r="V167" i="36"/>
  <c r="V168" i="25" s="1"/>
  <c r="X167" i="36"/>
  <c r="W168" i="25" s="1"/>
  <c r="V168" i="36"/>
  <c r="V169" i="25" s="1"/>
  <c r="X168" i="36"/>
  <c r="W169" i="25" s="1"/>
  <c r="V169" i="36"/>
  <c r="V170" i="25" s="1"/>
  <c r="W169" i="36"/>
  <c r="AH170" i="25" s="1"/>
  <c r="X169" i="36"/>
  <c r="W170" i="25" s="1"/>
  <c r="V170" i="36"/>
  <c r="V171" i="25" s="1"/>
  <c r="X170" i="36"/>
  <c r="W171" i="25" s="1"/>
  <c r="V171" i="36"/>
  <c r="V172" i="25" s="1"/>
  <c r="X171" i="36"/>
  <c r="W172" i="25" s="1"/>
  <c r="V172" i="36"/>
  <c r="V173" i="25" s="1"/>
  <c r="X172" i="36"/>
  <c r="W173" i="25" s="1"/>
  <c r="V173" i="36"/>
  <c r="V174" i="25" s="1"/>
  <c r="W173" i="36"/>
  <c r="AH174" i="25" s="1"/>
  <c r="X173" i="36"/>
  <c r="W174" i="25" s="1"/>
  <c r="V174" i="36"/>
  <c r="V175" i="25" s="1"/>
  <c r="X174" i="36"/>
  <c r="W175" i="25" s="1"/>
  <c r="V175" i="36"/>
  <c r="V176" i="25" s="1"/>
  <c r="X175" i="36"/>
  <c r="W176" i="25" s="1"/>
  <c r="V176" i="36"/>
  <c r="V177" i="25" s="1"/>
  <c r="X176" i="36"/>
  <c r="W177" i="25" s="1"/>
  <c r="V177" i="36"/>
  <c r="V178" i="25" s="1"/>
  <c r="W177" i="36"/>
  <c r="AH178" i="25" s="1"/>
  <c r="X177" i="36"/>
  <c r="W178" i="25" s="1"/>
  <c r="V178" i="36"/>
  <c r="V179" i="25" s="1"/>
  <c r="X178" i="36"/>
  <c r="W179" i="25" s="1"/>
  <c r="V179" i="36"/>
  <c r="V180" i="25" s="1"/>
  <c r="X179" i="36"/>
  <c r="W180" i="25" s="1"/>
  <c r="V180" i="36"/>
  <c r="V181" i="25" s="1"/>
  <c r="X180" i="36"/>
  <c r="W181" i="25" s="1"/>
  <c r="V181" i="36"/>
  <c r="V182" i="25" s="1"/>
  <c r="W181" i="36"/>
  <c r="AH182" i="25" s="1"/>
  <c r="X181" i="36"/>
  <c r="W182" i="25" s="1"/>
  <c r="V182" i="36"/>
  <c r="V183" i="25" s="1"/>
  <c r="X182" i="36"/>
  <c r="W183" i="25" s="1"/>
  <c r="V183" i="36"/>
  <c r="V184" i="25" s="1"/>
  <c r="X183" i="36"/>
  <c r="W184" i="25" s="1"/>
  <c r="V184" i="36"/>
  <c r="V185" i="25" s="1"/>
  <c r="X184" i="36"/>
  <c r="W185" i="25" s="1"/>
  <c r="V185" i="36"/>
  <c r="V186" i="25" s="1"/>
  <c r="W185" i="36"/>
  <c r="AH186" i="25" s="1"/>
  <c r="X185" i="36"/>
  <c r="W186" i="25" s="1"/>
  <c r="V186" i="36"/>
  <c r="V187" i="25" s="1"/>
  <c r="X186" i="36"/>
  <c r="W187" i="25" s="1"/>
  <c r="V187" i="36"/>
  <c r="V188" i="25" s="1"/>
  <c r="X187" i="36"/>
  <c r="W188" i="25" s="1"/>
  <c r="V188" i="36"/>
  <c r="V189" i="25" s="1"/>
  <c r="X188" i="36"/>
  <c r="W189" i="25" s="1"/>
  <c r="V189" i="36"/>
  <c r="V190" i="25" s="1"/>
  <c r="W189" i="36"/>
  <c r="AH190" i="25" s="1"/>
  <c r="X189" i="36"/>
  <c r="W190" i="25" s="1"/>
  <c r="V190" i="36"/>
  <c r="V191" i="25" s="1"/>
  <c r="X190" i="36"/>
  <c r="W191" i="25" s="1"/>
  <c r="V191" i="36"/>
  <c r="V192" i="25" s="1"/>
  <c r="X191" i="36"/>
  <c r="W192" i="25" s="1"/>
  <c r="V192" i="36"/>
  <c r="V193" i="25" s="1"/>
  <c r="X192" i="36"/>
  <c r="W193" i="25" s="1"/>
  <c r="V193" i="36"/>
  <c r="V194" i="25" s="1"/>
  <c r="W193" i="36"/>
  <c r="AH194" i="25" s="1"/>
  <c r="X193" i="36"/>
  <c r="W194" i="25" s="1"/>
  <c r="V194" i="36"/>
  <c r="V195" i="25" s="1"/>
  <c r="X194" i="36"/>
  <c r="W195" i="25" s="1"/>
  <c r="V195" i="36"/>
  <c r="V196" i="25" s="1"/>
  <c r="X195" i="36"/>
  <c r="W196" i="25" s="1"/>
  <c r="V196" i="36"/>
  <c r="V197" i="25" s="1"/>
  <c r="X196" i="36"/>
  <c r="W197" i="25" s="1"/>
  <c r="V197" i="36"/>
  <c r="V198" i="25" s="1"/>
  <c r="W197" i="36"/>
  <c r="AH198" i="25" s="1"/>
  <c r="X197" i="36"/>
  <c r="W198" i="25" s="1"/>
  <c r="V198" i="36"/>
  <c r="V199" i="25" s="1"/>
  <c r="X198" i="36"/>
  <c r="W199" i="25" s="1"/>
  <c r="V199" i="36"/>
  <c r="V200" i="25" s="1"/>
  <c r="X199" i="36"/>
  <c r="W200" i="25" s="1"/>
  <c r="V200" i="36"/>
  <c r="V201" i="25" s="1"/>
  <c r="X200" i="36"/>
  <c r="W201" i="25" s="1"/>
  <c r="V201" i="36"/>
  <c r="V202" i="25" s="1"/>
  <c r="X201" i="36"/>
  <c r="W202" i="25" s="1"/>
  <c r="V202" i="36"/>
  <c r="V203" i="25" s="1"/>
  <c r="W202" i="36"/>
  <c r="AH203" i="25" s="1"/>
  <c r="X202" i="36"/>
  <c r="W203" i="25" s="1"/>
  <c r="V203" i="36"/>
  <c r="V204" i="25" s="1"/>
  <c r="W203" i="36"/>
  <c r="AH204" i="25" s="1"/>
  <c r="X203" i="36"/>
  <c r="W204" i="25" s="1"/>
  <c r="V204" i="36"/>
  <c r="V205" i="25" s="1"/>
  <c r="X204" i="36"/>
  <c r="W205" i="25" s="1"/>
  <c r="V205" i="36"/>
  <c r="V206" i="25" s="1"/>
  <c r="X205" i="36"/>
  <c r="W206" i="25" s="1"/>
  <c r="V206" i="36"/>
  <c r="V207" i="25" s="1"/>
  <c r="X206" i="36"/>
  <c r="W207" i="25" s="1"/>
  <c r="V207" i="36"/>
  <c r="V208" i="25" s="1"/>
  <c r="W207" i="36"/>
  <c r="AH208" i="25" s="1"/>
  <c r="X207" i="36"/>
  <c r="W208" i="25" s="1"/>
  <c r="V208" i="36"/>
  <c r="V209" i="25" s="1"/>
  <c r="W208" i="36"/>
  <c r="AH209" i="25" s="1"/>
  <c r="X208" i="36"/>
  <c r="W209" i="25" s="1"/>
  <c r="V209" i="36"/>
  <c r="V210" i="25" s="1"/>
  <c r="W209" i="36"/>
  <c r="AH210" i="25" s="1"/>
  <c r="X209" i="36"/>
  <c r="W210" i="25" s="1"/>
  <c r="V210" i="36"/>
  <c r="V211" i="25" s="1"/>
  <c r="W210" i="36"/>
  <c r="AH211" i="25" s="1"/>
  <c r="X210" i="36"/>
  <c r="W211" i="25" s="1"/>
  <c r="V211" i="36"/>
  <c r="V212" i="25" s="1"/>
  <c r="W211" i="36"/>
  <c r="AH212" i="25" s="1"/>
  <c r="X211" i="36"/>
  <c r="W212" i="25" s="1"/>
  <c r="V212" i="36"/>
  <c r="V213" i="25" s="1"/>
  <c r="W212" i="36"/>
  <c r="AH213" i="25" s="1"/>
  <c r="X212" i="36"/>
  <c r="W213" i="25" s="1"/>
  <c r="V213" i="36"/>
  <c r="V214" i="25" s="1"/>
  <c r="W213" i="36"/>
  <c r="AH214" i="25" s="1"/>
  <c r="X213" i="36"/>
  <c r="W214" i="25" s="1"/>
  <c r="V214" i="36"/>
  <c r="V215" i="25" s="1"/>
  <c r="W214" i="36"/>
  <c r="AH215" i="25" s="1"/>
  <c r="X214" i="36"/>
  <c r="W215" i="25" s="1"/>
  <c r="V215" i="36"/>
  <c r="V216" i="25" s="1"/>
  <c r="W215" i="36"/>
  <c r="AH216" i="25" s="1"/>
  <c r="X215" i="36"/>
  <c r="W216" i="25" s="1"/>
  <c r="V216" i="36"/>
  <c r="V217" i="25" s="1"/>
  <c r="W216" i="36"/>
  <c r="AH217" i="25" s="1"/>
  <c r="X216" i="36"/>
  <c r="W217" i="25" s="1"/>
  <c r="V217" i="36"/>
  <c r="V218" i="25" s="1"/>
  <c r="W217" i="36"/>
  <c r="AH218" i="25" s="1"/>
  <c r="X217" i="36"/>
  <c r="W218" i="25" s="1"/>
  <c r="V218" i="36"/>
  <c r="V219" i="25" s="1"/>
  <c r="W218" i="36"/>
  <c r="AH219" i="25" s="1"/>
  <c r="X218" i="36"/>
  <c r="W219" i="25" s="1"/>
  <c r="V219" i="36"/>
  <c r="V220" i="25" s="1"/>
  <c r="W219" i="36"/>
  <c r="AH220" i="25" s="1"/>
  <c r="X219" i="36"/>
  <c r="W220" i="25" s="1"/>
  <c r="V220" i="36"/>
  <c r="V221" i="25" s="1"/>
  <c r="W220" i="36"/>
  <c r="AH221" i="25" s="1"/>
  <c r="X220" i="36"/>
  <c r="W221" i="25" s="1"/>
  <c r="V221" i="36"/>
  <c r="V222" i="25" s="1"/>
  <c r="W221" i="36"/>
  <c r="AH222" i="25" s="1"/>
  <c r="X221" i="36"/>
  <c r="W222" i="25" s="1"/>
  <c r="V222" i="36"/>
  <c r="V223" i="25" s="1"/>
  <c r="W222" i="36"/>
  <c r="AH223" i="25" s="1"/>
  <c r="X222" i="36"/>
  <c r="W223" i="25" s="1"/>
  <c r="V223" i="36"/>
  <c r="V224" i="25" s="1"/>
  <c r="W223" i="36"/>
  <c r="AH224" i="25" s="1"/>
  <c r="X223" i="36"/>
  <c r="W224" i="25" s="1"/>
  <c r="V224" i="36"/>
  <c r="V225" i="25" s="1"/>
  <c r="W224" i="36"/>
  <c r="AH225" i="25" s="1"/>
  <c r="X224" i="36"/>
  <c r="W225" i="25" s="1"/>
  <c r="V225" i="36"/>
  <c r="V226" i="25" s="1"/>
  <c r="W225" i="36"/>
  <c r="AH226" i="25" s="1"/>
  <c r="X225" i="36"/>
  <c r="W226" i="25" s="1"/>
  <c r="V226" i="36"/>
  <c r="V227" i="25" s="1"/>
  <c r="W226" i="36"/>
  <c r="AH227" i="25" s="1"/>
  <c r="X226" i="36"/>
  <c r="W227" i="25" s="1"/>
  <c r="V227" i="36"/>
  <c r="V228" i="25" s="1"/>
  <c r="W227" i="36"/>
  <c r="AH228" i="25" s="1"/>
  <c r="X227" i="36"/>
  <c r="W228" i="25" s="1"/>
  <c r="V228" i="36"/>
  <c r="V229" i="25" s="1"/>
  <c r="W228" i="36"/>
  <c r="AH229" i="25" s="1"/>
  <c r="X228" i="36"/>
  <c r="W229" i="25" s="1"/>
  <c r="V229" i="36"/>
  <c r="V230" i="25" s="1"/>
  <c r="X229" i="36"/>
  <c r="W230" i="25" s="1"/>
  <c r="V230" i="36"/>
  <c r="V231" i="25" s="1"/>
  <c r="X230" i="36"/>
  <c r="W231" i="25" s="1"/>
  <c r="V231" i="36"/>
  <c r="V232" i="25" s="1"/>
  <c r="X231" i="36"/>
  <c r="W232" i="25" s="1"/>
  <c r="V232" i="36"/>
  <c r="V233" i="25" s="1"/>
  <c r="X232" i="36"/>
  <c r="W233" i="25" s="1"/>
  <c r="V233" i="36"/>
  <c r="V234" i="25" s="1"/>
  <c r="X233" i="36"/>
  <c r="W234" i="25" s="1"/>
  <c r="V234" i="36"/>
  <c r="V235" i="25" s="1"/>
  <c r="X234" i="36"/>
  <c r="W235" i="25" s="1"/>
  <c r="V235" i="36"/>
  <c r="V236" i="25" s="1"/>
  <c r="X235" i="36"/>
  <c r="W236" i="25" s="1"/>
  <c r="V236" i="36"/>
  <c r="V237" i="25" s="1"/>
  <c r="W236" i="36"/>
  <c r="AH237" i="25" s="1"/>
  <c r="X236" i="36"/>
  <c r="W237" i="25" s="1"/>
  <c r="V237" i="36"/>
  <c r="V238" i="25" s="1"/>
  <c r="X237" i="36"/>
  <c r="W238" i="25" s="1"/>
  <c r="V238" i="36"/>
  <c r="V239" i="25" s="1"/>
  <c r="W238" i="36"/>
  <c r="AH239" i="25" s="1"/>
  <c r="X238" i="36"/>
  <c r="W239" i="25" s="1"/>
  <c r="V239" i="36"/>
  <c r="V240" i="25" s="1"/>
  <c r="W239" i="36"/>
  <c r="AH240" i="25" s="1"/>
  <c r="X239" i="36"/>
  <c r="W240" i="25" s="1"/>
  <c r="V240" i="36"/>
  <c r="V241" i="25" s="1"/>
  <c r="W240" i="36"/>
  <c r="AH241" i="25" s="1"/>
  <c r="X240" i="36"/>
  <c r="W241" i="25" s="1"/>
  <c r="V241" i="36"/>
  <c r="V242" i="25" s="1"/>
  <c r="X241" i="36"/>
  <c r="W242" i="25" s="1"/>
  <c r="V242" i="36"/>
  <c r="V243" i="25" s="1"/>
  <c r="X242" i="36"/>
  <c r="W243" i="25" s="1"/>
  <c r="V243" i="36"/>
  <c r="V244" i="25" s="1"/>
  <c r="W243" i="36"/>
  <c r="AH244" i="25" s="1"/>
  <c r="X243" i="36"/>
  <c r="W244" i="25" s="1"/>
  <c r="V244" i="36"/>
  <c r="V245" i="25" s="1"/>
  <c r="W244" i="36"/>
  <c r="AH245" i="25" s="1"/>
  <c r="X244" i="36"/>
  <c r="W245" i="25" s="1"/>
  <c r="V245" i="36"/>
  <c r="V246" i="25" s="1"/>
  <c r="W245" i="36"/>
  <c r="AH246" i="25" s="1"/>
  <c r="X245" i="36"/>
  <c r="W246" i="25" s="1"/>
  <c r="V246" i="36"/>
  <c r="V247" i="25" s="1"/>
  <c r="W246" i="36"/>
  <c r="AH247" i="25" s="1"/>
  <c r="X246" i="36"/>
  <c r="W247" i="25" s="1"/>
  <c r="V247" i="36"/>
  <c r="V248" i="25" s="1"/>
  <c r="W247" i="36"/>
  <c r="AH248" i="25" s="1"/>
  <c r="X247" i="36"/>
  <c r="W248" i="25" s="1"/>
  <c r="V248" i="36"/>
  <c r="V249" i="25" s="1"/>
  <c r="W248" i="36"/>
  <c r="AH249" i="25" s="1"/>
  <c r="X248" i="36"/>
  <c r="W249" i="25" s="1"/>
  <c r="V249" i="36"/>
  <c r="V250" i="25" s="1"/>
  <c r="W249" i="36"/>
  <c r="AH250" i="25" s="1"/>
  <c r="X249" i="36"/>
  <c r="W250" i="25" s="1"/>
  <c r="V250" i="36"/>
  <c r="V251" i="25" s="1"/>
  <c r="W250" i="36"/>
  <c r="AH251" i="25" s="1"/>
  <c r="X250" i="36"/>
  <c r="W251" i="25" s="1"/>
  <c r="V251" i="36"/>
  <c r="V252" i="25" s="1"/>
  <c r="W251" i="36"/>
  <c r="AH252" i="25" s="1"/>
  <c r="X251" i="36"/>
  <c r="W252" i="25" s="1"/>
  <c r="V252" i="36"/>
  <c r="V253" i="25" s="1"/>
  <c r="W252" i="36"/>
  <c r="AH253" i="25" s="1"/>
  <c r="X252" i="36"/>
  <c r="W253" i="25" s="1"/>
  <c r="V253" i="36"/>
  <c r="V254" i="25" s="1"/>
  <c r="W253" i="36"/>
  <c r="AH254" i="25" s="1"/>
  <c r="X253" i="36"/>
  <c r="W254" i="25" s="1"/>
  <c r="V254" i="36"/>
  <c r="V255" i="25" s="1"/>
  <c r="W254" i="36"/>
  <c r="AH255" i="25" s="1"/>
  <c r="X254" i="36"/>
  <c r="W255" i="25" s="1"/>
  <c r="V255" i="36"/>
  <c r="V256" i="25" s="1"/>
  <c r="W255" i="36"/>
  <c r="AH256" i="25" s="1"/>
  <c r="X255" i="36"/>
  <c r="W256" i="25" s="1"/>
  <c r="V256" i="36"/>
  <c r="V257" i="25" s="1"/>
  <c r="W256" i="36"/>
  <c r="AH257" i="25" s="1"/>
  <c r="X256" i="36"/>
  <c r="W257" i="25" s="1"/>
  <c r="V257" i="36"/>
  <c r="V258" i="25" s="1"/>
  <c r="W257" i="36"/>
  <c r="AH258" i="25" s="1"/>
  <c r="X257" i="36"/>
  <c r="W258" i="25" s="1"/>
  <c r="V258" i="36"/>
  <c r="V259" i="25" s="1"/>
  <c r="W258" i="36"/>
  <c r="AH259" i="25" s="1"/>
  <c r="X258" i="36"/>
  <c r="W259" i="25" s="1"/>
  <c r="V259" i="36"/>
  <c r="V260" i="25" s="1"/>
  <c r="W259" i="36"/>
  <c r="AH260" i="25" s="1"/>
  <c r="X259" i="36"/>
  <c r="W260" i="25" s="1"/>
  <c r="V260" i="36"/>
  <c r="V261" i="25" s="1"/>
  <c r="W260" i="36"/>
  <c r="AH261" i="25" s="1"/>
  <c r="X260" i="36"/>
  <c r="W261" i="25" s="1"/>
  <c r="V261" i="36"/>
  <c r="V262" i="25" s="1"/>
  <c r="W261" i="36"/>
  <c r="AH262" i="25" s="1"/>
  <c r="X261" i="36"/>
  <c r="W262" i="25" s="1"/>
  <c r="V262" i="36"/>
  <c r="V263" i="25" s="1"/>
  <c r="W262" i="36"/>
  <c r="AH263" i="25" s="1"/>
  <c r="X262" i="36"/>
  <c r="W263" i="25" s="1"/>
  <c r="V263" i="36"/>
  <c r="V264" i="25" s="1"/>
  <c r="W263" i="36"/>
  <c r="AH264" i="25" s="1"/>
  <c r="X263" i="36"/>
  <c r="W264" i="25" s="1"/>
  <c r="V264" i="36"/>
  <c r="V265" i="25" s="1"/>
  <c r="W264" i="36"/>
  <c r="AH265" i="25" s="1"/>
  <c r="X264" i="36"/>
  <c r="W265" i="25" s="1"/>
  <c r="V265" i="36"/>
  <c r="V266" i="25" s="1"/>
  <c r="W265" i="36"/>
  <c r="AH266" i="25" s="1"/>
  <c r="X265" i="36"/>
  <c r="W266" i="25" s="1"/>
  <c r="V266" i="36"/>
  <c r="V267" i="25" s="1"/>
  <c r="W266" i="36"/>
  <c r="AH267" i="25" s="1"/>
  <c r="X266" i="36"/>
  <c r="W267" i="25" s="1"/>
  <c r="V267" i="36"/>
  <c r="V268" i="25" s="1"/>
  <c r="W267" i="36"/>
  <c r="AH268" i="25" s="1"/>
  <c r="X267" i="36"/>
  <c r="W268" i="25" s="1"/>
  <c r="V268" i="36"/>
  <c r="V269" i="25" s="1"/>
  <c r="W268" i="36"/>
  <c r="AH269" i="25" s="1"/>
  <c r="X268" i="36"/>
  <c r="W269" i="25" s="1"/>
  <c r="V269" i="36"/>
  <c r="V270" i="25" s="1"/>
  <c r="W269" i="36"/>
  <c r="AH270" i="25" s="1"/>
  <c r="X269" i="36"/>
  <c r="W270" i="25" s="1"/>
  <c r="V270" i="36"/>
  <c r="V271" i="25" s="1"/>
  <c r="W270" i="36"/>
  <c r="AH271" i="25" s="1"/>
  <c r="X270" i="36"/>
  <c r="W271" i="25" s="1"/>
  <c r="V271" i="36"/>
  <c r="V272" i="25" s="1"/>
  <c r="W271" i="36"/>
  <c r="AH272" i="25" s="1"/>
  <c r="X271" i="36"/>
  <c r="W272" i="25" s="1"/>
  <c r="V272" i="36"/>
  <c r="V273" i="25" s="1"/>
  <c r="W272" i="36"/>
  <c r="AH273" i="25" s="1"/>
  <c r="X272" i="36"/>
  <c r="W273" i="25" s="1"/>
  <c r="V273" i="36"/>
  <c r="V274" i="25" s="1"/>
  <c r="W273" i="36"/>
  <c r="AH274" i="25" s="1"/>
  <c r="X273" i="36"/>
  <c r="W274" i="25" s="1"/>
  <c r="V274" i="36"/>
  <c r="V275" i="25" s="1"/>
  <c r="W274" i="36"/>
  <c r="AH275" i="25" s="1"/>
  <c r="X274" i="36"/>
  <c r="W275" i="25" s="1"/>
  <c r="V275" i="36"/>
  <c r="V276" i="25" s="1"/>
  <c r="W275" i="36"/>
  <c r="AH276" i="25" s="1"/>
  <c r="X275" i="36"/>
  <c r="W276" i="25" s="1"/>
  <c r="V276" i="36"/>
  <c r="V277" i="25" s="1"/>
  <c r="W276" i="36"/>
  <c r="AH277" i="25" s="1"/>
  <c r="X276" i="36"/>
  <c r="W277" i="25" s="1"/>
  <c r="V277" i="36"/>
  <c r="V278" i="25" s="1"/>
  <c r="W277" i="36"/>
  <c r="AH278" i="25" s="1"/>
  <c r="X277" i="36"/>
  <c r="W278" i="25" s="1"/>
  <c r="V278" i="36"/>
  <c r="V279" i="25" s="1"/>
  <c r="W278" i="36"/>
  <c r="AH279" i="25" s="1"/>
  <c r="X278" i="36"/>
  <c r="W279" i="25" s="1"/>
  <c r="V279" i="36"/>
  <c r="V280" i="25" s="1"/>
  <c r="W279" i="36"/>
  <c r="AH280" i="25" s="1"/>
  <c r="X279" i="36"/>
  <c r="W280" i="25" s="1"/>
  <c r="V280" i="36"/>
  <c r="V281" i="25" s="1"/>
  <c r="W280" i="36"/>
  <c r="AH281" i="25" s="1"/>
  <c r="X280" i="36"/>
  <c r="W281" i="25" s="1"/>
  <c r="V281" i="36"/>
  <c r="V282" i="25" s="1"/>
  <c r="W281" i="36"/>
  <c r="AH282" i="25" s="1"/>
  <c r="X281" i="36"/>
  <c r="W282" i="25" s="1"/>
  <c r="V282" i="36"/>
  <c r="V283" i="25" s="1"/>
  <c r="W282" i="36"/>
  <c r="AH283" i="25" s="1"/>
  <c r="X282" i="36"/>
  <c r="W283" i="25" s="1"/>
  <c r="V283" i="36"/>
  <c r="V284" i="25" s="1"/>
  <c r="W283" i="36"/>
  <c r="AH284" i="25" s="1"/>
  <c r="X283" i="36"/>
  <c r="W284" i="25" s="1"/>
  <c r="V284" i="36"/>
  <c r="V285" i="25" s="1"/>
  <c r="W284" i="36"/>
  <c r="AH285" i="25" s="1"/>
  <c r="X284" i="36"/>
  <c r="W285" i="25" s="1"/>
  <c r="V285" i="36"/>
  <c r="V286" i="25" s="1"/>
  <c r="W285" i="36"/>
  <c r="AH286" i="25" s="1"/>
  <c r="X285" i="36"/>
  <c r="W286" i="25" s="1"/>
  <c r="V286" i="36"/>
  <c r="V287" i="25" s="1"/>
  <c r="W286" i="36"/>
  <c r="AH287" i="25" s="1"/>
  <c r="X286" i="36"/>
  <c r="W287" i="25" s="1"/>
  <c r="V287" i="36"/>
  <c r="V288" i="25" s="1"/>
  <c r="W287" i="36"/>
  <c r="AH288" i="25" s="1"/>
  <c r="X287" i="36"/>
  <c r="W288" i="25" s="1"/>
  <c r="V288" i="36"/>
  <c r="V289" i="25" s="1"/>
  <c r="W288" i="36"/>
  <c r="AH289" i="25" s="1"/>
  <c r="X288" i="36"/>
  <c r="W289" i="25" s="1"/>
  <c r="V289" i="36"/>
  <c r="V290" i="25" s="1"/>
  <c r="W289" i="36"/>
  <c r="AH290" i="25" s="1"/>
  <c r="X289" i="36"/>
  <c r="W290" i="25" s="1"/>
  <c r="V290" i="36"/>
  <c r="V291" i="25" s="1"/>
  <c r="W290" i="36"/>
  <c r="AH291" i="25" s="1"/>
  <c r="X290" i="36"/>
  <c r="W291" i="25" s="1"/>
  <c r="V291" i="36"/>
  <c r="V292" i="25" s="1"/>
  <c r="W291" i="36"/>
  <c r="AH292" i="25" s="1"/>
  <c r="X291" i="36"/>
  <c r="W292" i="25" s="1"/>
  <c r="V292" i="36"/>
  <c r="V293" i="25" s="1"/>
  <c r="W292" i="36"/>
  <c r="AH293" i="25" s="1"/>
  <c r="X292" i="36"/>
  <c r="W293" i="25" s="1"/>
  <c r="V293" i="36"/>
  <c r="V294" i="25" s="1"/>
  <c r="W293" i="36"/>
  <c r="AH294" i="25" s="1"/>
  <c r="X293" i="36"/>
  <c r="W294" i="25" s="1"/>
  <c r="V294" i="36"/>
  <c r="V295" i="25" s="1"/>
  <c r="W294" i="36"/>
  <c r="AH295" i="25" s="1"/>
  <c r="X294" i="36"/>
  <c r="W295" i="25" s="1"/>
  <c r="V295" i="36"/>
  <c r="V296" i="25" s="1"/>
  <c r="W295" i="36"/>
  <c r="AH296" i="25" s="1"/>
  <c r="X295" i="36"/>
  <c r="W296" i="25" s="1"/>
  <c r="V296" i="36"/>
  <c r="V297" i="25" s="1"/>
  <c r="W296" i="36"/>
  <c r="AH297" i="25" s="1"/>
  <c r="X296" i="36"/>
  <c r="W297" i="25" s="1"/>
  <c r="V297" i="36"/>
  <c r="V298" i="25" s="1"/>
  <c r="W297" i="36"/>
  <c r="AH298" i="25" s="1"/>
  <c r="X297" i="36"/>
  <c r="W298" i="25" s="1"/>
  <c r="V298" i="36"/>
  <c r="V299" i="25" s="1"/>
  <c r="W298" i="36"/>
  <c r="AH299" i="25" s="1"/>
  <c r="X298" i="36"/>
  <c r="W299" i="25" s="1"/>
  <c r="V299" i="36"/>
  <c r="V300" i="25" s="1"/>
  <c r="W299" i="36"/>
  <c r="AH300" i="25" s="1"/>
  <c r="X299" i="36"/>
  <c r="W300" i="25" s="1"/>
  <c r="V300" i="36"/>
  <c r="V301" i="25" s="1"/>
  <c r="W300" i="36"/>
  <c r="AH301" i="25" s="1"/>
  <c r="X300" i="36"/>
  <c r="W301" i="25" s="1"/>
  <c r="V301" i="36"/>
  <c r="V302" i="25" s="1"/>
  <c r="W301" i="36"/>
  <c r="AH302" i="25" s="1"/>
  <c r="X301" i="36"/>
  <c r="W302" i="25" s="1"/>
  <c r="V302" i="36"/>
  <c r="V303" i="25" s="1"/>
  <c r="W302" i="36"/>
  <c r="AH303" i="25" s="1"/>
  <c r="X302" i="36"/>
  <c r="W303" i="25" s="1"/>
  <c r="V303" i="36"/>
  <c r="V304" i="25" s="1"/>
  <c r="W303" i="36"/>
  <c r="AH304" i="25" s="1"/>
  <c r="X303" i="36"/>
  <c r="W304" i="25" s="1"/>
  <c r="V304" i="36"/>
  <c r="V305" i="25" s="1"/>
  <c r="W304" i="36"/>
  <c r="AH305" i="25" s="1"/>
  <c r="X304" i="36"/>
  <c r="W305" i="25" s="1"/>
  <c r="V305" i="36"/>
  <c r="V306" i="25" s="1"/>
  <c r="W305" i="36"/>
  <c r="AH306" i="25" s="1"/>
  <c r="X305" i="36"/>
  <c r="W306" i="25" s="1"/>
  <c r="V306" i="36"/>
  <c r="V307" i="25" s="1"/>
  <c r="W306" i="36"/>
  <c r="AH307" i="25" s="1"/>
  <c r="X306" i="36"/>
  <c r="W307" i="25" s="1"/>
  <c r="V307" i="36"/>
  <c r="V308" i="25" s="1"/>
  <c r="W307" i="36"/>
  <c r="AH308" i="25" s="1"/>
  <c r="X307" i="36"/>
  <c r="W308" i="25" s="1"/>
  <c r="V308" i="36"/>
  <c r="V309" i="25" s="1"/>
  <c r="W308" i="36"/>
  <c r="AH309" i="25" s="1"/>
  <c r="X308" i="36"/>
  <c r="W309" i="25" s="1"/>
  <c r="V309" i="36"/>
  <c r="V310" i="25" s="1"/>
  <c r="W309" i="36"/>
  <c r="AH310" i="25" s="1"/>
  <c r="X309" i="36"/>
  <c r="W310" i="25" s="1"/>
  <c r="V310" i="36"/>
  <c r="V311" i="25" s="1"/>
  <c r="W310" i="36"/>
  <c r="AH311" i="25" s="1"/>
  <c r="X310" i="36"/>
  <c r="W311" i="25" s="1"/>
  <c r="V311" i="36"/>
  <c r="V312" i="25" s="1"/>
  <c r="W311" i="36"/>
  <c r="AH312" i="25" s="1"/>
  <c r="X311" i="36"/>
  <c r="W312" i="25" s="1"/>
  <c r="V312" i="36"/>
  <c r="V313" i="25" s="1"/>
  <c r="W312" i="36"/>
  <c r="AH313" i="25" s="1"/>
  <c r="X312" i="36"/>
  <c r="W313" i="25" s="1"/>
  <c r="V313" i="36"/>
  <c r="V314" i="25" s="1"/>
  <c r="W313" i="36"/>
  <c r="AH314" i="25" s="1"/>
  <c r="X313" i="36"/>
  <c r="W314" i="25" s="1"/>
  <c r="V314" i="36"/>
  <c r="V315" i="25" s="1"/>
  <c r="W314" i="36"/>
  <c r="AH315" i="25" s="1"/>
  <c r="X314" i="36"/>
  <c r="W315" i="25" s="1"/>
  <c r="V315" i="36"/>
  <c r="V316" i="25" s="1"/>
  <c r="W315" i="36"/>
  <c r="AH316" i="25" s="1"/>
  <c r="X315" i="36"/>
  <c r="W316" i="25" s="1"/>
  <c r="V316" i="36"/>
  <c r="V317" i="25" s="1"/>
  <c r="W316" i="36"/>
  <c r="AH317" i="25" s="1"/>
  <c r="X316" i="36"/>
  <c r="W317" i="25" s="1"/>
  <c r="V317" i="36"/>
  <c r="V318" i="25" s="1"/>
  <c r="W317" i="36"/>
  <c r="AH318" i="25" s="1"/>
  <c r="X317" i="36"/>
  <c r="W318" i="25" s="1"/>
  <c r="V318" i="36"/>
  <c r="V319" i="25" s="1"/>
  <c r="W318" i="36"/>
  <c r="AH319" i="25" s="1"/>
  <c r="X318" i="36"/>
  <c r="W319" i="25" s="1"/>
  <c r="V319" i="36"/>
  <c r="V320" i="25" s="1"/>
  <c r="W319" i="36"/>
  <c r="AH320" i="25" s="1"/>
  <c r="X319" i="36"/>
  <c r="W320" i="25" s="1"/>
  <c r="V320" i="36"/>
  <c r="V321" i="25" s="1"/>
  <c r="W320" i="36"/>
  <c r="AH321" i="25" s="1"/>
  <c r="X320" i="36"/>
  <c r="W321" i="25" s="1"/>
  <c r="V321" i="36"/>
  <c r="V322" i="25" s="1"/>
  <c r="W321" i="36"/>
  <c r="AH322" i="25" s="1"/>
  <c r="X321" i="36"/>
  <c r="W322" i="25" s="1"/>
  <c r="V322" i="36"/>
  <c r="V323" i="25" s="1"/>
  <c r="W322" i="36"/>
  <c r="AH323" i="25" s="1"/>
  <c r="X322" i="36"/>
  <c r="W323" i="25" s="1"/>
  <c r="V323" i="36"/>
  <c r="V324" i="25" s="1"/>
  <c r="W323" i="36"/>
  <c r="AH324" i="25" s="1"/>
  <c r="X323" i="36"/>
  <c r="W324" i="25" s="1"/>
  <c r="V324" i="36"/>
  <c r="V325" i="25" s="1"/>
  <c r="W324" i="36"/>
  <c r="AH325" i="25" s="1"/>
  <c r="X324" i="36"/>
  <c r="W325" i="25" s="1"/>
  <c r="V325" i="36"/>
  <c r="V326" i="25" s="1"/>
  <c r="W325" i="36"/>
  <c r="AH326" i="25" s="1"/>
  <c r="X325" i="36"/>
  <c r="W326" i="25" s="1"/>
  <c r="V326" i="36"/>
  <c r="V327" i="25" s="1"/>
  <c r="W326" i="36"/>
  <c r="AH327" i="25" s="1"/>
  <c r="X326" i="36"/>
  <c r="W327" i="25" s="1"/>
  <c r="V327" i="36"/>
  <c r="V328" i="25" s="1"/>
  <c r="W327" i="36"/>
  <c r="AH328" i="25" s="1"/>
  <c r="X327" i="36"/>
  <c r="W328" i="25" s="1"/>
  <c r="V328" i="36"/>
  <c r="V329" i="25" s="1"/>
  <c r="W328" i="36"/>
  <c r="AH329" i="25" s="1"/>
  <c r="X328" i="36"/>
  <c r="W329" i="25" s="1"/>
  <c r="V329" i="36"/>
  <c r="V330" i="25" s="1"/>
  <c r="W329" i="36"/>
  <c r="AH330" i="25" s="1"/>
  <c r="X329" i="36"/>
  <c r="W330" i="25" s="1"/>
  <c r="V330" i="36"/>
  <c r="V331" i="25" s="1"/>
  <c r="W330" i="36"/>
  <c r="AH331" i="25" s="1"/>
  <c r="X330" i="36"/>
  <c r="W331" i="25" s="1"/>
  <c r="V331" i="36"/>
  <c r="V332" i="25" s="1"/>
  <c r="W331" i="36"/>
  <c r="AH332" i="25" s="1"/>
  <c r="X331" i="36"/>
  <c r="W332" i="25" s="1"/>
  <c r="V332" i="36"/>
  <c r="V333" i="25" s="1"/>
  <c r="W332" i="36"/>
  <c r="AH333" i="25" s="1"/>
  <c r="X332" i="36"/>
  <c r="W333" i="25" s="1"/>
  <c r="V333" i="36"/>
  <c r="V334" i="25" s="1"/>
  <c r="X333" i="36"/>
  <c r="W334" i="25" s="1"/>
  <c r="V334" i="36"/>
  <c r="V335" i="25" s="1"/>
  <c r="X334" i="36"/>
  <c r="W335" i="25" s="1"/>
  <c r="V335" i="36"/>
  <c r="V336" i="25" s="1"/>
  <c r="X335" i="36"/>
  <c r="W336" i="25" s="1"/>
  <c r="V336" i="36"/>
  <c r="V337" i="25" s="1"/>
  <c r="X336" i="36"/>
  <c r="W337" i="25" s="1"/>
  <c r="V337" i="36"/>
  <c r="V338" i="25" s="1"/>
  <c r="X337" i="36"/>
  <c r="W338" i="25" s="1"/>
  <c r="V338" i="36"/>
  <c r="V339" i="25" s="1"/>
  <c r="X338" i="36"/>
  <c r="W339" i="25" s="1"/>
  <c r="V339" i="36"/>
  <c r="V340" i="25" s="1"/>
  <c r="X339" i="36"/>
  <c r="W340" i="25" s="1"/>
  <c r="V340" i="36"/>
  <c r="V341" i="25" s="1"/>
  <c r="W340" i="36"/>
  <c r="AH341" i="25" s="1"/>
  <c r="X340" i="36"/>
  <c r="W341" i="25" s="1"/>
  <c r="V341" i="36"/>
  <c r="V342" i="25" s="1"/>
  <c r="X341" i="36"/>
  <c r="W342" i="25" s="1"/>
  <c r="V342" i="36"/>
  <c r="V343" i="25" s="1"/>
  <c r="W342" i="36"/>
  <c r="AH343" i="25" s="1"/>
  <c r="X342" i="36"/>
  <c r="W343" i="25" s="1"/>
  <c r="V343" i="36"/>
  <c r="V344" i="25" s="1"/>
  <c r="W343" i="36"/>
  <c r="AH344" i="25" s="1"/>
  <c r="X343" i="36"/>
  <c r="W344" i="25" s="1"/>
  <c r="V344" i="36"/>
  <c r="V345" i="25" s="1"/>
  <c r="W344" i="36"/>
  <c r="AH345" i="25" s="1"/>
  <c r="X344" i="36"/>
  <c r="W345" i="25" s="1"/>
  <c r="V345" i="36"/>
  <c r="V346" i="25" s="1"/>
  <c r="W345" i="36"/>
  <c r="AH346" i="25" s="1"/>
  <c r="X345" i="36"/>
  <c r="W346" i="25" s="1"/>
  <c r="V346" i="36"/>
  <c r="V347" i="25" s="1"/>
  <c r="X346" i="36"/>
  <c r="W347" i="25" s="1"/>
  <c r="V347" i="36"/>
  <c r="V348" i="25" s="1"/>
  <c r="W347" i="36"/>
  <c r="AH348" i="25" s="1"/>
  <c r="X347" i="36"/>
  <c r="W348" i="25" s="1"/>
  <c r="V348" i="36"/>
  <c r="V349" i="25" s="1"/>
  <c r="W348" i="36"/>
  <c r="AH349" i="25" s="1"/>
  <c r="X348" i="36"/>
  <c r="W349" i="25" s="1"/>
  <c r="V349" i="36"/>
  <c r="V350" i="25" s="1"/>
  <c r="W349" i="36"/>
  <c r="AH350" i="25" s="1"/>
  <c r="X349" i="36"/>
  <c r="W350" i="25" s="1"/>
  <c r="V350" i="36"/>
  <c r="V351" i="25" s="1"/>
  <c r="X350" i="36"/>
  <c r="W351" i="25" s="1"/>
  <c r="V351" i="36"/>
  <c r="V352" i="25" s="1"/>
  <c r="W351" i="36"/>
  <c r="AH352" i="25" s="1"/>
  <c r="X351" i="36"/>
  <c r="W352" i="25" s="1"/>
  <c r="V352" i="36"/>
  <c r="V353" i="25" s="1"/>
  <c r="W352" i="36"/>
  <c r="AH353" i="25" s="1"/>
  <c r="X352" i="36"/>
  <c r="W353" i="25" s="1"/>
  <c r="V353" i="36"/>
  <c r="V354" i="25" s="1"/>
  <c r="W353" i="36"/>
  <c r="AH354" i="25" s="1"/>
  <c r="X353" i="36"/>
  <c r="W354" i="25" s="1"/>
  <c r="V354" i="36"/>
  <c r="V355" i="25" s="1"/>
  <c r="X354" i="36"/>
  <c r="W355" i="25" s="1"/>
  <c r="V355" i="36"/>
  <c r="V356" i="25" s="1"/>
  <c r="W355" i="36"/>
  <c r="AH356" i="25" s="1"/>
  <c r="X355" i="36"/>
  <c r="W356" i="25" s="1"/>
  <c r="V356" i="36"/>
  <c r="V357" i="25" s="1"/>
  <c r="W356" i="36"/>
  <c r="AH357" i="25" s="1"/>
  <c r="X356" i="36"/>
  <c r="W357" i="25" s="1"/>
  <c r="V357" i="36"/>
  <c r="V358" i="25" s="1"/>
  <c r="W357" i="36"/>
  <c r="AH358" i="25" s="1"/>
  <c r="X357" i="36"/>
  <c r="W358" i="25" s="1"/>
  <c r="V358" i="36"/>
  <c r="V359" i="25" s="1"/>
  <c r="X358" i="36"/>
  <c r="W359" i="25" s="1"/>
  <c r="V359" i="36"/>
  <c r="V360" i="25" s="1"/>
  <c r="W359" i="36"/>
  <c r="AH360" i="25" s="1"/>
  <c r="X359" i="36"/>
  <c r="W360" i="25" s="1"/>
  <c r="V360" i="36"/>
  <c r="V361" i="25" s="1"/>
  <c r="W360" i="36"/>
  <c r="AH361" i="25" s="1"/>
  <c r="X360" i="36"/>
  <c r="W361" i="25" s="1"/>
  <c r="V361" i="36"/>
  <c r="V362" i="25" s="1"/>
  <c r="W361" i="36"/>
  <c r="AH362" i="25" s="1"/>
  <c r="X361" i="36"/>
  <c r="W362" i="25" s="1"/>
  <c r="V362" i="36"/>
  <c r="V363" i="25" s="1"/>
  <c r="X362" i="36"/>
  <c r="W363" i="25" s="1"/>
  <c r="V363" i="36"/>
  <c r="V364" i="25" s="1"/>
  <c r="W363" i="36"/>
  <c r="AH364" i="25" s="1"/>
  <c r="X363" i="36"/>
  <c r="W364" i="25" s="1"/>
  <c r="V364" i="36"/>
  <c r="V365" i="25" s="1"/>
  <c r="W364" i="36"/>
  <c r="AH365" i="25" s="1"/>
  <c r="X364" i="36"/>
  <c r="W365" i="25" s="1"/>
  <c r="V365" i="36"/>
  <c r="V366" i="25" s="1"/>
  <c r="W365" i="36"/>
  <c r="AH366" i="25" s="1"/>
  <c r="X365" i="36"/>
  <c r="W366" i="25" s="1"/>
  <c r="V366" i="36"/>
  <c r="V367" i="25" s="1"/>
  <c r="X366" i="36"/>
  <c r="W367" i="25" s="1"/>
  <c r="V367" i="36"/>
  <c r="V368" i="25" s="1"/>
  <c r="W367" i="36"/>
  <c r="AH368" i="25" s="1"/>
  <c r="X367" i="36"/>
  <c r="W368" i="25" s="1"/>
  <c r="V368" i="36"/>
  <c r="V369" i="25" s="1"/>
  <c r="W368" i="36"/>
  <c r="AH369" i="25" s="1"/>
  <c r="X368" i="36"/>
  <c r="W369" i="25" s="1"/>
  <c r="V369" i="36"/>
  <c r="V370" i="25" s="1"/>
  <c r="W369" i="36"/>
  <c r="AH370" i="25" s="1"/>
  <c r="X369" i="36"/>
  <c r="W370" i="25" s="1"/>
  <c r="V370" i="36"/>
  <c r="V371" i="25" s="1"/>
  <c r="X370" i="36"/>
  <c r="W371" i="25" s="1"/>
  <c r="V371" i="36"/>
  <c r="V372" i="25" s="1"/>
  <c r="W371" i="36"/>
  <c r="AH372" i="25" s="1"/>
  <c r="X371" i="36"/>
  <c r="W372" i="25" s="1"/>
  <c r="V372" i="36"/>
  <c r="V373" i="25" s="1"/>
  <c r="W372" i="36"/>
  <c r="AH373" i="25" s="1"/>
  <c r="X372" i="36"/>
  <c r="W373" i="25" s="1"/>
  <c r="V373" i="36"/>
  <c r="V374" i="25" s="1"/>
  <c r="W373" i="36"/>
  <c r="AH374" i="25" s="1"/>
  <c r="X373" i="36"/>
  <c r="W374" i="25" s="1"/>
  <c r="V374" i="36"/>
  <c r="V375" i="25" s="1"/>
  <c r="X374" i="36"/>
  <c r="W375" i="25" s="1"/>
  <c r="V375" i="36"/>
  <c r="V376" i="25" s="1"/>
  <c r="W375" i="36"/>
  <c r="AH376" i="25" s="1"/>
  <c r="X375" i="36"/>
  <c r="W376" i="25" s="1"/>
  <c r="V376" i="36"/>
  <c r="V377" i="25" s="1"/>
  <c r="W376" i="36"/>
  <c r="AH377" i="25" s="1"/>
  <c r="X376" i="36"/>
  <c r="W377" i="25" s="1"/>
  <c r="V377" i="36"/>
  <c r="V378" i="25" s="1"/>
  <c r="W377" i="36"/>
  <c r="AH378" i="25" s="1"/>
  <c r="X377" i="36"/>
  <c r="W378" i="25" s="1"/>
  <c r="V378" i="36"/>
  <c r="V379" i="25" s="1"/>
  <c r="X378" i="36"/>
  <c r="W379" i="25" s="1"/>
  <c r="V379" i="36"/>
  <c r="V380" i="25" s="1"/>
  <c r="W379" i="36"/>
  <c r="AH380" i="25" s="1"/>
  <c r="X379" i="36"/>
  <c r="W380" i="25" s="1"/>
  <c r="V380" i="36"/>
  <c r="V381" i="25" s="1"/>
  <c r="W380" i="36"/>
  <c r="AH381" i="25" s="1"/>
  <c r="X380" i="36"/>
  <c r="W381" i="25" s="1"/>
  <c r="V381" i="36"/>
  <c r="V382" i="25" s="1"/>
  <c r="W381" i="36"/>
  <c r="AH382" i="25" s="1"/>
  <c r="X381" i="36"/>
  <c r="W382" i="25" s="1"/>
  <c r="V382" i="36"/>
  <c r="V383" i="25" s="1"/>
  <c r="X382" i="36"/>
  <c r="W383" i="25" s="1"/>
  <c r="V383" i="36"/>
  <c r="V384" i="25" s="1"/>
  <c r="W383" i="36"/>
  <c r="AH384" i="25" s="1"/>
  <c r="X383" i="36"/>
  <c r="W384" i="25" s="1"/>
  <c r="V384" i="36"/>
  <c r="V385" i="25" s="1"/>
  <c r="W384" i="36"/>
  <c r="AH385" i="25" s="1"/>
  <c r="X384" i="36"/>
  <c r="W385" i="25" s="1"/>
  <c r="V385" i="36"/>
  <c r="V386" i="25" s="1"/>
  <c r="W385" i="36"/>
  <c r="AH386" i="25" s="1"/>
  <c r="X385" i="36"/>
  <c r="W386" i="25" s="1"/>
  <c r="V386" i="36"/>
  <c r="V387" i="25" s="1"/>
  <c r="X386" i="36"/>
  <c r="W387" i="25" s="1"/>
  <c r="V387" i="36"/>
  <c r="V388" i="25" s="1"/>
  <c r="W387" i="36"/>
  <c r="AH388" i="25" s="1"/>
  <c r="X387" i="36"/>
  <c r="W388" i="25" s="1"/>
  <c r="V388" i="36"/>
  <c r="V389" i="25" s="1"/>
  <c r="W388" i="36"/>
  <c r="AH389" i="25" s="1"/>
  <c r="X388" i="36"/>
  <c r="W389" i="25" s="1"/>
  <c r="V389" i="36"/>
  <c r="V390" i="25" s="1"/>
  <c r="W389" i="36"/>
  <c r="AH390" i="25" s="1"/>
  <c r="X389" i="36"/>
  <c r="W390" i="25" s="1"/>
  <c r="V390" i="36"/>
  <c r="V391" i="25" s="1"/>
  <c r="X390" i="36"/>
  <c r="W391" i="25" s="1"/>
  <c r="V391" i="36"/>
  <c r="V392" i="25" s="1"/>
  <c r="W391" i="36"/>
  <c r="AH392" i="25" s="1"/>
  <c r="X391" i="36"/>
  <c r="W392" i="25" s="1"/>
  <c r="V392" i="36"/>
  <c r="V393" i="25" s="1"/>
  <c r="W392" i="36"/>
  <c r="AH393" i="25" s="1"/>
  <c r="X392" i="36"/>
  <c r="W393" i="25" s="1"/>
  <c r="V393" i="36"/>
  <c r="V394" i="25" s="1"/>
  <c r="W393" i="36"/>
  <c r="AH394" i="25" s="1"/>
  <c r="X393" i="36"/>
  <c r="W394" i="25" s="1"/>
  <c r="V394" i="36"/>
  <c r="V395" i="25" s="1"/>
  <c r="X394" i="36"/>
  <c r="W395" i="25" s="1"/>
  <c r="V395" i="36"/>
  <c r="V396" i="25" s="1"/>
  <c r="W395" i="36"/>
  <c r="AH396" i="25" s="1"/>
  <c r="X395" i="36"/>
  <c r="W396" i="25" s="1"/>
  <c r="V396" i="36"/>
  <c r="V397" i="25" s="1"/>
  <c r="W396" i="36"/>
  <c r="AH397" i="25" s="1"/>
  <c r="X396" i="36"/>
  <c r="W397" i="25" s="1"/>
  <c r="V397" i="36"/>
  <c r="V398" i="25" s="1"/>
  <c r="W397" i="36"/>
  <c r="AH398" i="25" s="1"/>
  <c r="X397" i="36"/>
  <c r="W398" i="25" s="1"/>
  <c r="V398" i="36"/>
  <c r="V399" i="25" s="1"/>
  <c r="X398" i="36"/>
  <c r="W399" i="25" s="1"/>
  <c r="V399" i="36"/>
  <c r="V400" i="25" s="1"/>
  <c r="W399" i="36"/>
  <c r="AH400" i="25" s="1"/>
  <c r="X399" i="36"/>
  <c r="W400" i="25" s="1"/>
  <c r="V400" i="36"/>
  <c r="V401" i="25" s="1"/>
  <c r="W400" i="36"/>
  <c r="AH401" i="25" s="1"/>
  <c r="X400" i="36"/>
  <c r="W401" i="25" s="1"/>
  <c r="V401" i="36"/>
  <c r="V402" i="25" s="1"/>
  <c r="W401" i="36"/>
  <c r="AH402" i="25" s="1"/>
  <c r="X401" i="36"/>
  <c r="W402" i="25" s="1"/>
  <c r="V402" i="36"/>
  <c r="V403" i="25" s="1"/>
  <c r="X402" i="36"/>
  <c r="W403" i="25" s="1"/>
  <c r="V403" i="36"/>
  <c r="V404" i="25" s="1"/>
  <c r="W403" i="36"/>
  <c r="AH404" i="25" s="1"/>
  <c r="X403" i="36"/>
  <c r="W404" i="25" s="1"/>
  <c r="V404" i="36"/>
  <c r="V405" i="25" s="1"/>
  <c r="W404" i="36"/>
  <c r="AH405" i="25" s="1"/>
  <c r="X404" i="36"/>
  <c r="W405" i="25" s="1"/>
  <c r="V405" i="36"/>
  <c r="V406" i="25" s="1"/>
  <c r="W405" i="36"/>
  <c r="AH406" i="25" s="1"/>
  <c r="X405" i="36"/>
  <c r="W406" i="25" s="1"/>
  <c r="V406" i="36"/>
  <c r="V407" i="25" s="1"/>
  <c r="W406" i="36"/>
  <c r="AH407" i="25" s="1"/>
  <c r="X406" i="36"/>
  <c r="W407" i="25" s="1"/>
  <c r="V407" i="36"/>
  <c r="V408" i="25" s="1"/>
  <c r="W407" i="36"/>
  <c r="AH408" i="25" s="1"/>
  <c r="X407" i="36"/>
  <c r="W408" i="25" s="1"/>
  <c r="V408" i="36"/>
  <c r="V409" i="25" s="1"/>
  <c r="W408" i="36"/>
  <c r="AH409" i="25" s="1"/>
  <c r="X408" i="36"/>
  <c r="W409" i="25" s="1"/>
  <c r="V409" i="36"/>
  <c r="V410" i="25" s="1"/>
  <c r="W409" i="36"/>
  <c r="AH410" i="25" s="1"/>
  <c r="X409" i="36"/>
  <c r="W410" i="25" s="1"/>
  <c r="V410" i="36"/>
  <c r="V411" i="25" s="1"/>
  <c r="W410" i="36"/>
  <c r="AH411" i="25" s="1"/>
  <c r="X410" i="36"/>
  <c r="W411" i="25" s="1"/>
  <c r="V411" i="36"/>
  <c r="V412" i="25" s="1"/>
  <c r="W411" i="36"/>
  <c r="AH412" i="25" s="1"/>
  <c r="X411" i="36"/>
  <c r="W412" i="25" s="1"/>
  <c r="V412" i="36"/>
  <c r="V413" i="25" s="1"/>
  <c r="W412" i="36"/>
  <c r="AH413" i="25" s="1"/>
  <c r="X412" i="36"/>
  <c r="W413" i="25" s="1"/>
  <c r="V413" i="36"/>
  <c r="V414" i="25" s="1"/>
  <c r="W413" i="36"/>
  <c r="AH414" i="25" s="1"/>
  <c r="X413" i="36"/>
  <c r="W414" i="25" s="1"/>
  <c r="V414" i="36"/>
  <c r="V415" i="25" s="1"/>
  <c r="W414" i="36"/>
  <c r="AH415" i="25" s="1"/>
  <c r="X414" i="36"/>
  <c r="W415" i="25" s="1"/>
  <c r="V415" i="36"/>
  <c r="V416" i="25" s="1"/>
  <c r="W415" i="36"/>
  <c r="AH416" i="25" s="1"/>
  <c r="X415" i="36"/>
  <c r="W416" i="25" s="1"/>
  <c r="V416" i="36"/>
  <c r="V417" i="25" s="1"/>
  <c r="W416" i="36"/>
  <c r="AH417" i="25" s="1"/>
  <c r="X416" i="36"/>
  <c r="W417" i="25" s="1"/>
  <c r="V417" i="36"/>
  <c r="V418" i="25" s="1"/>
  <c r="W417" i="36"/>
  <c r="AH418" i="25" s="1"/>
  <c r="X417" i="36"/>
  <c r="W418" i="25" s="1"/>
  <c r="V418" i="36"/>
  <c r="V419" i="25" s="1"/>
  <c r="W418" i="36"/>
  <c r="AH419" i="25" s="1"/>
  <c r="X418" i="36"/>
  <c r="W419" i="25" s="1"/>
  <c r="V419" i="36"/>
  <c r="V420" i="25" s="1"/>
  <c r="W419" i="36"/>
  <c r="AH420" i="25" s="1"/>
  <c r="X419" i="36"/>
  <c r="W420" i="25" s="1"/>
  <c r="V420" i="36"/>
  <c r="V421" i="25" s="1"/>
  <c r="W420" i="36"/>
  <c r="AH421" i="25" s="1"/>
  <c r="X420" i="36"/>
  <c r="W421" i="25" s="1"/>
  <c r="V421" i="36"/>
  <c r="V422" i="25" s="1"/>
  <c r="W421" i="36"/>
  <c r="AH422" i="25" s="1"/>
  <c r="X421" i="36"/>
  <c r="W422" i="25" s="1"/>
  <c r="V422" i="36"/>
  <c r="V423" i="25" s="1"/>
  <c r="W422" i="36"/>
  <c r="AH423" i="25" s="1"/>
  <c r="X422" i="36"/>
  <c r="W423" i="25" s="1"/>
  <c r="V423" i="36"/>
  <c r="V424" i="25" s="1"/>
  <c r="W423" i="36"/>
  <c r="AH424" i="25" s="1"/>
  <c r="X423" i="36"/>
  <c r="W424" i="25" s="1"/>
  <c r="V424" i="36"/>
  <c r="V425" i="25" s="1"/>
  <c r="W424" i="36"/>
  <c r="AH425" i="25" s="1"/>
  <c r="X424" i="36"/>
  <c r="W425" i="25" s="1"/>
  <c r="V425" i="36"/>
  <c r="V426" i="25" s="1"/>
  <c r="W425" i="36"/>
  <c r="AH426" i="25" s="1"/>
  <c r="X425" i="36"/>
  <c r="W426" i="25" s="1"/>
  <c r="F4" i="29"/>
  <c r="W106" i="36" s="1"/>
  <c r="AH107" i="25" s="1"/>
  <c r="F5" i="29"/>
  <c r="W144" i="36" s="1"/>
  <c r="AH145" i="25" s="1"/>
  <c r="F6" i="29"/>
  <c r="W4" i="36" s="1"/>
  <c r="AH5" i="25" s="1"/>
  <c r="F7" i="29"/>
  <c r="W232" i="36" s="1"/>
  <c r="AH233" i="25" s="1"/>
  <c r="F8" i="29"/>
  <c r="F9" i="29"/>
  <c r="F10" i="29"/>
  <c r="F11" i="29"/>
  <c r="W237" i="36" s="1"/>
  <c r="AH238" i="25" s="1"/>
  <c r="F12" i="29"/>
  <c r="F13" i="29"/>
  <c r="F14" i="29"/>
  <c r="F3" i="29"/>
  <c r="W108" i="36" s="1"/>
  <c r="AH109" i="25" s="1"/>
  <c r="X3" i="36"/>
  <c r="W4" i="25" s="1"/>
  <c r="V3" i="36"/>
  <c r="V4" i="25" s="1"/>
  <c r="I132" i="36"/>
  <c r="I133" i="36"/>
  <c r="I134" i="36"/>
  <c r="I135" i="36"/>
  <c r="I136" i="36"/>
  <c r="I137" i="36"/>
  <c r="I138" i="36"/>
  <c r="I139" i="36"/>
  <c r="I140" i="36"/>
  <c r="I141" i="36"/>
  <c r="I142" i="36"/>
  <c r="I143" i="36"/>
  <c r="I144" i="36"/>
  <c r="I145" i="36"/>
  <c r="I146" i="36"/>
  <c r="I147" i="36"/>
  <c r="I148" i="36"/>
  <c r="I149" i="36"/>
  <c r="I150" i="36"/>
  <c r="I151" i="36"/>
  <c r="I152" i="36"/>
  <c r="I153" i="36"/>
  <c r="I154" i="36"/>
  <c r="I155" i="36"/>
  <c r="I156" i="36"/>
  <c r="I157" i="36"/>
  <c r="I158" i="36"/>
  <c r="I159" i="36"/>
  <c r="I160" i="36"/>
  <c r="I161" i="36"/>
  <c r="I162" i="36"/>
  <c r="I163" i="36"/>
  <c r="I164" i="36"/>
  <c r="I165" i="36"/>
  <c r="I166" i="36"/>
  <c r="I167" i="36"/>
  <c r="I168" i="36"/>
  <c r="I169" i="36"/>
  <c r="I170" i="36"/>
  <c r="I171" i="36"/>
  <c r="I172" i="36"/>
  <c r="I173" i="36"/>
  <c r="I174" i="36"/>
  <c r="I175" i="36"/>
  <c r="I176" i="36"/>
  <c r="I177" i="36"/>
  <c r="I178" i="36"/>
  <c r="I179" i="36"/>
  <c r="I180" i="36"/>
  <c r="I181" i="36"/>
  <c r="I182" i="36"/>
  <c r="I183" i="36"/>
  <c r="I184" i="36"/>
  <c r="I185" i="36"/>
  <c r="I186" i="36"/>
  <c r="I187" i="36"/>
  <c r="I188" i="36"/>
  <c r="I189" i="36"/>
  <c r="I190" i="36"/>
  <c r="I191" i="36"/>
  <c r="I192" i="36"/>
  <c r="I193" i="36"/>
  <c r="I194" i="36"/>
  <c r="I195" i="36"/>
  <c r="I196" i="36"/>
  <c r="I197" i="36"/>
  <c r="I198" i="36"/>
  <c r="I199" i="36"/>
  <c r="I200" i="36"/>
  <c r="I201" i="36"/>
  <c r="I202" i="36"/>
  <c r="I203" i="36"/>
  <c r="I204" i="36"/>
  <c r="I205" i="36"/>
  <c r="I206" i="36"/>
  <c r="I207" i="36"/>
  <c r="I208" i="36"/>
  <c r="I209" i="36"/>
  <c r="I210" i="36"/>
  <c r="I211" i="36"/>
  <c r="I212" i="36"/>
  <c r="I213" i="36"/>
  <c r="I214" i="36"/>
  <c r="I215" i="36"/>
  <c r="I216" i="36"/>
  <c r="I217" i="36"/>
  <c r="I218" i="36"/>
  <c r="I219" i="36"/>
  <c r="I220" i="36"/>
  <c r="I221" i="36"/>
  <c r="I222" i="36"/>
  <c r="I223" i="36"/>
  <c r="I224" i="36"/>
  <c r="I225" i="36"/>
  <c r="I226" i="36"/>
  <c r="I227" i="36"/>
  <c r="I228" i="36"/>
  <c r="I229" i="36"/>
  <c r="I230" i="36"/>
  <c r="I231" i="36"/>
  <c r="I232" i="36"/>
  <c r="I233" i="36"/>
  <c r="I234" i="36"/>
  <c r="I235" i="36"/>
  <c r="I236" i="36"/>
  <c r="I237" i="36"/>
  <c r="I238" i="36"/>
  <c r="I239" i="36"/>
  <c r="I240" i="36"/>
  <c r="I241" i="36"/>
  <c r="I242" i="36"/>
  <c r="I243" i="36"/>
  <c r="I244" i="36"/>
  <c r="I245" i="36"/>
  <c r="I246" i="36"/>
  <c r="I247" i="36"/>
  <c r="I248" i="36"/>
  <c r="I249" i="36"/>
  <c r="I250" i="36"/>
  <c r="I251" i="36"/>
  <c r="I252" i="36"/>
  <c r="I253" i="36"/>
  <c r="I254" i="36"/>
  <c r="I255" i="36"/>
  <c r="I256" i="36"/>
  <c r="I257" i="36"/>
  <c r="I258" i="36"/>
  <c r="I259" i="36"/>
  <c r="I260" i="36"/>
  <c r="I261" i="36"/>
  <c r="I262" i="36"/>
  <c r="I263" i="36"/>
  <c r="I264" i="36"/>
  <c r="I265" i="36"/>
  <c r="I266" i="36"/>
  <c r="I267" i="36"/>
  <c r="I268" i="36"/>
  <c r="I269" i="36"/>
  <c r="I270" i="36"/>
  <c r="I271" i="36"/>
  <c r="I272" i="36"/>
  <c r="I273" i="36"/>
  <c r="I274" i="36"/>
  <c r="I275" i="36"/>
  <c r="I276" i="36"/>
  <c r="I277" i="36"/>
  <c r="I278" i="36"/>
  <c r="I279" i="36"/>
  <c r="I280" i="36"/>
  <c r="I281" i="36"/>
  <c r="I282" i="36"/>
  <c r="I283" i="36"/>
  <c r="I284" i="36"/>
  <c r="I285" i="36"/>
  <c r="I286" i="36"/>
  <c r="I287" i="36"/>
  <c r="I288" i="36"/>
  <c r="I289" i="36"/>
  <c r="I290" i="36"/>
  <c r="I291" i="36"/>
  <c r="I292" i="36"/>
  <c r="I293" i="36"/>
  <c r="I294" i="36"/>
  <c r="I295" i="36"/>
  <c r="I296" i="36"/>
  <c r="I297" i="36"/>
  <c r="I298" i="36"/>
  <c r="I299" i="36"/>
  <c r="I300" i="36"/>
  <c r="I301" i="36"/>
  <c r="I302" i="36"/>
  <c r="I303" i="36"/>
  <c r="I304" i="36"/>
  <c r="I305" i="36"/>
  <c r="I306" i="36"/>
  <c r="I307" i="36"/>
  <c r="I308" i="36"/>
  <c r="I309" i="36"/>
  <c r="I310" i="36"/>
  <c r="I311" i="36"/>
  <c r="I312" i="36"/>
  <c r="I313" i="36"/>
  <c r="I314" i="36"/>
  <c r="I315" i="36"/>
  <c r="I316" i="36"/>
  <c r="I317" i="36"/>
  <c r="I318" i="36"/>
  <c r="I319" i="36"/>
  <c r="I320" i="36"/>
  <c r="I321" i="36"/>
  <c r="I322" i="36"/>
  <c r="I323" i="36"/>
  <c r="I324" i="36"/>
  <c r="I325" i="36"/>
  <c r="I326" i="36"/>
  <c r="I327" i="36"/>
  <c r="I328" i="36"/>
  <c r="I329" i="36"/>
  <c r="I330" i="36"/>
  <c r="I331" i="36"/>
  <c r="I332" i="36"/>
  <c r="I333" i="36"/>
  <c r="I334" i="36"/>
  <c r="I335" i="36"/>
  <c r="I336" i="36"/>
  <c r="I337" i="36"/>
  <c r="I338" i="36"/>
  <c r="I339" i="36"/>
  <c r="I340" i="36"/>
  <c r="I341" i="36"/>
  <c r="I342" i="36"/>
  <c r="I343" i="36"/>
  <c r="I344" i="36"/>
  <c r="I345" i="36"/>
  <c r="I346" i="36"/>
  <c r="I347" i="36"/>
  <c r="I348" i="36"/>
  <c r="I349" i="36"/>
  <c r="I350" i="36"/>
  <c r="I351" i="36"/>
  <c r="I352" i="36"/>
  <c r="I353" i="36"/>
  <c r="I354" i="36"/>
  <c r="I355" i="36"/>
  <c r="I356" i="36"/>
  <c r="I357" i="36"/>
  <c r="I358" i="36"/>
  <c r="I359" i="36"/>
  <c r="I360" i="36"/>
  <c r="I361" i="36"/>
  <c r="I362" i="36"/>
  <c r="I363" i="36"/>
  <c r="I364" i="36"/>
  <c r="I365" i="36"/>
  <c r="I366" i="36"/>
  <c r="I367" i="36"/>
  <c r="I368" i="36"/>
  <c r="I369" i="36"/>
  <c r="I370" i="36"/>
  <c r="I371" i="36"/>
  <c r="I372" i="36"/>
  <c r="I373" i="36"/>
  <c r="I374" i="36"/>
  <c r="I375" i="36"/>
  <c r="I376" i="36"/>
  <c r="I377" i="36"/>
  <c r="I378" i="36"/>
  <c r="I379" i="36"/>
  <c r="I380" i="36"/>
  <c r="I381" i="36"/>
  <c r="I382" i="36"/>
  <c r="I383" i="36"/>
  <c r="I384" i="36"/>
  <c r="I385" i="36"/>
  <c r="I386" i="36"/>
  <c r="I387" i="36"/>
  <c r="I388" i="36"/>
  <c r="I389" i="36"/>
  <c r="I390" i="36"/>
  <c r="I391" i="36"/>
  <c r="I392" i="36"/>
  <c r="I393" i="36"/>
  <c r="I394" i="36"/>
  <c r="I395" i="36"/>
  <c r="I396" i="36"/>
  <c r="I397" i="36"/>
  <c r="I398" i="36"/>
  <c r="I399" i="36"/>
  <c r="I400" i="36"/>
  <c r="I401" i="36"/>
  <c r="I402" i="36"/>
  <c r="I403" i="36"/>
  <c r="I404" i="36"/>
  <c r="I405" i="36"/>
  <c r="I406" i="36"/>
  <c r="I407" i="36"/>
  <c r="I408" i="36"/>
  <c r="I409" i="36"/>
  <c r="I410" i="36"/>
  <c r="I411" i="36"/>
  <c r="I412" i="36"/>
  <c r="I413" i="36"/>
  <c r="I414" i="36"/>
  <c r="I415" i="36"/>
  <c r="I416" i="36"/>
  <c r="I417" i="36"/>
  <c r="I418" i="36"/>
  <c r="I419" i="36"/>
  <c r="I420" i="36"/>
  <c r="I421" i="36"/>
  <c r="I422" i="36"/>
  <c r="I423" i="36"/>
  <c r="I424" i="36"/>
  <c r="I425" i="36"/>
  <c r="I4" i="36"/>
  <c r="I5" i="36"/>
  <c r="I6" i="36"/>
  <c r="I7" i="36"/>
  <c r="I8" i="36"/>
  <c r="I9" i="36"/>
  <c r="I10" i="36"/>
  <c r="I11" i="36"/>
  <c r="I12" i="36"/>
  <c r="I13" i="36"/>
  <c r="I14" i="36"/>
  <c r="I15" i="36"/>
  <c r="I16" i="36"/>
  <c r="I17" i="36"/>
  <c r="I18" i="36"/>
  <c r="I19" i="36"/>
  <c r="I20" i="36"/>
  <c r="I21" i="36"/>
  <c r="I22" i="36"/>
  <c r="I23" i="36"/>
  <c r="I24" i="36"/>
  <c r="I25" i="36"/>
  <c r="I26" i="36"/>
  <c r="I27" i="36"/>
  <c r="I28" i="36"/>
  <c r="I29" i="36"/>
  <c r="I30" i="36"/>
  <c r="I31" i="36"/>
  <c r="I32" i="36"/>
  <c r="I33" i="36"/>
  <c r="I34" i="36"/>
  <c r="I35" i="36"/>
  <c r="I36" i="36"/>
  <c r="I37" i="36"/>
  <c r="I38" i="36"/>
  <c r="I39" i="36"/>
  <c r="I40" i="36"/>
  <c r="I41" i="36"/>
  <c r="I42" i="36"/>
  <c r="I43" i="36"/>
  <c r="I44" i="36"/>
  <c r="I45" i="36"/>
  <c r="I46" i="36"/>
  <c r="I47" i="36"/>
  <c r="I48" i="36"/>
  <c r="I49" i="36"/>
  <c r="I50" i="36"/>
  <c r="I51" i="36"/>
  <c r="I52" i="36"/>
  <c r="I53" i="36"/>
  <c r="I54" i="36"/>
  <c r="I55" i="36"/>
  <c r="I56" i="36"/>
  <c r="I57" i="36"/>
  <c r="I58" i="36"/>
  <c r="I59" i="36"/>
  <c r="I60" i="36"/>
  <c r="I61" i="36"/>
  <c r="I62" i="36"/>
  <c r="I63" i="36"/>
  <c r="I64" i="36"/>
  <c r="I65" i="36"/>
  <c r="I66" i="36"/>
  <c r="I67" i="36"/>
  <c r="I68" i="36"/>
  <c r="I69" i="36"/>
  <c r="I70" i="36"/>
  <c r="I71" i="36"/>
  <c r="I72" i="36"/>
  <c r="I73" i="36"/>
  <c r="I74" i="36"/>
  <c r="I75" i="36"/>
  <c r="I76" i="36"/>
  <c r="I77" i="36"/>
  <c r="I78" i="36"/>
  <c r="I79" i="36"/>
  <c r="I80" i="36"/>
  <c r="I81" i="36"/>
  <c r="I82" i="36"/>
  <c r="I83" i="36"/>
  <c r="I84" i="36"/>
  <c r="I85" i="36"/>
  <c r="I86" i="36"/>
  <c r="I87" i="36"/>
  <c r="I88" i="36"/>
  <c r="I89" i="36"/>
  <c r="I90" i="36"/>
  <c r="I91" i="36"/>
  <c r="I92" i="36"/>
  <c r="I93" i="36"/>
  <c r="I94" i="36"/>
  <c r="I95" i="36"/>
  <c r="I96" i="36"/>
  <c r="I97" i="36"/>
  <c r="I98" i="36"/>
  <c r="I99" i="36"/>
  <c r="I100" i="36"/>
  <c r="I101" i="36"/>
  <c r="I102" i="36"/>
  <c r="I103" i="36"/>
  <c r="I104" i="36"/>
  <c r="I105" i="36"/>
  <c r="I106" i="36"/>
  <c r="I107" i="36"/>
  <c r="I108" i="36"/>
  <c r="I109" i="36"/>
  <c r="I110" i="36"/>
  <c r="I111" i="36"/>
  <c r="I112" i="36"/>
  <c r="I113" i="36"/>
  <c r="I114" i="36"/>
  <c r="I115" i="36"/>
  <c r="I116" i="36"/>
  <c r="I117" i="36"/>
  <c r="I118" i="36"/>
  <c r="I119" i="36"/>
  <c r="I120" i="36"/>
  <c r="I121" i="36"/>
  <c r="I122" i="36"/>
  <c r="I123" i="36"/>
  <c r="I124" i="36"/>
  <c r="I125" i="36"/>
  <c r="I126" i="36"/>
  <c r="I127" i="36"/>
  <c r="I128" i="36"/>
  <c r="I129" i="36"/>
  <c r="I130" i="36"/>
  <c r="I131" i="36"/>
  <c r="I3" i="36"/>
  <c r="T4" i="25"/>
  <c r="K404" i="25"/>
  <c r="Q404" i="25" s="1"/>
  <c r="E90" i="27"/>
  <c r="Q332" i="25"/>
  <c r="Q336" i="25"/>
  <c r="Q413" i="25"/>
  <c r="Q425" i="25"/>
  <c r="Q431" i="25"/>
  <c r="Q446" i="25"/>
  <c r="Q475" i="25"/>
  <c r="Q484" i="25"/>
  <c r="Q531" i="25"/>
  <c r="Q538" i="25"/>
  <c r="Q556" i="25"/>
  <c r="Q574" i="25"/>
  <c r="Q595" i="25"/>
  <c r="Q602" i="25"/>
  <c r="Q616" i="25"/>
  <c r="Q676" i="25"/>
  <c r="Q687" i="25"/>
  <c r="Q694" i="25"/>
  <c r="Q715" i="25"/>
  <c r="Q718" i="25"/>
  <c r="Q760" i="25"/>
  <c r="Q802" i="25"/>
  <c r="Q856" i="25"/>
  <c r="Q880" i="25"/>
  <c r="Q928" i="25"/>
  <c r="Q964" i="25"/>
  <c r="Q1013" i="25"/>
  <c r="Q1055" i="25"/>
  <c r="Q1078" i="25"/>
  <c r="Q1085" i="25"/>
  <c r="Q1114" i="25"/>
  <c r="Q1156" i="25"/>
  <c r="Q1192" i="25"/>
  <c r="J5" i="25"/>
  <c r="J6" i="25"/>
  <c r="J7" i="25"/>
  <c r="J8" i="25"/>
  <c r="J9" i="25"/>
  <c r="J10" i="25"/>
  <c r="J11" i="25"/>
  <c r="J12" i="25"/>
  <c r="J13" i="25"/>
  <c r="J14" i="25"/>
  <c r="J15" i="25"/>
  <c r="J16" i="25"/>
  <c r="J17" i="25"/>
  <c r="J18" i="25"/>
  <c r="J19" i="25"/>
  <c r="J20" i="25"/>
  <c r="J21" i="25"/>
  <c r="J22" i="25"/>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57" i="25"/>
  <c r="J58" i="25"/>
  <c r="J59" i="25"/>
  <c r="J60" i="25"/>
  <c r="J61" i="25"/>
  <c r="J62" i="25"/>
  <c r="J63" i="25"/>
  <c r="J64" i="25"/>
  <c r="J65" i="25"/>
  <c r="J66" i="25"/>
  <c r="J67" i="25"/>
  <c r="J68" i="25"/>
  <c r="J69" i="25"/>
  <c r="J70" i="25"/>
  <c r="J71" i="25"/>
  <c r="J72" i="25"/>
  <c r="J73" i="25"/>
  <c r="J74" i="25"/>
  <c r="J75" i="25"/>
  <c r="J76" i="25"/>
  <c r="J77" i="25"/>
  <c r="J78" i="25"/>
  <c r="J79" i="25"/>
  <c r="J80" i="25"/>
  <c r="J81" i="25"/>
  <c r="J82" i="25"/>
  <c r="J83" i="25"/>
  <c r="J84" i="25"/>
  <c r="J85" i="25"/>
  <c r="J86" i="25"/>
  <c r="J87" i="25"/>
  <c r="J88" i="25"/>
  <c r="K88" i="25" s="1"/>
  <c r="Q88" i="25" s="1"/>
  <c r="J89" i="25"/>
  <c r="K89" i="25" s="1"/>
  <c r="Q89" i="25" s="1"/>
  <c r="J90" i="25"/>
  <c r="K90" i="25" s="1"/>
  <c r="Q90" i="25" s="1"/>
  <c r="J91" i="25"/>
  <c r="K91" i="25" s="1"/>
  <c r="J92" i="25"/>
  <c r="K92" i="25" s="1"/>
  <c r="Q92" i="25" s="1"/>
  <c r="J93" i="25"/>
  <c r="K93" i="25" s="1"/>
  <c r="Q93" i="25" s="1"/>
  <c r="J94" i="25"/>
  <c r="K94" i="25" s="1"/>
  <c r="Q94" i="25" s="1"/>
  <c r="J95" i="25"/>
  <c r="J96" i="25"/>
  <c r="J97" i="25"/>
  <c r="J98" i="25"/>
  <c r="J99" i="25"/>
  <c r="J100" i="25"/>
  <c r="J101" i="25"/>
  <c r="J102" i="25"/>
  <c r="J103" i="25"/>
  <c r="J104" i="25"/>
  <c r="J105" i="25"/>
  <c r="J106" i="25"/>
  <c r="J107" i="25"/>
  <c r="J108" i="25"/>
  <c r="J109" i="25"/>
  <c r="J110" i="25"/>
  <c r="J111" i="25"/>
  <c r="J112" i="25"/>
  <c r="J113" i="25"/>
  <c r="J114" i="25"/>
  <c r="J115" i="25"/>
  <c r="J116" i="25"/>
  <c r="J117" i="25"/>
  <c r="J118" i="25"/>
  <c r="J119" i="25"/>
  <c r="J120" i="25"/>
  <c r="J121" i="25"/>
  <c r="J122" i="25"/>
  <c r="J123" i="25"/>
  <c r="J124" i="25"/>
  <c r="J125" i="25"/>
  <c r="J126" i="25"/>
  <c r="J127" i="25"/>
  <c r="J128" i="25"/>
  <c r="J129" i="25"/>
  <c r="J130" i="25"/>
  <c r="J131" i="25"/>
  <c r="J132" i="25"/>
  <c r="J133" i="25"/>
  <c r="J134" i="25"/>
  <c r="J135" i="25"/>
  <c r="J136" i="25"/>
  <c r="J137" i="25"/>
  <c r="J138" i="25"/>
  <c r="J139" i="25"/>
  <c r="J140" i="25"/>
  <c r="J141" i="25"/>
  <c r="J142" i="25"/>
  <c r="J143" i="25"/>
  <c r="J144" i="25"/>
  <c r="J145" i="25"/>
  <c r="J146" i="25"/>
  <c r="J147" i="25"/>
  <c r="J148" i="25"/>
  <c r="J149" i="25"/>
  <c r="J150" i="25"/>
  <c r="J151" i="25"/>
  <c r="J152" i="25"/>
  <c r="J153" i="25"/>
  <c r="J154" i="25"/>
  <c r="J155" i="25"/>
  <c r="J156" i="25"/>
  <c r="J157" i="25"/>
  <c r="J158" i="25"/>
  <c r="J159" i="25"/>
  <c r="J160" i="25"/>
  <c r="J161" i="25"/>
  <c r="J162" i="25"/>
  <c r="J163" i="25"/>
  <c r="J164" i="25"/>
  <c r="J165" i="25"/>
  <c r="J166" i="25"/>
  <c r="J167" i="25"/>
  <c r="J168" i="25"/>
  <c r="J169" i="25"/>
  <c r="J170" i="25"/>
  <c r="J171" i="25"/>
  <c r="J172" i="25"/>
  <c r="J173" i="25"/>
  <c r="J174" i="25"/>
  <c r="J175" i="25"/>
  <c r="J176" i="25"/>
  <c r="J177" i="25"/>
  <c r="J178" i="25"/>
  <c r="J179" i="25"/>
  <c r="J180" i="25"/>
  <c r="J181" i="25"/>
  <c r="J182" i="25"/>
  <c r="J183" i="25"/>
  <c r="J184" i="25"/>
  <c r="J185" i="25"/>
  <c r="J186" i="25"/>
  <c r="J187" i="25"/>
  <c r="J188" i="25"/>
  <c r="J189" i="25"/>
  <c r="J190" i="25"/>
  <c r="J191" i="25"/>
  <c r="J192" i="25"/>
  <c r="J193" i="25"/>
  <c r="J194" i="25"/>
  <c r="K194" i="25" s="1"/>
  <c r="Q194" i="25" s="1"/>
  <c r="J195" i="25"/>
  <c r="K195" i="25" s="1"/>
  <c r="Q195" i="25" s="1"/>
  <c r="J196" i="25"/>
  <c r="K196" i="25" s="1"/>
  <c r="Q196" i="25" s="1"/>
  <c r="J197" i="25"/>
  <c r="K197" i="25" s="1"/>
  <c r="Q197" i="25" s="1"/>
  <c r="J198" i="25"/>
  <c r="K198" i="25" s="1"/>
  <c r="Q198" i="25" s="1"/>
  <c r="J199" i="25"/>
  <c r="K199" i="25" s="1"/>
  <c r="Q199" i="25" s="1"/>
  <c r="J200" i="25"/>
  <c r="K200" i="25" s="1"/>
  <c r="Q200" i="25" s="1"/>
  <c r="J201" i="25"/>
  <c r="J202" i="25"/>
  <c r="J203" i="25"/>
  <c r="J204" i="25"/>
  <c r="J205" i="25"/>
  <c r="J206" i="25"/>
  <c r="J207" i="25"/>
  <c r="J208" i="25"/>
  <c r="J209" i="25"/>
  <c r="J210" i="25"/>
  <c r="J211" i="25"/>
  <c r="J212" i="25"/>
  <c r="J213" i="25"/>
  <c r="J214" i="25"/>
  <c r="J215" i="25"/>
  <c r="J216" i="25"/>
  <c r="J217" i="25"/>
  <c r="J218" i="25"/>
  <c r="J219" i="25"/>
  <c r="J220" i="25"/>
  <c r="J221" i="25"/>
  <c r="J222" i="25"/>
  <c r="J223" i="25"/>
  <c r="J224" i="25"/>
  <c r="J225" i="25"/>
  <c r="J226" i="25"/>
  <c r="J227" i="25"/>
  <c r="J228" i="25"/>
  <c r="J229" i="25"/>
  <c r="J230" i="25"/>
  <c r="J231" i="25"/>
  <c r="J232" i="25"/>
  <c r="J233" i="25"/>
  <c r="J234" i="25"/>
  <c r="J235" i="25"/>
  <c r="J236" i="25"/>
  <c r="J237" i="25"/>
  <c r="J238" i="25"/>
  <c r="J239" i="25"/>
  <c r="J240" i="25"/>
  <c r="J241" i="25"/>
  <c r="J242" i="25"/>
  <c r="J243" i="25"/>
  <c r="J244" i="25"/>
  <c r="J245" i="25"/>
  <c r="J246" i="25"/>
  <c r="J247" i="25"/>
  <c r="J248" i="25"/>
  <c r="J249" i="25"/>
  <c r="J250" i="25"/>
  <c r="J251" i="25"/>
  <c r="J252" i="25"/>
  <c r="J253" i="25"/>
  <c r="J254" i="25"/>
  <c r="J255" i="25"/>
  <c r="J256" i="25"/>
  <c r="J257" i="25"/>
  <c r="J258" i="25"/>
  <c r="J259" i="25"/>
  <c r="J260" i="25"/>
  <c r="J261" i="25"/>
  <c r="J262" i="25"/>
  <c r="J263" i="25"/>
  <c r="J264" i="25"/>
  <c r="J265" i="25"/>
  <c r="J266" i="25"/>
  <c r="J267" i="25"/>
  <c r="J268" i="25"/>
  <c r="J269" i="25"/>
  <c r="J270" i="25"/>
  <c r="J271" i="25"/>
  <c r="J272" i="25"/>
  <c r="J273" i="25"/>
  <c r="J274" i="25"/>
  <c r="J275" i="25"/>
  <c r="J276" i="25"/>
  <c r="J277" i="25"/>
  <c r="J278" i="25"/>
  <c r="J279" i="25"/>
  <c r="J280" i="25"/>
  <c r="J281" i="25"/>
  <c r="J282" i="25"/>
  <c r="J283" i="25"/>
  <c r="J284" i="25"/>
  <c r="J285" i="25"/>
  <c r="J286" i="25"/>
  <c r="J287" i="25"/>
  <c r="J288" i="25"/>
  <c r="J289" i="25"/>
  <c r="J290" i="25"/>
  <c r="J291" i="25"/>
  <c r="J292" i="25"/>
  <c r="J293" i="25"/>
  <c r="J294" i="25"/>
  <c r="J295" i="25"/>
  <c r="J296" i="25"/>
  <c r="J297" i="25"/>
  <c r="J298" i="25"/>
  <c r="J299" i="25"/>
  <c r="J300" i="25"/>
  <c r="J301" i="25"/>
  <c r="J302" i="25"/>
  <c r="J303" i="25"/>
  <c r="J304" i="25"/>
  <c r="K304" i="25" s="1"/>
  <c r="Q304" i="25" s="1"/>
  <c r="J305" i="25"/>
  <c r="K305" i="25" s="1"/>
  <c r="Q305" i="25" s="1"/>
  <c r="J306" i="25"/>
  <c r="K306" i="25" s="1"/>
  <c r="Q306" i="25" s="1"/>
  <c r="J307" i="25"/>
  <c r="K307" i="25" s="1"/>
  <c r="Q307" i="25" s="1"/>
  <c r="J308" i="25"/>
  <c r="K308" i="25" s="1"/>
  <c r="Q308" i="25" s="1"/>
  <c r="J309" i="25"/>
  <c r="K309" i="25" s="1"/>
  <c r="Q309" i="25" s="1"/>
  <c r="J310" i="25"/>
  <c r="K310" i="25" s="1"/>
  <c r="Q310" i="25" s="1"/>
  <c r="J311" i="25"/>
  <c r="J312" i="25"/>
  <c r="J313" i="25"/>
  <c r="J314" i="25"/>
  <c r="J315" i="25"/>
  <c r="J316" i="25"/>
  <c r="J317" i="25"/>
  <c r="J318" i="25"/>
  <c r="J319" i="25"/>
  <c r="J320" i="25"/>
  <c r="J321" i="25"/>
  <c r="J322" i="25"/>
  <c r="J323" i="25"/>
  <c r="J324" i="25"/>
  <c r="J325" i="25"/>
  <c r="J326" i="25"/>
  <c r="J327" i="25"/>
  <c r="J328" i="25"/>
  <c r="J329" i="25"/>
  <c r="J330" i="25"/>
  <c r="J331" i="25"/>
  <c r="J332" i="25"/>
  <c r="J333" i="25"/>
  <c r="J334" i="25"/>
  <c r="J335" i="25"/>
  <c r="J336" i="25"/>
  <c r="J337" i="25"/>
  <c r="J338" i="25"/>
  <c r="J339" i="25"/>
  <c r="J340" i="25"/>
  <c r="J341" i="25"/>
  <c r="J342" i="25"/>
  <c r="J343" i="25"/>
  <c r="J344" i="25"/>
  <c r="J345" i="25"/>
  <c r="J346" i="25"/>
  <c r="J347" i="25"/>
  <c r="J348" i="25"/>
  <c r="J349" i="25"/>
  <c r="J350" i="25"/>
  <c r="J351" i="25"/>
  <c r="J352" i="25"/>
  <c r="J353" i="25"/>
  <c r="J354" i="25"/>
  <c r="J355" i="25"/>
  <c r="J356" i="25"/>
  <c r="J357" i="25"/>
  <c r="J358" i="25"/>
  <c r="J359" i="25"/>
  <c r="J360" i="25"/>
  <c r="J361" i="25"/>
  <c r="J362" i="25"/>
  <c r="J363" i="25"/>
  <c r="J364" i="25"/>
  <c r="J365" i="25"/>
  <c r="J366" i="25"/>
  <c r="J367" i="25"/>
  <c r="J368" i="25"/>
  <c r="J369" i="25"/>
  <c r="J370" i="25"/>
  <c r="J371" i="25"/>
  <c r="J372" i="25"/>
  <c r="J373" i="25"/>
  <c r="J374" i="25"/>
  <c r="J375" i="25"/>
  <c r="J376" i="25"/>
  <c r="J377" i="25"/>
  <c r="J378" i="25"/>
  <c r="J379" i="25"/>
  <c r="J380" i="25"/>
  <c r="J381" i="25"/>
  <c r="J382" i="25"/>
  <c r="J383" i="25"/>
  <c r="J384" i="25"/>
  <c r="J385" i="25"/>
  <c r="J386" i="25"/>
  <c r="J387" i="25"/>
  <c r="J388" i="25"/>
  <c r="J389" i="25"/>
  <c r="J390" i="25"/>
  <c r="J391" i="25"/>
  <c r="J392" i="25"/>
  <c r="J393" i="25"/>
  <c r="J394" i="25"/>
  <c r="J395" i="25"/>
  <c r="J396" i="25"/>
  <c r="J397" i="25"/>
  <c r="J398" i="25"/>
  <c r="J399" i="25"/>
  <c r="J400" i="25"/>
  <c r="K400" i="25" s="1"/>
  <c r="Q400" i="25" s="1"/>
  <c r="J401" i="25"/>
  <c r="K401" i="25" s="1"/>
  <c r="Q401" i="25" s="1"/>
  <c r="J402" i="25"/>
  <c r="K402" i="25" s="1"/>
  <c r="Q402" i="25" s="1"/>
  <c r="J403" i="25"/>
  <c r="K403" i="25" s="1"/>
  <c r="Q403" i="25" s="1"/>
  <c r="J404" i="25"/>
  <c r="J405" i="25"/>
  <c r="K405" i="25" s="1"/>
  <c r="Q405" i="25" s="1"/>
  <c r="J406" i="25"/>
  <c r="K406" i="25" s="1"/>
  <c r="Q406" i="25" s="1"/>
  <c r="J407" i="25"/>
  <c r="J408" i="25"/>
  <c r="J409" i="25"/>
  <c r="J410" i="25"/>
  <c r="J411" i="25"/>
  <c r="J412" i="25"/>
  <c r="J413" i="25"/>
  <c r="J414" i="25"/>
  <c r="J415" i="25"/>
  <c r="J416" i="25"/>
  <c r="J417" i="25"/>
  <c r="J418" i="25"/>
  <c r="J419" i="25"/>
  <c r="J420" i="25"/>
  <c r="J421" i="25"/>
  <c r="J422" i="25"/>
  <c r="J423" i="25"/>
  <c r="J424" i="25"/>
  <c r="J425" i="25"/>
  <c r="J426" i="25"/>
  <c r="J427" i="25"/>
  <c r="J428" i="25"/>
  <c r="J429" i="25"/>
  <c r="J430" i="25"/>
  <c r="J431" i="25"/>
  <c r="J432" i="25"/>
  <c r="J433" i="25"/>
  <c r="J434" i="25"/>
  <c r="J435" i="25"/>
  <c r="J436" i="25"/>
  <c r="J437" i="25"/>
  <c r="J438" i="25"/>
  <c r="J439" i="25"/>
  <c r="J440" i="25"/>
  <c r="J441" i="25"/>
  <c r="J442" i="25"/>
  <c r="J443" i="25"/>
  <c r="J444" i="25"/>
  <c r="J445" i="25"/>
  <c r="J446" i="25"/>
  <c r="J447" i="25"/>
  <c r="J448" i="25"/>
  <c r="J449" i="25"/>
  <c r="J450" i="25"/>
  <c r="J451" i="25"/>
  <c r="J452" i="25"/>
  <c r="J453" i="25"/>
  <c r="J454" i="25"/>
  <c r="J455" i="25"/>
  <c r="J456" i="25"/>
  <c r="J457" i="25"/>
  <c r="J458" i="25"/>
  <c r="J459" i="25"/>
  <c r="J460" i="25"/>
  <c r="J461" i="25"/>
  <c r="J462" i="25"/>
  <c r="J463" i="25"/>
  <c r="J464" i="25"/>
  <c r="J465" i="25"/>
  <c r="J466" i="25"/>
  <c r="J467" i="25"/>
  <c r="J468" i="25"/>
  <c r="J469" i="25"/>
  <c r="J470" i="25"/>
  <c r="J471" i="25"/>
  <c r="J472" i="25"/>
  <c r="J473" i="25"/>
  <c r="J474" i="25"/>
  <c r="J475" i="25"/>
  <c r="J476" i="25"/>
  <c r="J477" i="25"/>
  <c r="J478" i="25"/>
  <c r="J479" i="25"/>
  <c r="J480" i="25"/>
  <c r="J481" i="25"/>
  <c r="J482" i="25"/>
  <c r="J483" i="25"/>
  <c r="J484" i="25"/>
  <c r="J485" i="25"/>
  <c r="J486" i="25"/>
  <c r="J487" i="25"/>
  <c r="J488" i="25"/>
  <c r="J489" i="25"/>
  <c r="J490" i="25"/>
  <c r="J491" i="25"/>
  <c r="J492" i="25"/>
  <c r="J493" i="25"/>
  <c r="J494" i="25"/>
  <c r="J495" i="25"/>
  <c r="J496" i="25"/>
  <c r="J497" i="25"/>
  <c r="J498" i="25"/>
  <c r="J499" i="25"/>
  <c r="J500" i="25"/>
  <c r="J501" i="25"/>
  <c r="J502" i="25"/>
  <c r="J503" i="25"/>
  <c r="J504" i="25"/>
  <c r="J505" i="25"/>
  <c r="J506" i="25"/>
  <c r="J507" i="25"/>
  <c r="J508" i="25"/>
  <c r="J509" i="25"/>
  <c r="J510" i="25"/>
  <c r="J511" i="25"/>
  <c r="J512" i="25"/>
  <c r="J513" i="25"/>
  <c r="J514" i="25"/>
  <c r="J515" i="25"/>
  <c r="J516" i="25"/>
  <c r="J517" i="25"/>
  <c r="J518" i="25"/>
  <c r="J519" i="25"/>
  <c r="J520" i="25"/>
  <c r="J521" i="25"/>
  <c r="J522" i="25"/>
  <c r="J523" i="25"/>
  <c r="J524" i="25"/>
  <c r="J525" i="25"/>
  <c r="J526" i="25"/>
  <c r="J527" i="25"/>
  <c r="J528" i="25"/>
  <c r="J529" i="25"/>
  <c r="J530" i="25"/>
  <c r="J531" i="25"/>
  <c r="J532" i="25"/>
  <c r="J533" i="25"/>
  <c r="J534" i="25"/>
  <c r="J535" i="25"/>
  <c r="J536" i="25"/>
  <c r="J537" i="25"/>
  <c r="J538" i="25"/>
  <c r="J539" i="25"/>
  <c r="J540" i="25"/>
  <c r="J541" i="25"/>
  <c r="J542" i="25"/>
  <c r="J543" i="25"/>
  <c r="J544" i="25"/>
  <c r="J545" i="25"/>
  <c r="J546" i="25"/>
  <c r="J547" i="25"/>
  <c r="J548" i="25"/>
  <c r="J549" i="25"/>
  <c r="J550" i="25"/>
  <c r="J551" i="25"/>
  <c r="J552" i="25"/>
  <c r="J553" i="25"/>
  <c r="J554" i="25"/>
  <c r="J555" i="25"/>
  <c r="J556" i="25"/>
  <c r="J557" i="25"/>
  <c r="J558" i="25"/>
  <c r="J559" i="25"/>
  <c r="J560" i="25"/>
  <c r="J561" i="25"/>
  <c r="J562" i="25"/>
  <c r="J563" i="25"/>
  <c r="J564" i="25"/>
  <c r="J565" i="25"/>
  <c r="J566" i="25"/>
  <c r="J567" i="25"/>
  <c r="J568" i="25"/>
  <c r="J569" i="25"/>
  <c r="J570" i="25"/>
  <c r="J571" i="25"/>
  <c r="J572" i="25"/>
  <c r="J573" i="25"/>
  <c r="J574" i="25"/>
  <c r="J575" i="25"/>
  <c r="J576" i="25"/>
  <c r="J577" i="25"/>
  <c r="J578" i="25"/>
  <c r="J579" i="25"/>
  <c r="J580" i="25"/>
  <c r="J581" i="25"/>
  <c r="J582" i="25"/>
  <c r="J583" i="25"/>
  <c r="J584" i="25"/>
  <c r="J585" i="25"/>
  <c r="J586" i="25"/>
  <c r="J587" i="25"/>
  <c r="J588" i="25"/>
  <c r="J589" i="25"/>
  <c r="J590" i="25"/>
  <c r="J591" i="25"/>
  <c r="J592" i="25"/>
  <c r="J593" i="25"/>
  <c r="J594" i="25"/>
  <c r="J595" i="25"/>
  <c r="J596" i="25"/>
  <c r="J597" i="25"/>
  <c r="J598" i="25"/>
  <c r="J599" i="25"/>
  <c r="J600" i="25"/>
  <c r="J601" i="25"/>
  <c r="J602" i="25"/>
  <c r="J603" i="25"/>
  <c r="J604" i="25"/>
  <c r="J605" i="25"/>
  <c r="J606" i="25"/>
  <c r="J607" i="25"/>
  <c r="J608" i="25"/>
  <c r="J609" i="25"/>
  <c r="J610" i="25"/>
  <c r="J611" i="25"/>
  <c r="J612" i="25"/>
  <c r="J613" i="25"/>
  <c r="J614" i="25"/>
  <c r="J615" i="25"/>
  <c r="J616" i="25"/>
  <c r="J617" i="25"/>
  <c r="J618" i="25"/>
  <c r="J619" i="25"/>
  <c r="J620" i="25"/>
  <c r="J621" i="25"/>
  <c r="J622" i="25"/>
  <c r="J623" i="25"/>
  <c r="J624" i="25"/>
  <c r="J625" i="25"/>
  <c r="J626" i="25"/>
  <c r="J627" i="25"/>
  <c r="J628" i="25"/>
  <c r="J629" i="25"/>
  <c r="J630" i="25"/>
  <c r="J631" i="25"/>
  <c r="J632" i="25"/>
  <c r="J633" i="25"/>
  <c r="J634" i="25"/>
  <c r="J635" i="25"/>
  <c r="J636" i="25"/>
  <c r="J637" i="25"/>
  <c r="J638" i="25"/>
  <c r="J639" i="25"/>
  <c r="J640" i="25"/>
  <c r="J641" i="25"/>
  <c r="J642" i="25"/>
  <c r="J643" i="25"/>
  <c r="J644" i="25"/>
  <c r="J645" i="25"/>
  <c r="J646" i="25"/>
  <c r="J647" i="25"/>
  <c r="J648" i="25"/>
  <c r="J649" i="25"/>
  <c r="J650" i="25"/>
  <c r="J651" i="25"/>
  <c r="J652" i="25"/>
  <c r="J653" i="25"/>
  <c r="J654" i="25"/>
  <c r="J655" i="25"/>
  <c r="J656" i="25"/>
  <c r="J657" i="25"/>
  <c r="J658" i="25"/>
  <c r="J659" i="25"/>
  <c r="J660" i="25"/>
  <c r="J661" i="25"/>
  <c r="J662" i="25"/>
  <c r="J663" i="25"/>
  <c r="J664" i="25"/>
  <c r="J665" i="25"/>
  <c r="J666" i="25"/>
  <c r="J667" i="25"/>
  <c r="J668" i="25"/>
  <c r="J669" i="25"/>
  <c r="J670" i="25"/>
  <c r="J671" i="25"/>
  <c r="J672" i="25"/>
  <c r="J673" i="25"/>
  <c r="J674" i="25"/>
  <c r="J675" i="25"/>
  <c r="J676" i="25"/>
  <c r="J677" i="25"/>
  <c r="J678" i="25"/>
  <c r="J679" i="25"/>
  <c r="J680" i="25"/>
  <c r="J681" i="25"/>
  <c r="J682" i="25"/>
  <c r="J683" i="25"/>
  <c r="J684" i="25"/>
  <c r="J685" i="25"/>
  <c r="J686" i="25"/>
  <c r="J687" i="25"/>
  <c r="J688" i="25"/>
  <c r="J689" i="25"/>
  <c r="J690" i="25"/>
  <c r="J691" i="25"/>
  <c r="J692" i="25"/>
  <c r="J693" i="25"/>
  <c r="J694" i="25"/>
  <c r="J695" i="25"/>
  <c r="J696" i="25"/>
  <c r="J697" i="25"/>
  <c r="J698" i="25"/>
  <c r="J699" i="25"/>
  <c r="J700" i="25"/>
  <c r="J701" i="25"/>
  <c r="J702" i="25"/>
  <c r="J703" i="25"/>
  <c r="J704" i="25"/>
  <c r="J705" i="25"/>
  <c r="J706" i="25"/>
  <c r="J707" i="25"/>
  <c r="J708" i="25"/>
  <c r="J709" i="25"/>
  <c r="J710" i="25"/>
  <c r="J711" i="25"/>
  <c r="J712" i="25"/>
  <c r="J713" i="25"/>
  <c r="J714" i="25"/>
  <c r="J715" i="25"/>
  <c r="J716" i="25"/>
  <c r="J717" i="25"/>
  <c r="J718" i="25"/>
  <c r="J719" i="25"/>
  <c r="J720" i="25"/>
  <c r="J721" i="25"/>
  <c r="J722" i="25"/>
  <c r="J723" i="25"/>
  <c r="J724" i="25"/>
  <c r="J725" i="25"/>
  <c r="J726" i="25"/>
  <c r="J727" i="25"/>
  <c r="J728" i="25"/>
  <c r="J729" i="25"/>
  <c r="J730" i="25"/>
  <c r="J731" i="25"/>
  <c r="J732" i="25"/>
  <c r="J733" i="25"/>
  <c r="J734" i="25"/>
  <c r="J735" i="25"/>
  <c r="J736" i="25"/>
  <c r="J737" i="25"/>
  <c r="J738" i="25"/>
  <c r="J739" i="25"/>
  <c r="J740" i="25"/>
  <c r="J741" i="25"/>
  <c r="J742" i="25"/>
  <c r="J743" i="25"/>
  <c r="J744" i="25"/>
  <c r="J745" i="25"/>
  <c r="J746" i="25"/>
  <c r="J747" i="25"/>
  <c r="J748" i="25"/>
  <c r="J749" i="25"/>
  <c r="J750" i="25"/>
  <c r="J751" i="25"/>
  <c r="J752" i="25"/>
  <c r="J753" i="25"/>
  <c r="J754" i="25"/>
  <c r="J755" i="25"/>
  <c r="J756" i="25"/>
  <c r="J757" i="25"/>
  <c r="J758" i="25"/>
  <c r="J759" i="25"/>
  <c r="J760" i="25"/>
  <c r="J761" i="25"/>
  <c r="J762" i="25"/>
  <c r="J763" i="25"/>
  <c r="J764" i="25"/>
  <c r="J765" i="25"/>
  <c r="J766" i="25"/>
  <c r="J767" i="25"/>
  <c r="J768" i="25"/>
  <c r="J769" i="25"/>
  <c r="J770" i="25"/>
  <c r="J771" i="25"/>
  <c r="J772" i="25"/>
  <c r="J773" i="25"/>
  <c r="J774" i="25"/>
  <c r="J775" i="25"/>
  <c r="J776" i="25"/>
  <c r="J777" i="25"/>
  <c r="J778" i="25"/>
  <c r="J779" i="25"/>
  <c r="J780" i="25"/>
  <c r="J781" i="25"/>
  <c r="J782" i="25"/>
  <c r="J783" i="25"/>
  <c r="J784" i="25"/>
  <c r="J785" i="25"/>
  <c r="J786" i="25"/>
  <c r="J787" i="25"/>
  <c r="J788" i="25"/>
  <c r="J789" i="25"/>
  <c r="J790" i="25"/>
  <c r="J791" i="25"/>
  <c r="J792" i="25"/>
  <c r="J793" i="25"/>
  <c r="J794" i="25"/>
  <c r="J795" i="25"/>
  <c r="J796" i="25"/>
  <c r="J797" i="25"/>
  <c r="J798" i="25"/>
  <c r="J799" i="25"/>
  <c r="J800" i="25"/>
  <c r="J801" i="25"/>
  <c r="J802" i="25"/>
  <c r="J803" i="25"/>
  <c r="J804" i="25"/>
  <c r="J805" i="25"/>
  <c r="J806" i="25"/>
  <c r="J807" i="25"/>
  <c r="J808" i="25"/>
  <c r="J809" i="25"/>
  <c r="J810" i="25"/>
  <c r="J811" i="25"/>
  <c r="J812" i="25"/>
  <c r="J813" i="25"/>
  <c r="J814" i="25"/>
  <c r="J815" i="25"/>
  <c r="J816" i="25"/>
  <c r="J817" i="25"/>
  <c r="J818" i="25"/>
  <c r="J819" i="25"/>
  <c r="J820" i="25"/>
  <c r="J821" i="25"/>
  <c r="J822" i="25"/>
  <c r="J823" i="25"/>
  <c r="J824" i="25"/>
  <c r="J825" i="25"/>
  <c r="J826" i="25"/>
  <c r="J827" i="25"/>
  <c r="J828" i="25"/>
  <c r="J829" i="25"/>
  <c r="J830" i="25"/>
  <c r="J831" i="25"/>
  <c r="J832" i="25"/>
  <c r="J833" i="25"/>
  <c r="J834" i="25"/>
  <c r="J835" i="25"/>
  <c r="J836" i="25"/>
  <c r="J837" i="25"/>
  <c r="J838" i="25"/>
  <c r="J839" i="25"/>
  <c r="J840" i="25"/>
  <c r="J841" i="25"/>
  <c r="J842" i="25"/>
  <c r="J843" i="25"/>
  <c r="J844" i="25"/>
  <c r="J845" i="25"/>
  <c r="J846" i="25"/>
  <c r="J847" i="25"/>
  <c r="J848" i="25"/>
  <c r="J849" i="25"/>
  <c r="J850" i="25"/>
  <c r="J851" i="25"/>
  <c r="J852" i="25"/>
  <c r="J853" i="25"/>
  <c r="J854" i="25"/>
  <c r="J855" i="25"/>
  <c r="J856" i="25"/>
  <c r="J857" i="25"/>
  <c r="J858" i="25"/>
  <c r="J859" i="25"/>
  <c r="J860" i="25"/>
  <c r="J861" i="25"/>
  <c r="J862" i="25"/>
  <c r="J863" i="25"/>
  <c r="J864" i="25"/>
  <c r="J865" i="25"/>
  <c r="J866" i="25"/>
  <c r="J867" i="25"/>
  <c r="J868" i="25"/>
  <c r="J869" i="25"/>
  <c r="J870" i="25"/>
  <c r="J871" i="25"/>
  <c r="J872" i="25"/>
  <c r="J873" i="25"/>
  <c r="J874" i="25"/>
  <c r="J875" i="25"/>
  <c r="J876" i="25"/>
  <c r="J877" i="25"/>
  <c r="J878" i="25"/>
  <c r="J879" i="25"/>
  <c r="J880" i="25"/>
  <c r="J881" i="25"/>
  <c r="J882" i="25"/>
  <c r="J883" i="25"/>
  <c r="J884" i="25"/>
  <c r="J885" i="25"/>
  <c r="J886" i="25"/>
  <c r="J887" i="25"/>
  <c r="J888" i="25"/>
  <c r="J889" i="25"/>
  <c r="J890" i="25"/>
  <c r="J891" i="25"/>
  <c r="J892" i="25"/>
  <c r="J893" i="25"/>
  <c r="J894" i="25"/>
  <c r="J895" i="25"/>
  <c r="J896" i="25"/>
  <c r="J897" i="25"/>
  <c r="J898" i="25"/>
  <c r="J899" i="25"/>
  <c r="J900" i="25"/>
  <c r="J901" i="25"/>
  <c r="J902" i="25"/>
  <c r="J903" i="25"/>
  <c r="J904" i="25"/>
  <c r="J905" i="25"/>
  <c r="J906" i="25"/>
  <c r="J907" i="25"/>
  <c r="J908" i="25"/>
  <c r="J909" i="25"/>
  <c r="J910" i="25"/>
  <c r="J911" i="25"/>
  <c r="J912" i="25"/>
  <c r="J913" i="25"/>
  <c r="J914" i="25"/>
  <c r="J915" i="25"/>
  <c r="J916" i="25"/>
  <c r="J917" i="25"/>
  <c r="J918" i="25"/>
  <c r="J919" i="25"/>
  <c r="J920" i="25"/>
  <c r="J921" i="25"/>
  <c r="J922" i="25"/>
  <c r="J923" i="25"/>
  <c r="J924" i="25"/>
  <c r="J925" i="25"/>
  <c r="J926" i="25"/>
  <c r="J927" i="25"/>
  <c r="J928" i="25"/>
  <c r="J929" i="25"/>
  <c r="J930" i="25"/>
  <c r="J931" i="25"/>
  <c r="J932" i="25"/>
  <c r="J933" i="25"/>
  <c r="J934" i="25"/>
  <c r="J935" i="25"/>
  <c r="J936" i="25"/>
  <c r="J937" i="25"/>
  <c r="J938" i="25"/>
  <c r="J939" i="25"/>
  <c r="J940" i="25"/>
  <c r="J941" i="25"/>
  <c r="J942" i="25"/>
  <c r="J943" i="25"/>
  <c r="J944" i="25"/>
  <c r="J945" i="25"/>
  <c r="J946" i="25"/>
  <c r="J947" i="25"/>
  <c r="J948" i="25"/>
  <c r="J949" i="25"/>
  <c r="J950" i="25"/>
  <c r="J951" i="25"/>
  <c r="J952" i="25"/>
  <c r="J953" i="25"/>
  <c r="J954" i="25"/>
  <c r="J955" i="25"/>
  <c r="J956" i="25"/>
  <c r="J957" i="25"/>
  <c r="J958" i="25"/>
  <c r="J959" i="25"/>
  <c r="J960" i="25"/>
  <c r="J961" i="25"/>
  <c r="J962" i="25"/>
  <c r="J963" i="25"/>
  <c r="J964" i="25"/>
  <c r="J965" i="25"/>
  <c r="J966" i="25"/>
  <c r="J967" i="25"/>
  <c r="J968" i="25"/>
  <c r="J969" i="25"/>
  <c r="J970" i="25"/>
  <c r="J971" i="25"/>
  <c r="J972" i="25"/>
  <c r="J973" i="25"/>
  <c r="J974" i="25"/>
  <c r="J975" i="25"/>
  <c r="J976" i="25"/>
  <c r="J977" i="25"/>
  <c r="J978" i="25"/>
  <c r="J979" i="25"/>
  <c r="J980" i="25"/>
  <c r="J981" i="25"/>
  <c r="J982" i="25"/>
  <c r="J983" i="25"/>
  <c r="J984" i="25"/>
  <c r="J985" i="25"/>
  <c r="J986" i="25"/>
  <c r="J987" i="25"/>
  <c r="J988" i="25"/>
  <c r="J989" i="25"/>
  <c r="J990" i="25"/>
  <c r="J991" i="25"/>
  <c r="J992" i="25"/>
  <c r="J993" i="25"/>
  <c r="J994" i="25"/>
  <c r="J995" i="25"/>
  <c r="J996" i="25"/>
  <c r="J997" i="25"/>
  <c r="J998" i="25"/>
  <c r="J999" i="25"/>
  <c r="J1000" i="25"/>
  <c r="J1001" i="25"/>
  <c r="J1002" i="25"/>
  <c r="J1003" i="25"/>
  <c r="J1004" i="25"/>
  <c r="J1005" i="25"/>
  <c r="J1006" i="25"/>
  <c r="J1007" i="25"/>
  <c r="J1008" i="25"/>
  <c r="J1009" i="25"/>
  <c r="J1010" i="25"/>
  <c r="J1011" i="25"/>
  <c r="J1012" i="25"/>
  <c r="J1013" i="25"/>
  <c r="J1014" i="25"/>
  <c r="J1015" i="25"/>
  <c r="J1016" i="25"/>
  <c r="J1017" i="25"/>
  <c r="J1018" i="25"/>
  <c r="J1019" i="25"/>
  <c r="J1020" i="25"/>
  <c r="J1021" i="25"/>
  <c r="J1022" i="25"/>
  <c r="J1023" i="25"/>
  <c r="J1024" i="25"/>
  <c r="J1025" i="25"/>
  <c r="J1026" i="25"/>
  <c r="J1027" i="25"/>
  <c r="J1028" i="25"/>
  <c r="J1029" i="25"/>
  <c r="J1030" i="25"/>
  <c r="J1031" i="25"/>
  <c r="J1032" i="25"/>
  <c r="J1033" i="25"/>
  <c r="J1034" i="25"/>
  <c r="J1035" i="25"/>
  <c r="J1036" i="25"/>
  <c r="J1037" i="25"/>
  <c r="J1038" i="25"/>
  <c r="J1039" i="25"/>
  <c r="J1040" i="25"/>
  <c r="J1041" i="25"/>
  <c r="J1042" i="25"/>
  <c r="J1043" i="25"/>
  <c r="J1044" i="25"/>
  <c r="J1045" i="25"/>
  <c r="J1046" i="25"/>
  <c r="J1047" i="25"/>
  <c r="J1048" i="25"/>
  <c r="J1049" i="25"/>
  <c r="J1050" i="25"/>
  <c r="J1051" i="25"/>
  <c r="J1052" i="25"/>
  <c r="J1053" i="25"/>
  <c r="J1054" i="25"/>
  <c r="J1055" i="25"/>
  <c r="J1056" i="25"/>
  <c r="J1057" i="25"/>
  <c r="J1058" i="25"/>
  <c r="J1059" i="25"/>
  <c r="J1060" i="25"/>
  <c r="J1061" i="25"/>
  <c r="J1062" i="25"/>
  <c r="J1063" i="25"/>
  <c r="J1064" i="25"/>
  <c r="J1065" i="25"/>
  <c r="J1066" i="25"/>
  <c r="J1067" i="25"/>
  <c r="J1068" i="25"/>
  <c r="J1069" i="25"/>
  <c r="J1070" i="25"/>
  <c r="J1071" i="25"/>
  <c r="J1072" i="25"/>
  <c r="J1073" i="25"/>
  <c r="J1074" i="25"/>
  <c r="J1075" i="25"/>
  <c r="J1076" i="25"/>
  <c r="J1077" i="25"/>
  <c r="J1078" i="25"/>
  <c r="J1079" i="25"/>
  <c r="J1080" i="25"/>
  <c r="J1081" i="25"/>
  <c r="J1082" i="25"/>
  <c r="J1083" i="25"/>
  <c r="J1084" i="25"/>
  <c r="J1085" i="25"/>
  <c r="J1086" i="25"/>
  <c r="J1087" i="25"/>
  <c r="J1088" i="25"/>
  <c r="J1089" i="25"/>
  <c r="J1090" i="25"/>
  <c r="J1091" i="25"/>
  <c r="J1092" i="25"/>
  <c r="J1093" i="25"/>
  <c r="J1094" i="25"/>
  <c r="J1095" i="25"/>
  <c r="J1096" i="25"/>
  <c r="J1097" i="25"/>
  <c r="J1098" i="25"/>
  <c r="J1099" i="25"/>
  <c r="J1100" i="25"/>
  <c r="J1101" i="25"/>
  <c r="J1102" i="25"/>
  <c r="J1103" i="25"/>
  <c r="J1104" i="25"/>
  <c r="J1105" i="25"/>
  <c r="J1106" i="25"/>
  <c r="J1107" i="25"/>
  <c r="J1108" i="25"/>
  <c r="J1109" i="25"/>
  <c r="J1110" i="25"/>
  <c r="J1111" i="25"/>
  <c r="J1112" i="25"/>
  <c r="J1113" i="25"/>
  <c r="J1114" i="25"/>
  <c r="J1115" i="25"/>
  <c r="J1116" i="25"/>
  <c r="J1117" i="25"/>
  <c r="J1118" i="25"/>
  <c r="J1119" i="25"/>
  <c r="J1120" i="25"/>
  <c r="J1121" i="25"/>
  <c r="J1122" i="25"/>
  <c r="J1123" i="25"/>
  <c r="J1124" i="25"/>
  <c r="J1125" i="25"/>
  <c r="J1126" i="25"/>
  <c r="J1127" i="25"/>
  <c r="J1128" i="25"/>
  <c r="J1129" i="25"/>
  <c r="J1130" i="25"/>
  <c r="J1131" i="25"/>
  <c r="J1132" i="25"/>
  <c r="J1133" i="25"/>
  <c r="J1134" i="25"/>
  <c r="J1135" i="25"/>
  <c r="J1136" i="25"/>
  <c r="J1137" i="25"/>
  <c r="J1138" i="25"/>
  <c r="J1139" i="25"/>
  <c r="J1140" i="25"/>
  <c r="J1141" i="25"/>
  <c r="J1142" i="25"/>
  <c r="J1143" i="25"/>
  <c r="J1144" i="25"/>
  <c r="J1145" i="25"/>
  <c r="J1146" i="25"/>
  <c r="J1147" i="25"/>
  <c r="J1148" i="25"/>
  <c r="J1149" i="25"/>
  <c r="J1150" i="25"/>
  <c r="J1151" i="25"/>
  <c r="J1152" i="25"/>
  <c r="J1153" i="25"/>
  <c r="J1154" i="25"/>
  <c r="J1155" i="25"/>
  <c r="J1156" i="25"/>
  <c r="J1157" i="25"/>
  <c r="J1158" i="25"/>
  <c r="J1159" i="25"/>
  <c r="J1160" i="25"/>
  <c r="J1161" i="25"/>
  <c r="J1162" i="25"/>
  <c r="J1163" i="25"/>
  <c r="J1164" i="25"/>
  <c r="J1165" i="25"/>
  <c r="J1166" i="25"/>
  <c r="J1167" i="25"/>
  <c r="J1168" i="25"/>
  <c r="J1169" i="25"/>
  <c r="J1170" i="25"/>
  <c r="J1171" i="25"/>
  <c r="J1172" i="25"/>
  <c r="J1173" i="25"/>
  <c r="J1174" i="25"/>
  <c r="J1175" i="25"/>
  <c r="J1176" i="25"/>
  <c r="J1177" i="25"/>
  <c r="J1178" i="25"/>
  <c r="J1179" i="25"/>
  <c r="J1180" i="25"/>
  <c r="J1181" i="25"/>
  <c r="J1182" i="25"/>
  <c r="J1183" i="25"/>
  <c r="J1184" i="25"/>
  <c r="J1185" i="25"/>
  <c r="J1186" i="25"/>
  <c r="J1187" i="25"/>
  <c r="J1188" i="25"/>
  <c r="J1189" i="25"/>
  <c r="J1190" i="25"/>
  <c r="J1191" i="25"/>
  <c r="J1192" i="25"/>
  <c r="J1193" i="25"/>
  <c r="J1194" i="25"/>
  <c r="J1195" i="25"/>
  <c r="J1196" i="25"/>
  <c r="J1197" i="25"/>
  <c r="J1198" i="25"/>
  <c r="J1199" i="25"/>
  <c r="J1200" i="25"/>
  <c r="K5" i="25"/>
  <c r="Q5" i="25" s="1"/>
  <c r="L5" i="25"/>
  <c r="M5" i="25"/>
  <c r="N5" i="25"/>
  <c r="O5" i="25"/>
  <c r="K6" i="25"/>
  <c r="Q6" i="25" s="1"/>
  <c r="L6" i="25"/>
  <c r="M6" i="25"/>
  <c r="N6" i="25"/>
  <c r="O6" i="25"/>
  <c r="K7" i="25"/>
  <c r="Q7" i="25" s="1"/>
  <c r="L7" i="25"/>
  <c r="M7" i="25"/>
  <c r="N7" i="25"/>
  <c r="O7" i="25"/>
  <c r="L8" i="25"/>
  <c r="M8" i="25"/>
  <c r="N8" i="25"/>
  <c r="O8" i="25"/>
  <c r="L9" i="25"/>
  <c r="M9" i="25"/>
  <c r="N9" i="25"/>
  <c r="O9" i="25"/>
  <c r="L10" i="25"/>
  <c r="M10" i="25"/>
  <c r="N10" i="25"/>
  <c r="O10" i="25"/>
  <c r="L11" i="25"/>
  <c r="M11" i="25"/>
  <c r="N11" i="25"/>
  <c r="O11" i="25"/>
  <c r="L12" i="25"/>
  <c r="M12" i="25"/>
  <c r="N12" i="25"/>
  <c r="O12" i="25"/>
  <c r="L13" i="25"/>
  <c r="M13" i="25"/>
  <c r="N13" i="25"/>
  <c r="O13" i="25"/>
  <c r="L14" i="25"/>
  <c r="M14" i="25"/>
  <c r="N14" i="25"/>
  <c r="O14" i="25"/>
  <c r="L15" i="25"/>
  <c r="M15" i="25"/>
  <c r="N15" i="25"/>
  <c r="O15" i="25"/>
  <c r="L16" i="25"/>
  <c r="M16" i="25"/>
  <c r="N16" i="25"/>
  <c r="O16" i="25"/>
  <c r="L17" i="25"/>
  <c r="M17" i="25"/>
  <c r="N17" i="25"/>
  <c r="O17" i="25"/>
  <c r="L18" i="25"/>
  <c r="M18" i="25"/>
  <c r="N18" i="25"/>
  <c r="O18" i="25"/>
  <c r="L19" i="25"/>
  <c r="M19" i="25"/>
  <c r="N19" i="25"/>
  <c r="O19" i="25"/>
  <c r="L20" i="25"/>
  <c r="M20" i="25"/>
  <c r="N20" i="25"/>
  <c r="O20" i="25"/>
  <c r="L21" i="25"/>
  <c r="M21" i="25"/>
  <c r="N21" i="25"/>
  <c r="O21" i="25"/>
  <c r="L22" i="25"/>
  <c r="M22" i="25"/>
  <c r="N22" i="25"/>
  <c r="O22" i="25"/>
  <c r="L23" i="25"/>
  <c r="M23" i="25"/>
  <c r="N23" i="25"/>
  <c r="O23" i="25"/>
  <c r="L24" i="25"/>
  <c r="M24" i="25"/>
  <c r="N24" i="25"/>
  <c r="O24" i="25"/>
  <c r="L25" i="25"/>
  <c r="M25" i="25"/>
  <c r="N25" i="25"/>
  <c r="O25" i="25"/>
  <c r="L26" i="25"/>
  <c r="M26" i="25"/>
  <c r="N26" i="25"/>
  <c r="O26" i="25"/>
  <c r="L27" i="25"/>
  <c r="M27" i="25"/>
  <c r="N27" i="25"/>
  <c r="O27" i="25"/>
  <c r="L28" i="25"/>
  <c r="M28" i="25"/>
  <c r="N28" i="25"/>
  <c r="O28" i="25"/>
  <c r="L29" i="25"/>
  <c r="M29" i="25"/>
  <c r="N29" i="25"/>
  <c r="O29" i="25"/>
  <c r="L30" i="25"/>
  <c r="M30" i="25"/>
  <c r="N30" i="25"/>
  <c r="O30" i="25"/>
  <c r="L31" i="25"/>
  <c r="M31" i="25"/>
  <c r="N31" i="25"/>
  <c r="O31" i="25"/>
  <c r="L32" i="25"/>
  <c r="M32" i="25"/>
  <c r="N32" i="25"/>
  <c r="O32" i="25"/>
  <c r="L33" i="25"/>
  <c r="M33" i="25"/>
  <c r="N33" i="25"/>
  <c r="O33" i="25"/>
  <c r="L34" i="25"/>
  <c r="M34" i="25"/>
  <c r="N34" i="25"/>
  <c r="O34" i="25"/>
  <c r="L35" i="25"/>
  <c r="M35" i="25"/>
  <c r="N35" i="25"/>
  <c r="O35" i="25"/>
  <c r="L36" i="25"/>
  <c r="M36" i="25"/>
  <c r="N36" i="25"/>
  <c r="O36" i="25"/>
  <c r="L37" i="25"/>
  <c r="M37" i="25"/>
  <c r="N37" i="25"/>
  <c r="O37" i="25"/>
  <c r="L38" i="25"/>
  <c r="M38" i="25"/>
  <c r="N38" i="25"/>
  <c r="O38" i="25"/>
  <c r="L39" i="25"/>
  <c r="M39" i="25"/>
  <c r="N39" i="25"/>
  <c r="O39" i="25"/>
  <c r="L40" i="25"/>
  <c r="M40" i="25"/>
  <c r="N40" i="25"/>
  <c r="O40" i="25"/>
  <c r="L41" i="25"/>
  <c r="M41" i="25"/>
  <c r="N41" i="25"/>
  <c r="O41" i="25"/>
  <c r="L42" i="25"/>
  <c r="M42" i="25"/>
  <c r="N42" i="25"/>
  <c r="O42" i="25"/>
  <c r="L43" i="25"/>
  <c r="M43" i="25"/>
  <c r="N43" i="25"/>
  <c r="O43" i="25"/>
  <c r="L44" i="25"/>
  <c r="M44" i="25"/>
  <c r="N44" i="25"/>
  <c r="O44" i="25"/>
  <c r="L45" i="25"/>
  <c r="M45" i="25"/>
  <c r="N45" i="25"/>
  <c r="O45" i="25"/>
  <c r="L46" i="25"/>
  <c r="M46" i="25"/>
  <c r="N46" i="25"/>
  <c r="O46" i="25"/>
  <c r="L47" i="25"/>
  <c r="M47" i="25"/>
  <c r="N47" i="25"/>
  <c r="O47" i="25"/>
  <c r="L48" i="25"/>
  <c r="M48" i="25"/>
  <c r="N48" i="25"/>
  <c r="O48" i="25"/>
  <c r="L49" i="25"/>
  <c r="M49" i="25"/>
  <c r="N49" i="25"/>
  <c r="O49" i="25"/>
  <c r="L50" i="25"/>
  <c r="M50" i="25"/>
  <c r="N50" i="25"/>
  <c r="O50" i="25"/>
  <c r="L51" i="25"/>
  <c r="M51" i="25"/>
  <c r="N51" i="25"/>
  <c r="O51" i="25"/>
  <c r="L52" i="25"/>
  <c r="M52" i="25"/>
  <c r="N52" i="25"/>
  <c r="O52" i="25"/>
  <c r="L53" i="25"/>
  <c r="M53" i="25"/>
  <c r="N53" i="25"/>
  <c r="O53" i="25"/>
  <c r="L54" i="25"/>
  <c r="M54" i="25"/>
  <c r="N54" i="25"/>
  <c r="O54" i="25"/>
  <c r="L55" i="25"/>
  <c r="M55" i="25"/>
  <c r="N55" i="25"/>
  <c r="O55" i="25"/>
  <c r="L56" i="25"/>
  <c r="M56" i="25"/>
  <c r="N56" i="25"/>
  <c r="O56" i="25"/>
  <c r="L57" i="25"/>
  <c r="M57" i="25"/>
  <c r="N57" i="25"/>
  <c r="O57" i="25"/>
  <c r="L58" i="25"/>
  <c r="M58" i="25"/>
  <c r="N58" i="25"/>
  <c r="O58" i="25"/>
  <c r="L59" i="25"/>
  <c r="M59" i="25"/>
  <c r="N59" i="25"/>
  <c r="O59" i="25"/>
  <c r="L60" i="25"/>
  <c r="M60" i="25"/>
  <c r="N60" i="25"/>
  <c r="O60" i="25"/>
  <c r="L61" i="25"/>
  <c r="M61" i="25"/>
  <c r="N61" i="25"/>
  <c r="O61" i="25"/>
  <c r="L62" i="25"/>
  <c r="M62" i="25"/>
  <c r="N62" i="25"/>
  <c r="O62" i="25"/>
  <c r="L63" i="25"/>
  <c r="M63" i="25"/>
  <c r="N63" i="25"/>
  <c r="O63" i="25"/>
  <c r="L64" i="25"/>
  <c r="M64" i="25"/>
  <c r="N64" i="25"/>
  <c r="O64" i="25"/>
  <c r="L65" i="25"/>
  <c r="M65" i="25"/>
  <c r="N65" i="25"/>
  <c r="O65" i="25"/>
  <c r="L66" i="25"/>
  <c r="M66" i="25"/>
  <c r="N66" i="25"/>
  <c r="O66" i="25"/>
  <c r="L67" i="25"/>
  <c r="M67" i="25"/>
  <c r="N67" i="25"/>
  <c r="O67" i="25"/>
  <c r="L68" i="25"/>
  <c r="M68" i="25"/>
  <c r="N68" i="25"/>
  <c r="O68" i="25"/>
  <c r="L69" i="25"/>
  <c r="M69" i="25"/>
  <c r="N69" i="25"/>
  <c r="O69" i="25"/>
  <c r="L70" i="25"/>
  <c r="M70" i="25"/>
  <c r="N70" i="25"/>
  <c r="O70" i="25"/>
  <c r="L71" i="25"/>
  <c r="M71" i="25"/>
  <c r="N71" i="25"/>
  <c r="O71" i="25"/>
  <c r="L72" i="25"/>
  <c r="M72" i="25"/>
  <c r="N72" i="25"/>
  <c r="O72" i="25"/>
  <c r="L73" i="25"/>
  <c r="M73" i="25"/>
  <c r="N73" i="25"/>
  <c r="O73" i="25"/>
  <c r="K74" i="25"/>
  <c r="Q74" i="25" s="1"/>
  <c r="L74" i="25"/>
  <c r="M74" i="25"/>
  <c r="N74" i="25"/>
  <c r="O74" i="25"/>
  <c r="L75" i="25"/>
  <c r="M75" i="25"/>
  <c r="N75" i="25"/>
  <c r="O75" i="25"/>
  <c r="L76" i="25"/>
  <c r="M76" i="25"/>
  <c r="N76" i="25"/>
  <c r="O76" i="25"/>
  <c r="L77" i="25"/>
  <c r="M77" i="25"/>
  <c r="N77" i="25"/>
  <c r="O77" i="25"/>
  <c r="L78" i="25"/>
  <c r="M78" i="25"/>
  <c r="N78" i="25"/>
  <c r="O78" i="25"/>
  <c r="L79" i="25"/>
  <c r="M79" i="25"/>
  <c r="N79" i="25"/>
  <c r="O79" i="25"/>
  <c r="L80" i="25"/>
  <c r="M80" i="25"/>
  <c r="N80" i="25"/>
  <c r="O80" i="25"/>
  <c r="L81" i="25"/>
  <c r="M81" i="25"/>
  <c r="N81" i="25"/>
  <c r="O81" i="25"/>
  <c r="L82" i="25"/>
  <c r="M82" i="25"/>
  <c r="N82" i="25"/>
  <c r="O82" i="25"/>
  <c r="L83" i="25"/>
  <c r="M83" i="25"/>
  <c r="N83" i="25"/>
  <c r="O83" i="25"/>
  <c r="L84" i="25"/>
  <c r="M84" i="25"/>
  <c r="N84" i="25"/>
  <c r="O84" i="25"/>
  <c r="L85" i="25"/>
  <c r="M85" i="25"/>
  <c r="N85" i="25"/>
  <c r="O85" i="25"/>
  <c r="L86" i="25"/>
  <c r="M86" i="25"/>
  <c r="N86" i="25"/>
  <c r="O86" i="25"/>
  <c r="L87" i="25"/>
  <c r="M87" i="25"/>
  <c r="N87" i="25"/>
  <c r="O87" i="25"/>
  <c r="L88" i="25"/>
  <c r="M88" i="25"/>
  <c r="N88" i="25"/>
  <c r="O88" i="25"/>
  <c r="L89" i="25"/>
  <c r="M89" i="25"/>
  <c r="N89" i="25"/>
  <c r="O89" i="25"/>
  <c r="L90" i="25"/>
  <c r="M90" i="25"/>
  <c r="N90" i="25"/>
  <c r="O90" i="25"/>
  <c r="L91" i="25"/>
  <c r="M91" i="25"/>
  <c r="N91" i="25"/>
  <c r="O91" i="25"/>
  <c r="L92" i="25"/>
  <c r="M92" i="25"/>
  <c r="N92" i="25"/>
  <c r="O92" i="25"/>
  <c r="L93" i="25"/>
  <c r="M93" i="25"/>
  <c r="N93" i="25"/>
  <c r="O93" i="25"/>
  <c r="L94" i="25"/>
  <c r="M94" i="25"/>
  <c r="N94" i="25"/>
  <c r="O94" i="25"/>
  <c r="K95" i="25"/>
  <c r="Q95" i="25" s="1"/>
  <c r="L95" i="25"/>
  <c r="M95" i="25"/>
  <c r="N95" i="25"/>
  <c r="O95" i="25"/>
  <c r="K96" i="25"/>
  <c r="Q96" i="25" s="1"/>
  <c r="L96" i="25"/>
  <c r="M96" i="25"/>
  <c r="N96" i="25"/>
  <c r="O96" i="25"/>
  <c r="K97" i="25"/>
  <c r="Q97" i="25" s="1"/>
  <c r="L97" i="25"/>
  <c r="M97" i="25"/>
  <c r="N97" i="25"/>
  <c r="O97" i="25"/>
  <c r="K98" i="25"/>
  <c r="Q98" i="25" s="1"/>
  <c r="L98" i="25"/>
  <c r="M98" i="25"/>
  <c r="N98" i="25"/>
  <c r="O98" i="25"/>
  <c r="K99" i="25"/>
  <c r="Q99" i="25" s="1"/>
  <c r="L99" i="25"/>
  <c r="M99" i="25"/>
  <c r="N99" i="25"/>
  <c r="O99" i="25"/>
  <c r="K100" i="25"/>
  <c r="Q100" i="25" s="1"/>
  <c r="L100" i="25"/>
  <c r="M100" i="25"/>
  <c r="N100" i="25"/>
  <c r="O100" i="25"/>
  <c r="K101" i="25"/>
  <c r="Q101" i="25" s="1"/>
  <c r="L101" i="25"/>
  <c r="M101" i="25"/>
  <c r="N101" i="25"/>
  <c r="O101" i="25"/>
  <c r="K102" i="25"/>
  <c r="Q102" i="25" s="1"/>
  <c r="L102" i="25"/>
  <c r="M102" i="25"/>
  <c r="N102" i="25"/>
  <c r="O102" i="25"/>
  <c r="K103" i="25"/>
  <c r="Q103" i="25" s="1"/>
  <c r="L103" i="25"/>
  <c r="M103" i="25"/>
  <c r="N103" i="25"/>
  <c r="O103" i="25"/>
  <c r="K104" i="25"/>
  <c r="Q104" i="25" s="1"/>
  <c r="L104" i="25"/>
  <c r="M104" i="25"/>
  <c r="N104" i="25"/>
  <c r="O104" i="25"/>
  <c r="L105" i="25"/>
  <c r="M105" i="25"/>
  <c r="N105" i="25"/>
  <c r="O105" i="25"/>
  <c r="K106" i="25"/>
  <c r="Q106" i="25" s="1"/>
  <c r="L106" i="25"/>
  <c r="M106" i="25"/>
  <c r="N106" i="25"/>
  <c r="O106" i="25"/>
  <c r="K107" i="25"/>
  <c r="Q107" i="25" s="1"/>
  <c r="L107" i="25"/>
  <c r="M107" i="25"/>
  <c r="N107" i="25"/>
  <c r="O107" i="25"/>
  <c r="K108" i="25"/>
  <c r="Q108" i="25" s="1"/>
  <c r="L108" i="25"/>
  <c r="M108" i="25"/>
  <c r="N108" i="25"/>
  <c r="O108" i="25"/>
  <c r="K109" i="25"/>
  <c r="Q109" i="25" s="1"/>
  <c r="L109" i="25"/>
  <c r="M109" i="25"/>
  <c r="N109" i="25"/>
  <c r="O109" i="25"/>
  <c r="K110" i="25"/>
  <c r="Q110" i="25" s="1"/>
  <c r="L110" i="25"/>
  <c r="M110" i="25"/>
  <c r="N110" i="25"/>
  <c r="O110" i="25"/>
  <c r="K111" i="25"/>
  <c r="Q111" i="25" s="1"/>
  <c r="L111" i="25"/>
  <c r="M111" i="25"/>
  <c r="N111" i="25"/>
  <c r="O111" i="25"/>
  <c r="K112" i="25"/>
  <c r="Q112" i="25" s="1"/>
  <c r="L112" i="25"/>
  <c r="M112" i="25"/>
  <c r="N112" i="25"/>
  <c r="O112" i="25"/>
  <c r="K113" i="25"/>
  <c r="Q113" i="25" s="1"/>
  <c r="L113" i="25"/>
  <c r="M113" i="25"/>
  <c r="N113" i="25"/>
  <c r="O113" i="25"/>
  <c r="K114" i="25"/>
  <c r="Q114" i="25" s="1"/>
  <c r="L114" i="25"/>
  <c r="M114" i="25"/>
  <c r="N114" i="25"/>
  <c r="O114" i="25"/>
  <c r="K115" i="25"/>
  <c r="Q115" i="25" s="1"/>
  <c r="L115" i="25"/>
  <c r="M115" i="25"/>
  <c r="N115" i="25"/>
  <c r="O115" i="25"/>
  <c r="K116" i="25"/>
  <c r="Q116" i="25" s="1"/>
  <c r="L116" i="25"/>
  <c r="M116" i="25"/>
  <c r="N116" i="25"/>
  <c r="O116" i="25"/>
  <c r="K117" i="25"/>
  <c r="Q117" i="25" s="1"/>
  <c r="L117" i="25"/>
  <c r="M117" i="25"/>
  <c r="N117" i="25"/>
  <c r="O117" i="25"/>
  <c r="K118" i="25"/>
  <c r="Q118" i="25" s="1"/>
  <c r="L118" i="25"/>
  <c r="M118" i="25"/>
  <c r="N118" i="25"/>
  <c r="O118" i="25"/>
  <c r="K119" i="25"/>
  <c r="Q119" i="25" s="1"/>
  <c r="L119" i="25"/>
  <c r="M119" i="25"/>
  <c r="N119" i="25"/>
  <c r="O119" i="25"/>
  <c r="K120" i="25"/>
  <c r="Q120" i="25" s="1"/>
  <c r="L120" i="25"/>
  <c r="M120" i="25"/>
  <c r="N120" i="25"/>
  <c r="O120" i="25"/>
  <c r="K121" i="25"/>
  <c r="Q121" i="25" s="1"/>
  <c r="L121" i="25"/>
  <c r="M121" i="25"/>
  <c r="N121" i="25"/>
  <c r="O121" i="25"/>
  <c r="K122" i="25"/>
  <c r="Q122" i="25" s="1"/>
  <c r="L122" i="25"/>
  <c r="M122" i="25"/>
  <c r="N122" i="25"/>
  <c r="O122" i="25"/>
  <c r="K123" i="25"/>
  <c r="Q123" i="25" s="1"/>
  <c r="L123" i="25"/>
  <c r="M123" i="25"/>
  <c r="N123" i="25"/>
  <c r="O123" i="25"/>
  <c r="K124" i="25"/>
  <c r="Q124" i="25" s="1"/>
  <c r="L124" i="25"/>
  <c r="M124" i="25"/>
  <c r="N124" i="25"/>
  <c r="O124" i="25"/>
  <c r="K125" i="25"/>
  <c r="Q125" i="25" s="1"/>
  <c r="L125" i="25"/>
  <c r="M125" i="25"/>
  <c r="N125" i="25"/>
  <c r="O125" i="25"/>
  <c r="K126" i="25"/>
  <c r="Q126" i="25" s="1"/>
  <c r="L126" i="25"/>
  <c r="M126" i="25"/>
  <c r="N126" i="25"/>
  <c r="O126" i="25"/>
  <c r="K127" i="25"/>
  <c r="Q127" i="25" s="1"/>
  <c r="L127" i="25"/>
  <c r="M127" i="25"/>
  <c r="N127" i="25"/>
  <c r="O127" i="25"/>
  <c r="K128" i="25"/>
  <c r="Q128" i="25" s="1"/>
  <c r="L128" i="25"/>
  <c r="M128" i="25"/>
  <c r="N128" i="25"/>
  <c r="O128" i="25"/>
  <c r="K129" i="25"/>
  <c r="Q129" i="25" s="1"/>
  <c r="L129" i="25"/>
  <c r="M129" i="25"/>
  <c r="N129" i="25"/>
  <c r="O129" i="25"/>
  <c r="K130" i="25"/>
  <c r="Q130" i="25" s="1"/>
  <c r="L130" i="25"/>
  <c r="M130" i="25"/>
  <c r="N130" i="25"/>
  <c r="O130" i="25"/>
  <c r="K131" i="25"/>
  <c r="Q131" i="25" s="1"/>
  <c r="L131" i="25"/>
  <c r="M131" i="25"/>
  <c r="N131" i="25"/>
  <c r="O131" i="25"/>
  <c r="K132" i="25"/>
  <c r="Q132" i="25" s="1"/>
  <c r="L132" i="25"/>
  <c r="M132" i="25"/>
  <c r="N132" i="25"/>
  <c r="O132" i="25"/>
  <c r="K133" i="25"/>
  <c r="Q133" i="25" s="1"/>
  <c r="L133" i="25"/>
  <c r="M133" i="25"/>
  <c r="N133" i="25"/>
  <c r="O133" i="25"/>
  <c r="K134" i="25"/>
  <c r="Q134" i="25" s="1"/>
  <c r="L134" i="25"/>
  <c r="M134" i="25"/>
  <c r="N134" i="25"/>
  <c r="O134" i="25"/>
  <c r="K135" i="25"/>
  <c r="Q135" i="25" s="1"/>
  <c r="L135" i="25"/>
  <c r="M135" i="25"/>
  <c r="N135" i="25"/>
  <c r="O135" i="25"/>
  <c r="K136" i="25"/>
  <c r="Q136" i="25" s="1"/>
  <c r="L136" i="25"/>
  <c r="M136" i="25"/>
  <c r="N136" i="25"/>
  <c r="O136" i="25"/>
  <c r="K137" i="25"/>
  <c r="Q137" i="25" s="1"/>
  <c r="L137" i="25"/>
  <c r="M137" i="25"/>
  <c r="N137" i="25"/>
  <c r="O137" i="25"/>
  <c r="K138" i="25"/>
  <c r="Q138" i="25" s="1"/>
  <c r="L138" i="25"/>
  <c r="M138" i="25"/>
  <c r="N138" i="25"/>
  <c r="O138" i="25"/>
  <c r="K139" i="25"/>
  <c r="Q139" i="25" s="1"/>
  <c r="L139" i="25"/>
  <c r="M139" i="25"/>
  <c r="N139" i="25"/>
  <c r="O139" i="25"/>
  <c r="K140" i="25"/>
  <c r="Q140" i="25" s="1"/>
  <c r="L140" i="25"/>
  <c r="M140" i="25"/>
  <c r="N140" i="25"/>
  <c r="O140" i="25"/>
  <c r="K141" i="25"/>
  <c r="Q141" i="25" s="1"/>
  <c r="L141" i="25"/>
  <c r="M141" i="25"/>
  <c r="N141" i="25"/>
  <c r="O141" i="25"/>
  <c r="L142" i="25"/>
  <c r="M142" i="25"/>
  <c r="N142" i="25"/>
  <c r="O142" i="25"/>
  <c r="L143" i="25"/>
  <c r="M143" i="25"/>
  <c r="N143" i="25"/>
  <c r="O143" i="25"/>
  <c r="L144" i="25"/>
  <c r="M144" i="25"/>
  <c r="N144" i="25"/>
  <c r="O144" i="25"/>
  <c r="L145" i="25"/>
  <c r="M145" i="25"/>
  <c r="N145" i="25"/>
  <c r="O145" i="25"/>
  <c r="L146" i="25"/>
  <c r="M146" i="25"/>
  <c r="N146" i="25"/>
  <c r="O146" i="25"/>
  <c r="L147" i="25"/>
  <c r="M147" i="25"/>
  <c r="N147" i="25"/>
  <c r="O147" i="25"/>
  <c r="L148" i="25"/>
  <c r="M148" i="25"/>
  <c r="N148" i="25"/>
  <c r="O148" i="25"/>
  <c r="L149" i="25"/>
  <c r="M149" i="25"/>
  <c r="N149" i="25"/>
  <c r="O149" i="25"/>
  <c r="L150" i="25"/>
  <c r="M150" i="25"/>
  <c r="N150" i="25"/>
  <c r="O150" i="25"/>
  <c r="L151" i="25"/>
  <c r="M151" i="25"/>
  <c r="N151" i="25"/>
  <c r="O151" i="25"/>
  <c r="L152" i="25"/>
  <c r="M152" i="25"/>
  <c r="N152" i="25"/>
  <c r="O152" i="25"/>
  <c r="L153" i="25"/>
  <c r="M153" i="25"/>
  <c r="N153" i="25"/>
  <c r="O153" i="25"/>
  <c r="L154" i="25"/>
  <c r="M154" i="25"/>
  <c r="N154" i="25"/>
  <c r="O154" i="25"/>
  <c r="L155" i="25"/>
  <c r="M155" i="25"/>
  <c r="N155" i="25"/>
  <c r="O155" i="25"/>
  <c r="L156" i="25"/>
  <c r="M156" i="25"/>
  <c r="N156" i="25"/>
  <c r="O156" i="25"/>
  <c r="L157" i="25"/>
  <c r="M157" i="25"/>
  <c r="N157" i="25"/>
  <c r="O157" i="25"/>
  <c r="L158" i="25"/>
  <c r="M158" i="25"/>
  <c r="N158" i="25"/>
  <c r="O158" i="25"/>
  <c r="L159" i="25"/>
  <c r="M159" i="25"/>
  <c r="N159" i="25"/>
  <c r="O159" i="25"/>
  <c r="L160" i="25"/>
  <c r="M160" i="25"/>
  <c r="N160" i="25"/>
  <c r="O160" i="25"/>
  <c r="L161" i="25"/>
  <c r="M161" i="25"/>
  <c r="N161" i="25"/>
  <c r="O161" i="25"/>
  <c r="L162" i="25"/>
  <c r="M162" i="25"/>
  <c r="N162" i="25"/>
  <c r="O162" i="25"/>
  <c r="L163" i="25"/>
  <c r="M163" i="25"/>
  <c r="N163" i="25"/>
  <c r="O163" i="25"/>
  <c r="L164" i="25"/>
  <c r="M164" i="25"/>
  <c r="N164" i="25"/>
  <c r="O164" i="25"/>
  <c r="L165" i="25"/>
  <c r="M165" i="25"/>
  <c r="N165" i="25"/>
  <c r="O165" i="25"/>
  <c r="L166" i="25"/>
  <c r="M166" i="25"/>
  <c r="N166" i="25"/>
  <c r="O166" i="25"/>
  <c r="L167" i="25"/>
  <c r="M167" i="25"/>
  <c r="N167" i="25"/>
  <c r="O167" i="25"/>
  <c r="L168" i="25"/>
  <c r="M168" i="25"/>
  <c r="N168" i="25"/>
  <c r="O168" i="25"/>
  <c r="L169" i="25"/>
  <c r="M169" i="25"/>
  <c r="N169" i="25"/>
  <c r="O169" i="25"/>
  <c r="L170" i="25"/>
  <c r="M170" i="25"/>
  <c r="N170" i="25"/>
  <c r="O170" i="25"/>
  <c r="L171" i="25"/>
  <c r="M171" i="25"/>
  <c r="N171" i="25"/>
  <c r="O171" i="25"/>
  <c r="L172" i="25"/>
  <c r="M172" i="25"/>
  <c r="N172" i="25"/>
  <c r="O172" i="25"/>
  <c r="L173" i="25"/>
  <c r="M173" i="25"/>
  <c r="N173" i="25"/>
  <c r="O173" i="25"/>
  <c r="L174" i="25"/>
  <c r="M174" i="25"/>
  <c r="N174" i="25"/>
  <c r="O174" i="25"/>
  <c r="L175" i="25"/>
  <c r="M175" i="25"/>
  <c r="N175" i="25"/>
  <c r="O175" i="25"/>
  <c r="L176" i="25"/>
  <c r="M176" i="25"/>
  <c r="N176" i="25"/>
  <c r="O176" i="25"/>
  <c r="L177" i="25"/>
  <c r="M177" i="25"/>
  <c r="N177" i="25"/>
  <c r="O177" i="25"/>
  <c r="L178" i="25"/>
  <c r="M178" i="25"/>
  <c r="N178" i="25"/>
  <c r="O178" i="25"/>
  <c r="L179" i="25"/>
  <c r="M179" i="25"/>
  <c r="N179" i="25"/>
  <c r="O179" i="25"/>
  <c r="L180" i="25"/>
  <c r="M180" i="25"/>
  <c r="N180" i="25"/>
  <c r="O180" i="25"/>
  <c r="L181" i="25"/>
  <c r="M181" i="25"/>
  <c r="N181" i="25"/>
  <c r="O181" i="25"/>
  <c r="L182" i="25"/>
  <c r="M182" i="25"/>
  <c r="N182" i="25"/>
  <c r="O182" i="25"/>
  <c r="L183" i="25"/>
  <c r="M183" i="25"/>
  <c r="N183" i="25"/>
  <c r="O183" i="25"/>
  <c r="L184" i="25"/>
  <c r="M184" i="25"/>
  <c r="N184" i="25"/>
  <c r="O184" i="25"/>
  <c r="L185" i="25"/>
  <c r="M185" i="25"/>
  <c r="N185" i="25"/>
  <c r="O185" i="25"/>
  <c r="L186" i="25"/>
  <c r="M186" i="25"/>
  <c r="N186" i="25"/>
  <c r="O186" i="25"/>
  <c r="L187" i="25"/>
  <c r="M187" i="25"/>
  <c r="N187" i="25"/>
  <c r="O187" i="25"/>
  <c r="L188" i="25"/>
  <c r="M188" i="25"/>
  <c r="N188" i="25"/>
  <c r="O188" i="25"/>
  <c r="L189" i="25"/>
  <c r="M189" i="25"/>
  <c r="N189" i="25"/>
  <c r="O189" i="25"/>
  <c r="L190" i="25"/>
  <c r="M190" i="25"/>
  <c r="N190" i="25"/>
  <c r="O190" i="25"/>
  <c r="L191" i="25"/>
  <c r="M191" i="25"/>
  <c r="N191" i="25"/>
  <c r="O191" i="25"/>
  <c r="L192" i="25"/>
  <c r="M192" i="25"/>
  <c r="N192" i="25"/>
  <c r="O192" i="25"/>
  <c r="L193" i="25"/>
  <c r="M193" i="25"/>
  <c r="N193" i="25"/>
  <c r="O193" i="25"/>
  <c r="L194" i="25"/>
  <c r="M194" i="25"/>
  <c r="N194" i="25"/>
  <c r="O194" i="25"/>
  <c r="L195" i="25"/>
  <c r="M195" i="25"/>
  <c r="N195" i="25"/>
  <c r="O195" i="25"/>
  <c r="L196" i="25"/>
  <c r="M196" i="25"/>
  <c r="N196" i="25"/>
  <c r="O196" i="25"/>
  <c r="L197" i="25"/>
  <c r="M197" i="25"/>
  <c r="N197" i="25"/>
  <c r="O197" i="25"/>
  <c r="L198" i="25"/>
  <c r="M198" i="25"/>
  <c r="N198" i="25"/>
  <c r="O198" i="25"/>
  <c r="L199" i="25"/>
  <c r="M199" i="25"/>
  <c r="N199" i="25"/>
  <c r="O199" i="25"/>
  <c r="L200" i="25"/>
  <c r="M200" i="25"/>
  <c r="N200" i="25"/>
  <c r="O200" i="25"/>
  <c r="K201" i="25"/>
  <c r="Q201" i="25" s="1"/>
  <c r="L201" i="25"/>
  <c r="M201" i="25"/>
  <c r="N201" i="25"/>
  <c r="O201" i="25"/>
  <c r="K202" i="25"/>
  <c r="Q202" i="25" s="1"/>
  <c r="L202" i="25"/>
  <c r="M202" i="25"/>
  <c r="N202" i="25"/>
  <c r="O202" i="25"/>
  <c r="K203" i="25"/>
  <c r="Q203" i="25" s="1"/>
  <c r="L203" i="25"/>
  <c r="M203" i="25"/>
  <c r="N203" i="25"/>
  <c r="O203" i="25"/>
  <c r="K204" i="25"/>
  <c r="Q204" i="25" s="1"/>
  <c r="L204" i="25"/>
  <c r="M204" i="25"/>
  <c r="N204" i="25"/>
  <c r="O204" i="25"/>
  <c r="K205" i="25"/>
  <c r="Q205" i="25" s="1"/>
  <c r="L205" i="25"/>
  <c r="M205" i="25"/>
  <c r="N205" i="25"/>
  <c r="O205" i="25"/>
  <c r="L206" i="25"/>
  <c r="M206" i="25"/>
  <c r="N206" i="25"/>
  <c r="O206" i="25"/>
  <c r="K207" i="25"/>
  <c r="Q207" i="25" s="1"/>
  <c r="L207" i="25"/>
  <c r="M207" i="25"/>
  <c r="N207" i="25"/>
  <c r="O207" i="25"/>
  <c r="K208" i="25"/>
  <c r="Q208" i="25" s="1"/>
  <c r="L208" i="25"/>
  <c r="M208" i="25"/>
  <c r="N208" i="25"/>
  <c r="O208" i="25"/>
  <c r="K209" i="25"/>
  <c r="Q209" i="25" s="1"/>
  <c r="L209" i="25"/>
  <c r="M209" i="25"/>
  <c r="N209" i="25"/>
  <c r="O209" i="25"/>
  <c r="K210" i="25"/>
  <c r="Q210" i="25" s="1"/>
  <c r="L210" i="25"/>
  <c r="M210" i="25"/>
  <c r="N210" i="25"/>
  <c r="O210" i="25"/>
  <c r="K211" i="25"/>
  <c r="Q211" i="25" s="1"/>
  <c r="L211" i="25"/>
  <c r="M211" i="25"/>
  <c r="N211" i="25"/>
  <c r="O211" i="25"/>
  <c r="K212" i="25"/>
  <c r="Q212" i="25" s="1"/>
  <c r="L212" i="25"/>
  <c r="M212" i="25"/>
  <c r="N212" i="25"/>
  <c r="O212" i="25"/>
  <c r="K213" i="25"/>
  <c r="Q213" i="25" s="1"/>
  <c r="L213" i="25"/>
  <c r="M213" i="25"/>
  <c r="N213" i="25"/>
  <c r="O213" i="25"/>
  <c r="K214" i="25"/>
  <c r="Q214" i="25" s="1"/>
  <c r="L214" i="25"/>
  <c r="M214" i="25"/>
  <c r="N214" i="25"/>
  <c r="O214" i="25"/>
  <c r="K215" i="25"/>
  <c r="Q215" i="25" s="1"/>
  <c r="L215" i="25"/>
  <c r="M215" i="25"/>
  <c r="N215" i="25"/>
  <c r="O215" i="25"/>
  <c r="K216" i="25"/>
  <c r="Q216" i="25" s="1"/>
  <c r="L216" i="25"/>
  <c r="M216" i="25"/>
  <c r="N216" i="25"/>
  <c r="O216" i="25"/>
  <c r="K217" i="25"/>
  <c r="Q217" i="25" s="1"/>
  <c r="L217" i="25"/>
  <c r="M217" i="25"/>
  <c r="N217" i="25"/>
  <c r="O217" i="25"/>
  <c r="K218" i="25"/>
  <c r="Q218" i="25" s="1"/>
  <c r="L218" i="25"/>
  <c r="M218" i="25"/>
  <c r="N218" i="25"/>
  <c r="O218" i="25"/>
  <c r="K219" i="25"/>
  <c r="Q219" i="25" s="1"/>
  <c r="L219" i="25"/>
  <c r="M219" i="25"/>
  <c r="N219" i="25"/>
  <c r="O219" i="25"/>
  <c r="K220" i="25"/>
  <c r="Q220" i="25" s="1"/>
  <c r="L220" i="25"/>
  <c r="M220" i="25"/>
  <c r="N220" i="25"/>
  <c r="O220" i="25"/>
  <c r="K221" i="25"/>
  <c r="Q221" i="25" s="1"/>
  <c r="L221" i="25"/>
  <c r="M221" i="25"/>
  <c r="N221" i="25"/>
  <c r="O221" i="25"/>
  <c r="K222" i="25"/>
  <c r="Q222" i="25" s="1"/>
  <c r="L222" i="25"/>
  <c r="M222" i="25"/>
  <c r="N222" i="25"/>
  <c r="O222" i="25"/>
  <c r="K223" i="25"/>
  <c r="Q223" i="25" s="1"/>
  <c r="L223" i="25"/>
  <c r="M223" i="25"/>
  <c r="N223" i="25"/>
  <c r="O223" i="25"/>
  <c r="K224" i="25"/>
  <c r="Q224" i="25" s="1"/>
  <c r="L224" i="25"/>
  <c r="M224" i="25"/>
  <c r="N224" i="25"/>
  <c r="O224" i="25"/>
  <c r="K225" i="25"/>
  <c r="Q225" i="25" s="1"/>
  <c r="L225" i="25"/>
  <c r="M225" i="25"/>
  <c r="N225" i="25"/>
  <c r="O225" i="25"/>
  <c r="K226" i="25"/>
  <c r="Q226" i="25" s="1"/>
  <c r="L226" i="25"/>
  <c r="M226" i="25"/>
  <c r="N226" i="25"/>
  <c r="O226" i="25"/>
  <c r="K227" i="25"/>
  <c r="Q227" i="25" s="1"/>
  <c r="L227" i="25"/>
  <c r="M227" i="25"/>
  <c r="N227" i="25"/>
  <c r="O227" i="25"/>
  <c r="K228" i="25"/>
  <c r="Q228" i="25" s="1"/>
  <c r="L228" i="25"/>
  <c r="M228" i="25"/>
  <c r="N228" i="25"/>
  <c r="O228" i="25"/>
  <c r="K229" i="25"/>
  <c r="Q229" i="25" s="1"/>
  <c r="L229" i="25"/>
  <c r="M229" i="25"/>
  <c r="N229" i="25"/>
  <c r="O229" i="25"/>
  <c r="K230" i="25"/>
  <c r="Q230" i="25" s="1"/>
  <c r="L230" i="25"/>
  <c r="M230" i="25"/>
  <c r="N230" i="25"/>
  <c r="O230" i="25"/>
  <c r="K231" i="25"/>
  <c r="Q231" i="25" s="1"/>
  <c r="L231" i="25"/>
  <c r="M231" i="25"/>
  <c r="N231" i="25"/>
  <c r="O231" i="25"/>
  <c r="K232" i="25"/>
  <c r="Q232" i="25" s="1"/>
  <c r="L232" i="25"/>
  <c r="M232" i="25"/>
  <c r="N232" i="25"/>
  <c r="O232" i="25"/>
  <c r="L233" i="25"/>
  <c r="M233" i="25"/>
  <c r="N233" i="25"/>
  <c r="O233" i="25"/>
  <c r="K234" i="25"/>
  <c r="Q234" i="25" s="1"/>
  <c r="L234" i="25"/>
  <c r="M234" i="25"/>
  <c r="N234" i="25"/>
  <c r="O234" i="25"/>
  <c r="K235" i="25"/>
  <c r="Q235" i="25" s="1"/>
  <c r="L235" i="25"/>
  <c r="M235" i="25"/>
  <c r="N235" i="25"/>
  <c r="O235" i="25"/>
  <c r="K236" i="25"/>
  <c r="Q236" i="25" s="1"/>
  <c r="L236" i="25"/>
  <c r="M236" i="25"/>
  <c r="N236" i="25"/>
  <c r="O236" i="25"/>
  <c r="K237" i="25"/>
  <c r="Q237" i="25" s="1"/>
  <c r="L237" i="25"/>
  <c r="M237" i="25"/>
  <c r="N237" i="25"/>
  <c r="O237" i="25"/>
  <c r="K238" i="25"/>
  <c r="Q238" i="25" s="1"/>
  <c r="L238" i="25"/>
  <c r="M238" i="25"/>
  <c r="N238" i="25"/>
  <c r="O238" i="25"/>
  <c r="K239" i="25"/>
  <c r="Q239" i="25" s="1"/>
  <c r="L239" i="25"/>
  <c r="M239" i="25"/>
  <c r="N239" i="25"/>
  <c r="O239" i="25"/>
  <c r="K240" i="25"/>
  <c r="Q240" i="25" s="1"/>
  <c r="L240" i="25"/>
  <c r="M240" i="25"/>
  <c r="N240" i="25"/>
  <c r="O240" i="25"/>
  <c r="K241" i="25"/>
  <c r="Q241" i="25" s="1"/>
  <c r="L241" i="25"/>
  <c r="M241" i="25"/>
  <c r="N241" i="25"/>
  <c r="O241" i="25"/>
  <c r="K242" i="25"/>
  <c r="Q242" i="25" s="1"/>
  <c r="L242" i="25"/>
  <c r="M242" i="25"/>
  <c r="N242" i="25"/>
  <c r="O242" i="25"/>
  <c r="K243" i="25"/>
  <c r="Q243" i="25" s="1"/>
  <c r="L243" i="25"/>
  <c r="M243" i="25"/>
  <c r="N243" i="25"/>
  <c r="O243" i="25"/>
  <c r="L244" i="25"/>
  <c r="M244" i="25"/>
  <c r="N244" i="25"/>
  <c r="O244" i="25"/>
  <c r="L245" i="25"/>
  <c r="M245" i="25"/>
  <c r="N245" i="25"/>
  <c r="O245" i="25"/>
  <c r="L246" i="25"/>
  <c r="M246" i="25"/>
  <c r="N246" i="25"/>
  <c r="O246" i="25"/>
  <c r="L247" i="25"/>
  <c r="M247" i="25"/>
  <c r="N247" i="25"/>
  <c r="O247" i="25"/>
  <c r="L248" i="25"/>
  <c r="M248" i="25"/>
  <c r="N248" i="25"/>
  <c r="O248" i="25"/>
  <c r="L249" i="25"/>
  <c r="M249" i="25"/>
  <c r="N249" i="25"/>
  <c r="O249" i="25"/>
  <c r="L250" i="25"/>
  <c r="M250" i="25"/>
  <c r="N250" i="25"/>
  <c r="O250" i="25"/>
  <c r="L251" i="25"/>
  <c r="M251" i="25"/>
  <c r="N251" i="25"/>
  <c r="O251" i="25"/>
  <c r="L252" i="25"/>
  <c r="M252" i="25"/>
  <c r="N252" i="25"/>
  <c r="O252" i="25"/>
  <c r="L253" i="25"/>
  <c r="M253" i="25"/>
  <c r="N253" i="25"/>
  <c r="O253" i="25"/>
  <c r="L254" i="25"/>
  <c r="M254" i="25"/>
  <c r="N254" i="25"/>
  <c r="O254" i="25"/>
  <c r="L255" i="25"/>
  <c r="M255" i="25"/>
  <c r="N255" i="25"/>
  <c r="O255" i="25"/>
  <c r="L256" i="25"/>
  <c r="M256" i="25"/>
  <c r="N256" i="25"/>
  <c r="O256" i="25"/>
  <c r="L257" i="25"/>
  <c r="M257" i="25"/>
  <c r="N257" i="25"/>
  <c r="O257" i="25"/>
  <c r="L258" i="25"/>
  <c r="M258" i="25"/>
  <c r="N258" i="25"/>
  <c r="O258" i="25"/>
  <c r="L259" i="25"/>
  <c r="M259" i="25"/>
  <c r="N259" i="25"/>
  <c r="O259" i="25"/>
  <c r="L260" i="25"/>
  <c r="M260" i="25"/>
  <c r="N260" i="25"/>
  <c r="O260" i="25"/>
  <c r="L261" i="25"/>
  <c r="M261" i="25"/>
  <c r="N261" i="25"/>
  <c r="O261" i="25"/>
  <c r="L262" i="25"/>
  <c r="M262" i="25"/>
  <c r="N262" i="25"/>
  <c r="O262" i="25"/>
  <c r="L263" i="25"/>
  <c r="M263" i="25"/>
  <c r="N263" i="25"/>
  <c r="O263" i="25"/>
  <c r="L264" i="25"/>
  <c r="M264" i="25"/>
  <c r="N264" i="25"/>
  <c r="O264" i="25"/>
  <c r="L265" i="25"/>
  <c r="M265" i="25"/>
  <c r="N265" i="25"/>
  <c r="O265" i="25"/>
  <c r="L266" i="25"/>
  <c r="M266" i="25"/>
  <c r="N266" i="25"/>
  <c r="O266" i="25"/>
  <c r="L267" i="25"/>
  <c r="M267" i="25"/>
  <c r="N267" i="25"/>
  <c r="O267" i="25"/>
  <c r="L268" i="25"/>
  <c r="M268" i="25"/>
  <c r="N268" i="25"/>
  <c r="O268" i="25"/>
  <c r="L269" i="25"/>
  <c r="M269" i="25"/>
  <c r="N269" i="25"/>
  <c r="O269" i="25"/>
  <c r="L270" i="25"/>
  <c r="M270" i="25"/>
  <c r="N270" i="25"/>
  <c r="O270" i="25"/>
  <c r="L271" i="25"/>
  <c r="M271" i="25"/>
  <c r="N271" i="25"/>
  <c r="O271" i="25"/>
  <c r="L272" i="25"/>
  <c r="M272" i="25"/>
  <c r="N272" i="25"/>
  <c r="O272" i="25"/>
  <c r="L273" i="25"/>
  <c r="M273" i="25"/>
  <c r="N273" i="25"/>
  <c r="O273" i="25"/>
  <c r="L274" i="25"/>
  <c r="M274" i="25"/>
  <c r="N274" i="25"/>
  <c r="O274" i="25"/>
  <c r="L275" i="25"/>
  <c r="M275" i="25"/>
  <c r="N275" i="25"/>
  <c r="O275" i="25"/>
  <c r="L276" i="25"/>
  <c r="M276" i="25"/>
  <c r="N276" i="25"/>
  <c r="O276" i="25"/>
  <c r="L277" i="25"/>
  <c r="M277" i="25"/>
  <c r="N277" i="25"/>
  <c r="O277" i="25"/>
  <c r="L278" i="25"/>
  <c r="M278" i="25"/>
  <c r="N278" i="25"/>
  <c r="O278" i="25"/>
  <c r="L279" i="25"/>
  <c r="M279" i="25"/>
  <c r="N279" i="25"/>
  <c r="O279" i="25"/>
  <c r="L280" i="25"/>
  <c r="M280" i="25"/>
  <c r="N280" i="25"/>
  <c r="O280" i="25"/>
  <c r="L281" i="25"/>
  <c r="M281" i="25"/>
  <c r="N281" i="25"/>
  <c r="O281" i="25"/>
  <c r="L282" i="25"/>
  <c r="M282" i="25"/>
  <c r="N282" i="25"/>
  <c r="O282" i="25"/>
  <c r="L283" i="25"/>
  <c r="M283" i="25"/>
  <c r="N283" i="25"/>
  <c r="O283" i="25"/>
  <c r="L284" i="25"/>
  <c r="M284" i="25"/>
  <c r="N284" i="25"/>
  <c r="O284" i="25"/>
  <c r="L285" i="25"/>
  <c r="M285" i="25"/>
  <c r="N285" i="25"/>
  <c r="O285" i="25"/>
  <c r="L286" i="25"/>
  <c r="M286" i="25"/>
  <c r="N286" i="25"/>
  <c r="O286" i="25"/>
  <c r="L287" i="25"/>
  <c r="M287" i="25"/>
  <c r="N287" i="25"/>
  <c r="O287" i="25"/>
  <c r="L288" i="25"/>
  <c r="M288" i="25"/>
  <c r="N288" i="25"/>
  <c r="O288" i="25"/>
  <c r="L289" i="25"/>
  <c r="M289" i="25"/>
  <c r="N289" i="25"/>
  <c r="O289" i="25"/>
  <c r="L290" i="25"/>
  <c r="M290" i="25"/>
  <c r="N290" i="25"/>
  <c r="O290" i="25"/>
  <c r="L291" i="25"/>
  <c r="M291" i="25"/>
  <c r="N291" i="25"/>
  <c r="O291" i="25"/>
  <c r="L292" i="25"/>
  <c r="M292" i="25"/>
  <c r="N292" i="25"/>
  <c r="O292" i="25"/>
  <c r="L293" i="25"/>
  <c r="M293" i="25"/>
  <c r="N293" i="25"/>
  <c r="O293" i="25"/>
  <c r="L294" i="25"/>
  <c r="M294" i="25"/>
  <c r="N294" i="25"/>
  <c r="O294" i="25"/>
  <c r="L295" i="25"/>
  <c r="M295" i="25"/>
  <c r="N295" i="25"/>
  <c r="O295" i="25"/>
  <c r="L296" i="25"/>
  <c r="M296" i="25"/>
  <c r="N296" i="25"/>
  <c r="O296" i="25"/>
  <c r="L297" i="25"/>
  <c r="M297" i="25"/>
  <c r="N297" i="25"/>
  <c r="O297" i="25"/>
  <c r="L298" i="25"/>
  <c r="M298" i="25"/>
  <c r="N298" i="25"/>
  <c r="O298" i="25"/>
  <c r="L299" i="25"/>
  <c r="M299" i="25"/>
  <c r="N299" i="25"/>
  <c r="O299" i="25"/>
  <c r="L300" i="25"/>
  <c r="M300" i="25"/>
  <c r="N300" i="25"/>
  <c r="O300" i="25"/>
  <c r="L301" i="25"/>
  <c r="M301" i="25"/>
  <c r="N301" i="25"/>
  <c r="O301" i="25"/>
  <c r="L302" i="25"/>
  <c r="M302" i="25"/>
  <c r="N302" i="25"/>
  <c r="O302" i="25"/>
  <c r="L303" i="25"/>
  <c r="M303" i="25"/>
  <c r="N303" i="25"/>
  <c r="O303" i="25"/>
  <c r="L304" i="25"/>
  <c r="M304" i="25"/>
  <c r="N304" i="25"/>
  <c r="O304" i="25"/>
  <c r="L305" i="25"/>
  <c r="M305" i="25"/>
  <c r="N305" i="25"/>
  <c r="O305" i="25"/>
  <c r="L306" i="25"/>
  <c r="M306" i="25"/>
  <c r="N306" i="25"/>
  <c r="O306" i="25"/>
  <c r="L307" i="25"/>
  <c r="M307" i="25"/>
  <c r="N307" i="25"/>
  <c r="O307" i="25"/>
  <c r="L308" i="25"/>
  <c r="M308" i="25"/>
  <c r="N308" i="25"/>
  <c r="O308" i="25"/>
  <c r="L309" i="25"/>
  <c r="M309" i="25"/>
  <c r="N309" i="25"/>
  <c r="O309" i="25"/>
  <c r="L310" i="25"/>
  <c r="M310" i="25"/>
  <c r="N310" i="25"/>
  <c r="O310" i="25"/>
  <c r="K311" i="25"/>
  <c r="Q311" i="25" s="1"/>
  <c r="L311" i="25"/>
  <c r="M311" i="25"/>
  <c r="N311" i="25"/>
  <c r="O311" i="25"/>
  <c r="K312" i="25"/>
  <c r="Q312" i="25" s="1"/>
  <c r="L312" i="25"/>
  <c r="M312" i="25"/>
  <c r="N312" i="25"/>
  <c r="O312" i="25"/>
  <c r="K313" i="25"/>
  <c r="Q313" i="25" s="1"/>
  <c r="L313" i="25"/>
  <c r="M313" i="25"/>
  <c r="N313" i="25"/>
  <c r="O313" i="25"/>
  <c r="K314" i="25"/>
  <c r="Q314" i="25" s="1"/>
  <c r="L314" i="25"/>
  <c r="M314" i="25"/>
  <c r="N314" i="25"/>
  <c r="O314" i="25"/>
  <c r="K315" i="25"/>
  <c r="Q315" i="25" s="1"/>
  <c r="L315" i="25"/>
  <c r="M315" i="25"/>
  <c r="N315" i="25"/>
  <c r="O315" i="25"/>
  <c r="K316" i="25"/>
  <c r="Q316" i="25" s="1"/>
  <c r="L316" i="25"/>
  <c r="M316" i="25"/>
  <c r="N316" i="25"/>
  <c r="O316" i="25"/>
  <c r="K317" i="25"/>
  <c r="Q317" i="25" s="1"/>
  <c r="L317" i="25"/>
  <c r="M317" i="25"/>
  <c r="N317" i="25"/>
  <c r="O317" i="25"/>
  <c r="K318" i="25"/>
  <c r="Q318" i="25" s="1"/>
  <c r="L318" i="25"/>
  <c r="M318" i="25"/>
  <c r="N318" i="25"/>
  <c r="O318" i="25"/>
  <c r="K319" i="25"/>
  <c r="Q319" i="25" s="1"/>
  <c r="L319" i="25"/>
  <c r="M319" i="25"/>
  <c r="N319" i="25"/>
  <c r="O319" i="25"/>
  <c r="K320" i="25"/>
  <c r="Q320" i="25" s="1"/>
  <c r="L320" i="25"/>
  <c r="M320" i="25"/>
  <c r="N320" i="25"/>
  <c r="O320" i="25"/>
  <c r="K321" i="25"/>
  <c r="Q321" i="25" s="1"/>
  <c r="L321" i="25"/>
  <c r="M321" i="25"/>
  <c r="N321" i="25"/>
  <c r="O321" i="25"/>
  <c r="K322" i="25"/>
  <c r="Q322" i="25" s="1"/>
  <c r="L322" i="25"/>
  <c r="M322" i="25"/>
  <c r="N322" i="25"/>
  <c r="O322" i="25"/>
  <c r="K323" i="25"/>
  <c r="Q323" i="25" s="1"/>
  <c r="L323" i="25"/>
  <c r="M323" i="25"/>
  <c r="N323" i="25"/>
  <c r="O323" i="25"/>
  <c r="K324" i="25"/>
  <c r="Q324" i="25" s="1"/>
  <c r="L324" i="25"/>
  <c r="M324" i="25"/>
  <c r="N324" i="25"/>
  <c r="O324" i="25"/>
  <c r="K325" i="25"/>
  <c r="Q325" i="25" s="1"/>
  <c r="L325" i="25"/>
  <c r="M325" i="25"/>
  <c r="N325" i="25"/>
  <c r="O325" i="25"/>
  <c r="K326" i="25"/>
  <c r="Q326" i="25" s="1"/>
  <c r="L326" i="25"/>
  <c r="M326" i="25"/>
  <c r="N326" i="25"/>
  <c r="O326" i="25"/>
  <c r="K327" i="25"/>
  <c r="Q327" i="25" s="1"/>
  <c r="L327" i="25"/>
  <c r="M327" i="25"/>
  <c r="N327" i="25"/>
  <c r="O327" i="25"/>
  <c r="K328" i="25"/>
  <c r="Q328" i="25" s="1"/>
  <c r="L328" i="25"/>
  <c r="M328" i="25"/>
  <c r="N328" i="25"/>
  <c r="O328" i="25"/>
  <c r="K329" i="25"/>
  <c r="Q329" i="25" s="1"/>
  <c r="L329" i="25"/>
  <c r="M329" i="25"/>
  <c r="N329" i="25"/>
  <c r="O329" i="25"/>
  <c r="K330" i="25"/>
  <c r="Q330" i="25" s="1"/>
  <c r="L330" i="25"/>
  <c r="M330" i="25"/>
  <c r="N330" i="25"/>
  <c r="O330" i="25"/>
  <c r="K331" i="25"/>
  <c r="Q331" i="25" s="1"/>
  <c r="L331" i="25"/>
  <c r="M331" i="25"/>
  <c r="N331" i="25"/>
  <c r="O331" i="25"/>
  <c r="K332" i="25"/>
  <c r="L332" i="25"/>
  <c r="M332" i="25"/>
  <c r="N332" i="25"/>
  <c r="O332" i="25"/>
  <c r="L333" i="25"/>
  <c r="M333" i="25"/>
  <c r="N333" i="25"/>
  <c r="O333" i="25"/>
  <c r="K334" i="25"/>
  <c r="Q334" i="25" s="1"/>
  <c r="L334" i="25"/>
  <c r="M334" i="25"/>
  <c r="N334" i="25"/>
  <c r="O334" i="25"/>
  <c r="K335" i="25"/>
  <c r="Q335" i="25" s="1"/>
  <c r="L335" i="25"/>
  <c r="M335" i="25"/>
  <c r="N335" i="25"/>
  <c r="O335" i="25"/>
  <c r="K336" i="25"/>
  <c r="L336" i="25"/>
  <c r="M336" i="25"/>
  <c r="N336" i="25"/>
  <c r="O336" i="25"/>
  <c r="K337" i="25"/>
  <c r="Q337" i="25" s="1"/>
  <c r="L337" i="25"/>
  <c r="M337" i="25"/>
  <c r="N337" i="25"/>
  <c r="O337" i="25"/>
  <c r="K338" i="25"/>
  <c r="Q338" i="25" s="1"/>
  <c r="L338" i="25"/>
  <c r="M338" i="25"/>
  <c r="N338" i="25"/>
  <c r="O338" i="25"/>
  <c r="K339" i="25"/>
  <c r="Q339" i="25" s="1"/>
  <c r="L339" i="25"/>
  <c r="M339" i="25"/>
  <c r="N339" i="25"/>
  <c r="O339" i="25"/>
  <c r="K340" i="25"/>
  <c r="Q340" i="25" s="1"/>
  <c r="L340" i="25"/>
  <c r="M340" i="25"/>
  <c r="N340" i="25"/>
  <c r="O340" i="25"/>
  <c r="L341" i="25"/>
  <c r="M341" i="25"/>
  <c r="N341" i="25"/>
  <c r="O341" i="25"/>
  <c r="K342" i="25"/>
  <c r="Q342" i="25" s="1"/>
  <c r="L342" i="25"/>
  <c r="M342" i="25"/>
  <c r="N342" i="25"/>
  <c r="O342" i="25"/>
  <c r="K343" i="25"/>
  <c r="Q343" i="25" s="1"/>
  <c r="L343" i="25"/>
  <c r="M343" i="25"/>
  <c r="N343" i="25"/>
  <c r="O343" i="25"/>
  <c r="K344" i="25"/>
  <c r="Q344" i="25" s="1"/>
  <c r="L344" i="25"/>
  <c r="M344" i="25"/>
  <c r="N344" i="25"/>
  <c r="O344" i="25"/>
  <c r="L345" i="25"/>
  <c r="M345" i="25"/>
  <c r="N345" i="25"/>
  <c r="O345" i="25"/>
  <c r="K346" i="25"/>
  <c r="Q346" i="25" s="1"/>
  <c r="L346" i="25"/>
  <c r="M346" i="25"/>
  <c r="N346" i="25"/>
  <c r="O346" i="25"/>
  <c r="L347" i="25"/>
  <c r="M347" i="25"/>
  <c r="N347" i="25"/>
  <c r="O347" i="25"/>
  <c r="L348" i="25"/>
  <c r="M348" i="25"/>
  <c r="N348" i="25"/>
  <c r="O348" i="25"/>
  <c r="L349" i="25"/>
  <c r="M349" i="25"/>
  <c r="N349" i="25"/>
  <c r="O349" i="25"/>
  <c r="L350" i="25"/>
  <c r="M350" i="25"/>
  <c r="N350" i="25"/>
  <c r="O350" i="25"/>
  <c r="L351" i="25"/>
  <c r="M351" i="25"/>
  <c r="N351" i="25"/>
  <c r="O351" i="25"/>
  <c r="L352" i="25"/>
  <c r="M352" i="25"/>
  <c r="N352" i="25"/>
  <c r="O352" i="25"/>
  <c r="L353" i="25"/>
  <c r="M353" i="25"/>
  <c r="N353" i="25"/>
  <c r="O353" i="25"/>
  <c r="L354" i="25"/>
  <c r="M354" i="25"/>
  <c r="N354" i="25"/>
  <c r="O354" i="25"/>
  <c r="L355" i="25"/>
  <c r="M355" i="25"/>
  <c r="N355" i="25"/>
  <c r="O355" i="25"/>
  <c r="L356" i="25"/>
  <c r="M356" i="25"/>
  <c r="N356" i="25"/>
  <c r="O356" i="25"/>
  <c r="L357" i="25"/>
  <c r="M357" i="25"/>
  <c r="N357" i="25"/>
  <c r="O357" i="25"/>
  <c r="L358" i="25"/>
  <c r="M358" i="25"/>
  <c r="N358" i="25"/>
  <c r="O358" i="25"/>
  <c r="L359" i="25"/>
  <c r="M359" i="25"/>
  <c r="N359" i="25"/>
  <c r="O359" i="25"/>
  <c r="L360" i="25"/>
  <c r="M360" i="25"/>
  <c r="N360" i="25"/>
  <c r="O360" i="25"/>
  <c r="L361" i="25"/>
  <c r="M361" i="25"/>
  <c r="N361" i="25"/>
  <c r="O361" i="25"/>
  <c r="L362" i="25"/>
  <c r="M362" i="25"/>
  <c r="N362" i="25"/>
  <c r="O362" i="25"/>
  <c r="L363" i="25"/>
  <c r="M363" i="25"/>
  <c r="N363" i="25"/>
  <c r="O363" i="25"/>
  <c r="L364" i="25"/>
  <c r="M364" i="25"/>
  <c r="N364" i="25"/>
  <c r="O364" i="25"/>
  <c r="L365" i="25"/>
  <c r="M365" i="25"/>
  <c r="N365" i="25"/>
  <c r="O365" i="25"/>
  <c r="L366" i="25"/>
  <c r="M366" i="25"/>
  <c r="N366" i="25"/>
  <c r="O366" i="25"/>
  <c r="L367" i="25"/>
  <c r="M367" i="25"/>
  <c r="N367" i="25"/>
  <c r="O367" i="25"/>
  <c r="L368" i="25"/>
  <c r="M368" i="25"/>
  <c r="N368" i="25"/>
  <c r="O368" i="25"/>
  <c r="L369" i="25"/>
  <c r="M369" i="25"/>
  <c r="N369" i="25"/>
  <c r="O369" i="25"/>
  <c r="L370" i="25"/>
  <c r="M370" i="25"/>
  <c r="N370" i="25"/>
  <c r="O370" i="25"/>
  <c r="L371" i="25"/>
  <c r="M371" i="25"/>
  <c r="N371" i="25"/>
  <c r="O371" i="25"/>
  <c r="L372" i="25"/>
  <c r="M372" i="25"/>
  <c r="N372" i="25"/>
  <c r="O372" i="25"/>
  <c r="L373" i="25"/>
  <c r="M373" i="25"/>
  <c r="N373" i="25"/>
  <c r="O373" i="25"/>
  <c r="L374" i="25"/>
  <c r="M374" i="25"/>
  <c r="N374" i="25"/>
  <c r="O374" i="25"/>
  <c r="L375" i="25"/>
  <c r="M375" i="25"/>
  <c r="N375" i="25"/>
  <c r="O375" i="25"/>
  <c r="L376" i="25"/>
  <c r="M376" i="25"/>
  <c r="N376" i="25"/>
  <c r="O376" i="25"/>
  <c r="L377" i="25"/>
  <c r="M377" i="25"/>
  <c r="N377" i="25"/>
  <c r="O377" i="25"/>
  <c r="L378" i="25"/>
  <c r="M378" i="25"/>
  <c r="N378" i="25"/>
  <c r="O378" i="25"/>
  <c r="L379" i="25"/>
  <c r="M379" i="25"/>
  <c r="N379" i="25"/>
  <c r="O379" i="25"/>
  <c r="L380" i="25"/>
  <c r="M380" i="25"/>
  <c r="N380" i="25"/>
  <c r="O380" i="25"/>
  <c r="L381" i="25"/>
  <c r="M381" i="25"/>
  <c r="N381" i="25"/>
  <c r="O381" i="25"/>
  <c r="K382" i="25"/>
  <c r="Q382" i="25" s="1"/>
  <c r="L382" i="25"/>
  <c r="M382" i="25"/>
  <c r="N382" i="25"/>
  <c r="O382" i="25"/>
  <c r="L383" i="25"/>
  <c r="M383" i="25"/>
  <c r="N383" i="25"/>
  <c r="O383" i="25"/>
  <c r="L384" i="25"/>
  <c r="M384" i="25"/>
  <c r="N384" i="25"/>
  <c r="O384" i="25"/>
  <c r="L385" i="25"/>
  <c r="M385" i="25"/>
  <c r="N385" i="25"/>
  <c r="O385" i="25"/>
  <c r="L386" i="25"/>
  <c r="M386" i="25"/>
  <c r="N386" i="25"/>
  <c r="O386" i="25"/>
  <c r="L387" i="25"/>
  <c r="M387" i="25"/>
  <c r="N387" i="25"/>
  <c r="O387" i="25"/>
  <c r="L388" i="25"/>
  <c r="M388" i="25"/>
  <c r="N388" i="25"/>
  <c r="O388" i="25"/>
  <c r="L389" i="25"/>
  <c r="M389" i="25"/>
  <c r="N389" i="25"/>
  <c r="O389" i="25"/>
  <c r="L390" i="25"/>
  <c r="M390" i="25"/>
  <c r="N390" i="25"/>
  <c r="O390" i="25"/>
  <c r="L391" i="25"/>
  <c r="M391" i="25"/>
  <c r="N391" i="25"/>
  <c r="O391" i="25"/>
  <c r="L392" i="25"/>
  <c r="M392" i="25"/>
  <c r="N392" i="25"/>
  <c r="O392" i="25"/>
  <c r="L393" i="25"/>
  <c r="M393" i="25"/>
  <c r="N393" i="25"/>
  <c r="O393" i="25"/>
  <c r="K394" i="25"/>
  <c r="Q394" i="25" s="1"/>
  <c r="L394" i="25"/>
  <c r="M394" i="25"/>
  <c r="N394" i="25"/>
  <c r="O394" i="25"/>
  <c r="L395" i="25"/>
  <c r="M395" i="25"/>
  <c r="N395" i="25"/>
  <c r="O395" i="25"/>
  <c r="L396" i="25"/>
  <c r="M396" i="25"/>
  <c r="N396" i="25"/>
  <c r="O396" i="25"/>
  <c r="L397" i="25"/>
  <c r="M397" i="25"/>
  <c r="N397" i="25"/>
  <c r="O397" i="25"/>
  <c r="L398" i="25"/>
  <c r="M398" i="25"/>
  <c r="N398" i="25"/>
  <c r="O398" i="25"/>
  <c r="L399" i="25"/>
  <c r="M399" i="25"/>
  <c r="N399" i="25"/>
  <c r="O399" i="25"/>
  <c r="L400" i="25"/>
  <c r="M400" i="25"/>
  <c r="N400" i="25"/>
  <c r="O400" i="25"/>
  <c r="L401" i="25"/>
  <c r="M401" i="25"/>
  <c r="N401" i="25"/>
  <c r="O401" i="25"/>
  <c r="L402" i="25"/>
  <c r="M402" i="25"/>
  <c r="N402" i="25"/>
  <c r="O402" i="25"/>
  <c r="L403" i="25"/>
  <c r="M403" i="25"/>
  <c r="N403" i="25"/>
  <c r="O403" i="25"/>
  <c r="L404" i="25"/>
  <c r="M404" i="25"/>
  <c r="N404" i="25"/>
  <c r="O404" i="25"/>
  <c r="L405" i="25"/>
  <c r="M405" i="25"/>
  <c r="N405" i="25"/>
  <c r="O405" i="25"/>
  <c r="L406" i="25"/>
  <c r="M406" i="25"/>
  <c r="N406" i="25"/>
  <c r="O406" i="25"/>
  <c r="K407" i="25"/>
  <c r="Q407" i="25" s="1"/>
  <c r="L407" i="25"/>
  <c r="M407" i="25"/>
  <c r="N407" i="25"/>
  <c r="O407" i="25"/>
  <c r="K408" i="25"/>
  <c r="Q408" i="25" s="1"/>
  <c r="L408" i="25"/>
  <c r="M408" i="25"/>
  <c r="N408" i="25"/>
  <c r="O408" i="25"/>
  <c r="K409" i="25"/>
  <c r="Q409" i="25" s="1"/>
  <c r="L409" i="25"/>
  <c r="M409" i="25"/>
  <c r="N409" i="25"/>
  <c r="O409" i="25"/>
  <c r="K410" i="25"/>
  <c r="Q410" i="25" s="1"/>
  <c r="L410" i="25"/>
  <c r="M410" i="25"/>
  <c r="N410" i="25"/>
  <c r="O410" i="25"/>
  <c r="K411" i="25"/>
  <c r="Q411" i="25" s="1"/>
  <c r="L411" i="25"/>
  <c r="M411" i="25"/>
  <c r="N411" i="25"/>
  <c r="O411" i="25"/>
  <c r="K412" i="25"/>
  <c r="Q412" i="25" s="1"/>
  <c r="L412" i="25"/>
  <c r="M412" i="25"/>
  <c r="N412" i="25"/>
  <c r="O412" i="25"/>
  <c r="K413" i="25"/>
  <c r="L413" i="25"/>
  <c r="M413" i="25"/>
  <c r="N413" i="25"/>
  <c r="O413" i="25"/>
  <c r="K414" i="25"/>
  <c r="Q414" i="25" s="1"/>
  <c r="L414" i="25"/>
  <c r="M414" i="25"/>
  <c r="N414" i="25"/>
  <c r="O414" i="25"/>
  <c r="K415" i="25"/>
  <c r="Q415" i="25" s="1"/>
  <c r="L415" i="25"/>
  <c r="M415" i="25"/>
  <c r="N415" i="25"/>
  <c r="O415" i="25"/>
  <c r="K416" i="25"/>
  <c r="Q416" i="25" s="1"/>
  <c r="L416" i="25"/>
  <c r="M416" i="25"/>
  <c r="N416" i="25"/>
  <c r="O416" i="25"/>
  <c r="K417" i="25"/>
  <c r="Q417" i="25" s="1"/>
  <c r="L417" i="25"/>
  <c r="M417" i="25"/>
  <c r="N417" i="25"/>
  <c r="O417" i="25"/>
  <c r="K418" i="25"/>
  <c r="Q418" i="25" s="1"/>
  <c r="L418" i="25"/>
  <c r="M418" i="25"/>
  <c r="N418" i="25"/>
  <c r="O418" i="25"/>
  <c r="K419" i="25"/>
  <c r="Q419" i="25" s="1"/>
  <c r="L419" i="25"/>
  <c r="M419" i="25"/>
  <c r="N419" i="25"/>
  <c r="O419" i="25"/>
  <c r="K420" i="25"/>
  <c r="Q420" i="25" s="1"/>
  <c r="L420" i="25"/>
  <c r="M420" i="25"/>
  <c r="N420" i="25"/>
  <c r="O420" i="25"/>
  <c r="K421" i="25"/>
  <c r="Q421" i="25" s="1"/>
  <c r="L421" i="25"/>
  <c r="M421" i="25"/>
  <c r="N421" i="25"/>
  <c r="O421" i="25"/>
  <c r="K422" i="25"/>
  <c r="Q422" i="25" s="1"/>
  <c r="L422" i="25"/>
  <c r="M422" i="25"/>
  <c r="N422" i="25"/>
  <c r="O422" i="25"/>
  <c r="K423" i="25"/>
  <c r="Q423" i="25" s="1"/>
  <c r="L423" i="25"/>
  <c r="M423" i="25"/>
  <c r="N423" i="25"/>
  <c r="O423" i="25"/>
  <c r="K424" i="25"/>
  <c r="Q424" i="25" s="1"/>
  <c r="L424" i="25"/>
  <c r="M424" i="25"/>
  <c r="N424" i="25"/>
  <c r="O424" i="25"/>
  <c r="K425" i="25"/>
  <c r="L425" i="25"/>
  <c r="M425" i="25"/>
  <c r="N425" i="25"/>
  <c r="O425" i="25"/>
  <c r="K426" i="25"/>
  <c r="Q426" i="25" s="1"/>
  <c r="L426" i="25"/>
  <c r="M426" i="25"/>
  <c r="N426" i="25"/>
  <c r="O426" i="25"/>
  <c r="K427" i="25"/>
  <c r="Q427" i="25" s="1"/>
  <c r="L427" i="25"/>
  <c r="M427" i="25"/>
  <c r="N427" i="25"/>
  <c r="K428" i="25"/>
  <c r="Q428" i="25" s="1"/>
  <c r="L428" i="25"/>
  <c r="M428" i="25"/>
  <c r="N428" i="25"/>
  <c r="O428" i="25"/>
  <c r="K429" i="25"/>
  <c r="Q429" i="25" s="1"/>
  <c r="L429" i="25"/>
  <c r="M429" i="25"/>
  <c r="N429" i="25"/>
  <c r="O429" i="25"/>
  <c r="K430" i="25"/>
  <c r="Q430" i="25" s="1"/>
  <c r="L430" i="25"/>
  <c r="M430" i="25"/>
  <c r="N430" i="25"/>
  <c r="O430" i="25"/>
  <c r="K431" i="25"/>
  <c r="L431" i="25"/>
  <c r="M431" i="25"/>
  <c r="N431" i="25"/>
  <c r="O431" i="25"/>
  <c r="K432" i="25"/>
  <c r="Q432" i="25" s="1"/>
  <c r="L432" i="25"/>
  <c r="M432" i="25"/>
  <c r="N432" i="25"/>
  <c r="O432" i="25"/>
  <c r="K433" i="25"/>
  <c r="Q433" i="25" s="1"/>
  <c r="L433" i="25"/>
  <c r="M433" i="25"/>
  <c r="N433" i="25"/>
  <c r="O433" i="25"/>
  <c r="K434" i="25"/>
  <c r="Q434" i="25" s="1"/>
  <c r="L434" i="25"/>
  <c r="M434" i="25"/>
  <c r="N434" i="25"/>
  <c r="O434" i="25"/>
  <c r="K435" i="25"/>
  <c r="Q435" i="25" s="1"/>
  <c r="L435" i="25"/>
  <c r="M435" i="25"/>
  <c r="N435" i="25"/>
  <c r="O435" i="25"/>
  <c r="K436" i="25"/>
  <c r="Q436" i="25" s="1"/>
  <c r="L436" i="25"/>
  <c r="M436" i="25"/>
  <c r="N436" i="25"/>
  <c r="O436" i="25"/>
  <c r="K437" i="25"/>
  <c r="Q437" i="25" s="1"/>
  <c r="L437" i="25"/>
  <c r="M437" i="25"/>
  <c r="N437" i="25"/>
  <c r="O437" i="25"/>
  <c r="K438" i="25"/>
  <c r="Q438" i="25" s="1"/>
  <c r="L438" i="25"/>
  <c r="M438" i="25"/>
  <c r="N438" i="25"/>
  <c r="O438" i="25"/>
  <c r="K439" i="25"/>
  <c r="Q439" i="25" s="1"/>
  <c r="L439" i="25"/>
  <c r="M439" i="25"/>
  <c r="N439" i="25"/>
  <c r="O439" i="25"/>
  <c r="K440" i="25"/>
  <c r="Q440" i="25" s="1"/>
  <c r="L440" i="25"/>
  <c r="M440" i="25"/>
  <c r="N440" i="25"/>
  <c r="O440" i="25"/>
  <c r="K441" i="25"/>
  <c r="Q441" i="25" s="1"/>
  <c r="L441" i="25"/>
  <c r="M441" i="25"/>
  <c r="N441" i="25"/>
  <c r="O441" i="25"/>
  <c r="K442" i="25"/>
  <c r="Q442" i="25" s="1"/>
  <c r="L442" i="25"/>
  <c r="M442" i="25"/>
  <c r="N442" i="25"/>
  <c r="O442" i="25"/>
  <c r="K443" i="25"/>
  <c r="Q443" i="25" s="1"/>
  <c r="L443" i="25"/>
  <c r="M443" i="25"/>
  <c r="N443" i="25"/>
  <c r="O443" i="25"/>
  <c r="K444" i="25"/>
  <c r="Q444" i="25" s="1"/>
  <c r="L444" i="25"/>
  <c r="M444" i="25"/>
  <c r="N444" i="25"/>
  <c r="O444" i="25"/>
  <c r="K445" i="25"/>
  <c r="Q445" i="25" s="1"/>
  <c r="L445" i="25"/>
  <c r="M445" i="25"/>
  <c r="N445" i="25"/>
  <c r="O445" i="25"/>
  <c r="K446" i="25"/>
  <c r="L446" i="25"/>
  <c r="M446" i="25"/>
  <c r="N446" i="25"/>
  <c r="O446" i="25"/>
  <c r="K447" i="25"/>
  <c r="Q447" i="25" s="1"/>
  <c r="L447" i="25"/>
  <c r="M447" i="25"/>
  <c r="N447" i="25"/>
  <c r="O447" i="25"/>
  <c r="K448" i="25"/>
  <c r="Q448" i="25" s="1"/>
  <c r="L448" i="25"/>
  <c r="M448" i="25"/>
  <c r="N448" i="25"/>
  <c r="O448" i="25"/>
  <c r="K449" i="25"/>
  <c r="Q449" i="25" s="1"/>
  <c r="L449" i="25"/>
  <c r="M449" i="25"/>
  <c r="N449" i="25"/>
  <c r="O449" i="25"/>
  <c r="K450" i="25"/>
  <c r="Q450" i="25" s="1"/>
  <c r="L450" i="25"/>
  <c r="M450" i="25"/>
  <c r="N450" i="25"/>
  <c r="O450" i="25"/>
  <c r="K451" i="25"/>
  <c r="Q451" i="25" s="1"/>
  <c r="L451" i="25"/>
  <c r="M451" i="25"/>
  <c r="N451" i="25"/>
  <c r="O451" i="25"/>
  <c r="K452" i="25"/>
  <c r="Q452" i="25" s="1"/>
  <c r="L452" i="25"/>
  <c r="M452" i="25"/>
  <c r="N452" i="25"/>
  <c r="O452" i="25"/>
  <c r="K453" i="25"/>
  <c r="Q453" i="25" s="1"/>
  <c r="L453" i="25"/>
  <c r="M453" i="25"/>
  <c r="N453" i="25"/>
  <c r="O453" i="25"/>
  <c r="K454" i="25"/>
  <c r="Q454" i="25" s="1"/>
  <c r="L454" i="25"/>
  <c r="M454" i="25"/>
  <c r="N454" i="25"/>
  <c r="O454" i="25"/>
  <c r="K455" i="25"/>
  <c r="Q455" i="25" s="1"/>
  <c r="L455" i="25"/>
  <c r="M455" i="25"/>
  <c r="N455" i="25"/>
  <c r="O455" i="25"/>
  <c r="K456" i="25"/>
  <c r="Q456" i="25" s="1"/>
  <c r="L456" i="25"/>
  <c r="M456" i="25"/>
  <c r="N456" i="25"/>
  <c r="O456" i="25"/>
  <c r="K457" i="25"/>
  <c r="Q457" i="25" s="1"/>
  <c r="L457" i="25"/>
  <c r="M457" i="25"/>
  <c r="N457" i="25"/>
  <c r="O457" i="25"/>
  <c r="K458" i="25"/>
  <c r="Q458" i="25" s="1"/>
  <c r="L458" i="25"/>
  <c r="M458" i="25"/>
  <c r="N458" i="25"/>
  <c r="O458" i="25"/>
  <c r="K459" i="25"/>
  <c r="Q459" i="25" s="1"/>
  <c r="L459" i="25"/>
  <c r="M459" i="25"/>
  <c r="N459" i="25"/>
  <c r="O459" i="25"/>
  <c r="K460" i="25"/>
  <c r="Q460" i="25" s="1"/>
  <c r="L460" i="25"/>
  <c r="M460" i="25"/>
  <c r="N460" i="25"/>
  <c r="O460" i="25"/>
  <c r="K461" i="25"/>
  <c r="Q461" i="25" s="1"/>
  <c r="L461" i="25"/>
  <c r="M461" i="25"/>
  <c r="N461" i="25"/>
  <c r="O461" i="25"/>
  <c r="K462" i="25"/>
  <c r="Q462" i="25" s="1"/>
  <c r="L462" i="25"/>
  <c r="M462" i="25"/>
  <c r="N462" i="25"/>
  <c r="O462" i="25"/>
  <c r="K463" i="25"/>
  <c r="Q463" i="25" s="1"/>
  <c r="L463" i="25"/>
  <c r="M463" i="25"/>
  <c r="N463" i="25"/>
  <c r="O463" i="25"/>
  <c r="K464" i="25"/>
  <c r="Q464" i="25" s="1"/>
  <c r="L464" i="25"/>
  <c r="M464" i="25"/>
  <c r="N464" i="25"/>
  <c r="O464" i="25"/>
  <c r="K465" i="25"/>
  <c r="Q465" i="25" s="1"/>
  <c r="L465" i="25"/>
  <c r="M465" i="25"/>
  <c r="N465" i="25"/>
  <c r="O465" i="25"/>
  <c r="K466" i="25"/>
  <c r="Q466" i="25" s="1"/>
  <c r="L466" i="25"/>
  <c r="M466" i="25"/>
  <c r="N466" i="25"/>
  <c r="O466" i="25"/>
  <c r="K467" i="25"/>
  <c r="Q467" i="25" s="1"/>
  <c r="L467" i="25"/>
  <c r="M467" i="25"/>
  <c r="N467" i="25"/>
  <c r="O467" i="25"/>
  <c r="K468" i="25"/>
  <c r="Q468" i="25" s="1"/>
  <c r="L468" i="25"/>
  <c r="M468" i="25"/>
  <c r="N468" i="25"/>
  <c r="O468" i="25"/>
  <c r="K469" i="25"/>
  <c r="Q469" i="25" s="1"/>
  <c r="L469" i="25"/>
  <c r="M469" i="25"/>
  <c r="N469" i="25"/>
  <c r="O469" i="25"/>
  <c r="K470" i="25"/>
  <c r="Q470" i="25" s="1"/>
  <c r="L470" i="25"/>
  <c r="M470" i="25"/>
  <c r="N470" i="25"/>
  <c r="O470" i="25"/>
  <c r="K471" i="25"/>
  <c r="Q471" i="25" s="1"/>
  <c r="L471" i="25"/>
  <c r="M471" i="25"/>
  <c r="N471" i="25"/>
  <c r="O471" i="25"/>
  <c r="K472" i="25"/>
  <c r="Q472" i="25" s="1"/>
  <c r="L472" i="25"/>
  <c r="M472" i="25"/>
  <c r="N472" i="25"/>
  <c r="O472" i="25"/>
  <c r="K473" i="25"/>
  <c r="Q473" i="25" s="1"/>
  <c r="L473" i="25"/>
  <c r="M473" i="25"/>
  <c r="N473" i="25"/>
  <c r="O473" i="25"/>
  <c r="K474" i="25"/>
  <c r="Q474" i="25" s="1"/>
  <c r="L474" i="25"/>
  <c r="M474" i="25"/>
  <c r="N474" i="25"/>
  <c r="O474" i="25"/>
  <c r="K475" i="25"/>
  <c r="L475" i="25"/>
  <c r="M475" i="25"/>
  <c r="N475" i="25"/>
  <c r="O475" i="25"/>
  <c r="K476" i="25"/>
  <c r="Q476" i="25" s="1"/>
  <c r="L476" i="25"/>
  <c r="M476" i="25"/>
  <c r="N476" i="25"/>
  <c r="O476" i="25"/>
  <c r="K477" i="25"/>
  <c r="Q477" i="25" s="1"/>
  <c r="L477" i="25"/>
  <c r="M477" i="25"/>
  <c r="N477" i="25"/>
  <c r="O477" i="25"/>
  <c r="K478" i="25"/>
  <c r="Q478" i="25" s="1"/>
  <c r="L478" i="25"/>
  <c r="M478" i="25"/>
  <c r="N478" i="25"/>
  <c r="O478" i="25"/>
  <c r="K479" i="25"/>
  <c r="Q479" i="25" s="1"/>
  <c r="L479" i="25"/>
  <c r="M479" i="25"/>
  <c r="N479" i="25"/>
  <c r="O479" i="25"/>
  <c r="K480" i="25"/>
  <c r="Q480" i="25" s="1"/>
  <c r="L480" i="25"/>
  <c r="M480" i="25"/>
  <c r="N480" i="25"/>
  <c r="O480" i="25"/>
  <c r="K481" i="25"/>
  <c r="Q481" i="25" s="1"/>
  <c r="L481" i="25"/>
  <c r="M481" i="25"/>
  <c r="N481" i="25"/>
  <c r="O481" i="25"/>
  <c r="K482" i="25"/>
  <c r="Q482" i="25" s="1"/>
  <c r="L482" i="25"/>
  <c r="M482" i="25"/>
  <c r="N482" i="25"/>
  <c r="O482" i="25"/>
  <c r="K483" i="25"/>
  <c r="Q483" i="25" s="1"/>
  <c r="L483" i="25"/>
  <c r="M483" i="25"/>
  <c r="N483" i="25"/>
  <c r="O483" i="25"/>
  <c r="K484" i="25"/>
  <c r="L484" i="25"/>
  <c r="M484" i="25"/>
  <c r="N484" i="25"/>
  <c r="O484" i="25"/>
  <c r="K485" i="25"/>
  <c r="Q485" i="25" s="1"/>
  <c r="L485" i="25"/>
  <c r="M485" i="25"/>
  <c r="N485" i="25"/>
  <c r="O485" i="25"/>
  <c r="K486" i="25"/>
  <c r="Q486" i="25" s="1"/>
  <c r="L486" i="25"/>
  <c r="M486" i="25"/>
  <c r="N486" i="25"/>
  <c r="O486" i="25"/>
  <c r="K487" i="25"/>
  <c r="Q487" i="25" s="1"/>
  <c r="L487" i="25"/>
  <c r="M487" i="25"/>
  <c r="N487" i="25"/>
  <c r="O487" i="25"/>
  <c r="K488" i="25"/>
  <c r="Q488" i="25" s="1"/>
  <c r="L488" i="25"/>
  <c r="M488" i="25"/>
  <c r="N488" i="25"/>
  <c r="O488" i="25"/>
  <c r="K489" i="25"/>
  <c r="Q489" i="25" s="1"/>
  <c r="L489" i="25"/>
  <c r="M489" i="25"/>
  <c r="N489" i="25"/>
  <c r="O489" i="25"/>
  <c r="K490" i="25"/>
  <c r="Q490" i="25" s="1"/>
  <c r="L490" i="25"/>
  <c r="M490" i="25"/>
  <c r="N490" i="25"/>
  <c r="O490" i="25"/>
  <c r="K491" i="25"/>
  <c r="Q491" i="25" s="1"/>
  <c r="L491" i="25"/>
  <c r="M491" i="25"/>
  <c r="N491" i="25"/>
  <c r="O491" i="25"/>
  <c r="K492" i="25"/>
  <c r="Q492" i="25" s="1"/>
  <c r="L492" i="25"/>
  <c r="M492" i="25"/>
  <c r="N492" i="25"/>
  <c r="O492" i="25"/>
  <c r="K493" i="25"/>
  <c r="Q493" i="25" s="1"/>
  <c r="L493" i="25"/>
  <c r="M493" i="25"/>
  <c r="N493" i="25"/>
  <c r="O493" i="25"/>
  <c r="K494" i="25"/>
  <c r="Q494" i="25" s="1"/>
  <c r="L494" i="25"/>
  <c r="M494" i="25"/>
  <c r="N494" i="25"/>
  <c r="O494" i="25"/>
  <c r="K495" i="25"/>
  <c r="Q495" i="25" s="1"/>
  <c r="L495" i="25"/>
  <c r="M495" i="25"/>
  <c r="N495" i="25"/>
  <c r="O495" i="25"/>
  <c r="K496" i="25"/>
  <c r="Q496" i="25" s="1"/>
  <c r="L496" i="25"/>
  <c r="M496" i="25"/>
  <c r="N496" i="25"/>
  <c r="O496" i="25"/>
  <c r="K497" i="25"/>
  <c r="Q497" i="25" s="1"/>
  <c r="L497" i="25"/>
  <c r="M497" i="25"/>
  <c r="N497" i="25"/>
  <c r="O497" i="25"/>
  <c r="K498" i="25"/>
  <c r="Q498" i="25" s="1"/>
  <c r="L498" i="25"/>
  <c r="M498" i="25"/>
  <c r="N498" i="25"/>
  <c r="O498" i="25"/>
  <c r="K499" i="25"/>
  <c r="Q499" i="25" s="1"/>
  <c r="L499" i="25"/>
  <c r="M499" i="25"/>
  <c r="N499" i="25"/>
  <c r="O499" i="25"/>
  <c r="K500" i="25"/>
  <c r="Q500" i="25" s="1"/>
  <c r="L500" i="25"/>
  <c r="M500" i="25"/>
  <c r="N500" i="25"/>
  <c r="O500" i="25"/>
  <c r="K501" i="25"/>
  <c r="Q501" i="25" s="1"/>
  <c r="L501" i="25"/>
  <c r="M501" i="25"/>
  <c r="N501" i="25"/>
  <c r="O501" i="25"/>
  <c r="K502" i="25"/>
  <c r="Q502" i="25" s="1"/>
  <c r="L502" i="25"/>
  <c r="M502" i="25"/>
  <c r="N502" i="25"/>
  <c r="O502" i="25"/>
  <c r="K503" i="25"/>
  <c r="Q503" i="25" s="1"/>
  <c r="L503" i="25"/>
  <c r="M503" i="25"/>
  <c r="N503" i="25"/>
  <c r="O503" i="25"/>
  <c r="K504" i="25"/>
  <c r="Q504" i="25" s="1"/>
  <c r="L504" i="25"/>
  <c r="M504" i="25"/>
  <c r="N504" i="25"/>
  <c r="O504" i="25"/>
  <c r="K505" i="25"/>
  <c r="Q505" i="25" s="1"/>
  <c r="L505" i="25"/>
  <c r="M505" i="25"/>
  <c r="N505" i="25"/>
  <c r="O505" i="25"/>
  <c r="K506" i="25"/>
  <c r="Q506" i="25" s="1"/>
  <c r="L506" i="25"/>
  <c r="M506" i="25"/>
  <c r="N506" i="25"/>
  <c r="O506" i="25"/>
  <c r="K507" i="25"/>
  <c r="Q507" i="25" s="1"/>
  <c r="L507" i="25"/>
  <c r="M507" i="25"/>
  <c r="N507" i="25"/>
  <c r="O507" i="25"/>
  <c r="K508" i="25"/>
  <c r="Q508" i="25" s="1"/>
  <c r="L508" i="25"/>
  <c r="M508" i="25"/>
  <c r="N508" i="25"/>
  <c r="O508" i="25"/>
  <c r="K509" i="25"/>
  <c r="Q509" i="25" s="1"/>
  <c r="L509" i="25"/>
  <c r="M509" i="25"/>
  <c r="N509" i="25"/>
  <c r="O509" i="25"/>
  <c r="K510" i="25"/>
  <c r="Q510" i="25" s="1"/>
  <c r="L510" i="25"/>
  <c r="M510" i="25"/>
  <c r="N510" i="25"/>
  <c r="O510" i="25"/>
  <c r="K511" i="25"/>
  <c r="Q511" i="25" s="1"/>
  <c r="L511" i="25"/>
  <c r="M511" i="25"/>
  <c r="N511" i="25"/>
  <c r="O511" i="25"/>
  <c r="K512" i="25"/>
  <c r="Q512" i="25" s="1"/>
  <c r="L512" i="25"/>
  <c r="M512" i="25"/>
  <c r="N512" i="25"/>
  <c r="O512" i="25"/>
  <c r="K513" i="25"/>
  <c r="Q513" i="25" s="1"/>
  <c r="L513" i="25"/>
  <c r="M513" i="25"/>
  <c r="N513" i="25"/>
  <c r="O513" i="25"/>
  <c r="K514" i="25"/>
  <c r="Q514" i="25" s="1"/>
  <c r="L514" i="25"/>
  <c r="M514" i="25"/>
  <c r="N514" i="25"/>
  <c r="O514" i="25"/>
  <c r="K515" i="25"/>
  <c r="Q515" i="25" s="1"/>
  <c r="L515" i="25"/>
  <c r="M515" i="25"/>
  <c r="N515" i="25"/>
  <c r="O515" i="25"/>
  <c r="K516" i="25"/>
  <c r="Q516" i="25" s="1"/>
  <c r="L516" i="25"/>
  <c r="M516" i="25"/>
  <c r="N516" i="25"/>
  <c r="O516" i="25"/>
  <c r="K517" i="25"/>
  <c r="Q517" i="25" s="1"/>
  <c r="L517" i="25"/>
  <c r="M517" i="25"/>
  <c r="N517" i="25"/>
  <c r="O517" i="25"/>
  <c r="K518" i="25"/>
  <c r="Q518" i="25" s="1"/>
  <c r="L518" i="25"/>
  <c r="M518" i="25"/>
  <c r="N518" i="25"/>
  <c r="O518" i="25"/>
  <c r="K519" i="25"/>
  <c r="Q519" i="25" s="1"/>
  <c r="L519" i="25"/>
  <c r="M519" i="25"/>
  <c r="N519" i="25"/>
  <c r="O519" i="25"/>
  <c r="K520" i="25"/>
  <c r="Q520" i="25" s="1"/>
  <c r="L520" i="25"/>
  <c r="M520" i="25"/>
  <c r="N520" i="25"/>
  <c r="O520" i="25"/>
  <c r="K521" i="25"/>
  <c r="Q521" i="25" s="1"/>
  <c r="L521" i="25"/>
  <c r="M521" i="25"/>
  <c r="N521" i="25"/>
  <c r="O521" i="25"/>
  <c r="K522" i="25"/>
  <c r="Q522" i="25" s="1"/>
  <c r="L522" i="25"/>
  <c r="M522" i="25"/>
  <c r="N522" i="25"/>
  <c r="O522" i="25"/>
  <c r="K523" i="25"/>
  <c r="Q523" i="25" s="1"/>
  <c r="L523" i="25"/>
  <c r="M523" i="25"/>
  <c r="N523" i="25"/>
  <c r="O523" i="25"/>
  <c r="K524" i="25"/>
  <c r="Q524" i="25" s="1"/>
  <c r="L524" i="25"/>
  <c r="M524" i="25"/>
  <c r="N524" i="25"/>
  <c r="O524" i="25"/>
  <c r="K525" i="25"/>
  <c r="Q525" i="25" s="1"/>
  <c r="L525" i="25"/>
  <c r="M525" i="25"/>
  <c r="N525" i="25"/>
  <c r="O525" i="25"/>
  <c r="K526" i="25"/>
  <c r="Q526" i="25" s="1"/>
  <c r="L526" i="25"/>
  <c r="M526" i="25"/>
  <c r="N526" i="25"/>
  <c r="O526" i="25"/>
  <c r="K527" i="25"/>
  <c r="Q527" i="25" s="1"/>
  <c r="L527" i="25"/>
  <c r="M527" i="25"/>
  <c r="N527" i="25"/>
  <c r="O527" i="25"/>
  <c r="K528" i="25"/>
  <c r="Q528" i="25" s="1"/>
  <c r="L528" i="25"/>
  <c r="M528" i="25"/>
  <c r="N528" i="25"/>
  <c r="O528" i="25"/>
  <c r="K529" i="25"/>
  <c r="Q529" i="25" s="1"/>
  <c r="L529" i="25"/>
  <c r="M529" i="25"/>
  <c r="N529" i="25"/>
  <c r="O529" i="25"/>
  <c r="K530" i="25"/>
  <c r="Q530" i="25" s="1"/>
  <c r="L530" i="25"/>
  <c r="M530" i="25"/>
  <c r="N530" i="25"/>
  <c r="O530" i="25"/>
  <c r="K531" i="25"/>
  <c r="L531" i="25"/>
  <c r="M531" i="25"/>
  <c r="N531" i="25"/>
  <c r="O531" i="25"/>
  <c r="K532" i="25"/>
  <c r="Q532" i="25" s="1"/>
  <c r="L532" i="25"/>
  <c r="M532" i="25"/>
  <c r="N532" i="25"/>
  <c r="O532" i="25"/>
  <c r="K533" i="25"/>
  <c r="Q533" i="25" s="1"/>
  <c r="L533" i="25"/>
  <c r="M533" i="25"/>
  <c r="N533" i="25"/>
  <c r="O533" i="25"/>
  <c r="K534" i="25"/>
  <c r="Q534" i="25" s="1"/>
  <c r="L534" i="25"/>
  <c r="M534" i="25"/>
  <c r="N534" i="25"/>
  <c r="O534" i="25"/>
  <c r="K535" i="25"/>
  <c r="Q535" i="25" s="1"/>
  <c r="L535" i="25"/>
  <c r="M535" i="25"/>
  <c r="N535" i="25"/>
  <c r="O535" i="25"/>
  <c r="K536" i="25"/>
  <c r="Q536" i="25" s="1"/>
  <c r="L536" i="25"/>
  <c r="M536" i="25"/>
  <c r="N536" i="25"/>
  <c r="O536" i="25"/>
  <c r="K537" i="25"/>
  <c r="Q537" i="25" s="1"/>
  <c r="L537" i="25"/>
  <c r="M537" i="25"/>
  <c r="N537" i="25"/>
  <c r="O537" i="25"/>
  <c r="K538" i="25"/>
  <c r="L538" i="25"/>
  <c r="M538" i="25"/>
  <c r="N538" i="25"/>
  <c r="O538" i="25"/>
  <c r="K539" i="25"/>
  <c r="Q539" i="25" s="1"/>
  <c r="L539" i="25"/>
  <c r="M539" i="25"/>
  <c r="N539" i="25"/>
  <c r="O539" i="25"/>
  <c r="K540" i="25"/>
  <c r="Q540" i="25" s="1"/>
  <c r="L540" i="25"/>
  <c r="M540" i="25"/>
  <c r="N540" i="25"/>
  <c r="O540" i="25"/>
  <c r="K541" i="25"/>
  <c r="Q541" i="25" s="1"/>
  <c r="L541" i="25"/>
  <c r="M541" i="25"/>
  <c r="N541" i="25"/>
  <c r="O541" i="25"/>
  <c r="K542" i="25"/>
  <c r="Q542" i="25" s="1"/>
  <c r="L542" i="25"/>
  <c r="M542" i="25"/>
  <c r="N542" i="25"/>
  <c r="O542" i="25"/>
  <c r="K543" i="25"/>
  <c r="Q543" i="25" s="1"/>
  <c r="L543" i="25"/>
  <c r="M543" i="25"/>
  <c r="N543" i="25"/>
  <c r="O543" i="25"/>
  <c r="K544" i="25"/>
  <c r="Q544" i="25" s="1"/>
  <c r="L544" i="25"/>
  <c r="M544" i="25"/>
  <c r="N544" i="25"/>
  <c r="O544" i="25"/>
  <c r="K545" i="25"/>
  <c r="Q545" i="25" s="1"/>
  <c r="L545" i="25"/>
  <c r="M545" i="25"/>
  <c r="N545" i="25"/>
  <c r="O545" i="25"/>
  <c r="K546" i="25"/>
  <c r="Q546" i="25" s="1"/>
  <c r="L546" i="25"/>
  <c r="M546" i="25"/>
  <c r="N546" i="25"/>
  <c r="O546" i="25"/>
  <c r="K547" i="25"/>
  <c r="Q547" i="25" s="1"/>
  <c r="L547" i="25"/>
  <c r="M547" i="25"/>
  <c r="N547" i="25"/>
  <c r="O547" i="25"/>
  <c r="K548" i="25"/>
  <c r="Q548" i="25" s="1"/>
  <c r="L548" i="25"/>
  <c r="M548" i="25"/>
  <c r="N548" i="25"/>
  <c r="O548" i="25"/>
  <c r="K549" i="25"/>
  <c r="Q549" i="25" s="1"/>
  <c r="L549" i="25"/>
  <c r="M549" i="25"/>
  <c r="N549" i="25"/>
  <c r="O549" i="25"/>
  <c r="K550" i="25"/>
  <c r="Q550" i="25" s="1"/>
  <c r="L550" i="25"/>
  <c r="M550" i="25"/>
  <c r="N550" i="25"/>
  <c r="O550" i="25"/>
  <c r="K551" i="25"/>
  <c r="Q551" i="25" s="1"/>
  <c r="L551" i="25"/>
  <c r="M551" i="25"/>
  <c r="N551" i="25"/>
  <c r="O551" i="25"/>
  <c r="K552" i="25"/>
  <c r="Q552" i="25" s="1"/>
  <c r="L552" i="25"/>
  <c r="M552" i="25"/>
  <c r="N552" i="25"/>
  <c r="O552" i="25"/>
  <c r="K553" i="25"/>
  <c r="Q553" i="25" s="1"/>
  <c r="L553" i="25"/>
  <c r="M553" i="25"/>
  <c r="N553" i="25"/>
  <c r="O553" i="25"/>
  <c r="K554" i="25"/>
  <c r="Q554" i="25" s="1"/>
  <c r="L554" i="25"/>
  <c r="M554" i="25"/>
  <c r="N554" i="25"/>
  <c r="O554" i="25"/>
  <c r="K555" i="25"/>
  <c r="Q555" i="25" s="1"/>
  <c r="L555" i="25"/>
  <c r="M555" i="25"/>
  <c r="N555" i="25"/>
  <c r="O555" i="25"/>
  <c r="K556" i="25"/>
  <c r="L556" i="25"/>
  <c r="M556" i="25"/>
  <c r="N556" i="25"/>
  <c r="O556" i="25"/>
  <c r="K557" i="25"/>
  <c r="Q557" i="25" s="1"/>
  <c r="L557" i="25"/>
  <c r="M557" i="25"/>
  <c r="N557" i="25"/>
  <c r="O557" i="25"/>
  <c r="K558" i="25"/>
  <c r="Q558" i="25" s="1"/>
  <c r="L558" i="25"/>
  <c r="M558" i="25"/>
  <c r="N558" i="25"/>
  <c r="O558" i="25"/>
  <c r="K559" i="25"/>
  <c r="Q559" i="25" s="1"/>
  <c r="L559" i="25"/>
  <c r="M559" i="25"/>
  <c r="N559" i="25"/>
  <c r="O559" i="25"/>
  <c r="K560" i="25"/>
  <c r="Q560" i="25" s="1"/>
  <c r="L560" i="25"/>
  <c r="M560" i="25"/>
  <c r="N560" i="25"/>
  <c r="O560" i="25"/>
  <c r="K561" i="25"/>
  <c r="Q561" i="25" s="1"/>
  <c r="L561" i="25"/>
  <c r="M561" i="25"/>
  <c r="N561" i="25"/>
  <c r="O561" i="25"/>
  <c r="K562" i="25"/>
  <c r="Q562" i="25" s="1"/>
  <c r="L562" i="25"/>
  <c r="M562" i="25"/>
  <c r="N562" i="25"/>
  <c r="O562" i="25"/>
  <c r="K563" i="25"/>
  <c r="Q563" i="25" s="1"/>
  <c r="L563" i="25"/>
  <c r="M563" i="25"/>
  <c r="N563" i="25"/>
  <c r="O563" i="25"/>
  <c r="K564" i="25"/>
  <c r="Q564" i="25" s="1"/>
  <c r="L564" i="25"/>
  <c r="M564" i="25"/>
  <c r="N564" i="25"/>
  <c r="O564" i="25"/>
  <c r="K565" i="25"/>
  <c r="Q565" i="25" s="1"/>
  <c r="L565" i="25"/>
  <c r="M565" i="25"/>
  <c r="N565" i="25"/>
  <c r="O565" i="25"/>
  <c r="K566" i="25"/>
  <c r="Q566" i="25" s="1"/>
  <c r="L566" i="25"/>
  <c r="M566" i="25"/>
  <c r="N566" i="25"/>
  <c r="O566" i="25"/>
  <c r="K567" i="25"/>
  <c r="Q567" i="25" s="1"/>
  <c r="L567" i="25"/>
  <c r="M567" i="25"/>
  <c r="N567" i="25"/>
  <c r="O567" i="25"/>
  <c r="K568" i="25"/>
  <c r="Q568" i="25" s="1"/>
  <c r="L568" i="25"/>
  <c r="M568" i="25"/>
  <c r="N568" i="25"/>
  <c r="O568" i="25"/>
  <c r="K569" i="25"/>
  <c r="Q569" i="25" s="1"/>
  <c r="L569" i="25"/>
  <c r="M569" i="25"/>
  <c r="N569" i="25"/>
  <c r="O569" i="25"/>
  <c r="K570" i="25"/>
  <c r="Q570" i="25" s="1"/>
  <c r="L570" i="25"/>
  <c r="M570" i="25"/>
  <c r="N570" i="25"/>
  <c r="O570" i="25"/>
  <c r="K571" i="25"/>
  <c r="Q571" i="25" s="1"/>
  <c r="L571" i="25"/>
  <c r="M571" i="25"/>
  <c r="N571" i="25"/>
  <c r="O571" i="25"/>
  <c r="K572" i="25"/>
  <c r="Q572" i="25" s="1"/>
  <c r="L572" i="25"/>
  <c r="M572" i="25"/>
  <c r="N572" i="25"/>
  <c r="O572" i="25"/>
  <c r="K573" i="25"/>
  <c r="Q573" i="25" s="1"/>
  <c r="L573" i="25"/>
  <c r="M573" i="25"/>
  <c r="N573" i="25"/>
  <c r="O573" i="25"/>
  <c r="K574" i="25"/>
  <c r="L574" i="25"/>
  <c r="M574" i="25"/>
  <c r="N574" i="25"/>
  <c r="O574" i="25"/>
  <c r="K575" i="25"/>
  <c r="Q575" i="25" s="1"/>
  <c r="L575" i="25"/>
  <c r="M575" i="25"/>
  <c r="N575" i="25"/>
  <c r="O575" i="25"/>
  <c r="K576" i="25"/>
  <c r="Q576" i="25" s="1"/>
  <c r="L576" i="25"/>
  <c r="M576" i="25"/>
  <c r="N576" i="25"/>
  <c r="O576" i="25"/>
  <c r="K577" i="25"/>
  <c r="Q577" i="25" s="1"/>
  <c r="L577" i="25"/>
  <c r="M577" i="25"/>
  <c r="N577" i="25"/>
  <c r="O577" i="25"/>
  <c r="K578" i="25"/>
  <c r="Q578" i="25" s="1"/>
  <c r="L578" i="25"/>
  <c r="M578" i="25"/>
  <c r="N578" i="25"/>
  <c r="O578" i="25"/>
  <c r="K579" i="25"/>
  <c r="Q579" i="25" s="1"/>
  <c r="L579" i="25"/>
  <c r="M579" i="25"/>
  <c r="N579" i="25"/>
  <c r="O579" i="25"/>
  <c r="K580" i="25"/>
  <c r="Q580" i="25" s="1"/>
  <c r="L580" i="25"/>
  <c r="M580" i="25"/>
  <c r="N580" i="25"/>
  <c r="O580" i="25"/>
  <c r="K581" i="25"/>
  <c r="Q581" i="25" s="1"/>
  <c r="L581" i="25"/>
  <c r="M581" i="25"/>
  <c r="N581" i="25"/>
  <c r="O581" i="25"/>
  <c r="K582" i="25"/>
  <c r="Q582" i="25" s="1"/>
  <c r="L582" i="25"/>
  <c r="M582" i="25"/>
  <c r="N582" i="25"/>
  <c r="O582" i="25"/>
  <c r="K583" i="25"/>
  <c r="Q583" i="25" s="1"/>
  <c r="L583" i="25"/>
  <c r="M583" i="25"/>
  <c r="N583" i="25"/>
  <c r="O583" i="25"/>
  <c r="K584" i="25"/>
  <c r="Q584" i="25" s="1"/>
  <c r="L584" i="25"/>
  <c r="M584" i="25"/>
  <c r="N584" i="25"/>
  <c r="O584" i="25"/>
  <c r="K585" i="25"/>
  <c r="Q585" i="25" s="1"/>
  <c r="L585" i="25"/>
  <c r="M585" i="25"/>
  <c r="N585" i="25"/>
  <c r="O585" i="25"/>
  <c r="K586" i="25"/>
  <c r="Q586" i="25" s="1"/>
  <c r="L586" i="25"/>
  <c r="M586" i="25"/>
  <c r="N586" i="25"/>
  <c r="O586" i="25"/>
  <c r="K587" i="25"/>
  <c r="Q587" i="25" s="1"/>
  <c r="L587" i="25"/>
  <c r="M587" i="25"/>
  <c r="N587" i="25"/>
  <c r="O587" i="25"/>
  <c r="K588" i="25"/>
  <c r="Q588" i="25" s="1"/>
  <c r="L588" i="25"/>
  <c r="M588" i="25"/>
  <c r="N588" i="25"/>
  <c r="O588" i="25"/>
  <c r="K589" i="25"/>
  <c r="Q589" i="25" s="1"/>
  <c r="L589" i="25"/>
  <c r="M589" i="25"/>
  <c r="N589" i="25"/>
  <c r="O589" i="25"/>
  <c r="K590" i="25"/>
  <c r="Q590" i="25" s="1"/>
  <c r="L590" i="25"/>
  <c r="M590" i="25"/>
  <c r="N590" i="25"/>
  <c r="O590" i="25"/>
  <c r="K591" i="25"/>
  <c r="Q591" i="25" s="1"/>
  <c r="L591" i="25"/>
  <c r="M591" i="25"/>
  <c r="N591" i="25"/>
  <c r="O591" i="25"/>
  <c r="K592" i="25"/>
  <c r="Q592" i="25" s="1"/>
  <c r="L592" i="25"/>
  <c r="M592" i="25"/>
  <c r="N592" i="25"/>
  <c r="O592" i="25"/>
  <c r="K593" i="25"/>
  <c r="Q593" i="25" s="1"/>
  <c r="L593" i="25"/>
  <c r="M593" i="25"/>
  <c r="N593" i="25"/>
  <c r="O593" i="25"/>
  <c r="K594" i="25"/>
  <c r="Q594" i="25" s="1"/>
  <c r="L594" i="25"/>
  <c r="M594" i="25"/>
  <c r="N594" i="25"/>
  <c r="O594" i="25"/>
  <c r="K595" i="25"/>
  <c r="L595" i="25"/>
  <c r="M595" i="25"/>
  <c r="N595" i="25"/>
  <c r="O595" i="25"/>
  <c r="K596" i="25"/>
  <c r="Q596" i="25" s="1"/>
  <c r="L596" i="25"/>
  <c r="M596" i="25"/>
  <c r="N596" i="25"/>
  <c r="O596" i="25"/>
  <c r="K597" i="25"/>
  <c r="Q597" i="25" s="1"/>
  <c r="L597" i="25"/>
  <c r="M597" i="25"/>
  <c r="N597" i="25"/>
  <c r="O597" i="25"/>
  <c r="K598" i="25"/>
  <c r="Q598" i="25" s="1"/>
  <c r="L598" i="25"/>
  <c r="M598" i="25"/>
  <c r="N598" i="25"/>
  <c r="O598" i="25"/>
  <c r="K599" i="25"/>
  <c r="Q599" i="25" s="1"/>
  <c r="L599" i="25"/>
  <c r="M599" i="25"/>
  <c r="N599" i="25"/>
  <c r="O599" i="25"/>
  <c r="K600" i="25"/>
  <c r="Q600" i="25" s="1"/>
  <c r="L600" i="25"/>
  <c r="M600" i="25"/>
  <c r="N600" i="25"/>
  <c r="O600" i="25"/>
  <c r="K601" i="25"/>
  <c r="Q601" i="25" s="1"/>
  <c r="L601" i="25"/>
  <c r="M601" i="25"/>
  <c r="N601" i="25"/>
  <c r="O601" i="25"/>
  <c r="K602" i="25"/>
  <c r="L602" i="25"/>
  <c r="M602" i="25"/>
  <c r="N602" i="25"/>
  <c r="O602" i="25"/>
  <c r="K603" i="25"/>
  <c r="Q603" i="25" s="1"/>
  <c r="L603" i="25"/>
  <c r="M603" i="25"/>
  <c r="N603" i="25"/>
  <c r="O603" i="25"/>
  <c r="K604" i="25"/>
  <c r="Q604" i="25" s="1"/>
  <c r="L604" i="25"/>
  <c r="M604" i="25"/>
  <c r="N604" i="25"/>
  <c r="O604" i="25"/>
  <c r="K605" i="25"/>
  <c r="Q605" i="25" s="1"/>
  <c r="L605" i="25"/>
  <c r="M605" i="25"/>
  <c r="N605" i="25"/>
  <c r="O605" i="25"/>
  <c r="K606" i="25"/>
  <c r="Q606" i="25" s="1"/>
  <c r="L606" i="25"/>
  <c r="M606" i="25"/>
  <c r="N606" i="25"/>
  <c r="O606" i="25"/>
  <c r="K607" i="25"/>
  <c r="Q607" i="25" s="1"/>
  <c r="L607" i="25"/>
  <c r="M607" i="25"/>
  <c r="N607" i="25"/>
  <c r="O607" i="25"/>
  <c r="K608" i="25"/>
  <c r="Q608" i="25" s="1"/>
  <c r="L608" i="25"/>
  <c r="M608" i="25"/>
  <c r="N608" i="25"/>
  <c r="O608" i="25"/>
  <c r="K609" i="25"/>
  <c r="Q609" i="25" s="1"/>
  <c r="L609" i="25"/>
  <c r="M609" i="25"/>
  <c r="N609" i="25"/>
  <c r="O609" i="25"/>
  <c r="K610" i="25"/>
  <c r="Q610" i="25" s="1"/>
  <c r="L610" i="25"/>
  <c r="M610" i="25"/>
  <c r="N610" i="25"/>
  <c r="O610" i="25"/>
  <c r="K611" i="25"/>
  <c r="Q611" i="25" s="1"/>
  <c r="L611" i="25"/>
  <c r="M611" i="25"/>
  <c r="N611" i="25"/>
  <c r="O611" i="25"/>
  <c r="K612" i="25"/>
  <c r="Q612" i="25" s="1"/>
  <c r="L612" i="25"/>
  <c r="M612" i="25"/>
  <c r="N612" i="25"/>
  <c r="O612" i="25"/>
  <c r="K613" i="25"/>
  <c r="Q613" i="25" s="1"/>
  <c r="L613" i="25"/>
  <c r="M613" i="25"/>
  <c r="N613" i="25"/>
  <c r="O613" i="25"/>
  <c r="K614" i="25"/>
  <c r="Q614" i="25" s="1"/>
  <c r="L614" i="25"/>
  <c r="M614" i="25"/>
  <c r="N614" i="25"/>
  <c r="O614" i="25"/>
  <c r="K615" i="25"/>
  <c r="Q615" i="25" s="1"/>
  <c r="L615" i="25"/>
  <c r="M615" i="25"/>
  <c r="N615" i="25"/>
  <c r="O615" i="25"/>
  <c r="K616" i="25"/>
  <c r="L616" i="25"/>
  <c r="M616" i="25"/>
  <c r="N616" i="25"/>
  <c r="O616" i="25"/>
  <c r="K617" i="25"/>
  <c r="Q617" i="25" s="1"/>
  <c r="L617" i="25"/>
  <c r="M617" i="25"/>
  <c r="N617" i="25"/>
  <c r="O617" i="25"/>
  <c r="K618" i="25"/>
  <c r="Q618" i="25" s="1"/>
  <c r="L618" i="25"/>
  <c r="M618" i="25"/>
  <c r="N618" i="25"/>
  <c r="O618" i="25"/>
  <c r="K619" i="25"/>
  <c r="Q619" i="25" s="1"/>
  <c r="L619" i="25"/>
  <c r="M619" i="25"/>
  <c r="N619" i="25"/>
  <c r="O619" i="25"/>
  <c r="K620" i="25"/>
  <c r="Q620" i="25" s="1"/>
  <c r="L620" i="25"/>
  <c r="M620" i="25"/>
  <c r="N620" i="25"/>
  <c r="O620" i="25"/>
  <c r="K621" i="25"/>
  <c r="Q621" i="25" s="1"/>
  <c r="L621" i="25"/>
  <c r="M621" i="25"/>
  <c r="N621" i="25"/>
  <c r="O621" i="25"/>
  <c r="K622" i="25"/>
  <c r="Q622" i="25" s="1"/>
  <c r="L622" i="25"/>
  <c r="M622" i="25"/>
  <c r="N622" i="25"/>
  <c r="O622" i="25"/>
  <c r="K623" i="25"/>
  <c r="Q623" i="25" s="1"/>
  <c r="L623" i="25"/>
  <c r="M623" i="25"/>
  <c r="N623" i="25"/>
  <c r="O623" i="25"/>
  <c r="K624" i="25"/>
  <c r="Q624" i="25" s="1"/>
  <c r="L624" i="25"/>
  <c r="M624" i="25"/>
  <c r="N624" i="25"/>
  <c r="O624" i="25"/>
  <c r="K625" i="25"/>
  <c r="Q625" i="25" s="1"/>
  <c r="L625" i="25"/>
  <c r="M625" i="25"/>
  <c r="N625" i="25"/>
  <c r="O625" i="25"/>
  <c r="K626" i="25"/>
  <c r="Q626" i="25" s="1"/>
  <c r="L626" i="25"/>
  <c r="M626" i="25"/>
  <c r="N626" i="25"/>
  <c r="O626" i="25"/>
  <c r="K627" i="25"/>
  <c r="Q627" i="25" s="1"/>
  <c r="L627" i="25"/>
  <c r="M627" i="25"/>
  <c r="N627" i="25"/>
  <c r="O627" i="25"/>
  <c r="K628" i="25"/>
  <c r="Q628" i="25" s="1"/>
  <c r="L628" i="25"/>
  <c r="M628" i="25"/>
  <c r="N628" i="25"/>
  <c r="O628" i="25"/>
  <c r="K629" i="25"/>
  <c r="Q629" i="25" s="1"/>
  <c r="L629" i="25"/>
  <c r="M629" i="25"/>
  <c r="N629" i="25"/>
  <c r="O629" i="25"/>
  <c r="K630" i="25"/>
  <c r="Q630" i="25" s="1"/>
  <c r="L630" i="25"/>
  <c r="M630" i="25"/>
  <c r="N630" i="25"/>
  <c r="O630" i="25"/>
  <c r="K631" i="25"/>
  <c r="Q631" i="25" s="1"/>
  <c r="L631" i="25"/>
  <c r="M631" i="25"/>
  <c r="N631" i="25"/>
  <c r="O631" i="25"/>
  <c r="K632" i="25"/>
  <c r="Q632" i="25" s="1"/>
  <c r="L632" i="25"/>
  <c r="M632" i="25"/>
  <c r="N632" i="25"/>
  <c r="O632" i="25"/>
  <c r="K633" i="25"/>
  <c r="Q633" i="25" s="1"/>
  <c r="L633" i="25"/>
  <c r="M633" i="25"/>
  <c r="N633" i="25"/>
  <c r="O633" i="25"/>
  <c r="K634" i="25"/>
  <c r="Q634" i="25" s="1"/>
  <c r="L634" i="25"/>
  <c r="M634" i="25"/>
  <c r="N634" i="25"/>
  <c r="O634" i="25"/>
  <c r="K635" i="25"/>
  <c r="Q635" i="25" s="1"/>
  <c r="L635" i="25"/>
  <c r="M635" i="25"/>
  <c r="N635" i="25"/>
  <c r="O635" i="25"/>
  <c r="K636" i="25"/>
  <c r="Q636" i="25" s="1"/>
  <c r="L636" i="25"/>
  <c r="M636" i="25"/>
  <c r="N636" i="25"/>
  <c r="O636" i="25"/>
  <c r="K637" i="25"/>
  <c r="Q637" i="25" s="1"/>
  <c r="L637" i="25"/>
  <c r="M637" i="25"/>
  <c r="N637" i="25"/>
  <c r="O637" i="25"/>
  <c r="K638" i="25"/>
  <c r="Q638" i="25" s="1"/>
  <c r="L638" i="25"/>
  <c r="M638" i="25"/>
  <c r="N638" i="25"/>
  <c r="O638" i="25"/>
  <c r="K639" i="25"/>
  <c r="Q639" i="25" s="1"/>
  <c r="L639" i="25"/>
  <c r="M639" i="25"/>
  <c r="N639" i="25"/>
  <c r="O639" i="25"/>
  <c r="K640" i="25"/>
  <c r="Q640" i="25" s="1"/>
  <c r="L640" i="25"/>
  <c r="M640" i="25"/>
  <c r="N640" i="25"/>
  <c r="O640" i="25"/>
  <c r="K641" i="25"/>
  <c r="Q641" i="25" s="1"/>
  <c r="L641" i="25"/>
  <c r="M641" i="25"/>
  <c r="N641" i="25"/>
  <c r="O641" i="25"/>
  <c r="K642" i="25"/>
  <c r="Q642" i="25" s="1"/>
  <c r="L642" i="25"/>
  <c r="M642" i="25"/>
  <c r="N642" i="25"/>
  <c r="O642" i="25"/>
  <c r="K643" i="25"/>
  <c r="Q643" i="25" s="1"/>
  <c r="L643" i="25"/>
  <c r="M643" i="25"/>
  <c r="N643" i="25"/>
  <c r="O643" i="25"/>
  <c r="K644" i="25"/>
  <c r="Q644" i="25" s="1"/>
  <c r="L644" i="25"/>
  <c r="M644" i="25"/>
  <c r="N644" i="25"/>
  <c r="O644" i="25"/>
  <c r="K645" i="25"/>
  <c r="Q645" i="25" s="1"/>
  <c r="L645" i="25"/>
  <c r="M645" i="25"/>
  <c r="N645" i="25"/>
  <c r="O645" i="25"/>
  <c r="K646" i="25"/>
  <c r="Q646" i="25" s="1"/>
  <c r="L646" i="25"/>
  <c r="M646" i="25"/>
  <c r="N646" i="25"/>
  <c r="O646" i="25"/>
  <c r="K647" i="25"/>
  <c r="Q647" i="25" s="1"/>
  <c r="L647" i="25"/>
  <c r="M647" i="25"/>
  <c r="N647" i="25"/>
  <c r="O647" i="25"/>
  <c r="K648" i="25"/>
  <c r="Q648" i="25" s="1"/>
  <c r="L648" i="25"/>
  <c r="M648" i="25"/>
  <c r="N648" i="25"/>
  <c r="O648" i="25"/>
  <c r="K649" i="25"/>
  <c r="Q649" i="25" s="1"/>
  <c r="L649" i="25"/>
  <c r="M649" i="25"/>
  <c r="N649" i="25"/>
  <c r="O649" i="25"/>
  <c r="K650" i="25"/>
  <c r="Q650" i="25" s="1"/>
  <c r="L650" i="25"/>
  <c r="M650" i="25"/>
  <c r="N650" i="25"/>
  <c r="O650" i="25"/>
  <c r="K651" i="25"/>
  <c r="Q651" i="25" s="1"/>
  <c r="L651" i="25"/>
  <c r="M651" i="25"/>
  <c r="N651" i="25"/>
  <c r="O651" i="25"/>
  <c r="K652" i="25"/>
  <c r="Q652" i="25" s="1"/>
  <c r="L652" i="25"/>
  <c r="M652" i="25"/>
  <c r="N652" i="25"/>
  <c r="O652" i="25"/>
  <c r="K653" i="25"/>
  <c r="Q653" i="25" s="1"/>
  <c r="L653" i="25"/>
  <c r="M653" i="25"/>
  <c r="N653" i="25"/>
  <c r="O653" i="25"/>
  <c r="K654" i="25"/>
  <c r="Q654" i="25" s="1"/>
  <c r="L654" i="25"/>
  <c r="M654" i="25"/>
  <c r="N654" i="25"/>
  <c r="O654" i="25"/>
  <c r="K655" i="25"/>
  <c r="Q655" i="25" s="1"/>
  <c r="L655" i="25"/>
  <c r="M655" i="25"/>
  <c r="N655" i="25"/>
  <c r="O655" i="25"/>
  <c r="K656" i="25"/>
  <c r="Q656" i="25" s="1"/>
  <c r="L656" i="25"/>
  <c r="M656" i="25"/>
  <c r="N656" i="25"/>
  <c r="O656" i="25"/>
  <c r="K657" i="25"/>
  <c r="Q657" i="25" s="1"/>
  <c r="L657" i="25"/>
  <c r="M657" i="25"/>
  <c r="N657" i="25"/>
  <c r="O657" i="25"/>
  <c r="K658" i="25"/>
  <c r="Q658" i="25" s="1"/>
  <c r="L658" i="25"/>
  <c r="M658" i="25"/>
  <c r="N658" i="25"/>
  <c r="O658" i="25"/>
  <c r="K659" i="25"/>
  <c r="Q659" i="25" s="1"/>
  <c r="L659" i="25"/>
  <c r="M659" i="25"/>
  <c r="N659" i="25"/>
  <c r="O659" i="25"/>
  <c r="K660" i="25"/>
  <c r="Q660" i="25" s="1"/>
  <c r="L660" i="25"/>
  <c r="M660" i="25"/>
  <c r="N660" i="25"/>
  <c r="O660" i="25"/>
  <c r="K661" i="25"/>
  <c r="Q661" i="25" s="1"/>
  <c r="L661" i="25"/>
  <c r="M661" i="25"/>
  <c r="N661" i="25"/>
  <c r="O661" i="25"/>
  <c r="K662" i="25"/>
  <c r="Q662" i="25" s="1"/>
  <c r="L662" i="25"/>
  <c r="M662" i="25"/>
  <c r="N662" i="25"/>
  <c r="O662" i="25"/>
  <c r="K663" i="25"/>
  <c r="Q663" i="25" s="1"/>
  <c r="L663" i="25"/>
  <c r="M663" i="25"/>
  <c r="N663" i="25"/>
  <c r="O663" i="25"/>
  <c r="K664" i="25"/>
  <c r="Q664" i="25" s="1"/>
  <c r="L664" i="25"/>
  <c r="M664" i="25"/>
  <c r="N664" i="25"/>
  <c r="O664" i="25"/>
  <c r="K665" i="25"/>
  <c r="Q665" i="25" s="1"/>
  <c r="L665" i="25"/>
  <c r="M665" i="25"/>
  <c r="N665" i="25"/>
  <c r="O665" i="25"/>
  <c r="K666" i="25"/>
  <c r="Q666" i="25" s="1"/>
  <c r="L666" i="25"/>
  <c r="M666" i="25"/>
  <c r="N666" i="25"/>
  <c r="O666" i="25"/>
  <c r="K667" i="25"/>
  <c r="Q667" i="25" s="1"/>
  <c r="L667" i="25"/>
  <c r="M667" i="25"/>
  <c r="N667" i="25"/>
  <c r="O667" i="25"/>
  <c r="K668" i="25"/>
  <c r="Q668" i="25" s="1"/>
  <c r="L668" i="25"/>
  <c r="M668" i="25"/>
  <c r="N668" i="25"/>
  <c r="O668" i="25"/>
  <c r="K669" i="25"/>
  <c r="Q669" i="25" s="1"/>
  <c r="L669" i="25"/>
  <c r="M669" i="25"/>
  <c r="N669" i="25"/>
  <c r="O669" i="25"/>
  <c r="K670" i="25"/>
  <c r="Q670" i="25" s="1"/>
  <c r="L670" i="25"/>
  <c r="M670" i="25"/>
  <c r="N670" i="25"/>
  <c r="O670" i="25"/>
  <c r="K671" i="25"/>
  <c r="Q671" i="25" s="1"/>
  <c r="L671" i="25"/>
  <c r="M671" i="25"/>
  <c r="N671" i="25"/>
  <c r="O671" i="25"/>
  <c r="K672" i="25"/>
  <c r="Q672" i="25" s="1"/>
  <c r="L672" i="25"/>
  <c r="M672" i="25"/>
  <c r="N672" i="25"/>
  <c r="O672" i="25"/>
  <c r="K673" i="25"/>
  <c r="Q673" i="25" s="1"/>
  <c r="L673" i="25"/>
  <c r="M673" i="25"/>
  <c r="N673" i="25"/>
  <c r="O673" i="25"/>
  <c r="K674" i="25"/>
  <c r="Q674" i="25" s="1"/>
  <c r="L674" i="25"/>
  <c r="M674" i="25"/>
  <c r="N674" i="25"/>
  <c r="O674" i="25"/>
  <c r="K675" i="25"/>
  <c r="Q675" i="25" s="1"/>
  <c r="L675" i="25"/>
  <c r="M675" i="25"/>
  <c r="N675" i="25"/>
  <c r="O675" i="25"/>
  <c r="K676" i="25"/>
  <c r="L676" i="25"/>
  <c r="M676" i="25"/>
  <c r="N676" i="25"/>
  <c r="O676" i="25"/>
  <c r="K677" i="25"/>
  <c r="Q677" i="25" s="1"/>
  <c r="L677" i="25"/>
  <c r="M677" i="25"/>
  <c r="N677" i="25"/>
  <c r="O677" i="25"/>
  <c r="K678" i="25"/>
  <c r="Q678" i="25" s="1"/>
  <c r="L678" i="25"/>
  <c r="M678" i="25"/>
  <c r="N678" i="25"/>
  <c r="O678" i="25"/>
  <c r="K679" i="25"/>
  <c r="Q679" i="25" s="1"/>
  <c r="L679" i="25"/>
  <c r="M679" i="25"/>
  <c r="N679" i="25"/>
  <c r="O679" i="25"/>
  <c r="K680" i="25"/>
  <c r="Q680" i="25" s="1"/>
  <c r="L680" i="25"/>
  <c r="M680" i="25"/>
  <c r="N680" i="25"/>
  <c r="O680" i="25"/>
  <c r="K681" i="25"/>
  <c r="Q681" i="25" s="1"/>
  <c r="L681" i="25"/>
  <c r="M681" i="25"/>
  <c r="N681" i="25"/>
  <c r="O681" i="25"/>
  <c r="K682" i="25"/>
  <c r="Q682" i="25" s="1"/>
  <c r="L682" i="25"/>
  <c r="M682" i="25"/>
  <c r="N682" i="25"/>
  <c r="O682" i="25"/>
  <c r="K683" i="25"/>
  <c r="Q683" i="25" s="1"/>
  <c r="L683" i="25"/>
  <c r="M683" i="25"/>
  <c r="N683" i="25"/>
  <c r="O683" i="25"/>
  <c r="K684" i="25"/>
  <c r="Q684" i="25" s="1"/>
  <c r="L684" i="25"/>
  <c r="M684" i="25"/>
  <c r="N684" i="25"/>
  <c r="O684" i="25"/>
  <c r="K685" i="25"/>
  <c r="Q685" i="25" s="1"/>
  <c r="L685" i="25"/>
  <c r="M685" i="25"/>
  <c r="N685" i="25"/>
  <c r="O685" i="25"/>
  <c r="K686" i="25"/>
  <c r="Q686" i="25" s="1"/>
  <c r="L686" i="25"/>
  <c r="M686" i="25"/>
  <c r="N686" i="25"/>
  <c r="O686" i="25"/>
  <c r="K687" i="25"/>
  <c r="L687" i="25"/>
  <c r="M687" i="25"/>
  <c r="N687" i="25"/>
  <c r="O687" i="25"/>
  <c r="K688" i="25"/>
  <c r="Q688" i="25" s="1"/>
  <c r="L688" i="25"/>
  <c r="M688" i="25"/>
  <c r="N688" i="25"/>
  <c r="O688" i="25"/>
  <c r="K689" i="25"/>
  <c r="Q689" i="25" s="1"/>
  <c r="L689" i="25"/>
  <c r="M689" i="25"/>
  <c r="N689" i="25"/>
  <c r="O689" i="25"/>
  <c r="K690" i="25"/>
  <c r="Q690" i="25" s="1"/>
  <c r="L690" i="25"/>
  <c r="M690" i="25"/>
  <c r="N690" i="25"/>
  <c r="O690" i="25"/>
  <c r="K691" i="25"/>
  <c r="Q691" i="25" s="1"/>
  <c r="L691" i="25"/>
  <c r="M691" i="25"/>
  <c r="N691" i="25"/>
  <c r="O691" i="25"/>
  <c r="K692" i="25"/>
  <c r="Q692" i="25" s="1"/>
  <c r="L692" i="25"/>
  <c r="M692" i="25"/>
  <c r="N692" i="25"/>
  <c r="O692" i="25"/>
  <c r="K693" i="25"/>
  <c r="Q693" i="25" s="1"/>
  <c r="L693" i="25"/>
  <c r="M693" i="25"/>
  <c r="N693" i="25"/>
  <c r="O693" i="25"/>
  <c r="K694" i="25"/>
  <c r="L694" i="25"/>
  <c r="M694" i="25"/>
  <c r="N694" i="25"/>
  <c r="O694" i="25"/>
  <c r="K695" i="25"/>
  <c r="Q695" i="25" s="1"/>
  <c r="L695" i="25"/>
  <c r="M695" i="25"/>
  <c r="N695" i="25"/>
  <c r="O695" i="25"/>
  <c r="K696" i="25"/>
  <c r="Q696" i="25" s="1"/>
  <c r="L696" i="25"/>
  <c r="M696" i="25"/>
  <c r="N696" i="25"/>
  <c r="O696" i="25"/>
  <c r="K697" i="25"/>
  <c r="Q697" i="25" s="1"/>
  <c r="L697" i="25"/>
  <c r="M697" i="25"/>
  <c r="N697" i="25"/>
  <c r="O697" i="25"/>
  <c r="K698" i="25"/>
  <c r="Q698" i="25" s="1"/>
  <c r="L698" i="25"/>
  <c r="M698" i="25"/>
  <c r="N698" i="25"/>
  <c r="O698" i="25"/>
  <c r="K699" i="25"/>
  <c r="Q699" i="25" s="1"/>
  <c r="L699" i="25"/>
  <c r="M699" i="25"/>
  <c r="N699" i="25"/>
  <c r="O699" i="25"/>
  <c r="K700" i="25"/>
  <c r="Q700" i="25" s="1"/>
  <c r="L700" i="25"/>
  <c r="M700" i="25"/>
  <c r="N700" i="25"/>
  <c r="O700" i="25"/>
  <c r="K701" i="25"/>
  <c r="Q701" i="25" s="1"/>
  <c r="L701" i="25"/>
  <c r="M701" i="25"/>
  <c r="N701" i="25"/>
  <c r="O701" i="25"/>
  <c r="K702" i="25"/>
  <c r="Q702" i="25" s="1"/>
  <c r="L702" i="25"/>
  <c r="M702" i="25"/>
  <c r="N702" i="25"/>
  <c r="O702" i="25"/>
  <c r="K703" i="25"/>
  <c r="Q703" i="25" s="1"/>
  <c r="L703" i="25"/>
  <c r="M703" i="25"/>
  <c r="N703" i="25"/>
  <c r="O703" i="25"/>
  <c r="K704" i="25"/>
  <c r="Q704" i="25" s="1"/>
  <c r="L704" i="25"/>
  <c r="M704" i="25"/>
  <c r="N704" i="25"/>
  <c r="O704" i="25"/>
  <c r="K705" i="25"/>
  <c r="Q705" i="25" s="1"/>
  <c r="L705" i="25"/>
  <c r="M705" i="25"/>
  <c r="N705" i="25"/>
  <c r="O705" i="25"/>
  <c r="K706" i="25"/>
  <c r="Q706" i="25" s="1"/>
  <c r="L706" i="25"/>
  <c r="M706" i="25"/>
  <c r="N706" i="25"/>
  <c r="O706" i="25"/>
  <c r="K707" i="25"/>
  <c r="Q707" i="25" s="1"/>
  <c r="L707" i="25"/>
  <c r="M707" i="25"/>
  <c r="N707" i="25"/>
  <c r="O707" i="25"/>
  <c r="K708" i="25"/>
  <c r="Q708" i="25" s="1"/>
  <c r="L708" i="25"/>
  <c r="M708" i="25"/>
  <c r="N708" i="25"/>
  <c r="O708" i="25"/>
  <c r="K709" i="25"/>
  <c r="Q709" i="25" s="1"/>
  <c r="L709" i="25"/>
  <c r="M709" i="25"/>
  <c r="N709" i="25"/>
  <c r="O709" i="25"/>
  <c r="K710" i="25"/>
  <c r="Q710" i="25" s="1"/>
  <c r="L710" i="25"/>
  <c r="M710" i="25"/>
  <c r="N710" i="25"/>
  <c r="O710" i="25"/>
  <c r="K711" i="25"/>
  <c r="Q711" i="25" s="1"/>
  <c r="L711" i="25"/>
  <c r="M711" i="25"/>
  <c r="N711" i="25"/>
  <c r="O711" i="25"/>
  <c r="K712" i="25"/>
  <c r="Q712" i="25" s="1"/>
  <c r="L712" i="25"/>
  <c r="M712" i="25"/>
  <c r="N712" i="25"/>
  <c r="O712" i="25"/>
  <c r="K713" i="25"/>
  <c r="Q713" i="25" s="1"/>
  <c r="L713" i="25"/>
  <c r="M713" i="25"/>
  <c r="N713" i="25"/>
  <c r="O713" i="25"/>
  <c r="K714" i="25"/>
  <c r="Q714" i="25" s="1"/>
  <c r="L714" i="25"/>
  <c r="M714" i="25"/>
  <c r="N714" i="25"/>
  <c r="O714" i="25"/>
  <c r="K715" i="25"/>
  <c r="L715" i="25"/>
  <c r="M715" i="25"/>
  <c r="N715" i="25"/>
  <c r="O715" i="25"/>
  <c r="K716" i="25"/>
  <c r="Q716" i="25" s="1"/>
  <c r="L716" i="25"/>
  <c r="M716" i="25"/>
  <c r="N716" i="25"/>
  <c r="O716" i="25"/>
  <c r="K717" i="25"/>
  <c r="Q717" i="25" s="1"/>
  <c r="L717" i="25"/>
  <c r="M717" i="25"/>
  <c r="N717" i="25"/>
  <c r="O717" i="25"/>
  <c r="K718" i="25"/>
  <c r="L718" i="25"/>
  <c r="M718" i="25"/>
  <c r="N718" i="25"/>
  <c r="O718" i="25"/>
  <c r="K719" i="25"/>
  <c r="Q719" i="25" s="1"/>
  <c r="L719" i="25"/>
  <c r="M719" i="25"/>
  <c r="N719" i="25"/>
  <c r="O719" i="25"/>
  <c r="K720" i="25"/>
  <c r="Q720" i="25" s="1"/>
  <c r="L720" i="25"/>
  <c r="M720" i="25"/>
  <c r="N720" i="25"/>
  <c r="O720" i="25"/>
  <c r="K721" i="25"/>
  <c r="Q721" i="25" s="1"/>
  <c r="L721" i="25"/>
  <c r="M721" i="25"/>
  <c r="N721" i="25"/>
  <c r="O721" i="25"/>
  <c r="K722" i="25"/>
  <c r="Q722" i="25" s="1"/>
  <c r="L722" i="25"/>
  <c r="M722" i="25"/>
  <c r="N722" i="25"/>
  <c r="O722" i="25"/>
  <c r="K723" i="25"/>
  <c r="Q723" i="25" s="1"/>
  <c r="L723" i="25"/>
  <c r="M723" i="25"/>
  <c r="N723" i="25"/>
  <c r="O723" i="25"/>
  <c r="K724" i="25"/>
  <c r="Q724" i="25" s="1"/>
  <c r="L724" i="25"/>
  <c r="M724" i="25"/>
  <c r="N724" i="25"/>
  <c r="O724" i="25"/>
  <c r="K725" i="25"/>
  <c r="Q725" i="25" s="1"/>
  <c r="L725" i="25"/>
  <c r="M725" i="25"/>
  <c r="N725" i="25"/>
  <c r="O725" i="25"/>
  <c r="K726" i="25"/>
  <c r="Q726" i="25" s="1"/>
  <c r="L726" i="25"/>
  <c r="M726" i="25"/>
  <c r="N726" i="25"/>
  <c r="O726" i="25"/>
  <c r="K727" i="25"/>
  <c r="Q727" i="25" s="1"/>
  <c r="L727" i="25"/>
  <c r="M727" i="25"/>
  <c r="N727" i="25"/>
  <c r="O727" i="25"/>
  <c r="K728" i="25"/>
  <c r="Q728" i="25" s="1"/>
  <c r="L728" i="25"/>
  <c r="M728" i="25"/>
  <c r="N728" i="25"/>
  <c r="O728" i="25"/>
  <c r="K729" i="25"/>
  <c r="Q729" i="25" s="1"/>
  <c r="L729" i="25"/>
  <c r="M729" i="25"/>
  <c r="N729" i="25"/>
  <c r="O729" i="25"/>
  <c r="K730" i="25"/>
  <c r="Q730" i="25" s="1"/>
  <c r="L730" i="25"/>
  <c r="M730" i="25"/>
  <c r="N730" i="25"/>
  <c r="O730" i="25"/>
  <c r="K731" i="25"/>
  <c r="Q731" i="25" s="1"/>
  <c r="L731" i="25"/>
  <c r="M731" i="25"/>
  <c r="N731" i="25"/>
  <c r="O731" i="25"/>
  <c r="K732" i="25"/>
  <c r="Q732" i="25" s="1"/>
  <c r="L732" i="25"/>
  <c r="M732" i="25"/>
  <c r="N732" i="25"/>
  <c r="O732" i="25"/>
  <c r="K733" i="25"/>
  <c r="Q733" i="25" s="1"/>
  <c r="L733" i="25"/>
  <c r="M733" i="25"/>
  <c r="N733" i="25"/>
  <c r="O733" i="25"/>
  <c r="K734" i="25"/>
  <c r="Q734" i="25" s="1"/>
  <c r="L734" i="25"/>
  <c r="M734" i="25"/>
  <c r="N734" i="25"/>
  <c r="O734" i="25"/>
  <c r="K735" i="25"/>
  <c r="Q735" i="25" s="1"/>
  <c r="L735" i="25"/>
  <c r="M735" i="25"/>
  <c r="N735" i="25"/>
  <c r="O735" i="25"/>
  <c r="K736" i="25"/>
  <c r="Q736" i="25" s="1"/>
  <c r="L736" i="25"/>
  <c r="M736" i="25"/>
  <c r="N736" i="25"/>
  <c r="O736" i="25"/>
  <c r="K737" i="25"/>
  <c r="Q737" i="25" s="1"/>
  <c r="L737" i="25"/>
  <c r="M737" i="25"/>
  <c r="N737" i="25"/>
  <c r="O737" i="25"/>
  <c r="K738" i="25"/>
  <c r="Q738" i="25" s="1"/>
  <c r="L738" i="25"/>
  <c r="M738" i="25"/>
  <c r="N738" i="25"/>
  <c r="O738" i="25"/>
  <c r="K739" i="25"/>
  <c r="Q739" i="25" s="1"/>
  <c r="L739" i="25"/>
  <c r="M739" i="25"/>
  <c r="N739" i="25"/>
  <c r="O739" i="25"/>
  <c r="K740" i="25"/>
  <c r="Q740" i="25" s="1"/>
  <c r="L740" i="25"/>
  <c r="M740" i="25"/>
  <c r="N740" i="25"/>
  <c r="O740" i="25"/>
  <c r="K741" i="25"/>
  <c r="Q741" i="25" s="1"/>
  <c r="L741" i="25"/>
  <c r="M741" i="25"/>
  <c r="N741" i="25"/>
  <c r="O741" i="25"/>
  <c r="K742" i="25"/>
  <c r="Q742" i="25" s="1"/>
  <c r="L742" i="25"/>
  <c r="M742" i="25"/>
  <c r="N742" i="25"/>
  <c r="O742" i="25"/>
  <c r="K743" i="25"/>
  <c r="Q743" i="25" s="1"/>
  <c r="L743" i="25"/>
  <c r="M743" i="25"/>
  <c r="N743" i="25"/>
  <c r="O743" i="25"/>
  <c r="K744" i="25"/>
  <c r="Q744" i="25" s="1"/>
  <c r="L744" i="25"/>
  <c r="M744" i="25"/>
  <c r="N744" i="25"/>
  <c r="O744" i="25"/>
  <c r="K745" i="25"/>
  <c r="Q745" i="25" s="1"/>
  <c r="L745" i="25"/>
  <c r="M745" i="25"/>
  <c r="N745" i="25"/>
  <c r="O745" i="25"/>
  <c r="K746" i="25"/>
  <c r="Q746" i="25" s="1"/>
  <c r="L746" i="25"/>
  <c r="M746" i="25"/>
  <c r="N746" i="25"/>
  <c r="O746" i="25"/>
  <c r="K747" i="25"/>
  <c r="Q747" i="25" s="1"/>
  <c r="L747" i="25"/>
  <c r="M747" i="25"/>
  <c r="N747" i="25"/>
  <c r="O747" i="25"/>
  <c r="K748" i="25"/>
  <c r="Q748" i="25" s="1"/>
  <c r="L748" i="25"/>
  <c r="M748" i="25"/>
  <c r="N748" i="25"/>
  <c r="O748" i="25"/>
  <c r="K749" i="25"/>
  <c r="Q749" i="25" s="1"/>
  <c r="L749" i="25"/>
  <c r="M749" i="25"/>
  <c r="N749" i="25"/>
  <c r="O749" i="25"/>
  <c r="K750" i="25"/>
  <c r="Q750" i="25" s="1"/>
  <c r="L750" i="25"/>
  <c r="M750" i="25"/>
  <c r="N750" i="25"/>
  <c r="O750" i="25"/>
  <c r="K751" i="25"/>
  <c r="Q751" i="25" s="1"/>
  <c r="L751" i="25"/>
  <c r="M751" i="25"/>
  <c r="N751" i="25"/>
  <c r="O751" i="25"/>
  <c r="K752" i="25"/>
  <c r="Q752" i="25" s="1"/>
  <c r="L752" i="25"/>
  <c r="M752" i="25"/>
  <c r="N752" i="25"/>
  <c r="O752" i="25"/>
  <c r="K753" i="25"/>
  <c r="Q753" i="25" s="1"/>
  <c r="L753" i="25"/>
  <c r="M753" i="25"/>
  <c r="N753" i="25"/>
  <c r="O753" i="25"/>
  <c r="K754" i="25"/>
  <c r="Q754" i="25" s="1"/>
  <c r="L754" i="25"/>
  <c r="M754" i="25"/>
  <c r="N754" i="25"/>
  <c r="O754" i="25"/>
  <c r="K755" i="25"/>
  <c r="Q755" i="25" s="1"/>
  <c r="L755" i="25"/>
  <c r="M755" i="25"/>
  <c r="N755" i="25"/>
  <c r="O755" i="25"/>
  <c r="K756" i="25"/>
  <c r="Q756" i="25" s="1"/>
  <c r="L756" i="25"/>
  <c r="M756" i="25"/>
  <c r="N756" i="25"/>
  <c r="O756" i="25"/>
  <c r="K757" i="25"/>
  <c r="Q757" i="25" s="1"/>
  <c r="L757" i="25"/>
  <c r="M757" i="25"/>
  <c r="N757" i="25"/>
  <c r="O757" i="25"/>
  <c r="K758" i="25"/>
  <c r="Q758" i="25" s="1"/>
  <c r="L758" i="25"/>
  <c r="M758" i="25"/>
  <c r="N758" i="25"/>
  <c r="O758" i="25"/>
  <c r="K759" i="25"/>
  <c r="Q759" i="25" s="1"/>
  <c r="L759" i="25"/>
  <c r="M759" i="25"/>
  <c r="N759" i="25"/>
  <c r="O759" i="25"/>
  <c r="K760" i="25"/>
  <c r="L760" i="25"/>
  <c r="M760" i="25"/>
  <c r="N760" i="25"/>
  <c r="O760" i="25"/>
  <c r="K761" i="25"/>
  <c r="Q761" i="25" s="1"/>
  <c r="L761" i="25"/>
  <c r="M761" i="25"/>
  <c r="N761" i="25"/>
  <c r="O761" i="25"/>
  <c r="K762" i="25"/>
  <c r="Q762" i="25" s="1"/>
  <c r="L762" i="25"/>
  <c r="M762" i="25"/>
  <c r="N762" i="25"/>
  <c r="O762" i="25"/>
  <c r="K763" i="25"/>
  <c r="Q763" i="25" s="1"/>
  <c r="L763" i="25"/>
  <c r="M763" i="25"/>
  <c r="N763" i="25"/>
  <c r="O763" i="25"/>
  <c r="K764" i="25"/>
  <c r="Q764" i="25" s="1"/>
  <c r="L764" i="25"/>
  <c r="M764" i="25"/>
  <c r="N764" i="25"/>
  <c r="O764" i="25"/>
  <c r="K765" i="25"/>
  <c r="Q765" i="25" s="1"/>
  <c r="L765" i="25"/>
  <c r="M765" i="25"/>
  <c r="N765" i="25"/>
  <c r="O765" i="25"/>
  <c r="K766" i="25"/>
  <c r="Q766" i="25" s="1"/>
  <c r="L766" i="25"/>
  <c r="M766" i="25"/>
  <c r="N766" i="25"/>
  <c r="O766" i="25"/>
  <c r="K767" i="25"/>
  <c r="Q767" i="25" s="1"/>
  <c r="L767" i="25"/>
  <c r="M767" i="25"/>
  <c r="N767" i="25"/>
  <c r="O767" i="25"/>
  <c r="K768" i="25"/>
  <c r="Q768" i="25" s="1"/>
  <c r="L768" i="25"/>
  <c r="M768" i="25"/>
  <c r="N768" i="25"/>
  <c r="O768" i="25"/>
  <c r="K769" i="25"/>
  <c r="Q769" i="25" s="1"/>
  <c r="L769" i="25"/>
  <c r="M769" i="25"/>
  <c r="N769" i="25"/>
  <c r="O769" i="25"/>
  <c r="K770" i="25"/>
  <c r="Q770" i="25" s="1"/>
  <c r="L770" i="25"/>
  <c r="M770" i="25"/>
  <c r="N770" i="25"/>
  <c r="O770" i="25"/>
  <c r="K771" i="25"/>
  <c r="Q771" i="25" s="1"/>
  <c r="L771" i="25"/>
  <c r="M771" i="25"/>
  <c r="N771" i="25"/>
  <c r="O771" i="25"/>
  <c r="K772" i="25"/>
  <c r="Q772" i="25" s="1"/>
  <c r="L772" i="25"/>
  <c r="M772" i="25"/>
  <c r="N772" i="25"/>
  <c r="O772" i="25"/>
  <c r="K773" i="25"/>
  <c r="Q773" i="25" s="1"/>
  <c r="L773" i="25"/>
  <c r="M773" i="25"/>
  <c r="N773" i="25"/>
  <c r="O773" i="25"/>
  <c r="K774" i="25"/>
  <c r="Q774" i="25" s="1"/>
  <c r="L774" i="25"/>
  <c r="M774" i="25"/>
  <c r="N774" i="25"/>
  <c r="O774" i="25"/>
  <c r="K775" i="25"/>
  <c r="Q775" i="25" s="1"/>
  <c r="L775" i="25"/>
  <c r="M775" i="25"/>
  <c r="N775" i="25"/>
  <c r="O775" i="25"/>
  <c r="K776" i="25"/>
  <c r="Q776" i="25" s="1"/>
  <c r="L776" i="25"/>
  <c r="M776" i="25"/>
  <c r="N776" i="25"/>
  <c r="O776" i="25"/>
  <c r="K777" i="25"/>
  <c r="Q777" i="25" s="1"/>
  <c r="L777" i="25"/>
  <c r="M777" i="25"/>
  <c r="N777" i="25"/>
  <c r="O777" i="25"/>
  <c r="K778" i="25"/>
  <c r="Q778" i="25" s="1"/>
  <c r="L778" i="25"/>
  <c r="M778" i="25"/>
  <c r="N778" i="25"/>
  <c r="O778" i="25"/>
  <c r="K779" i="25"/>
  <c r="Q779" i="25" s="1"/>
  <c r="L779" i="25"/>
  <c r="M779" i="25"/>
  <c r="N779" i="25"/>
  <c r="O779" i="25"/>
  <c r="K780" i="25"/>
  <c r="Q780" i="25" s="1"/>
  <c r="L780" i="25"/>
  <c r="M780" i="25"/>
  <c r="N780" i="25"/>
  <c r="O780" i="25"/>
  <c r="K781" i="25"/>
  <c r="Q781" i="25" s="1"/>
  <c r="L781" i="25"/>
  <c r="M781" i="25"/>
  <c r="N781" i="25"/>
  <c r="O781" i="25"/>
  <c r="K782" i="25"/>
  <c r="Q782" i="25" s="1"/>
  <c r="L782" i="25"/>
  <c r="M782" i="25"/>
  <c r="N782" i="25"/>
  <c r="O782" i="25"/>
  <c r="K783" i="25"/>
  <c r="Q783" i="25" s="1"/>
  <c r="L783" i="25"/>
  <c r="M783" i="25"/>
  <c r="N783" i="25"/>
  <c r="O783" i="25"/>
  <c r="K784" i="25"/>
  <c r="Q784" i="25" s="1"/>
  <c r="L784" i="25"/>
  <c r="M784" i="25"/>
  <c r="N784" i="25"/>
  <c r="O784" i="25"/>
  <c r="K785" i="25"/>
  <c r="Q785" i="25" s="1"/>
  <c r="L785" i="25"/>
  <c r="M785" i="25"/>
  <c r="N785" i="25"/>
  <c r="O785" i="25"/>
  <c r="K786" i="25"/>
  <c r="Q786" i="25" s="1"/>
  <c r="L786" i="25"/>
  <c r="M786" i="25"/>
  <c r="N786" i="25"/>
  <c r="O786" i="25"/>
  <c r="K787" i="25"/>
  <c r="Q787" i="25" s="1"/>
  <c r="L787" i="25"/>
  <c r="M787" i="25"/>
  <c r="N787" i="25"/>
  <c r="O787" i="25"/>
  <c r="K788" i="25"/>
  <c r="Q788" i="25" s="1"/>
  <c r="L788" i="25"/>
  <c r="M788" i="25"/>
  <c r="N788" i="25"/>
  <c r="O788" i="25"/>
  <c r="K789" i="25"/>
  <c r="Q789" i="25" s="1"/>
  <c r="L789" i="25"/>
  <c r="M789" i="25"/>
  <c r="N789" i="25"/>
  <c r="O789" i="25"/>
  <c r="K790" i="25"/>
  <c r="Q790" i="25" s="1"/>
  <c r="L790" i="25"/>
  <c r="M790" i="25"/>
  <c r="N790" i="25"/>
  <c r="O790" i="25"/>
  <c r="K791" i="25"/>
  <c r="Q791" i="25" s="1"/>
  <c r="L791" i="25"/>
  <c r="M791" i="25"/>
  <c r="N791" i="25"/>
  <c r="O791" i="25"/>
  <c r="K792" i="25"/>
  <c r="Q792" i="25" s="1"/>
  <c r="L792" i="25"/>
  <c r="M792" i="25"/>
  <c r="N792" i="25"/>
  <c r="O792" i="25"/>
  <c r="K793" i="25"/>
  <c r="Q793" i="25" s="1"/>
  <c r="L793" i="25"/>
  <c r="M793" i="25"/>
  <c r="N793" i="25"/>
  <c r="O793" i="25"/>
  <c r="K794" i="25"/>
  <c r="Q794" i="25" s="1"/>
  <c r="L794" i="25"/>
  <c r="M794" i="25"/>
  <c r="N794" i="25"/>
  <c r="O794" i="25"/>
  <c r="K795" i="25"/>
  <c r="Q795" i="25" s="1"/>
  <c r="L795" i="25"/>
  <c r="M795" i="25"/>
  <c r="N795" i="25"/>
  <c r="O795" i="25"/>
  <c r="K796" i="25"/>
  <c r="Q796" i="25" s="1"/>
  <c r="L796" i="25"/>
  <c r="M796" i="25"/>
  <c r="N796" i="25"/>
  <c r="O796" i="25"/>
  <c r="K797" i="25"/>
  <c r="Q797" i="25" s="1"/>
  <c r="L797" i="25"/>
  <c r="M797" i="25"/>
  <c r="N797" i="25"/>
  <c r="O797" i="25"/>
  <c r="K798" i="25"/>
  <c r="Q798" i="25" s="1"/>
  <c r="L798" i="25"/>
  <c r="M798" i="25"/>
  <c r="N798" i="25"/>
  <c r="O798" i="25"/>
  <c r="K799" i="25"/>
  <c r="Q799" i="25" s="1"/>
  <c r="L799" i="25"/>
  <c r="M799" i="25"/>
  <c r="N799" i="25"/>
  <c r="O799" i="25"/>
  <c r="K800" i="25"/>
  <c r="Q800" i="25" s="1"/>
  <c r="L800" i="25"/>
  <c r="M800" i="25"/>
  <c r="N800" i="25"/>
  <c r="O800" i="25"/>
  <c r="K801" i="25"/>
  <c r="Q801" i="25" s="1"/>
  <c r="L801" i="25"/>
  <c r="M801" i="25"/>
  <c r="N801" i="25"/>
  <c r="O801" i="25"/>
  <c r="K802" i="25"/>
  <c r="L802" i="25"/>
  <c r="M802" i="25"/>
  <c r="N802" i="25"/>
  <c r="O802" i="25"/>
  <c r="K803" i="25"/>
  <c r="Q803" i="25" s="1"/>
  <c r="L803" i="25"/>
  <c r="M803" i="25"/>
  <c r="N803" i="25"/>
  <c r="O803" i="25"/>
  <c r="K804" i="25"/>
  <c r="Q804" i="25" s="1"/>
  <c r="L804" i="25"/>
  <c r="M804" i="25"/>
  <c r="N804" i="25"/>
  <c r="O804" i="25"/>
  <c r="K805" i="25"/>
  <c r="Q805" i="25" s="1"/>
  <c r="L805" i="25"/>
  <c r="M805" i="25"/>
  <c r="N805" i="25"/>
  <c r="O805" i="25"/>
  <c r="K806" i="25"/>
  <c r="Q806" i="25" s="1"/>
  <c r="L806" i="25"/>
  <c r="M806" i="25"/>
  <c r="N806" i="25"/>
  <c r="O806" i="25"/>
  <c r="K807" i="25"/>
  <c r="Q807" i="25" s="1"/>
  <c r="L807" i="25"/>
  <c r="M807" i="25"/>
  <c r="N807" i="25"/>
  <c r="O807" i="25"/>
  <c r="K808" i="25"/>
  <c r="Q808" i="25" s="1"/>
  <c r="L808" i="25"/>
  <c r="M808" i="25"/>
  <c r="N808" i="25"/>
  <c r="O808" i="25"/>
  <c r="K809" i="25"/>
  <c r="Q809" i="25" s="1"/>
  <c r="L809" i="25"/>
  <c r="M809" i="25"/>
  <c r="N809" i="25"/>
  <c r="O809" i="25"/>
  <c r="K810" i="25"/>
  <c r="Q810" i="25" s="1"/>
  <c r="L810" i="25"/>
  <c r="M810" i="25"/>
  <c r="N810" i="25"/>
  <c r="O810" i="25"/>
  <c r="K811" i="25"/>
  <c r="Q811" i="25" s="1"/>
  <c r="L811" i="25"/>
  <c r="M811" i="25"/>
  <c r="N811" i="25"/>
  <c r="O811" i="25"/>
  <c r="K812" i="25"/>
  <c r="Q812" i="25" s="1"/>
  <c r="L812" i="25"/>
  <c r="M812" i="25"/>
  <c r="N812" i="25"/>
  <c r="O812" i="25"/>
  <c r="K813" i="25"/>
  <c r="Q813" i="25" s="1"/>
  <c r="L813" i="25"/>
  <c r="M813" i="25"/>
  <c r="N813" i="25"/>
  <c r="O813" i="25"/>
  <c r="K814" i="25"/>
  <c r="Q814" i="25" s="1"/>
  <c r="L814" i="25"/>
  <c r="M814" i="25"/>
  <c r="N814" i="25"/>
  <c r="O814" i="25"/>
  <c r="K815" i="25"/>
  <c r="Q815" i="25" s="1"/>
  <c r="L815" i="25"/>
  <c r="M815" i="25"/>
  <c r="N815" i="25"/>
  <c r="O815" i="25"/>
  <c r="K816" i="25"/>
  <c r="Q816" i="25" s="1"/>
  <c r="L816" i="25"/>
  <c r="M816" i="25"/>
  <c r="N816" i="25"/>
  <c r="O816" i="25"/>
  <c r="K817" i="25"/>
  <c r="Q817" i="25" s="1"/>
  <c r="L817" i="25"/>
  <c r="M817" i="25"/>
  <c r="N817" i="25"/>
  <c r="O817" i="25"/>
  <c r="K818" i="25"/>
  <c r="Q818" i="25" s="1"/>
  <c r="L818" i="25"/>
  <c r="M818" i="25"/>
  <c r="N818" i="25"/>
  <c r="O818" i="25"/>
  <c r="K819" i="25"/>
  <c r="Q819" i="25" s="1"/>
  <c r="L819" i="25"/>
  <c r="M819" i="25"/>
  <c r="N819" i="25"/>
  <c r="O819" i="25"/>
  <c r="K820" i="25"/>
  <c r="Q820" i="25" s="1"/>
  <c r="L820" i="25"/>
  <c r="M820" i="25"/>
  <c r="N820" i="25"/>
  <c r="O820" i="25"/>
  <c r="K821" i="25"/>
  <c r="Q821" i="25" s="1"/>
  <c r="L821" i="25"/>
  <c r="M821" i="25"/>
  <c r="N821" i="25"/>
  <c r="O821" i="25"/>
  <c r="K822" i="25"/>
  <c r="Q822" i="25" s="1"/>
  <c r="L822" i="25"/>
  <c r="M822" i="25"/>
  <c r="N822" i="25"/>
  <c r="O822" i="25"/>
  <c r="K823" i="25"/>
  <c r="Q823" i="25" s="1"/>
  <c r="L823" i="25"/>
  <c r="M823" i="25"/>
  <c r="N823" i="25"/>
  <c r="O823" i="25"/>
  <c r="K824" i="25"/>
  <c r="Q824" i="25" s="1"/>
  <c r="L824" i="25"/>
  <c r="M824" i="25"/>
  <c r="N824" i="25"/>
  <c r="O824" i="25"/>
  <c r="K825" i="25"/>
  <c r="Q825" i="25" s="1"/>
  <c r="L825" i="25"/>
  <c r="M825" i="25"/>
  <c r="N825" i="25"/>
  <c r="O825" i="25"/>
  <c r="K826" i="25"/>
  <c r="Q826" i="25" s="1"/>
  <c r="L826" i="25"/>
  <c r="M826" i="25"/>
  <c r="N826" i="25"/>
  <c r="O826" i="25"/>
  <c r="K827" i="25"/>
  <c r="Q827" i="25" s="1"/>
  <c r="L827" i="25"/>
  <c r="M827" i="25"/>
  <c r="N827" i="25"/>
  <c r="O827" i="25"/>
  <c r="K828" i="25"/>
  <c r="Q828" i="25" s="1"/>
  <c r="L828" i="25"/>
  <c r="M828" i="25"/>
  <c r="N828" i="25"/>
  <c r="O828" i="25"/>
  <c r="K829" i="25"/>
  <c r="Q829" i="25" s="1"/>
  <c r="L829" i="25"/>
  <c r="M829" i="25"/>
  <c r="N829" i="25"/>
  <c r="O829" i="25"/>
  <c r="K830" i="25"/>
  <c r="Q830" i="25" s="1"/>
  <c r="L830" i="25"/>
  <c r="M830" i="25"/>
  <c r="N830" i="25"/>
  <c r="O830" i="25"/>
  <c r="K831" i="25"/>
  <c r="Q831" i="25" s="1"/>
  <c r="L831" i="25"/>
  <c r="M831" i="25"/>
  <c r="N831" i="25"/>
  <c r="O831" i="25"/>
  <c r="K832" i="25"/>
  <c r="Q832" i="25" s="1"/>
  <c r="L832" i="25"/>
  <c r="M832" i="25"/>
  <c r="N832" i="25"/>
  <c r="O832" i="25"/>
  <c r="K833" i="25"/>
  <c r="Q833" i="25" s="1"/>
  <c r="L833" i="25"/>
  <c r="M833" i="25"/>
  <c r="N833" i="25"/>
  <c r="O833" i="25"/>
  <c r="K834" i="25"/>
  <c r="Q834" i="25" s="1"/>
  <c r="L834" i="25"/>
  <c r="M834" i="25"/>
  <c r="N834" i="25"/>
  <c r="O834" i="25"/>
  <c r="K835" i="25"/>
  <c r="Q835" i="25" s="1"/>
  <c r="L835" i="25"/>
  <c r="M835" i="25"/>
  <c r="N835" i="25"/>
  <c r="O835" i="25"/>
  <c r="K836" i="25"/>
  <c r="Q836" i="25" s="1"/>
  <c r="L836" i="25"/>
  <c r="M836" i="25"/>
  <c r="N836" i="25"/>
  <c r="O836" i="25"/>
  <c r="K837" i="25"/>
  <c r="Q837" i="25" s="1"/>
  <c r="L837" i="25"/>
  <c r="M837" i="25"/>
  <c r="N837" i="25"/>
  <c r="O837" i="25"/>
  <c r="K838" i="25"/>
  <c r="Q838" i="25" s="1"/>
  <c r="L838" i="25"/>
  <c r="M838" i="25"/>
  <c r="N838" i="25"/>
  <c r="O838" i="25"/>
  <c r="K839" i="25"/>
  <c r="Q839" i="25" s="1"/>
  <c r="L839" i="25"/>
  <c r="M839" i="25"/>
  <c r="N839" i="25"/>
  <c r="O839" i="25"/>
  <c r="K840" i="25"/>
  <c r="Q840" i="25" s="1"/>
  <c r="L840" i="25"/>
  <c r="M840" i="25"/>
  <c r="N840" i="25"/>
  <c r="O840" i="25"/>
  <c r="K841" i="25"/>
  <c r="Q841" i="25" s="1"/>
  <c r="L841" i="25"/>
  <c r="M841" i="25"/>
  <c r="N841" i="25"/>
  <c r="O841" i="25"/>
  <c r="K842" i="25"/>
  <c r="Q842" i="25" s="1"/>
  <c r="L842" i="25"/>
  <c r="M842" i="25"/>
  <c r="N842" i="25"/>
  <c r="O842" i="25"/>
  <c r="K843" i="25"/>
  <c r="Q843" i="25" s="1"/>
  <c r="L843" i="25"/>
  <c r="M843" i="25"/>
  <c r="N843" i="25"/>
  <c r="O843" i="25"/>
  <c r="K844" i="25"/>
  <c r="Q844" i="25" s="1"/>
  <c r="L844" i="25"/>
  <c r="M844" i="25"/>
  <c r="N844" i="25"/>
  <c r="O844" i="25"/>
  <c r="K845" i="25"/>
  <c r="Q845" i="25" s="1"/>
  <c r="L845" i="25"/>
  <c r="M845" i="25"/>
  <c r="N845" i="25"/>
  <c r="O845" i="25"/>
  <c r="K846" i="25"/>
  <c r="Q846" i="25" s="1"/>
  <c r="L846" i="25"/>
  <c r="M846" i="25"/>
  <c r="N846" i="25"/>
  <c r="O846" i="25"/>
  <c r="K847" i="25"/>
  <c r="Q847" i="25" s="1"/>
  <c r="L847" i="25"/>
  <c r="M847" i="25"/>
  <c r="N847" i="25"/>
  <c r="O847" i="25"/>
  <c r="K848" i="25"/>
  <c r="Q848" i="25" s="1"/>
  <c r="L848" i="25"/>
  <c r="M848" i="25"/>
  <c r="N848" i="25"/>
  <c r="O848" i="25"/>
  <c r="K849" i="25"/>
  <c r="Q849" i="25" s="1"/>
  <c r="L849" i="25"/>
  <c r="M849" i="25"/>
  <c r="N849" i="25"/>
  <c r="O849" i="25"/>
  <c r="K850" i="25"/>
  <c r="Q850" i="25" s="1"/>
  <c r="L850" i="25"/>
  <c r="M850" i="25"/>
  <c r="N850" i="25"/>
  <c r="O850" i="25"/>
  <c r="K851" i="25"/>
  <c r="Q851" i="25" s="1"/>
  <c r="L851" i="25"/>
  <c r="M851" i="25"/>
  <c r="N851" i="25"/>
  <c r="O851" i="25"/>
  <c r="K852" i="25"/>
  <c r="Q852" i="25" s="1"/>
  <c r="L852" i="25"/>
  <c r="M852" i="25"/>
  <c r="N852" i="25"/>
  <c r="O852" i="25"/>
  <c r="K853" i="25"/>
  <c r="Q853" i="25" s="1"/>
  <c r="L853" i="25"/>
  <c r="M853" i="25"/>
  <c r="N853" i="25"/>
  <c r="O853" i="25"/>
  <c r="K854" i="25"/>
  <c r="Q854" i="25" s="1"/>
  <c r="L854" i="25"/>
  <c r="M854" i="25"/>
  <c r="N854" i="25"/>
  <c r="O854" i="25"/>
  <c r="K855" i="25"/>
  <c r="Q855" i="25" s="1"/>
  <c r="L855" i="25"/>
  <c r="M855" i="25"/>
  <c r="N855" i="25"/>
  <c r="O855" i="25"/>
  <c r="K856" i="25"/>
  <c r="L856" i="25"/>
  <c r="M856" i="25"/>
  <c r="N856" i="25"/>
  <c r="O856" i="25"/>
  <c r="K857" i="25"/>
  <c r="Q857" i="25" s="1"/>
  <c r="L857" i="25"/>
  <c r="M857" i="25"/>
  <c r="N857" i="25"/>
  <c r="O857" i="25"/>
  <c r="K858" i="25"/>
  <c r="Q858" i="25" s="1"/>
  <c r="L858" i="25"/>
  <c r="M858" i="25"/>
  <c r="N858" i="25"/>
  <c r="O858" i="25"/>
  <c r="K859" i="25"/>
  <c r="Q859" i="25" s="1"/>
  <c r="L859" i="25"/>
  <c r="M859" i="25"/>
  <c r="N859" i="25"/>
  <c r="O859" i="25"/>
  <c r="K860" i="25"/>
  <c r="Q860" i="25" s="1"/>
  <c r="L860" i="25"/>
  <c r="M860" i="25"/>
  <c r="N860" i="25"/>
  <c r="O860" i="25"/>
  <c r="K861" i="25"/>
  <c r="Q861" i="25" s="1"/>
  <c r="L861" i="25"/>
  <c r="M861" i="25"/>
  <c r="N861" i="25"/>
  <c r="O861" i="25"/>
  <c r="K862" i="25"/>
  <c r="Q862" i="25" s="1"/>
  <c r="L862" i="25"/>
  <c r="M862" i="25"/>
  <c r="N862" i="25"/>
  <c r="O862" i="25"/>
  <c r="K863" i="25"/>
  <c r="Q863" i="25" s="1"/>
  <c r="L863" i="25"/>
  <c r="M863" i="25"/>
  <c r="N863" i="25"/>
  <c r="O863" i="25"/>
  <c r="K864" i="25"/>
  <c r="Q864" i="25" s="1"/>
  <c r="L864" i="25"/>
  <c r="M864" i="25"/>
  <c r="N864" i="25"/>
  <c r="O864" i="25"/>
  <c r="K865" i="25"/>
  <c r="Q865" i="25" s="1"/>
  <c r="L865" i="25"/>
  <c r="M865" i="25"/>
  <c r="N865" i="25"/>
  <c r="O865" i="25"/>
  <c r="K866" i="25"/>
  <c r="Q866" i="25" s="1"/>
  <c r="L866" i="25"/>
  <c r="M866" i="25"/>
  <c r="N866" i="25"/>
  <c r="O866" i="25"/>
  <c r="K867" i="25"/>
  <c r="Q867" i="25" s="1"/>
  <c r="L867" i="25"/>
  <c r="M867" i="25"/>
  <c r="N867" i="25"/>
  <c r="O867" i="25"/>
  <c r="K868" i="25"/>
  <c r="Q868" i="25" s="1"/>
  <c r="L868" i="25"/>
  <c r="M868" i="25"/>
  <c r="N868" i="25"/>
  <c r="O868" i="25"/>
  <c r="K869" i="25"/>
  <c r="Q869" i="25" s="1"/>
  <c r="L869" i="25"/>
  <c r="M869" i="25"/>
  <c r="N869" i="25"/>
  <c r="O869" i="25"/>
  <c r="K870" i="25"/>
  <c r="Q870" i="25" s="1"/>
  <c r="L870" i="25"/>
  <c r="M870" i="25"/>
  <c r="N870" i="25"/>
  <c r="O870" i="25"/>
  <c r="K871" i="25"/>
  <c r="Q871" i="25" s="1"/>
  <c r="L871" i="25"/>
  <c r="M871" i="25"/>
  <c r="N871" i="25"/>
  <c r="O871" i="25"/>
  <c r="K872" i="25"/>
  <c r="Q872" i="25" s="1"/>
  <c r="L872" i="25"/>
  <c r="M872" i="25"/>
  <c r="N872" i="25"/>
  <c r="O872" i="25"/>
  <c r="K873" i="25"/>
  <c r="Q873" i="25" s="1"/>
  <c r="L873" i="25"/>
  <c r="M873" i="25"/>
  <c r="N873" i="25"/>
  <c r="O873" i="25"/>
  <c r="K874" i="25"/>
  <c r="Q874" i="25" s="1"/>
  <c r="L874" i="25"/>
  <c r="M874" i="25"/>
  <c r="N874" i="25"/>
  <c r="O874" i="25"/>
  <c r="K875" i="25"/>
  <c r="Q875" i="25" s="1"/>
  <c r="L875" i="25"/>
  <c r="M875" i="25"/>
  <c r="N875" i="25"/>
  <c r="O875" i="25"/>
  <c r="K876" i="25"/>
  <c r="Q876" i="25" s="1"/>
  <c r="L876" i="25"/>
  <c r="M876" i="25"/>
  <c r="N876" i="25"/>
  <c r="O876" i="25"/>
  <c r="K877" i="25"/>
  <c r="Q877" i="25" s="1"/>
  <c r="L877" i="25"/>
  <c r="M877" i="25"/>
  <c r="N877" i="25"/>
  <c r="O877" i="25"/>
  <c r="K878" i="25"/>
  <c r="Q878" i="25" s="1"/>
  <c r="L878" i="25"/>
  <c r="M878" i="25"/>
  <c r="N878" i="25"/>
  <c r="O878" i="25"/>
  <c r="K879" i="25"/>
  <c r="Q879" i="25" s="1"/>
  <c r="L879" i="25"/>
  <c r="M879" i="25"/>
  <c r="N879" i="25"/>
  <c r="O879" i="25"/>
  <c r="K880" i="25"/>
  <c r="L880" i="25"/>
  <c r="M880" i="25"/>
  <c r="N880" i="25"/>
  <c r="O880" i="25"/>
  <c r="K881" i="25"/>
  <c r="Q881" i="25" s="1"/>
  <c r="L881" i="25"/>
  <c r="M881" i="25"/>
  <c r="N881" i="25"/>
  <c r="O881" i="25"/>
  <c r="K882" i="25"/>
  <c r="Q882" i="25" s="1"/>
  <c r="L882" i="25"/>
  <c r="M882" i="25"/>
  <c r="N882" i="25"/>
  <c r="O882" i="25"/>
  <c r="K883" i="25"/>
  <c r="Q883" i="25" s="1"/>
  <c r="L883" i="25"/>
  <c r="M883" i="25"/>
  <c r="N883" i="25"/>
  <c r="O883" i="25"/>
  <c r="K884" i="25"/>
  <c r="Q884" i="25" s="1"/>
  <c r="L884" i="25"/>
  <c r="M884" i="25"/>
  <c r="N884" i="25"/>
  <c r="O884" i="25"/>
  <c r="K885" i="25"/>
  <c r="Q885" i="25" s="1"/>
  <c r="L885" i="25"/>
  <c r="M885" i="25"/>
  <c r="N885" i="25"/>
  <c r="O885" i="25"/>
  <c r="K886" i="25"/>
  <c r="Q886" i="25" s="1"/>
  <c r="L886" i="25"/>
  <c r="M886" i="25"/>
  <c r="N886" i="25"/>
  <c r="O886" i="25"/>
  <c r="K887" i="25"/>
  <c r="Q887" i="25" s="1"/>
  <c r="L887" i="25"/>
  <c r="M887" i="25"/>
  <c r="N887" i="25"/>
  <c r="O887" i="25"/>
  <c r="K888" i="25"/>
  <c r="Q888" i="25" s="1"/>
  <c r="L888" i="25"/>
  <c r="M888" i="25"/>
  <c r="N888" i="25"/>
  <c r="O888" i="25"/>
  <c r="K889" i="25"/>
  <c r="Q889" i="25" s="1"/>
  <c r="L889" i="25"/>
  <c r="M889" i="25"/>
  <c r="N889" i="25"/>
  <c r="O889" i="25"/>
  <c r="K890" i="25"/>
  <c r="Q890" i="25" s="1"/>
  <c r="L890" i="25"/>
  <c r="M890" i="25"/>
  <c r="N890" i="25"/>
  <c r="O890" i="25"/>
  <c r="K891" i="25"/>
  <c r="Q891" i="25" s="1"/>
  <c r="L891" i="25"/>
  <c r="M891" i="25"/>
  <c r="N891" i="25"/>
  <c r="O891" i="25"/>
  <c r="K892" i="25"/>
  <c r="Q892" i="25" s="1"/>
  <c r="L892" i="25"/>
  <c r="M892" i="25"/>
  <c r="N892" i="25"/>
  <c r="O892" i="25"/>
  <c r="K893" i="25"/>
  <c r="Q893" i="25" s="1"/>
  <c r="L893" i="25"/>
  <c r="M893" i="25"/>
  <c r="N893" i="25"/>
  <c r="O893" i="25"/>
  <c r="K894" i="25"/>
  <c r="Q894" i="25" s="1"/>
  <c r="L894" i="25"/>
  <c r="M894" i="25"/>
  <c r="N894" i="25"/>
  <c r="O894" i="25"/>
  <c r="K895" i="25"/>
  <c r="Q895" i="25" s="1"/>
  <c r="L895" i="25"/>
  <c r="M895" i="25"/>
  <c r="N895" i="25"/>
  <c r="O895" i="25"/>
  <c r="K896" i="25"/>
  <c r="Q896" i="25" s="1"/>
  <c r="L896" i="25"/>
  <c r="M896" i="25"/>
  <c r="N896" i="25"/>
  <c r="O896" i="25"/>
  <c r="K897" i="25"/>
  <c r="Q897" i="25" s="1"/>
  <c r="L897" i="25"/>
  <c r="M897" i="25"/>
  <c r="N897" i="25"/>
  <c r="O897" i="25"/>
  <c r="K898" i="25"/>
  <c r="Q898" i="25" s="1"/>
  <c r="L898" i="25"/>
  <c r="M898" i="25"/>
  <c r="N898" i="25"/>
  <c r="O898" i="25"/>
  <c r="K899" i="25"/>
  <c r="Q899" i="25" s="1"/>
  <c r="L899" i="25"/>
  <c r="M899" i="25"/>
  <c r="N899" i="25"/>
  <c r="O899" i="25"/>
  <c r="K900" i="25"/>
  <c r="Q900" i="25" s="1"/>
  <c r="L900" i="25"/>
  <c r="M900" i="25"/>
  <c r="N900" i="25"/>
  <c r="O900" i="25"/>
  <c r="K901" i="25"/>
  <c r="Q901" i="25" s="1"/>
  <c r="L901" i="25"/>
  <c r="M901" i="25"/>
  <c r="N901" i="25"/>
  <c r="O901" i="25"/>
  <c r="K902" i="25"/>
  <c r="Q902" i="25" s="1"/>
  <c r="L902" i="25"/>
  <c r="M902" i="25"/>
  <c r="N902" i="25"/>
  <c r="O902" i="25"/>
  <c r="K903" i="25"/>
  <c r="Q903" i="25" s="1"/>
  <c r="L903" i="25"/>
  <c r="M903" i="25"/>
  <c r="N903" i="25"/>
  <c r="O903" i="25"/>
  <c r="K904" i="25"/>
  <c r="Q904" i="25" s="1"/>
  <c r="L904" i="25"/>
  <c r="M904" i="25"/>
  <c r="N904" i="25"/>
  <c r="O904" i="25"/>
  <c r="K905" i="25"/>
  <c r="Q905" i="25" s="1"/>
  <c r="L905" i="25"/>
  <c r="M905" i="25"/>
  <c r="N905" i="25"/>
  <c r="O905" i="25"/>
  <c r="K906" i="25"/>
  <c r="Q906" i="25" s="1"/>
  <c r="L906" i="25"/>
  <c r="M906" i="25"/>
  <c r="N906" i="25"/>
  <c r="O906" i="25"/>
  <c r="K907" i="25"/>
  <c r="Q907" i="25" s="1"/>
  <c r="L907" i="25"/>
  <c r="M907" i="25"/>
  <c r="N907" i="25"/>
  <c r="O907" i="25"/>
  <c r="K908" i="25"/>
  <c r="Q908" i="25" s="1"/>
  <c r="L908" i="25"/>
  <c r="M908" i="25"/>
  <c r="N908" i="25"/>
  <c r="O908" i="25"/>
  <c r="K909" i="25"/>
  <c r="Q909" i="25" s="1"/>
  <c r="L909" i="25"/>
  <c r="M909" i="25"/>
  <c r="N909" i="25"/>
  <c r="O909" i="25"/>
  <c r="K910" i="25"/>
  <c r="Q910" i="25" s="1"/>
  <c r="L910" i="25"/>
  <c r="M910" i="25"/>
  <c r="N910" i="25"/>
  <c r="O910" i="25"/>
  <c r="K911" i="25"/>
  <c r="Q911" i="25" s="1"/>
  <c r="L911" i="25"/>
  <c r="M911" i="25"/>
  <c r="N911" i="25"/>
  <c r="O911" i="25"/>
  <c r="K912" i="25"/>
  <c r="Q912" i="25" s="1"/>
  <c r="L912" i="25"/>
  <c r="M912" i="25"/>
  <c r="N912" i="25"/>
  <c r="O912" i="25"/>
  <c r="K913" i="25"/>
  <c r="Q913" i="25" s="1"/>
  <c r="L913" i="25"/>
  <c r="M913" i="25"/>
  <c r="N913" i="25"/>
  <c r="O913" i="25"/>
  <c r="K914" i="25"/>
  <c r="Q914" i="25" s="1"/>
  <c r="L914" i="25"/>
  <c r="M914" i="25"/>
  <c r="N914" i="25"/>
  <c r="O914" i="25"/>
  <c r="K915" i="25"/>
  <c r="Q915" i="25" s="1"/>
  <c r="L915" i="25"/>
  <c r="M915" i="25"/>
  <c r="N915" i="25"/>
  <c r="O915" i="25"/>
  <c r="K916" i="25"/>
  <c r="Q916" i="25" s="1"/>
  <c r="L916" i="25"/>
  <c r="M916" i="25"/>
  <c r="N916" i="25"/>
  <c r="O916" i="25"/>
  <c r="K917" i="25"/>
  <c r="Q917" i="25" s="1"/>
  <c r="L917" i="25"/>
  <c r="M917" i="25"/>
  <c r="N917" i="25"/>
  <c r="O917" i="25"/>
  <c r="K918" i="25"/>
  <c r="Q918" i="25" s="1"/>
  <c r="L918" i="25"/>
  <c r="M918" i="25"/>
  <c r="N918" i="25"/>
  <c r="O918" i="25"/>
  <c r="K919" i="25"/>
  <c r="Q919" i="25" s="1"/>
  <c r="L919" i="25"/>
  <c r="M919" i="25"/>
  <c r="N919" i="25"/>
  <c r="O919" i="25"/>
  <c r="K920" i="25"/>
  <c r="Q920" i="25" s="1"/>
  <c r="L920" i="25"/>
  <c r="M920" i="25"/>
  <c r="N920" i="25"/>
  <c r="O920" i="25"/>
  <c r="K921" i="25"/>
  <c r="Q921" i="25" s="1"/>
  <c r="L921" i="25"/>
  <c r="M921" i="25"/>
  <c r="N921" i="25"/>
  <c r="O921" i="25"/>
  <c r="K922" i="25"/>
  <c r="Q922" i="25" s="1"/>
  <c r="L922" i="25"/>
  <c r="M922" i="25"/>
  <c r="N922" i="25"/>
  <c r="O922" i="25"/>
  <c r="K923" i="25"/>
  <c r="Q923" i="25" s="1"/>
  <c r="L923" i="25"/>
  <c r="M923" i="25"/>
  <c r="N923" i="25"/>
  <c r="O923" i="25"/>
  <c r="K924" i="25"/>
  <c r="Q924" i="25" s="1"/>
  <c r="L924" i="25"/>
  <c r="M924" i="25"/>
  <c r="N924" i="25"/>
  <c r="O924" i="25"/>
  <c r="K925" i="25"/>
  <c r="Q925" i="25" s="1"/>
  <c r="L925" i="25"/>
  <c r="M925" i="25"/>
  <c r="N925" i="25"/>
  <c r="O925" i="25"/>
  <c r="K926" i="25"/>
  <c r="Q926" i="25" s="1"/>
  <c r="L926" i="25"/>
  <c r="M926" i="25"/>
  <c r="N926" i="25"/>
  <c r="O926" i="25"/>
  <c r="K927" i="25"/>
  <c r="Q927" i="25" s="1"/>
  <c r="L927" i="25"/>
  <c r="M927" i="25"/>
  <c r="N927" i="25"/>
  <c r="O927" i="25"/>
  <c r="K928" i="25"/>
  <c r="L928" i="25"/>
  <c r="M928" i="25"/>
  <c r="N928" i="25"/>
  <c r="O928" i="25"/>
  <c r="K929" i="25"/>
  <c r="Q929" i="25" s="1"/>
  <c r="L929" i="25"/>
  <c r="M929" i="25"/>
  <c r="N929" i="25"/>
  <c r="O929" i="25"/>
  <c r="K930" i="25"/>
  <c r="Q930" i="25" s="1"/>
  <c r="L930" i="25"/>
  <c r="M930" i="25"/>
  <c r="N930" i="25"/>
  <c r="O930" i="25"/>
  <c r="K931" i="25"/>
  <c r="Q931" i="25" s="1"/>
  <c r="L931" i="25"/>
  <c r="M931" i="25"/>
  <c r="N931" i="25"/>
  <c r="O931" i="25"/>
  <c r="K932" i="25"/>
  <c r="Q932" i="25" s="1"/>
  <c r="L932" i="25"/>
  <c r="M932" i="25"/>
  <c r="N932" i="25"/>
  <c r="O932" i="25"/>
  <c r="K933" i="25"/>
  <c r="Q933" i="25" s="1"/>
  <c r="L933" i="25"/>
  <c r="M933" i="25"/>
  <c r="N933" i="25"/>
  <c r="O933" i="25"/>
  <c r="K934" i="25"/>
  <c r="Q934" i="25" s="1"/>
  <c r="L934" i="25"/>
  <c r="M934" i="25"/>
  <c r="N934" i="25"/>
  <c r="O934" i="25"/>
  <c r="K935" i="25"/>
  <c r="Q935" i="25" s="1"/>
  <c r="L935" i="25"/>
  <c r="M935" i="25"/>
  <c r="N935" i="25"/>
  <c r="O935" i="25"/>
  <c r="K936" i="25"/>
  <c r="Q936" i="25" s="1"/>
  <c r="L936" i="25"/>
  <c r="M936" i="25"/>
  <c r="N936" i="25"/>
  <c r="O936" i="25"/>
  <c r="K937" i="25"/>
  <c r="Q937" i="25" s="1"/>
  <c r="L937" i="25"/>
  <c r="M937" i="25"/>
  <c r="N937" i="25"/>
  <c r="O937" i="25"/>
  <c r="K938" i="25"/>
  <c r="Q938" i="25" s="1"/>
  <c r="L938" i="25"/>
  <c r="M938" i="25"/>
  <c r="N938" i="25"/>
  <c r="O938" i="25"/>
  <c r="K939" i="25"/>
  <c r="Q939" i="25" s="1"/>
  <c r="L939" i="25"/>
  <c r="M939" i="25"/>
  <c r="N939" i="25"/>
  <c r="O939" i="25"/>
  <c r="K940" i="25"/>
  <c r="Q940" i="25" s="1"/>
  <c r="L940" i="25"/>
  <c r="M940" i="25"/>
  <c r="N940" i="25"/>
  <c r="O940" i="25"/>
  <c r="K941" i="25"/>
  <c r="Q941" i="25" s="1"/>
  <c r="L941" i="25"/>
  <c r="M941" i="25"/>
  <c r="N941" i="25"/>
  <c r="O941" i="25"/>
  <c r="K942" i="25"/>
  <c r="Q942" i="25" s="1"/>
  <c r="L942" i="25"/>
  <c r="M942" i="25"/>
  <c r="N942" i="25"/>
  <c r="O942" i="25"/>
  <c r="K943" i="25"/>
  <c r="Q943" i="25" s="1"/>
  <c r="L943" i="25"/>
  <c r="M943" i="25"/>
  <c r="N943" i="25"/>
  <c r="O943" i="25"/>
  <c r="K944" i="25"/>
  <c r="Q944" i="25" s="1"/>
  <c r="L944" i="25"/>
  <c r="M944" i="25"/>
  <c r="N944" i="25"/>
  <c r="O944" i="25"/>
  <c r="K945" i="25"/>
  <c r="Q945" i="25" s="1"/>
  <c r="L945" i="25"/>
  <c r="M945" i="25"/>
  <c r="N945" i="25"/>
  <c r="O945" i="25"/>
  <c r="K946" i="25"/>
  <c r="Q946" i="25" s="1"/>
  <c r="L946" i="25"/>
  <c r="M946" i="25"/>
  <c r="N946" i="25"/>
  <c r="O946" i="25"/>
  <c r="K947" i="25"/>
  <c r="Q947" i="25" s="1"/>
  <c r="L947" i="25"/>
  <c r="M947" i="25"/>
  <c r="N947" i="25"/>
  <c r="O947" i="25"/>
  <c r="K948" i="25"/>
  <c r="Q948" i="25" s="1"/>
  <c r="L948" i="25"/>
  <c r="M948" i="25"/>
  <c r="N948" i="25"/>
  <c r="O948" i="25"/>
  <c r="K949" i="25"/>
  <c r="Q949" i="25" s="1"/>
  <c r="L949" i="25"/>
  <c r="M949" i="25"/>
  <c r="N949" i="25"/>
  <c r="O949" i="25"/>
  <c r="K950" i="25"/>
  <c r="Q950" i="25" s="1"/>
  <c r="L950" i="25"/>
  <c r="M950" i="25"/>
  <c r="N950" i="25"/>
  <c r="O950" i="25"/>
  <c r="K951" i="25"/>
  <c r="Q951" i="25" s="1"/>
  <c r="L951" i="25"/>
  <c r="M951" i="25"/>
  <c r="N951" i="25"/>
  <c r="O951" i="25"/>
  <c r="K952" i="25"/>
  <c r="Q952" i="25" s="1"/>
  <c r="L952" i="25"/>
  <c r="M952" i="25"/>
  <c r="N952" i="25"/>
  <c r="O952" i="25"/>
  <c r="K953" i="25"/>
  <c r="Q953" i="25" s="1"/>
  <c r="L953" i="25"/>
  <c r="M953" i="25"/>
  <c r="N953" i="25"/>
  <c r="O953" i="25"/>
  <c r="K954" i="25"/>
  <c r="Q954" i="25" s="1"/>
  <c r="L954" i="25"/>
  <c r="M954" i="25"/>
  <c r="N954" i="25"/>
  <c r="O954" i="25"/>
  <c r="K955" i="25"/>
  <c r="Q955" i="25" s="1"/>
  <c r="L955" i="25"/>
  <c r="M955" i="25"/>
  <c r="N955" i="25"/>
  <c r="O955" i="25"/>
  <c r="K956" i="25"/>
  <c r="Q956" i="25" s="1"/>
  <c r="L956" i="25"/>
  <c r="M956" i="25"/>
  <c r="N956" i="25"/>
  <c r="O956" i="25"/>
  <c r="K957" i="25"/>
  <c r="Q957" i="25" s="1"/>
  <c r="L957" i="25"/>
  <c r="M957" i="25"/>
  <c r="N957" i="25"/>
  <c r="O957" i="25"/>
  <c r="K958" i="25"/>
  <c r="Q958" i="25" s="1"/>
  <c r="L958" i="25"/>
  <c r="M958" i="25"/>
  <c r="N958" i="25"/>
  <c r="O958" i="25"/>
  <c r="K959" i="25"/>
  <c r="Q959" i="25" s="1"/>
  <c r="L959" i="25"/>
  <c r="M959" i="25"/>
  <c r="N959" i="25"/>
  <c r="O959" i="25"/>
  <c r="K960" i="25"/>
  <c r="Q960" i="25" s="1"/>
  <c r="L960" i="25"/>
  <c r="M960" i="25"/>
  <c r="N960" i="25"/>
  <c r="O960" i="25"/>
  <c r="K961" i="25"/>
  <c r="Q961" i="25" s="1"/>
  <c r="L961" i="25"/>
  <c r="M961" i="25"/>
  <c r="N961" i="25"/>
  <c r="O961" i="25"/>
  <c r="K962" i="25"/>
  <c r="Q962" i="25" s="1"/>
  <c r="L962" i="25"/>
  <c r="M962" i="25"/>
  <c r="N962" i="25"/>
  <c r="O962" i="25"/>
  <c r="K963" i="25"/>
  <c r="Q963" i="25" s="1"/>
  <c r="L963" i="25"/>
  <c r="M963" i="25"/>
  <c r="N963" i="25"/>
  <c r="O963" i="25"/>
  <c r="K964" i="25"/>
  <c r="L964" i="25"/>
  <c r="M964" i="25"/>
  <c r="N964" i="25"/>
  <c r="O964" i="25"/>
  <c r="K965" i="25"/>
  <c r="Q965" i="25" s="1"/>
  <c r="L965" i="25"/>
  <c r="M965" i="25"/>
  <c r="N965" i="25"/>
  <c r="O965" i="25"/>
  <c r="K966" i="25"/>
  <c r="Q966" i="25" s="1"/>
  <c r="L966" i="25"/>
  <c r="M966" i="25"/>
  <c r="N966" i="25"/>
  <c r="O966" i="25"/>
  <c r="K967" i="25"/>
  <c r="Q967" i="25" s="1"/>
  <c r="L967" i="25"/>
  <c r="M967" i="25"/>
  <c r="N967" i="25"/>
  <c r="O967" i="25"/>
  <c r="K968" i="25"/>
  <c r="Q968" i="25" s="1"/>
  <c r="L968" i="25"/>
  <c r="M968" i="25"/>
  <c r="N968" i="25"/>
  <c r="O968" i="25"/>
  <c r="K969" i="25"/>
  <c r="Q969" i="25" s="1"/>
  <c r="L969" i="25"/>
  <c r="M969" i="25"/>
  <c r="N969" i="25"/>
  <c r="O969" i="25"/>
  <c r="K970" i="25"/>
  <c r="Q970" i="25" s="1"/>
  <c r="L970" i="25"/>
  <c r="M970" i="25"/>
  <c r="N970" i="25"/>
  <c r="O970" i="25"/>
  <c r="K971" i="25"/>
  <c r="Q971" i="25" s="1"/>
  <c r="L971" i="25"/>
  <c r="M971" i="25"/>
  <c r="N971" i="25"/>
  <c r="O971" i="25"/>
  <c r="K972" i="25"/>
  <c r="Q972" i="25" s="1"/>
  <c r="L972" i="25"/>
  <c r="M972" i="25"/>
  <c r="N972" i="25"/>
  <c r="O972" i="25"/>
  <c r="K973" i="25"/>
  <c r="Q973" i="25" s="1"/>
  <c r="L973" i="25"/>
  <c r="M973" i="25"/>
  <c r="N973" i="25"/>
  <c r="O973" i="25"/>
  <c r="K974" i="25"/>
  <c r="Q974" i="25" s="1"/>
  <c r="L974" i="25"/>
  <c r="M974" i="25"/>
  <c r="N974" i="25"/>
  <c r="O974" i="25"/>
  <c r="K975" i="25"/>
  <c r="Q975" i="25" s="1"/>
  <c r="L975" i="25"/>
  <c r="M975" i="25"/>
  <c r="N975" i="25"/>
  <c r="O975" i="25"/>
  <c r="K976" i="25"/>
  <c r="Q976" i="25" s="1"/>
  <c r="L976" i="25"/>
  <c r="M976" i="25"/>
  <c r="N976" i="25"/>
  <c r="O976" i="25"/>
  <c r="K977" i="25"/>
  <c r="Q977" i="25" s="1"/>
  <c r="L977" i="25"/>
  <c r="M977" i="25"/>
  <c r="N977" i="25"/>
  <c r="O977" i="25"/>
  <c r="K978" i="25"/>
  <c r="Q978" i="25" s="1"/>
  <c r="L978" i="25"/>
  <c r="M978" i="25"/>
  <c r="N978" i="25"/>
  <c r="O978" i="25"/>
  <c r="K979" i="25"/>
  <c r="Q979" i="25" s="1"/>
  <c r="L979" i="25"/>
  <c r="M979" i="25"/>
  <c r="N979" i="25"/>
  <c r="O979" i="25"/>
  <c r="K980" i="25"/>
  <c r="Q980" i="25" s="1"/>
  <c r="L980" i="25"/>
  <c r="M980" i="25"/>
  <c r="N980" i="25"/>
  <c r="O980" i="25"/>
  <c r="K981" i="25"/>
  <c r="Q981" i="25" s="1"/>
  <c r="L981" i="25"/>
  <c r="M981" i="25"/>
  <c r="N981" i="25"/>
  <c r="O981" i="25"/>
  <c r="K982" i="25"/>
  <c r="Q982" i="25" s="1"/>
  <c r="L982" i="25"/>
  <c r="M982" i="25"/>
  <c r="N982" i="25"/>
  <c r="O982" i="25"/>
  <c r="K983" i="25"/>
  <c r="Q983" i="25" s="1"/>
  <c r="L983" i="25"/>
  <c r="M983" i="25"/>
  <c r="N983" i="25"/>
  <c r="O983" i="25"/>
  <c r="K984" i="25"/>
  <c r="Q984" i="25" s="1"/>
  <c r="L984" i="25"/>
  <c r="M984" i="25"/>
  <c r="N984" i="25"/>
  <c r="O984" i="25"/>
  <c r="K985" i="25"/>
  <c r="Q985" i="25" s="1"/>
  <c r="L985" i="25"/>
  <c r="M985" i="25"/>
  <c r="N985" i="25"/>
  <c r="O985" i="25"/>
  <c r="K986" i="25"/>
  <c r="Q986" i="25" s="1"/>
  <c r="L986" i="25"/>
  <c r="M986" i="25"/>
  <c r="N986" i="25"/>
  <c r="O986" i="25"/>
  <c r="K987" i="25"/>
  <c r="Q987" i="25" s="1"/>
  <c r="L987" i="25"/>
  <c r="M987" i="25"/>
  <c r="N987" i="25"/>
  <c r="O987" i="25"/>
  <c r="K988" i="25"/>
  <c r="Q988" i="25" s="1"/>
  <c r="L988" i="25"/>
  <c r="M988" i="25"/>
  <c r="N988" i="25"/>
  <c r="O988" i="25"/>
  <c r="K989" i="25"/>
  <c r="Q989" i="25" s="1"/>
  <c r="L989" i="25"/>
  <c r="M989" i="25"/>
  <c r="N989" i="25"/>
  <c r="O989" i="25"/>
  <c r="K990" i="25"/>
  <c r="Q990" i="25" s="1"/>
  <c r="L990" i="25"/>
  <c r="M990" i="25"/>
  <c r="N990" i="25"/>
  <c r="O990" i="25"/>
  <c r="K991" i="25"/>
  <c r="Q991" i="25" s="1"/>
  <c r="L991" i="25"/>
  <c r="M991" i="25"/>
  <c r="N991" i="25"/>
  <c r="O991" i="25"/>
  <c r="K992" i="25"/>
  <c r="Q992" i="25" s="1"/>
  <c r="L992" i="25"/>
  <c r="M992" i="25"/>
  <c r="N992" i="25"/>
  <c r="O992" i="25"/>
  <c r="K993" i="25"/>
  <c r="Q993" i="25" s="1"/>
  <c r="L993" i="25"/>
  <c r="M993" i="25"/>
  <c r="N993" i="25"/>
  <c r="O993" i="25"/>
  <c r="K994" i="25"/>
  <c r="Q994" i="25" s="1"/>
  <c r="L994" i="25"/>
  <c r="M994" i="25"/>
  <c r="N994" i="25"/>
  <c r="O994" i="25"/>
  <c r="K995" i="25"/>
  <c r="Q995" i="25" s="1"/>
  <c r="L995" i="25"/>
  <c r="M995" i="25"/>
  <c r="N995" i="25"/>
  <c r="O995" i="25"/>
  <c r="K996" i="25"/>
  <c r="Q996" i="25" s="1"/>
  <c r="L996" i="25"/>
  <c r="M996" i="25"/>
  <c r="N996" i="25"/>
  <c r="O996" i="25"/>
  <c r="K997" i="25"/>
  <c r="Q997" i="25" s="1"/>
  <c r="L997" i="25"/>
  <c r="M997" i="25"/>
  <c r="N997" i="25"/>
  <c r="O997" i="25"/>
  <c r="K998" i="25"/>
  <c r="Q998" i="25" s="1"/>
  <c r="L998" i="25"/>
  <c r="M998" i="25"/>
  <c r="N998" i="25"/>
  <c r="O998" i="25"/>
  <c r="K999" i="25"/>
  <c r="Q999" i="25" s="1"/>
  <c r="L999" i="25"/>
  <c r="M999" i="25"/>
  <c r="N999" i="25"/>
  <c r="O999" i="25"/>
  <c r="K1000" i="25"/>
  <c r="Q1000" i="25" s="1"/>
  <c r="L1000" i="25"/>
  <c r="M1000" i="25"/>
  <c r="N1000" i="25"/>
  <c r="O1000" i="25"/>
  <c r="K1001" i="25"/>
  <c r="Q1001" i="25" s="1"/>
  <c r="L1001" i="25"/>
  <c r="M1001" i="25"/>
  <c r="N1001" i="25"/>
  <c r="O1001" i="25"/>
  <c r="K1002" i="25"/>
  <c r="Q1002" i="25" s="1"/>
  <c r="L1002" i="25"/>
  <c r="M1002" i="25"/>
  <c r="N1002" i="25"/>
  <c r="O1002" i="25"/>
  <c r="K1003" i="25"/>
  <c r="Q1003" i="25" s="1"/>
  <c r="L1003" i="25"/>
  <c r="M1003" i="25"/>
  <c r="N1003" i="25"/>
  <c r="O1003" i="25"/>
  <c r="K1004" i="25"/>
  <c r="Q1004" i="25" s="1"/>
  <c r="L1004" i="25"/>
  <c r="M1004" i="25"/>
  <c r="N1004" i="25"/>
  <c r="O1004" i="25"/>
  <c r="K1005" i="25"/>
  <c r="Q1005" i="25" s="1"/>
  <c r="L1005" i="25"/>
  <c r="M1005" i="25"/>
  <c r="N1005" i="25"/>
  <c r="O1005" i="25"/>
  <c r="K1006" i="25"/>
  <c r="Q1006" i="25" s="1"/>
  <c r="L1006" i="25"/>
  <c r="M1006" i="25"/>
  <c r="N1006" i="25"/>
  <c r="O1006" i="25"/>
  <c r="K1007" i="25"/>
  <c r="Q1007" i="25" s="1"/>
  <c r="L1007" i="25"/>
  <c r="M1007" i="25"/>
  <c r="N1007" i="25"/>
  <c r="O1007" i="25"/>
  <c r="K1008" i="25"/>
  <c r="Q1008" i="25" s="1"/>
  <c r="L1008" i="25"/>
  <c r="M1008" i="25"/>
  <c r="N1008" i="25"/>
  <c r="O1008" i="25"/>
  <c r="K1009" i="25"/>
  <c r="Q1009" i="25" s="1"/>
  <c r="L1009" i="25"/>
  <c r="M1009" i="25"/>
  <c r="N1009" i="25"/>
  <c r="O1009" i="25"/>
  <c r="K1010" i="25"/>
  <c r="Q1010" i="25" s="1"/>
  <c r="L1010" i="25"/>
  <c r="M1010" i="25"/>
  <c r="N1010" i="25"/>
  <c r="O1010" i="25"/>
  <c r="K1011" i="25"/>
  <c r="Q1011" i="25" s="1"/>
  <c r="L1011" i="25"/>
  <c r="M1011" i="25"/>
  <c r="N1011" i="25"/>
  <c r="O1011" i="25"/>
  <c r="K1012" i="25"/>
  <c r="Q1012" i="25" s="1"/>
  <c r="L1012" i="25"/>
  <c r="M1012" i="25"/>
  <c r="N1012" i="25"/>
  <c r="O1012" i="25"/>
  <c r="K1013" i="25"/>
  <c r="L1013" i="25"/>
  <c r="M1013" i="25"/>
  <c r="N1013" i="25"/>
  <c r="O1013" i="25"/>
  <c r="K1014" i="25"/>
  <c r="Q1014" i="25" s="1"/>
  <c r="L1014" i="25"/>
  <c r="M1014" i="25"/>
  <c r="N1014" i="25"/>
  <c r="O1014" i="25"/>
  <c r="K1015" i="25"/>
  <c r="Q1015" i="25" s="1"/>
  <c r="L1015" i="25"/>
  <c r="M1015" i="25"/>
  <c r="N1015" i="25"/>
  <c r="O1015" i="25"/>
  <c r="K1016" i="25"/>
  <c r="Q1016" i="25" s="1"/>
  <c r="L1016" i="25"/>
  <c r="M1016" i="25"/>
  <c r="N1016" i="25"/>
  <c r="O1016" i="25"/>
  <c r="K1017" i="25"/>
  <c r="Q1017" i="25" s="1"/>
  <c r="L1017" i="25"/>
  <c r="M1017" i="25"/>
  <c r="N1017" i="25"/>
  <c r="O1017" i="25"/>
  <c r="K1018" i="25"/>
  <c r="Q1018" i="25" s="1"/>
  <c r="L1018" i="25"/>
  <c r="M1018" i="25"/>
  <c r="N1018" i="25"/>
  <c r="O1018" i="25"/>
  <c r="K1019" i="25"/>
  <c r="Q1019" i="25" s="1"/>
  <c r="L1019" i="25"/>
  <c r="M1019" i="25"/>
  <c r="N1019" i="25"/>
  <c r="O1019" i="25"/>
  <c r="K1020" i="25"/>
  <c r="Q1020" i="25" s="1"/>
  <c r="L1020" i="25"/>
  <c r="M1020" i="25"/>
  <c r="N1020" i="25"/>
  <c r="O1020" i="25"/>
  <c r="K1021" i="25"/>
  <c r="Q1021" i="25" s="1"/>
  <c r="L1021" i="25"/>
  <c r="M1021" i="25"/>
  <c r="N1021" i="25"/>
  <c r="O1021" i="25"/>
  <c r="K1022" i="25"/>
  <c r="Q1022" i="25" s="1"/>
  <c r="L1022" i="25"/>
  <c r="M1022" i="25"/>
  <c r="N1022" i="25"/>
  <c r="O1022" i="25"/>
  <c r="K1023" i="25"/>
  <c r="Q1023" i="25" s="1"/>
  <c r="L1023" i="25"/>
  <c r="M1023" i="25"/>
  <c r="N1023" i="25"/>
  <c r="O1023" i="25"/>
  <c r="K1024" i="25"/>
  <c r="Q1024" i="25" s="1"/>
  <c r="L1024" i="25"/>
  <c r="M1024" i="25"/>
  <c r="N1024" i="25"/>
  <c r="O1024" i="25"/>
  <c r="K1025" i="25"/>
  <c r="Q1025" i="25" s="1"/>
  <c r="L1025" i="25"/>
  <c r="M1025" i="25"/>
  <c r="N1025" i="25"/>
  <c r="O1025" i="25"/>
  <c r="K1026" i="25"/>
  <c r="Q1026" i="25" s="1"/>
  <c r="L1026" i="25"/>
  <c r="M1026" i="25"/>
  <c r="N1026" i="25"/>
  <c r="O1026" i="25"/>
  <c r="K1027" i="25"/>
  <c r="Q1027" i="25" s="1"/>
  <c r="L1027" i="25"/>
  <c r="M1027" i="25"/>
  <c r="N1027" i="25"/>
  <c r="O1027" i="25"/>
  <c r="K1028" i="25"/>
  <c r="Q1028" i="25" s="1"/>
  <c r="L1028" i="25"/>
  <c r="M1028" i="25"/>
  <c r="N1028" i="25"/>
  <c r="O1028" i="25"/>
  <c r="K1029" i="25"/>
  <c r="Q1029" i="25" s="1"/>
  <c r="L1029" i="25"/>
  <c r="M1029" i="25"/>
  <c r="N1029" i="25"/>
  <c r="O1029" i="25"/>
  <c r="K1030" i="25"/>
  <c r="Q1030" i="25" s="1"/>
  <c r="L1030" i="25"/>
  <c r="M1030" i="25"/>
  <c r="N1030" i="25"/>
  <c r="O1030" i="25"/>
  <c r="K1031" i="25"/>
  <c r="Q1031" i="25" s="1"/>
  <c r="L1031" i="25"/>
  <c r="M1031" i="25"/>
  <c r="N1031" i="25"/>
  <c r="O1031" i="25"/>
  <c r="K1032" i="25"/>
  <c r="Q1032" i="25" s="1"/>
  <c r="L1032" i="25"/>
  <c r="M1032" i="25"/>
  <c r="N1032" i="25"/>
  <c r="O1032" i="25"/>
  <c r="K1033" i="25"/>
  <c r="Q1033" i="25" s="1"/>
  <c r="L1033" i="25"/>
  <c r="M1033" i="25"/>
  <c r="N1033" i="25"/>
  <c r="O1033" i="25"/>
  <c r="K1034" i="25"/>
  <c r="Q1034" i="25" s="1"/>
  <c r="L1034" i="25"/>
  <c r="M1034" i="25"/>
  <c r="N1034" i="25"/>
  <c r="O1034" i="25"/>
  <c r="K1035" i="25"/>
  <c r="Q1035" i="25" s="1"/>
  <c r="L1035" i="25"/>
  <c r="M1035" i="25"/>
  <c r="N1035" i="25"/>
  <c r="O1035" i="25"/>
  <c r="K1036" i="25"/>
  <c r="Q1036" i="25" s="1"/>
  <c r="L1036" i="25"/>
  <c r="M1036" i="25"/>
  <c r="N1036" i="25"/>
  <c r="O1036" i="25"/>
  <c r="K1037" i="25"/>
  <c r="Q1037" i="25" s="1"/>
  <c r="L1037" i="25"/>
  <c r="M1037" i="25"/>
  <c r="N1037" i="25"/>
  <c r="O1037" i="25"/>
  <c r="K1038" i="25"/>
  <c r="Q1038" i="25" s="1"/>
  <c r="L1038" i="25"/>
  <c r="M1038" i="25"/>
  <c r="N1038" i="25"/>
  <c r="O1038" i="25"/>
  <c r="K1039" i="25"/>
  <c r="Q1039" i="25" s="1"/>
  <c r="L1039" i="25"/>
  <c r="M1039" i="25"/>
  <c r="N1039" i="25"/>
  <c r="O1039" i="25"/>
  <c r="K1040" i="25"/>
  <c r="Q1040" i="25" s="1"/>
  <c r="L1040" i="25"/>
  <c r="M1040" i="25"/>
  <c r="N1040" i="25"/>
  <c r="O1040" i="25"/>
  <c r="K1041" i="25"/>
  <c r="Q1041" i="25" s="1"/>
  <c r="L1041" i="25"/>
  <c r="M1041" i="25"/>
  <c r="N1041" i="25"/>
  <c r="O1041" i="25"/>
  <c r="K1042" i="25"/>
  <c r="Q1042" i="25" s="1"/>
  <c r="L1042" i="25"/>
  <c r="M1042" i="25"/>
  <c r="N1042" i="25"/>
  <c r="O1042" i="25"/>
  <c r="K1043" i="25"/>
  <c r="Q1043" i="25" s="1"/>
  <c r="L1043" i="25"/>
  <c r="M1043" i="25"/>
  <c r="N1043" i="25"/>
  <c r="O1043" i="25"/>
  <c r="K1044" i="25"/>
  <c r="Q1044" i="25" s="1"/>
  <c r="L1044" i="25"/>
  <c r="M1044" i="25"/>
  <c r="N1044" i="25"/>
  <c r="O1044" i="25"/>
  <c r="K1045" i="25"/>
  <c r="Q1045" i="25" s="1"/>
  <c r="L1045" i="25"/>
  <c r="M1045" i="25"/>
  <c r="N1045" i="25"/>
  <c r="O1045" i="25"/>
  <c r="K1046" i="25"/>
  <c r="Q1046" i="25" s="1"/>
  <c r="L1046" i="25"/>
  <c r="M1046" i="25"/>
  <c r="N1046" i="25"/>
  <c r="O1046" i="25"/>
  <c r="K1047" i="25"/>
  <c r="Q1047" i="25" s="1"/>
  <c r="L1047" i="25"/>
  <c r="M1047" i="25"/>
  <c r="N1047" i="25"/>
  <c r="O1047" i="25"/>
  <c r="K1048" i="25"/>
  <c r="Q1048" i="25" s="1"/>
  <c r="L1048" i="25"/>
  <c r="M1048" i="25"/>
  <c r="N1048" i="25"/>
  <c r="O1048" i="25"/>
  <c r="K1049" i="25"/>
  <c r="Q1049" i="25" s="1"/>
  <c r="L1049" i="25"/>
  <c r="M1049" i="25"/>
  <c r="N1049" i="25"/>
  <c r="O1049" i="25"/>
  <c r="K1050" i="25"/>
  <c r="Q1050" i="25" s="1"/>
  <c r="L1050" i="25"/>
  <c r="M1050" i="25"/>
  <c r="N1050" i="25"/>
  <c r="O1050" i="25"/>
  <c r="K1051" i="25"/>
  <c r="Q1051" i="25" s="1"/>
  <c r="L1051" i="25"/>
  <c r="M1051" i="25"/>
  <c r="N1051" i="25"/>
  <c r="O1051" i="25"/>
  <c r="K1052" i="25"/>
  <c r="Q1052" i="25" s="1"/>
  <c r="L1052" i="25"/>
  <c r="M1052" i="25"/>
  <c r="N1052" i="25"/>
  <c r="O1052" i="25"/>
  <c r="K1053" i="25"/>
  <c r="Q1053" i="25" s="1"/>
  <c r="L1053" i="25"/>
  <c r="M1053" i="25"/>
  <c r="N1053" i="25"/>
  <c r="O1053" i="25"/>
  <c r="K1054" i="25"/>
  <c r="Q1054" i="25" s="1"/>
  <c r="L1054" i="25"/>
  <c r="M1054" i="25"/>
  <c r="N1054" i="25"/>
  <c r="O1054" i="25"/>
  <c r="K1055" i="25"/>
  <c r="L1055" i="25"/>
  <c r="M1055" i="25"/>
  <c r="N1055" i="25"/>
  <c r="O1055" i="25"/>
  <c r="K1056" i="25"/>
  <c r="Q1056" i="25" s="1"/>
  <c r="L1056" i="25"/>
  <c r="M1056" i="25"/>
  <c r="N1056" i="25"/>
  <c r="O1056" i="25"/>
  <c r="K1057" i="25"/>
  <c r="Q1057" i="25" s="1"/>
  <c r="L1057" i="25"/>
  <c r="M1057" i="25"/>
  <c r="N1057" i="25"/>
  <c r="O1057" i="25"/>
  <c r="K1058" i="25"/>
  <c r="Q1058" i="25" s="1"/>
  <c r="L1058" i="25"/>
  <c r="M1058" i="25"/>
  <c r="N1058" i="25"/>
  <c r="O1058" i="25"/>
  <c r="K1059" i="25"/>
  <c r="Q1059" i="25" s="1"/>
  <c r="L1059" i="25"/>
  <c r="M1059" i="25"/>
  <c r="N1059" i="25"/>
  <c r="O1059" i="25"/>
  <c r="K1060" i="25"/>
  <c r="Q1060" i="25" s="1"/>
  <c r="L1060" i="25"/>
  <c r="M1060" i="25"/>
  <c r="N1060" i="25"/>
  <c r="O1060" i="25"/>
  <c r="K1061" i="25"/>
  <c r="Q1061" i="25" s="1"/>
  <c r="L1061" i="25"/>
  <c r="M1061" i="25"/>
  <c r="N1061" i="25"/>
  <c r="O1061" i="25"/>
  <c r="K1062" i="25"/>
  <c r="Q1062" i="25" s="1"/>
  <c r="L1062" i="25"/>
  <c r="M1062" i="25"/>
  <c r="N1062" i="25"/>
  <c r="O1062" i="25"/>
  <c r="K1063" i="25"/>
  <c r="Q1063" i="25" s="1"/>
  <c r="L1063" i="25"/>
  <c r="M1063" i="25"/>
  <c r="N1063" i="25"/>
  <c r="O1063" i="25"/>
  <c r="K1064" i="25"/>
  <c r="Q1064" i="25" s="1"/>
  <c r="L1064" i="25"/>
  <c r="M1064" i="25"/>
  <c r="N1064" i="25"/>
  <c r="O1064" i="25"/>
  <c r="K1065" i="25"/>
  <c r="Q1065" i="25" s="1"/>
  <c r="L1065" i="25"/>
  <c r="M1065" i="25"/>
  <c r="N1065" i="25"/>
  <c r="O1065" i="25"/>
  <c r="K1066" i="25"/>
  <c r="Q1066" i="25" s="1"/>
  <c r="L1066" i="25"/>
  <c r="M1066" i="25"/>
  <c r="N1066" i="25"/>
  <c r="O1066" i="25"/>
  <c r="K1067" i="25"/>
  <c r="Q1067" i="25" s="1"/>
  <c r="L1067" i="25"/>
  <c r="M1067" i="25"/>
  <c r="N1067" i="25"/>
  <c r="O1067" i="25"/>
  <c r="K1068" i="25"/>
  <c r="Q1068" i="25" s="1"/>
  <c r="L1068" i="25"/>
  <c r="M1068" i="25"/>
  <c r="N1068" i="25"/>
  <c r="O1068" i="25"/>
  <c r="K1069" i="25"/>
  <c r="Q1069" i="25" s="1"/>
  <c r="L1069" i="25"/>
  <c r="M1069" i="25"/>
  <c r="N1069" i="25"/>
  <c r="O1069" i="25"/>
  <c r="K1070" i="25"/>
  <c r="Q1070" i="25" s="1"/>
  <c r="L1070" i="25"/>
  <c r="M1070" i="25"/>
  <c r="N1070" i="25"/>
  <c r="O1070" i="25"/>
  <c r="K1071" i="25"/>
  <c r="Q1071" i="25" s="1"/>
  <c r="L1071" i="25"/>
  <c r="M1071" i="25"/>
  <c r="N1071" i="25"/>
  <c r="O1071" i="25"/>
  <c r="K1072" i="25"/>
  <c r="Q1072" i="25" s="1"/>
  <c r="L1072" i="25"/>
  <c r="M1072" i="25"/>
  <c r="N1072" i="25"/>
  <c r="O1072" i="25"/>
  <c r="K1073" i="25"/>
  <c r="Q1073" i="25" s="1"/>
  <c r="L1073" i="25"/>
  <c r="M1073" i="25"/>
  <c r="N1073" i="25"/>
  <c r="O1073" i="25"/>
  <c r="K1074" i="25"/>
  <c r="Q1074" i="25" s="1"/>
  <c r="L1074" i="25"/>
  <c r="M1074" i="25"/>
  <c r="N1074" i="25"/>
  <c r="O1074" i="25"/>
  <c r="K1075" i="25"/>
  <c r="Q1075" i="25" s="1"/>
  <c r="L1075" i="25"/>
  <c r="M1075" i="25"/>
  <c r="N1075" i="25"/>
  <c r="O1075" i="25"/>
  <c r="K1076" i="25"/>
  <c r="Q1076" i="25" s="1"/>
  <c r="L1076" i="25"/>
  <c r="M1076" i="25"/>
  <c r="N1076" i="25"/>
  <c r="O1076" i="25"/>
  <c r="K1077" i="25"/>
  <c r="Q1077" i="25" s="1"/>
  <c r="L1077" i="25"/>
  <c r="M1077" i="25"/>
  <c r="N1077" i="25"/>
  <c r="O1077" i="25"/>
  <c r="K1078" i="25"/>
  <c r="L1078" i="25"/>
  <c r="M1078" i="25"/>
  <c r="N1078" i="25"/>
  <c r="O1078" i="25"/>
  <c r="K1079" i="25"/>
  <c r="Q1079" i="25" s="1"/>
  <c r="L1079" i="25"/>
  <c r="M1079" i="25"/>
  <c r="N1079" i="25"/>
  <c r="O1079" i="25"/>
  <c r="K1080" i="25"/>
  <c r="Q1080" i="25" s="1"/>
  <c r="L1080" i="25"/>
  <c r="M1080" i="25"/>
  <c r="N1080" i="25"/>
  <c r="O1080" i="25"/>
  <c r="K1081" i="25"/>
  <c r="Q1081" i="25" s="1"/>
  <c r="L1081" i="25"/>
  <c r="M1081" i="25"/>
  <c r="N1081" i="25"/>
  <c r="O1081" i="25"/>
  <c r="K1082" i="25"/>
  <c r="Q1082" i="25" s="1"/>
  <c r="L1082" i="25"/>
  <c r="M1082" i="25"/>
  <c r="N1082" i="25"/>
  <c r="O1082" i="25"/>
  <c r="K1083" i="25"/>
  <c r="Q1083" i="25" s="1"/>
  <c r="L1083" i="25"/>
  <c r="M1083" i="25"/>
  <c r="N1083" i="25"/>
  <c r="O1083" i="25"/>
  <c r="K1084" i="25"/>
  <c r="Q1084" i="25" s="1"/>
  <c r="L1084" i="25"/>
  <c r="M1084" i="25"/>
  <c r="N1084" i="25"/>
  <c r="O1084" i="25"/>
  <c r="K1085" i="25"/>
  <c r="L1085" i="25"/>
  <c r="M1085" i="25"/>
  <c r="N1085" i="25"/>
  <c r="O1085" i="25"/>
  <c r="K1086" i="25"/>
  <c r="Q1086" i="25" s="1"/>
  <c r="L1086" i="25"/>
  <c r="M1086" i="25"/>
  <c r="N1086" i="25"/>
  <c r="O1086" i="25"/>
  <c r="K1087" i="25"/>
  <c r="Q1087" i="25" s="1"/>
  <c r="L1087" i="25"/>
  <c r="M1087" i="25"/>
  <c r="N1087" i="25"/>
  <c r="O1087" i="25"/>
  <c r="K1088" i="25"/>
  <c r="Q1088" i="25" s="1"/>
  <c r="L1088" i="25"/>
  <c r="M1088" i="25"/>
  <c r="N1088" i="25"/>
  <c r="O1088" i="25"/>
  <c r="K1089" i="25"/>
  <c r="Q1089" i="25" s="1"/>
  <c r="L1089" i="25"/>
  <c r="M1089" i="25"/>
  <c r="N1089" i="25"/>
  <c r="O1089" i="25"/>
  <c r="K1090" i="25"/>
  <c r="Q1090" i="25" s="1"/>
  <c r="L1090" i="25"/>
  <c r="M1090" i="25"/>
  <c r="N1090" i="25"/>
  <c r="O1090" i="25"/>
  <c r="K1091" i="25"/>
  <c r="Q1091" i="25" s="1"/>
  <c r="L1091" i="25"/>
  <c r="M1091" i="25"/>
  <c r="N1091" i="25"/>
  <c r="O1091" i="25"/>
  <c r="K1092" i="25"/>
  <c r="Q1092" i="25" s="1"/>
  <c r="L1092" i="25"/>
  <c r="M1092" i="25"/>
  <c r="N1092" i="25"/>
  <c r="O1092" i="25"/>
  <c r="K1093" i="25"/>
  <c r="Q1093" i="25" s="1"/>
  <c r="L1093" i="25"/>
  <c r="M1093" i="25"/>
  <c r="N1093" i="25"/>
  <c r="O1093" i="25"/>
  <c r="K1094" i="25"/>
  <c r="Q1094" i="25" s="1"/>
  <c r="L1094" i="25"/>
  <c r="M1094" i="25"/>
  <c r="N1094" i="25"/>
  <c r="O1094" i="25"/>
  <c r="K1095" i="25"/>
  <c r="Q1095" i="25" s="1"/>
  <c r="L1095" i="25"/>
  <c r="M1095" i="25"/>
  <c r="N1095" i="25"/>
  <c r="O1095" i="25"/>
  <c r="K1096" i="25"/>
  <c r="Q1096" i="25" s="1"/>
  <c r="L1096" i="25"/>
  <c r="M1096" i="25"/>
  <c r="N1096" i="25"/>
  <c r="O1096" i="25"/>
  <c r="K1097" i="25"/>
  <c r="Q1097" i="25" s="1"/>
  <c r="L1097" i="25"/>
  <c r="M1097" i="25"/>
  <c r="N1097" i="25"/>
  <c r="O1097" i="25"/>
  <c r="K1098" i="25"/>
  <c r="Q1098" i="25" s="1"/>
  <c r="L1098" i="25"/>
  <c r="M1098" i="25"/>
  <c r="N1098" i="25"/>
  <c r="O1098" i="25"/>
  <c r="K1099" i="25"/>
  <c r="Q1099" i="25" s="1"/>
  <c r="L1099" i="25"/>
  <c r="M1099" i="25"/>
  <c r="N1099" i="25"/>
  <c r="O1099" i="25"/>
  <c r="K1100" i="25"/>
  <c r="Q1100" i="25" s="1"/>
  <c r="L1100" i="25"/>
  <c r="M1100" i="25"/>
  <c r="N1100" i="25"/>
  <c r="O1100" i="25"/>
  <c r="K1101" i="25"/>
  <c r="Q1101" i="25" s="1"/>
  <c r="L1101" i="25"/>
  <c r="M1101" i="25"/>
  <c r="N1101" i="25"/>
  <c r="O1101" i="25"/>
  <c r="K1102" i="25"/>
  <c r="Q1102" i="25" s="1"/>
  <c r="L1102" i="25"/>
  <c r="M1102" i="25"/>
  <c r="N1102" i="25"/>
  <c r="O1102" i="25"/>
  <c r="K1103" i="25"/>
  <c r="Q1103" i="25" s="1"/>
  <c r="L1103" i="25"/>
  <c r="M1103" i="25"/>
  <c r="N1103" i="25"/>
  <c r="O1103" i="25"/>
  <c r="K1104" i="25"/>
  <c r="Q1104" i="25" s="1"/>
  <c r="L1104" i="25"/>
  <c r="M1104" i="25"/>
  <c r="N1104" i="25"/>
  <c r="O1104" i="25"/>
  <c r="K1105" i="25"/>
  <c r="Q1105" i="25" s="1"/>
  <c r="L1105" i="25"/>
  <c r="M1105" i="25"/>
  <c r="N1105" i="25"/>
  <c r="O1105" i="25"/>
  <c r="K1106" i="25"/>
  <c r="Q1106" i="25" s="1"/>
  <c r="L1106" i="25"/>
  <c r="M1106" i="25"/>
  <c r="N1106" i="25"/>
  <c r="O1106" i="25"/>
  <c r="K1107" i="25"/>
  <c r="Q1107" i="25" s="1"/>
  <c r="L1107" i="25"/>
  <c r="M1107" i="25"/>
  <c r="N1107" i="25"/>
  <c r="O1107" i="25"/>
  <c r="K1108" i="25"/>
  <c r="Q1108" i="25" s="1"/>
  <c r="L1108" i="25"/>
  <c r="M1108" i="25"/>
  <c r="N1108" i="25"/>
  <c r="O1108" i="25"/>
  <c r="K1109" i="25"/>
  <c r="Q1109" i="25" s="1"/>
  <c r="L1109" i="25"/>
  <c r="M1109" i="25"/>
  <c r="N1109" i="25"/>
  <c r="O1109" i="25"/>
  <c r="K1110" i="25"/>
  <c r="Q1110" i="25" s="1"/>
  <c r="L1110" i="25"/>
  <c r="M1110" i="25"/>
  <c r="N1110" i="25"/>
  <c r="O1110" i="25"/>
  <c r="K1111" i="25"/>
  <c r="Q1111" i="25" s="1"/>
  <c r="L1111" i="25"/>
  <c r="M1111" i="25"/>
  <c r="N1111" i="25"/>
  <c r="O1111" i="25"/>
  <c r="K1112" i="25"/>
  <c r="Q1112" i="25" s="1"/>
  <c r="L1112" i="25"/>
  <c r="M1112" i="25"/>
  <c r="N1112" i="25"/>
  <c r="O1112" i="25"/>
  <c r="K1113" i="25"/>
  <c r="Q1113" i="25" s="1"/>
  <c r="L1113" i="25"/>
  <c r="M1113" i="25"/>
  <c r="N1113" i="25"/>
  <c r="O1113" i="25"/>
  <c r="K1114" i="25"/>
  <c r="L1114" i="25"/>
  <c r="M1114" i="25"/>
  <c r="N1114" i="25"/>
  <c r="O1114" i="25"/>
  <c r="K1115" i="25"/>
  <c r="Q1115" i="25" s="1"/>
  <c r="L1115" i="25"/>
  <c r="M1115" i="25"/>
  <c r="N1115" i="25"/>
  <c r="O1115" i="25"/>
  <c r="K1116" i="25"/>
  <c r="Q1116" i="25" s="1"/>
  <c r="L1116" i="25"/>
  <c r="M1116" i="25"/>
  <c r="N1116" i="25"/>
  <c r="O1116" i="25"/>
  <c r="K1117" i="25"/>
  <c r="Q1117" i="25" s="1"/>
  <c r="L1117" i="25"/>
  <c r="M1117" i="25"/>
  <c r="N1117" i="25"/>
  <c r="O1117" i="25"/>
  <c r="K1118" i="25"/>
  <c r="Q1118" i="25" s="1"/>
  <c r="L1118" i="25"/>
  <c r="M1118" i="25"/>
  <c r="N1118" i="25"/>
  <c r="O1118" i="25"/>
  <c r="K1119" i="25"/>
  <c r="Q1119" i="25" s="1"/>
  <c r="L1119" i="25"/>
  <c r="M1119" i="25"/>
  <c r="N1119" i="25"/>
  <c r="O1119" i="25"/>
  <c r="K1120" i="25"/>
  <c r="Q1120" i="25" s="1"/>
  <c r="L1120" i="25"/>
  <c r="M1120" i="25"/>
  <c r="N1120" i="25"/>
  <c r="O1120" i="25"/>
  <c r="K1121" i="25"/>
  <c r="Q1121" i="25" s="1"/>
  <c r="L1121" i="25"/>
  <c r="M1121" i="25"/>
  <c r="N1121" i="25"/>
  <c r="O1121" i="25"/>
  <c r="K1122" i="25"/>
  <c r="Q1122" i="25" s="1"/>
  <c r="L1122" i="25"/>
  <c r="M1122" i="25"/>
  <c r="N1122" i="25"/>
  <c r="O1122" i="25"/>
  <c r="K1123" i="25"/>
  <c r="Q1123" i="25" s="1"/>
  <c r="L1123" i="25"/>
  <c r="M1123" i="25"/>
  <c r="N1123" i="25"/>
  <c r="O1123" i="25"/>
  <c r="K1124" i="25"/>
  <c r="Q1124" i="25" s="1"/>
  <c r="L1124" i="25"/>
  <c r="M1124" i="25"/>
  <c r="N1124" i="25"/>
  <c r="O1124" i="25"/>
  <c r="K1125" i="25"/>
  <c r="Q1125" i="25" s="1"/>
  <c r="L1125" i="25"/>
  <c r="M1125" i="25"/>
  <c r="N1125" i="25"/>
  <c r="O1125" i="25"/>
  <c r="K1126" i="25"/>
  <c r="Q1126" i="25" s="1"/>
  <c r="L1126" i="25"/>
  <c r="M1126" i="25"/>
  <c r="N1126" i="25"/>
  <c r="O1126" i="25"/>
  <c r="K1127" i="25"/>
  <c r="Q1127" i="25" s="1"/>
  <c r="L1127" i="25"/>
  <c r="M1127" i="25"/>
  <c r="N1127" i="25"/>
  <c r="O1127" i="25"/>
  <c r="K1128" i="25"/>
  <c r="Q1128" i="25" s="1"/>
  <c r="L1128" i="25"/>
  <c r="M1128" i="25"/>
  <c r="N1128" i="25"/>
  <c r="O1128" i="25"/>
  <c r="K1129" i="25"/>
  <c r="Q1129" i="25" s="1"/>
  <c r="L1129" i="25"/>
  <c r="M1129" i="25"/>
  <c r="N1129" i="25"/>
  <c r="O1129" i="25"/>
  <c r="K1130" i="25"/>
  <c r="Q1130" i="25" s="1"/>
  <c r="L1130" i="25"/>
  <c r="M1130" i="25"/>
  <c r="N1130" i="25"/>
  <c r="O1130" i="25"/>
  <c r="K1131" i="25"/>
  <c r="Q1131" i="25" s="1"/>
  <c r="L1131" i="25"/>
  <c r="M1131" i="25"/>
  <c r="N1131" i="25"/>
  <c r="O1131" i="25"/>
  <c r="K1132" i="25"/>
  <c r="Q1132" i="25" s="1"/>
  <c r="L1132" i="25"/>
  <c r="M1132" i="25"/>
  <c r="N1132" i="25"/>
  <c r="O1132" i="25"/>
  <c r="K1133" i="25"/>
  <c r="Q1133" i="25" s="1"/>
  <c r="L1133" i="25"/>
  <c r="M1133" i="25"/>
  <c r="N1133" i="25"/>
  <c r="O1133" i="25"/>
  <c r="K1134" i="25"/>
  <c r="Q1134" i="25" s="1"/>
  <c r="L1134" i="25"/>
  <c r="M1134" i="25"/>
  <c r="N1134" i="25"/>
  <c r="O1134" i="25"/>
  <c r="K1135" i="25"/>
  <c r="Q1135" i="25" s="1"/>
  <c r="L1135" i="25"/>
  <c r="M1135" i="25"/>
  <c r="N1135" i="25"/>
  <c r="O1135" i="25"/>
  <c r="K1136" i="25"/>
  <c r="Q1136" i="25" s="1"/>
  <c r="L1136" i="25"/>
  <c r="M1136" i="25"/>
  <c r="N1136" i="25"/>
  <c r="O1136" i="25"/>
  <c r="K1137" i="25"/>
  <c r="Q1137" i="25" s="1"/>
  <c r="L1137" i="25"/>
  <c r="M1137" i="25"/>
  <c r="N1137" i="25"/>
  <c r="O1137" i="25"/>
  <c r="K1138" i="25"/>
  <c r="Q1138" i="25" s="1"/>
  <c r="L1138" i="25"/>
  <c r="M1138" i="25"/>
  <c r="N1138" i="25"/>
  <c r="O1138" i="25"/>
  <c r="K1139" i="25"/>
  <c r="Q1139" i="25" s="1"/>
  <c r="L1139" i="25"/>
  <c r="M1139" i="25"/>
  <c r="N1139" i="25"/>
  <c r="O1139" i="25"/>
  <c r="K1140" i="25"/>
  <c r="Q1140" i="25" s="1"/>
  <c r="L1140" i="25"/>
  <c r="M1140" i="25"/>
  <c r="N1140" i="25"/>
  <c r="O1140" i="25"/>
  <c r="K1141" i="25"/>
  <c r="Q1141" i="25" s="1"/>
  <c r="L1141" i="25"/>
  <c r="M1141" i="25"/>
  <c r="N1141" i="25"/>
  <c r="O1141" i="25"/>
  <c r="K1142" i="25"/>
  <c r="Q1142" i="25" s="1"/>
  <c r="L1142" i="25"/>
  <c r="M1142" i="25"/>
  <c r="N1142" i="25"/>
  <c r="O1142" i="25"/>
  <c r="K1143" i="25"/>
  <c r="Q1143" i="25" s="1"/>
  <c r="L1143" i="25"/>
  <c r="M1143" i="25"/>
  <c r="N1143" i="25"/>
  <c r="O1143" i="25"/>
  <c r="K1144" i="25"/>
  <c r="Q1144" i="25" s="1"/>
  <c r="L1144" i="25"/>
  <c r="M1144" i="25"/>
  <c r="N1144" i="25"/>
  <c r="O1144" i="25"/>
  <c r="K1145" i="25"/>
  <c r="Q1145" i="25" s="1"/>
  <c r="L1145" i="25"/>
  <c r="M1145" i="25"/>
  <c r="N1145" i="25"/>
  <c r="O1145" i="25"/>
  <c r="K1146" i="25"/>
  <c r="Q1146" i="25" s="1"/>
  <c r="L1146" i="25"/>
  <c r="M1146" i="25"/>
  <c r="N1146" i="25"/>
  <c r="O1146" i="25"/>
  <c r="K1147" i="25"/>
  <c r="Q1147" i="25" s="1"/>
  <c r="L1147" i="25"/>
  <c r="M1147" i="25"/>
  <c r="N1147" i="25"/>
  <c r="O1147" i="25"/>
  <c r="K1148" i="25"/>
  <c r="Q1148" i="25" s="1"/>
  <c r="L1148" i="25"/>
  <c r="M1148" i="25"/>
  <c r="N1148" i="25"/>
  <c r="O1148" i="25"/>
  <c r="K1149" i="25"/>
  <c r="Q1149" i="25" s="1"/>
  <c r="L1149" i="25"/>
  <c r="M1149" i="25"/>
  <c r="N1149" i="25"/>
  <c r="O1149" i="25"/>
  <c r="K1150" i="25"/>
  <c r="Q1150" i="25" s="1"/>
  <c r="L1150" i="25"/>
  <c r="M1150" i="25"/>
  <c r="N1150" i="25"/>
  <c r="O1150" i="25"/>
  <c r="K1151" i="25"/>
  <c r="Q1151" i="25" s="1"/>
  <c r="L1151" i="25"/>
  <c r="M1151" i="25"/>
  <c r="N1151" i="25"/>
  <c r="O1151" i="25"/>
  <c r="K1152" i="25"/>
  <c r="Q1152" i="25" s="1"/>
  <c r="L1152" i="25"/>
  <c r="M1152" i="25"/>
  <c r="N1152" i="25"/>
  <c r="O1152" i="25"/>
  <c r="K1153" i="25"/>
  <c r="Q1153" i="25" s="1"/>
  <c r="L1153" i="25"/>
  <c r="M1153" i="25"/>
  <c r="N1153" i="25"/>
  <c r="O1153" i="25"/>
  <c r="K1154" i="25"/>
  <c r="Q1154" i="25" s="1"/>
  <c r="L1154" i="25"/>
  <c r="M1154" i="25"/>
  <c r="N1154" i="25"/>
  <c r="O1154" i="25"/>
  <c r="K1155" i="25"/>
  <c r="Q1155" i="25" s="1"/>
  <c r="L1155" i="25"/>
  <c r="M1155" i="25"/>
  <c r="N1155" i="25"/>
  <c r="O1155" i="25"/>
  <c r="K1156" i="25"/>
  <c r="L1156" i="25"/>
  <c r="M1156" i="25"/>
  <c r="N1156" i="25"/>
  <c r="O1156" i="25"/>
  <c r="K1157" i="25"/>
  <c r="Q1157" i="25" s="1"/>
  <c r="L1157" i="25"/>
  <c r="M1157" i="25"/>
  <c r="N1157" i="25"/>
  <c r="O1157" i="25"/>
  <c r="K1158" i="25"/>
  <c r="Q1158" i="25" s="1"/>
  <c r="L1158" i="25"/>
  <c r="M1158" i="25"/>
  <c r="N1158" i="25"/>
  <c r="O1158" i="25"/>
  <c r="K1159" i="25"/>
  <c r="Q1159" i="25" s="1"/>
  <c r="L1159" i="25"/>
  <c r="M1159" i="25"/>
  <c r="N1159" i="25"/>
  <c r="O1159" i="25"/>
  <c r="K1160" i="25"/>
  <c r="Q1160" i="25" s="1"/>
  <c r="L1160" i="25"/>
  <c r="M1160" i="25"/>
  <c r="N1160" i="25"/>
  <c r="O1160" i="25"/>
  <c r="K1161" i="25"/>
  <c r="Q1161" i="25" s="1"/>
  <c r="L1161" i="25"/>
  <c r="M1161" i="25"/>
  <c r="N1161" i="25"/>
  <c r="O1161" i="25"/>
  <c r="K1162" i="25"/>
  <c r="Q1162" i="25" s="1"/>
  <c r="L1162" i="25"/>
  <c r="M1162" i="25"/>
  <c r="N1162" i="25"/>
  <c r="O1162" i="25"/>
  <c r="K1163" i="25"/>
  <c r="Q1163" i="25" s="1"/>
  <c r="L1163" i="25"/>
  <c r="M1163" i="25"/>
  <c r="N1163" i="25"/>
  <c r="O1163" i="25"/>
  <c r="K1164" i="25"/>
  <c r="Q1164" i="25" s="1"/>
  <c r="L1164" i="25"/>
  <c r="M1164" i="25"/>
  <c r="N1164" i="25"/>
  <c r="O1164" i="25"/>
  <c r="K1165" i="25"/>
  <c r="Q1165" i="25" s="1"/>
  <c r="L1165" i="25"/>
  <c r="M1165" i="25"/>
  <c r="N1165" i="25"/>
  <c r="O1165" i="25"/>
  <c r="K1166" i="25"/>
  <c r="Q1166" i="25" s="1"/>
  <c r="L1166" i="25"/>
  <c r="M1166" i="25"/>
  <c r="N1166" i="25"/>
  <c r="O1166" i="25"/>
  <c r="K1167" i="25"/>
  <c r="Q1167" i="25" s="1"/>
  <c r="L1167" i="25"/>
  <c r="M1167" i="25"/>
  <c r="N1167" i="25"/>
  <c r="O1167" i="25"/>
  <c r="K1168" i="25"/>
  <c r="Q1168" i="25" s="1"/>
  <c r="L1168" i="25"/>
  <c r="M1168" i="25"/>
  <c r="N1168" i="25"/>
  <c r="O1168" i="25"/>
  <c r="K1169" i="25"/>
  <c r="Q1169" i="25" s="1"/>
  <c r="L1169" i="25"/>
  <c r="M1169" i="25"/>
  <c r="N1169" i="25"/>
  <c r="O1169" i="25"/>
  <c r="K1170" i="25"/>
  <c r="Q1170" i="25" s="1"/>
  <c r="L1170" i="25"/>
  <c r="M1170" i="25"/>
  <c r="N1170" i="25"/>
  <c r="O1170" i="25"/>
  <c r="K1171" i="25"/>
  <c r="Q1171" i="25" s="1"/>
  <c r="L1171" i="25"/>
  <c r="M1171" i="25"/>
  <c r="N1171" i="25"/>
  <c r="O1171" i="25"/>
  <c r="K1172" i="25"/>
  <c r="Q1172" i="25" s="1"/>
  <c r="L1172" i="25"/>
  <c r="M1172" i="25"/>
  <c r="N1172" i="25"/>
  <c r="O1172" i="25"/>
  <c r="K1173" i="25"/>
  <c r="Q1173" i="25" s="1"/>
  <c r="L1173" i="25"/>
  <c r="M1173" i="25"/>
  <c r="N1173" i="25"/>
  <c r="O1173" i="25"/>
  <c r="K1174" i="25"/>
  <c r="Q1174" i="25" s="1"/>
  <c r="L1174" i="25"/>
  <c r="M1174" i="25"/>
  <c r="N1174" i="25"/>
  <c r="O1174" i="25"/>
  <c r="K1175" i="25"/>
  <c r="Q1175" i="25" s="1"/>
  <c r="L1175" i="25"/>
  <c r="M1175" i="25"/>
  <c r="N1175" i="25"/>
  <c r="O1175" i="25"/>
  <c r="K1176" i="25"/>
  <c r="Q1176" i="25" s="1"/>
  <c r="L1176" i="25"/>
  <c r="M1176" i="25"/>
  <c r="N1176" i="25"/>
  <c r="O1176" i="25"/>
  <c r="K1177" i="25"/>
  <c r="Q1177" i="25" s="1"/>
  <c r="L1177" i="25"/>
  <c r="M1177" i="25"/>
  <c r="N1177" i="25"/>
  <c r="O1177" i="25"/>
  <c r="K1178" i="25"/>
  <c r="Q1178" i="25" s="1"/>
  <c r="L1178" i="25"/>
  <c r="M1178" i="25"/>
  <c r="N1178" i="25"/>
  <c r="O1178" i="25"/>
  <c r="K1179" i="25"/>
  <c r="Q1179" i="25" s="1"/>
  <c r="L1179" i="25"/>
  <c r="M1179" i="25"/>
  <c r="N1179" i="25"/>
  <c r="O1179" i="25"/>
  <c r="K1180" i="25"/>
  <c r="Q1180" i="25" s="1"/>
  <c r="L1180" i="25"/>
  <c r="M1180" i="25"/>
  <c r="N1180" i="25"/>
  <c r="O1180" i="25"/>
  <c r="K1181" i="25"/>
  <c r="Q1181" i="25" s="1"/>
  <c r="L1181" i="25"/>
  <c r="M1181" i="25"/>
  <c r="N1181" i="25"/>
  <c r="O1181" i="25"/>
  <c r="K1182" i="25"/>
  <c r="Q1182" i="25" s="1"/>
  <c r="L1182" i="25"/>
  <c r="M1182" i="25"/>
  <c r="N1182" i="25"/>
  <c r="O1182" i="25"/>
  <c r="K1183" i="25"/>
  <c r="Q1183" i="25" s="1"/>
  <c r="L1183" i="25"/>
  <c r="M1183" i="25"/>
  <c r="N1183" i="25"/>
  <c r="O1183" i="25"/>
  <c r="K1184" i="25"/>
  <c r="Q1184" i="25" s="1"/>
  <c r="L1184" i="25"/>
  <c r="M1184" i="25"/>
  <c r="N1184" i="25"/>
  <c r="O1184" i="25"/>
  <c r="K1185" i="25"/>
  <c r="Q1185" i="25" s="1"/>
  <c r="L1185" i="25"/>
  <c r="M1185" i="25"/>
  <c r="N1185" i="25"/>
  <c r="O1185" i="25"/>
  <c r="K1186" i="25"/>
  <c r="Q1186" i="25" s="1"/>
  <c r="L1186" i="25"/>
  <c r="M1186" i="25"/>
  <c r="N1186" i="25"/>
  <c r="O1186" i="25"/>
  <c r="K1187" i="25"/>
  <c r="Q1187" i="25" s="1"/>
  <c r="L1187" i="25"/>
  <c r="M1187" i="25"/>
  <c r="N1187" i="25"/>
  <c r="O1187" i="25"/>
  <c r="K1188" i="25"/>
  <c r="Q1188" i="25" s="1"/>
  <c r="L1188" i="25"/>
  <c r="M1188" i="25"/>
  <c r="N1188" i="25"/>
  <c r="O1188" i="25"/>
  <c r="K1189" i="25"/>
  <c r="Q1189" i="25" s="1"/>
  <c r="L1189" i="25"/>
  <c r="M1189" i="25"/>
  <c r="N1189" i="25"/>
  <c r="O1189" i="25"/>
  <c r="K1190" i="25"/>
  <c r="Q1190" i="25" s="1"/>
  <c r="L1190" i="25"/>
  <c r="M1190" i="25"/>
  <c r="N1190" i="25"/>
  <c r="O1190" i="25"/>
  <c r="K1191" i="25"/>
  <c r="Q1191" i="25" s="1"/>
  <c r="L1191" i="25"/>
  <c r="M1191" i="25"/>
  <c r="N1191" i="25"/>
  <c r="O1191" i="25"/>
  <c r="K1192" i="25"/>
  <c r="L1192" i="25"/>
  <c r="M1192" i="25"/>
  <c r="N1192" i="25"/>
  <c r="O1192" i="25"/>
  <c r="K1193" i="25"/>
  <c r="Q1193" i="25" s="1"/>
  <c r="L1193" i="25"/>
  <c r="M1193" i="25"/>
  <c r="N1193" i="25"/>
  <c r="O1193" i="25"/>
  <c r="K1194" i="25"/>
  <c r="Q1194" i="25" s="1"/>
  <c r="L1194" i="25"/>
  <c r="M1194" i="25"/>
  <c r="N1194" i="25"/>
  <c r="O1194" i="25"/>
  <c r="K1195" i="25"/>
  <c r="Q1195" i="25" s="1"/>
  <c r="L1195" i="25"/>
  <c r="M1195" i="25"/>
  <c r="N1195" i="25"/>
  <c r="O1195" i="25"/>
  <c r="K1196" i="25"/>
  <c r="Q1196" i="25" s="1"/>
  <c r="L1196" i="25"/>
  <c r="M1196" i="25"/>
  <c r="N1196" i="25"/>
  <c r="O1196" i="25"/>
  <c r="K1197" i="25"/>
  <c r="Q1197" i="25" s="1"/>
  <c r="L1197" i="25"/>
  <c r="M1197" i="25"/>
  <c r="N1197" i="25"/>
  <c r="O1197" i="25"/>
  <c r="K1198" i="25"/>
  <c r="Q1198" i="25" s="1"/>
  <c r="L1198" i="25"/>
  <c r="M1198" i="25"/>
  <c r="N1198" i="25"/>
  <c r="O1198" i="25"/>
  <c r="K1199" i="25"/>
  <c r="Q1199" i="25" s="1"/>
  <c r="L1199" i="25"/>
  <c r="M1199" i="25"/>
  <c r="N1199" i="25"/>
  <c r="O1199" i="25"/>
  <c r="K1200" i="25"/>
  <c r="Q1200" i="25" s="1"/>
  <c r="L1200" i="25"/>
  <c r="M1200" i="25"/>
  <c r="N1200" i="25"/>
  <c r="O1200" i="25"/>
  <c r="O4" i="25"/>
  <c r="N4" i="25"/>
  <c r="M4" i="25"/>
  <c r="L4" i="25"/>
  <c r="K4" i="25"/>
  <c r="Q4" i="25" s="1"/>
  <c r="M347" i="36"/>
  <c r="K348" i="25" s="1"/>
  <c r="Q348" i="25" s="1"/>
  <c r="M348" i="36"/>
  <c r="K349" i="25" s="1"/>
  <c r="Q349" i="25" s="1"/>
  <c r="M349" i="36"/>
  <c r="K350" i="25" s="1"/>
  <c r="Q350" i="25" s="1"/>
  <c r="M350" i="36"/>
  <c r="K351" i="25" s="1"/>
  <c r="Q351" i="25" s="1"/>
  <c r="M351" i="36"/>
  <c r="K352" i="25" s="1"/>
  <c r="Q352" i="25" s="1"/>
  <c r="M352" i="36"/>
  <c r="K353" i="25" s="1"/>
  <c r="Q353" i="25" s="1"/>
  <c r="M353" i="36"/>
  <c r="K354" i="25" s="1"/>
  <c r="Q354" i="25" s="1"/>
  <c r="M354" i="36"/>
  <c r="K355" i="25" s="1"/>
  <c r="Q355" i="25" s="1"/>
  <c r="M355" i="36"/>
  <c r="K356" i="25" s="1"/>
  <c r="Q356" i="25" s="1"/>
  <c r="M356" i="36"/>
  <c r="K357" i="25" s="1"/>
  <c r="Q357" i="25" s="1"/>
  <c r="M357" i="36"/>
  <c r="K358" i="25" s="1"/>
  <c r="Q358" i="25" s="1"/>
  <c r="M358" i="36"/>
  <c r="K359" i="25" s="1"/>
  <c r="Q359" i="25" s="1"/>
  <c r="M359" i="36"/>
  <c r="K360" i="25" s="1"/>
  <c r="Q360" i="25" s="1"/>
  <c r="M360" i="36"/>
  <c r="K361" i="25" s="1"/>
  <c r="Q361" i="25" s="1"/>
  <c r="M361" i="36"/>
  <c r="K362" i="25" s="1"/>
  <c r="Q362" i="25" s="1"/>
  <c r="M362" i="36"/>
  <c r="K363" i="25" s="1"/>
  <c r="Q363" i="25" s="1"/>
  <c r="M363" i="36"/>
  <c r="K364" i="25" s="1"/>
  <c r="Q364" i="25" s="1"/>
  <c r="M364" i="36"/>
  <c r="K365" i="25" s="1"/>
  <c r="Q365" i="25" s="1"/>
  <c r="M365" i="36"/>
  <c r="K366" i="25" s="1"/>
  <c r="Q366" i="25" s="1"/>
  <c r="M366" i="36"/>
  <c r="K367" i="25" s="1"/>
  <c r="Q367" i="25" s="1"/>
  <c r="M367" i="36"/>
  <c r="K368" i="25" s="1"/>
  <c r="Q368" i="25" s="1"/>
  <c r="M368" i="36"/>
  <c r="K369" i="25" s="1"/>
  <c r="Q369" i="25" s="1"/>
  <c r="M369" i="36"/>
  <c r="K370" i="25" s="1"/>
  <c r="Q370" i="25" s="1"/>
  <c r="M370" i="36"/>
  <c r="K371" i="25" s="1"/>
  <c r="Q371" i="25" s="1"/>
  <c r="M371" i="36"/>
  <c r="K372" i="25" s="1"/>
  <c r="Q372" i="25" s="1"/>
  <c r="M372" i="36"/>
  <c r="K373" i="25" s="1"/>
  <c r="Q373" i="25" s="1"/>
  <c r="M373" i="36"/>
  <c r="K374" i="25" s="1"/>
  <c r="Q374" i="25" s="1"/>
  <c r="M374" i="36"/>
  <c r="K375" i="25" s="1"/>
  <c r="Q375" i="25" s="1"/>
  <c r="M375" i="36"/>
  <c r="K376" i="25" s="1"/>
  <c r="Q376" i="25" s="1"/>
  <c r="M376" i="36"/>
  <c r="K377" i="25" s="1"/>
  <c r="Q377" i="25" s="1"/>
  <c r="M377" i="36"/>
  <c r="K378" i="25" s="1"/>
  <c r="Q378" i="25" s="1"/>
  <c r="M378" i="36"/>
  <c r="K379" i="25" s="1"/>
  <c r="Q379" i="25" s="1"/>
  <c r="M379" i="36"/>
  <c r="K380" i="25" s="1"/>
  <c r="Q380" i="25" s="1"/>
  <c r="M380" i="36"/>
  <c r="K381" i="25" s="1"/>
  <c r="Q381" i="25" s="1"/>
  <c r="M381" i="36"/>
  <c r="M382" i="36"/>
  <c r="K383" i="25" s="1"/>
  <c r="Q383" i="25" s="1"/>
  <c r="M383" i="36"/>
  <c r="K384" i="25" s="1"/>
  <c r="Q384" i="25" s="1"/>
  <c r="M384" i="36"/>
  <c r="K385" i="25" s="1"/>
  <c r="Q385" i="25" s="1"/>
  <c r="M385" i="36"/>
  <c r="K386" i="25" s="1"/>
  <c r="Q386" i="25" s="1"/>
  <c r="M386" i="36"/>
  <c r="K387" i="25" s="1"/>
  <c r="Q387" i="25" s="1"/>
  <c r="M387" i="36"/>
  <c r="K388" i="25" s="1"/>
  <c r="Q388" i="25" s="1"/>
  <c r="M388" i="36"/>
  <c r="K389" i="25" s="1"/>
  <c r="Q389" i="25" s="1"/>
  <c r="M389" i="36"/>
  <c r="K390" i="25" s="1"/>
  <c r="Q390" i="25" s="1"/>
  <c r="M390" i="36"/>
  <c r="K391" i="25" s="1"/>
  <c r="Q391" i="25" s="1"/>
  <c r="M391" i="36"/>
  <c r="K392" i="25" s="1"/>
  <c r="Q392" i="25" s="1"/>
  <c r="M392" i="36"/>
  <c r="K393" i="25" s="1"/>
  <c r="Q393" i="25" s="1"/>
  <c r="M393" i="36"/>
  <c r="M394" i="36"/>
  <c r="K395" i="25" s="1"/>
  <c r="Q395" i="25" s="1"/>
  <c r="M395" i="36"/>
  <c r="K396" i="25" s="1"/>
  <c r="Q396" i="25" s="1"/>
  <c r="M396" i="36"/>
  <c r="K397" i="25" s="1"/>
  <c r="Q397" i="25" s="1"/>
  <c r="M397" i="36"/>
  <c r="K398" i="25" s="1"/>
  <c r="Q398" i="25" s="1"/>
  <c r="M398" i="36"/>
  <c r="K399" i="25" s="1"/>
  <c r="Q399" i="25" s="1"/>
  <c r="M346" i="36"/>
  <c r="K347" i="25" s="1"/>
  <c r="Q347" i="25" s="1"/>
  <c r="M344" i="36"/>
  <c r="K345" i="25" s="1"/>
  <c r="Q345" i="25" s="1"/>
  <c r="M340" i="36"/>
  <c r="K341" i="25" s="1"/>
  <c r="Q341" i="25" s="1"/>
  <c r="M332" i="36"/>
  <c r="K333" i="25" s="1"/>
  <c r="Q333" i="25" s="1"/>
  <c r="M246" i="36"/>
  <c r="K247" i="25" s="1"/>
  <c r="Q247" i="25" s="1"/>
  <c r="M247" i="36"/>
  <c r="K248" i="25" s="1"/>
  <c r="Q248" i="25" s="1"/>
  <c r="M248" i="36"/>
  <c r="K249" i="25" s="1"/>
  <c r="Q249" i="25" s="1"/>
  <c r="M249" i="36"/>
  <c r="K250" i="25" s="1"/>
  <c r="Q250" i="25" s="1"/>
  <c r="M250" i="36"/>
  <c r="K251" i="25" s="1"/>
  <c r="Q251" i="25" s="1"/>
  <c r="M251" i="36"/>
  <c r="K252" i="25" s="1"/>
  <c r="Q252" i="25" s="1"/>
  <c r="M252" i="36"/>
  <c r="K253" i="25" s="1"/>
  <c r="Q253" i="25" s="1"/>
  <c r="M253" i="36"/>
  <c r="K254" i="25" s="1"/>
  <c r="Q254" i="25" s="1"/>
  <c r="M254" i="36"/>
  <c r="K255" i="25" s="1"/>
  <c r="Q255" i="25" s="1"/>
  <c r="M255" i="36"/>
  <c r="K256" i="25" s="1"/>
  <c r="Q256" i="25" s="1"/>
  <c r="M256" i="36"/>
  <c r="K257" i="25" s="1"/>
  <c r="Q257" i="25" s="1"/>
  <c r="M257" i="36"/>
  <c r="K258" i="25" s="1"/>
  <c r="Q258" i="25" s="1"/>
  <c r="M258" i="36"/>
  <c r="K259" i="25" s="1"/>
  <c r="Q259" i="25" s="1"/>
  <c r="M259" i="36"/>
  <c r="K260" i="25" s="1"/>
  <c r="Q260" i="25" s="1"/>
  <c r="M260" i="36"/>
  <c r="K261" i="25" s="1"/>
  <c r="Q261" i="25" s="1"/>
  <c r="M261" i="36"/>
  <c r="K262" i="25" s="1"/>
  <c r="Q262" i="25" s="1"/>
  <c r="M262" i="36"/>
  <c r="K263" i="25" s="1"/>
  <c r="Q263" i="25" s="1"/>
  <c r="M263" i="36"/>
  <c r="K264" i="25" s="1"/>
  <c r="Q264" i="25" s="1"/>
  <c r="M264" i="36"/>
  <c r="K265" i="25" s="1"/>
  <c r="Q265" i="25" s="1"/>
  <c r="M265" i="36"/>
  <c r="K266" i="25" s="1"/>
  <c r="Q266" i="25" s="1"/>
  <c r="M266" i="36"/>
  <c r="K267" i="25" s="1"/>
  <c r="Q267" i="25" s="1"/>
  <c r="M267" i="36"/>
  <c r="K268" i="25" s="1"/>
  <c r="Q268" i="25" s="1"/>
  <c r="M268" i="36"/>
  <c r="K269" i="25" s="1"/>
  <c r="Q269" i="25" s="1"/>
  <c r="M269" i="36"/>
  <c r="K270" i="25" s="1"/>
  <c r="Q270" i="25" s="1"/>
  <c r="M270" i="36"/>
  <c r="K271" i="25" s="1"/>
  <c r="Q271" i="25" s="1"/>
  <c r="M271" i="36"/>
  <c r="K272" i="25" s="1"/>
  <c r="Q272" i="25" s="1"/>
  <c r="M272" i="36"/>
  <c r="K273" i="25" s="1"/>
  <c r="Q273" i="25" s="1"/>
  <c r="M273" i="36"/>
  <c r="K274" i="25" s="1"/>
  <c r="Q274" i="25" s="1"/>
  <c r="M274" i="36"/>
  <c r="K275" i="25" s="1"/>
  <c r="Q275" i="25" s="1"/>
  <c r="M275" i="36"/>
  <c r="K276" i="25" s="1"/>
  <c r="Q276" i="25" s="1"/>
  <c r="M276" i="36"/>
  <c r="K277" i="25" s="1"/>
  <c r="Q277" i="25" s="1"/>
  <c r="M277" i="36"/>
  <c r="K278" i="25" s="1"/>
  <c r="Q278" i="25" s="1"/>
  <c r="M278" i="36"/>
  <c r="K279" i="25" s="1"/>
  <c r="Q279" i="25" s="1"/>
  <c r="M279" i="36"/>
  <c r="K280" i="25" s="1"/>
  <c r="Q280" i="25" s="1"/>
  <c r="M280" i="36"/>
  <c r="K281" i="25" s="1"/>
  <c r="Q281" i="25" s="1"/>
  <c r="M281" i="36"/>
  <c r="K282" i="25" s="1"/>
  <c r="Q282" i="25" s="1"/>
  <c r="M282" i="36"/>
  <c r="K283" i="25" s="1"/>
  <c r="Q283" i="25" s="1"/>
  <c r="M283" i="36"/>
  <c r="K284" i="25" s="1"/>
  <c r="Q284" i="25" s="1"/>
  <c r="M284" i="36"/>
  <c r="K285" i="25" s="1"/>
  <c r="Q285" i="25" s="1"/>
  <c r="M285" i="36"/>
  <c r="K286" i="25" s="1"/>
  <c r="Q286" i="25" s="1"/>
  <c r="M286" i="36"/>
  <c r="K287" i="25" s="1"/>
  <c r="Q287" i="25" s="1"/>
  <c r="M287" i="36"/>
  <c r="K288" i="25" s="1"/>
  <c r="Q288" i="25" s="1"/>
  <c r="M288" i="36"/>
  <c r="K289" i="25" s="1"/>
  <c r="Q289" i="25" s="1"/>
  <c r="M289" i="36"/>
  <c r="K290" i="25" s="1"/>
  <c r="Q290" i="25" s="1"/>
  <c r="M290" i="36"/>
  <c r="K291" i="25" s="1"/>
  <c r="Q291" i="25" s="1"/>
  <c r="M291" i="36"/>
  <c r="K292" i="25" s="1"/>
  <c r="Q292" i="25" s="1"/>
  <c r="M292" i="36"/>
  <c r="K293" i="25" s="1"/>
  <c r="Q293" i="25" s="1"/>
  <c r="M293" i="36"/>
  <c r="K294" i="25" s="1"/>
  <c r="Q294" i="25" s="1"/>
  <c r="M294" i="36"/>
  <c r="K295" i="25" s="1"/>
  <c r="Q295" i="25" s="1"/>
  <c r="M295" i="36"/>
  <c r="K296" i="25" s="1"/>
  <c r="Q296" i="25" s="1"/>
  <c r="M296" i="36"/>
  <c r="K297" i="25" s="1"/>
  <c r="Q297" i="25" s="1"/>
  <c r="M297" i="36"/>
  <c r="K298" i="25" s="1"/>
  <c r="Q298" i="25" s="1"/>
  <c r="M298" i="36"/>
  <c r="K299" i="25" s="1"/>
  <c r="Q299" i="25" s="1"/>
  <c r="M299" i="36"/>
  <c r="K300" i="25" s="1"/>
  <c r="Q300" i="25" s="1"/>
  <c r="M300" i="36"/>
  <c r="K301" i="25" s="1"/>
  <c r="Q301" i="25" s="1"/>
  <c r="M301" i="36"/>
  <c r="K302" i="25" s="1"/>
  <c r="Q302" i="25" s="1"/>
  <c r="M302" i="36"/>
  <c r="K303" i="25" s="1"/>
  <c r="Q303" i="25" s="1"/>
  <c r="M244" i="36"/>
  <c r="K245" i="25" s="1"/>
  <c r="Q245" i="25" s="1"/>
  <c r="M245" i="36"/>
  <c r="K246" i="25" s="1"/>
  <c r="Q246" i="25" s="1"/>
  <c r="M243" i="36"/>
  <c r="K244" i="25" s="1"/>
  <c r="Q244" i="25" s="1"/>
  <c r="M232" i="36"/>
  <c r="K233" i="25" s="1"/>
  <c r="Q233" i="25" s="1"/>
  <c r="M205" i="36"/>
  <c r="K206" i="25" s="1"/>
  <c r="Q206" i="25" s="1"/>
  <c r="M142" i="36"/>
  <c r="K143" i="25" s="1"/>
  <c r="Q143" i="25" s="1"/>
  <c r="M143" i="36"/>
  <c r="K144" i="25" s="1"/>
  <c r="Q144" i="25" s="1"/>
  <c r="M144" i="36"/>
  <c r="K145" i="25" s="1"/>
  <c r="Q145" i="25" s="1"/>
  <c r="M145" i="36"/>
  <c r="K146" i="25" s="1"/>
  <c r="Q146" i="25" s="1"/>
  <c r="M146" i="36"/>
  <c r="K147" i="25" s="1"/>
  <c r="Q147" i="25" s="1"/>
  <c r="M147" i="36"/>
  <c r="K148" i="25" s="1"/>
  <c r="Q148" i="25" s="1"/>
  <c r="M148" i="36"/>
  <c r="K149" i="25" s="1"/>
  <c r="Q149" i="25" s="1"/>
  <c r="M149" i="36"/>
  <c r="K150" i="25" s="1"/>
  <c r="Q150" i="25" s="1"/>
  <c r="M150" i="36"/>
  <c r="K151" i="25" s="1"/>
  <c r="Q151" i="25" s="1"/>
  <c r="M151" i="36"/>
  <c r="K152" i="25" s="1"/>
  <c r="Q152" i="25" s="1"/>
  <c r="M152" i="36"/>
  <c r="K153" i="25" s="1"/>
  <c r="Q153" i="25" s="1"/>
  <c r="M153" i="36"/>
  <c r="K154" i="25" s="1"/>
  <c r="Q154" i="25" s="1"/>
  <c r="M154" i="36"/>
  <c r="K155" i="25" s="1"/>
  <c r="Q155" i="25" s="1"/>
  <c r="M155" i="36"/>
  <c r="K156" i="25" s="1"/>
  <c r="Q156" i="25" s="1"/>
  <c r="M156" i="36"/>
  <c r="K157" i="25" s="1"/>
  <c r="Q157" i="25" s="1"/>
  <c r="M157" i="36"/>
  <c r="K158" i="25" s="1"/>
  <c r="Q158" i="25" s="1"/>
  <c r="M158" i="36"/>
  <c r="K159" i="25" s="1"/>
  <c r="Q159" i="25" s="1"/>
  <c r="M159" i="36"/>
  <c r="K160" i="25" s="1"/>
  <c r="Q160" i="25" s="1"/>
  <c r="M160" i="36"/>
  <c r="K161" i="25" s="1"/>
  <c r="Q161" i="25" s="1"/>
  <c r="M161" i="36"/>
  <c r="K162" i="25" s="1"/>
  <c r="Q162" i="25" s="1"/>
  <c r="M162" i="36"/>
  <c r="K163" i="25" s="1"/>
  <c r="Q163" i="25" s="1"/>
  <c r="M163" i="36"/>
  <c r="K164" i="25" s="1"/>
  <c r="Q164" i="25" s="1"/>
  <c r="M164" i="36"/>
  <c r="K165" i="25" s="1"/>
  <c r="Q165" i="25" s="1"/>
  <c r="M165" i="36"/>
  <c r="K166" i="25" s="1"/>
  <c r="Q166" i="25" s="1"/>
  <c r="M166" i="36"/>
  <c r="K167" i="25" s="1"/>
  <c r="Q167" i="25" s="1"/>
  <c r="M167" i="36"/>
  <c r="K168" i="25" s="1"/>
  <c r="Q168" i="25" s="1"/>
  <c r="M168" i="36"/>
  <c r="K169" i="25" s="1"/>
  <c r="Q169" i="25" s="1"/>
  <c r="M169" i="36"/>
  <c r="K170" i="25" s="1"/>
  <c r="Q170" i="25" s="1"/>
  <c r="M170" i="36"/>
  <c r="K171" i="25" s="1"/>
  <c r="Q171" i="25" s="1"/>
  <c r="M171" i="36"/>
  <c r="K172" i="25" s="1"/>
  <c r="Q172" i="25" s="1"/>
  <c r="M172" i="36"/>
  <c r="K173" i="25" s="1"/>
  <c r="Q173" i="25" s="1"/>
  <c r="M173" i="36"/>
  <c r="K174" i="25" s="1"/>
  <c r="Q174" i="25" s="1"/>
  <c r="M174" i="36"/>
  <c r="K175" i="25" s="1"/>
  <c r="Q175" i="25" s="1"/>
  <c r="M175" i="36"/>
  <c r="K176" i="25" s="1"/>
  <c r="Q176" i="25" s="1"/>
  <c r="M176" i="36"/>
  <c r="K177" i="25" s="1"/>
  <c r="Q177" i="25" s="1"/>
  <c r="M177" i="36"/>
  <c r="K178" i="25" s="1"/>
  <c r="Q178" i="25" s="1"/>
  <c r="M178" i="36"/>
  <c r="K179" i="25" s="1"/>
  <c r="Q179" i="25" s="1"/>
  <c r="M179" i="36"/>
  <c r="K180" i="25" s="1"/>
  <c r="Q180" i="25" s="1"/>
  <c r="M180" i="36"/>
  <c r="K181" i="25" s="1"/>
  <c r="Q181" i="25" s="1"/>
  <c r="M181" i="36"/>
  <c r="K182" i="25" s="1"/>
  <c r="Q182" i="25" s="1"/>
  <c r="M182" i="36"/>
  <c r="K183" i="25" s="1"/>
  <c r="Q183" i="25" s="1"/>
  <c r="M183" i="36"/>
  <c r="K184" i="25" s="1"/>
  <c r="Q184" i="25" s="1"/>
  <c r="M184" i="36"/>
  <c r="K185" i="25" s="1"/>
  <c r="Q185" i="25" s="1"/>
  <c r="M185" i="36"/>
  <c r="K186" i="25" s="1"/>
  <c r="Q186" i="25" s="1"/>
  <c r="M186" i="36"/>
  <c r="K187" i="25" s="1"/>
  <c r="Q187" i="25" s="1"/>
  <c r="M187" i="36"/>
  <c r="K188" i="25" s="1"/>
  <c r="Q188" i="25" s="1"/>
  <c r="M188" i="36"/>
  <c r="K189" i="25" s="1"/>
  <c r="Q189" i="25" s="1"/>
  <c r="M189" i="36"/>
  <c r="K190" i="25" s="1"/>
  <c r="Q190" i="25" s="1"/>
  <c r="M190" i="36"/>
  <c r="K191" i="25" s="1"/>
  <c r="Q191" i="25" s="1"/>
  <c r="M191" i="36"/>
  <c r="K192" i="25" s="1"/>
  <c r="Q192" i="25" s="1"/>
  <c r="M192" i="36"/>
  <c r="K193" i="25" s="1"/>
  <c r="Q193" i="25" s="1"/>
  <c r="M141" i="36"/>
  <c r="K142" i="25" s="1"/>
  <c r="Q142" i="25" s="1"/>
  <c r="M104" i="36"/>
  <c r="K105" i="25" s="1"/>
  <c r="Q105" i="25" s="1"/>
  <c r="M90" i="36"/>
  <c r="M76" i="36"/>
  <c r="K77" i="25" s="1"/>
  <c r="Q77" i="25" s="1"/>
  <c r="M77" i="36"/>
  <c r="K78" i="25" s="1"/>
  <c r="Q78" i="25" s="1"/>
  <c r="M78" i="36"/>
  <c r="K79" i="25" s="1"/>
  <c r="Q79" i="25" s="1"/>
  <c r="M79" i="36"/>
  <c r="K80" i="25" s="1"/>
  <c r="Q80" i="25" s="1"/>
  <c r="M80" i="36"/>
  <c r="K81" i="25" s="1"/>
  <c r="Q81" i="25" s="1"/>
  <c r="M81" i="36"/>
  <c r="K82" i="25" s="1"/>
  <c r="Q82" i="25" s="1"/>
  <c r="M82" i="36"/>
  <c r="K83" i="25" s="1"/>
  <c r="Q83" i="25" s="1"/>
  <c r="M83" i="36"/>
  <c r="K84" i="25" s="1"/>
  <c r="Q84" i="25" s="1"/>
  <c r="M84" i="36"/>
  <c r="K85" i="25" s="1"/>
  <c r="Q85" i="25" s="1"/>
  <c r="M85" i="36"/>
  <c r="K86" i="25" s="1"/>
  <c r="Q86" i="25" s="1"/>
  <c r="M86" i="36"/>
  <c r="K87" i="25" s="1"/>
  <c r="Q87" i="25" s="1"/>
  <c r="M75" i="36"/>
  <c r="K76" i="25" s="1"/>
  <c r="Q76" i="25" s="1"/>
  <c r="M74" i="36"/>
  <c r="K75" i="25" s="1"/>
  <c r="Q75" i="25" s="1"/>
  <c r="M72" i="36"/>
  <c r="K73" i="25" s="1"/>
  <c r="Q73" i="25" s="1"/>
  <c r="M8" i="36"/>
  <c r="K9" i="25" s="1"/>
  <c r="Q9" i="25" s="1"/>
  <c r="M9" i="36"/>
  <c r="K10" i="25" s="1"/>
  <c r="Q10" i="25" s="1"/>
  <c r="M10" i="36"/>
  <c r="K11" i="25" s="1"/>
  <c r="Q11" i="25" s="1"/>
  <c r="M11" i="36"/>
  <c r="K12" i="25" s="1"/>
  <c r="Q12" i="25" s="1"/>
  <c r="M12" i="36"/>
  <c r="K13" i="25" s="1"/>
  <c r="Q13" i="25" s="1"/>
  <c r="M13" i="36"/>
  <c r="K14" i="25" s="1"/>
  <c r="Q14" i="25" s="1"/>
  <c r="M14" i="36"/>
  <c r="K15" i="25" s="1"/>
  <c r="Q15" i="25" s="1"/>
  <c r="M15" i="36"/>
  <c r="K16" i="25" s="1"/>
  <c r="Q16" i="25" s="1"/>
  <c r="M16" i="36"/>
  <c r="K17" i="25" s="1"/>
  <c r="Q17" i="25" s="1"/>
  <c r="M17" i="36"/>
  <c r="K18" i="25" s="1"/>
  <c r="Q18" i="25" s="1"/>
  <c r="M18" i="36"/>
  <c r="K19" i="25" s="1"/>
  <c r="Q19" i="25" s="1"/>
  <c r="M19" i="36"/>
  <c r="K20" i="25" s="1"/>
  <c r="Q20" i="25" s="1"/>
  <c r="M20" i="36"/>
  <c r="K21" i="25" s="1"/>
  <c r="Q21" i="25" s="1"/>
  <c r="M21" i="36"/>
  <c r="K22" i="25" s="1"/>
  <c r="Q22" i="25" s="1"/>
  <c r="M22" i="36"/>
  <c r="K23" i="25" s="1"/>
  <c r="Q23" i="25" s="1"/>
  <c r="M23" i="36"/>
  <c r="K24" i="25" s="1"/>
  <c r="Q24" i="25" s="1"/>
  <c r="M24" i="36"/>
  <c r="K25" i="25" s="1"/>
  <c r="Q25" i="25" s="1"/>
  <c r="M25" i="36"/>
  <c r="K26" i="25" s="1"/>
  <c r="Q26" i="25" s="1"/>
  <c r="M26" i="36"/>
  <c r="K27" i="25" s="1"/>
  <c r="Q27" i="25" s="1"/>
  <c r="M27" i="36"/>
  <c r="K28" i="25" s="1"/>
  <c r="Q28" i="25" s="1"/>
  <c r="M28" i="36"/>
  <c r="K29" i="25" s="1"/>
  <c r="Q29" i="25" s="1"/>
  <c r="M29" i="36"/>
  <c r="K30" i="25" s="1"/>
  <c r="Q30" i="25" s="1"/>
  <c r="M30" i="36"/>
  <c r="K31" i="25" s="1"/>
  <c r="Q31" i="25" s="1"/>
  <c r="M31" i="36"/>
  <c r="K32" i="25" s="1"/>
  <c r="Q32" i="25" s="1"/>
  <c r="M32" i="36"/>
  <c r="K33" i="25" s="1"/>
  <c r="Q33" i="25" s="1"/>
  <c r="M33" i="36"/>
  <c r="K34" i="25" s="1"/>
  <c r="Q34" i="25" s="1"/>
  <c r="M34" i="36"/>
  <c r="K35" i="25" s="1"/>
  <c r="Q35" i="25" s="1"/>
  <c r="M35" i="36"/>
  <c r="K36" i="25" s="1"/>
  <c r="Q36" i="25" s="1"/>
  <c r="M36" i="36"/>
  <c r="K37" i="25" s="1"/>
  <c r="Q37" i="25" s="1"/>
  <c r="M37" i="36"/>
  <c r="K38" i="25" s="1"/>
  <c r="Q38" i="25" s="1"/>
  <c r="M38" i="36"/>
  <c r="K39" i="25" s="1"/>
  <c r="Q39" i="25" s="1"/>
  <c r="M39" i="36"/>
  <c r="K40" i="25" s="1"/>
  <c r="Q40" i="25" s="1"/>
  <c r="M40" i="36"/>
  <c r="K41" i="25" s="1"/>
  <c r="Q41" i="25" s="1"/>
  <c r="M41" i="36"/>
  <c r="K42" i="25" s="1"/>
  <c r="Q42" i="25" s="1"/>
  <c r="M42" i="36"/>
  <c r="K43" i="25" s="1"/>
  <c r="Q43" i="25" s="1"/>
  <c r="M43" i="36"/>
  <c r="K44" i="25" s="1"/>
  <c r="Q44" i="25" s="1"/>
  <c r="M44" i="36"/>
  <c r="K45" i="25" s="1"/>
  <c r="Q45" i="25" s="1"/>
  <c r="M45" i="36"/>
  <c r="K46" i="25" s="1"/>
  <c r="Q46" i="25" s="1"/>
  <c r="M46" i="36"/>
  <c r="K47" i="25" s="1"/>
  <c r="Q47" i="25" s="1"/>
  <c r="M47" i="36"/>
  <c r="K48" i="25" s="1"/>
  <c r="Q48" i="25" s="1"/>
  <c r="M48" i="36"/>
  <c r="K49" i="25" s="1"/>
  <c r="Q49" i="25" s="1"/>
  <c r="M49" i="36"/>
  <c r="K50" i="25" s="1"/>
  <c r="Q50" i="25" s="1"/>
  <c r="M50" i="36"/>
  <c r="K51" i="25" s="1"/>
  <c r="Q51" i="25" s="1"/>
  <c r="M51" i="36"/>
  <c r="K52" i="25" s="1"/>
  <c r="Q52" i="25" s="1"/>
  <c r="M52" i="36"/>
  <c r="K53" i="25" s="1"/>
  <c r="Q53" i="25" s="1"/>
  <c r="M53" i="36"/>
  <c r="K54" i="25" s="1"/>
  <c r="Q54" i="25" s="1"/>
  <c r="M54" i="36"/>
  <c r="K55" i="25" s="1"/>
  <c r="Q55" i="25" s="1"/>
  <c r="M55" i="36"/>
  <c r="K56" i="25" s="1"/>
  <c r="Q56" i="25" s="1"/>
  <c r="M56" i="36"/>
  <c r="K57" i="25" s="1"/>
  <c r="Q57" i="25" s="1"/>
  <c r="M57" i="36"/>
  <c r="K58" i="25" s="1"/>
  <c r="Q58" i="25" s="1"/>
  <c r="M58" i="36"/>
  <c r="K59" i="25" s="1"/>
  <c r="Q59" i="25" s="1"/>
  <c r="M59" i="36"/>
  <c r="K60" i="25" s="1"/>
  <c r="Q60" i="25" s="1"/>
  <c r="M60" i="36"/>
  <c r="K61" i="25" s="1"/>
  <c r="Q61" i="25" s="1"/>
  <c r="M61" i="36"/>
  <c r="K62" i="25" s="1"/>
  <c r="Q62" i="25" s="1"/>
  <c r="M62" i="36"/>
  <c r="K63" i="25" s="1"/>
  <c r="Q63" i="25" s="1"/>
  <c r="M63" i="36"/>
  <c r="K64" i="25" s="1"/>
  <c r="Q64" i="25" s="1"/>
  <c r="M64" i="36"/>
  <c r="K65" i="25" s="1"/>
  <c r="Q65" i="25" s="1"/>
  <c r="M65" i="36"/>
  <c r="K66" i="25" s="1"/>
  <c r="Q66" i="25" s="1"/>
  <c r="M66" i="36"/>
  <c r="K67" i="25" s="1"/>
  <c r="Q67" i="25" s="1"/>
  <c r="M67" i="36"/>
  <c r="K68" i="25" s="1"/>
  <c r="Q68" i="25" s="1"/>
  <c r="M68" i="36"/>
  <c r="K69" i="25" s="1"/>
  <c r="Q69" i="25" s="1"/>
  <c r="M69" i="36"/>
  <c r="K70" i="25" s="1"/>
  <c r="Q70" i="25" s="1"/>
  <c r="M70" i="36"/>
  <c r="K71" i="25" s="1"/>
  <c r="Q71" i="25" s="1"/>
  <c r="M71" i="36"/>
  <c r="K72" i="25" s="1"/>
  <c r="Q72" i="25" s="1"/>
  <c r="M7" i="36"/>
  <c r="K8" i="25" s="1"/>
  <c r="Q8" i="25" s="1"/>
  <c r="J4" i="25"/>
  <c r="F5" i="25"/>
  <c r="G5" i="25"/>
  <c r="H5" i="25" s="1"/>
  <c r="I5" i="25"/>
  <c r="F6" i="25"/>
  <c r="G6" i="25"/>
  <c r="H6" i="25" s="1"/>
  <c r="I6" i="25"/>
  <c r="F7" i="25"/>
  <c r="G7" i="25"/>
  <c r="H7" i="25" s="1"/>
  <c r="I7" i="25"/>
  <c r="F8" i="25"/>
  <c r="G8" i="25"/>
  <c r="H8" i="25" s="1"/>
  <c r="I8" i="25"/>
  <c r="F9" i="25"/>
  <c r="G9" i="25"/>
  <c r="H9" i="25" s="1"/>
  <c r="I9" i="25"/>
  <c r="F10" i="25"/>
  <c r="G10" i="25"/>
  <c r="H10" i="25" s="1"/>
  <c r="I10" i="25"/>
  <c r="F11" i="25"/>
  <c r="G11" i="25"/>
  <c r="H11" i="25" s="1"/>
  <c r="I11" i="25"/>
  <c r="F12" i="25"/>
  <c r="G12" i="25"/>
  <c r="H12" i="25" s="1"/>
  <c r="I12" i="25"/>
  <c r="F13" i="25"/>
  <c r="G13" i="25"/>
  <c r="H13" i="25" s="1"/>
  <c r="I13" i="25"/>
  <c r="F14" i="25"/>
  <c r="G14" i="25"/>
  <c r="H14" i="25" s="1"/>
  <c r="I14" i="25"/>
  <c r="F15" i="25"/>
  <c r="G15" i="25"/>
  <c r="H15" i="25" s="1"/>
  <c r="I15" i="25"/>
  <c r="F16" i="25"/>
  <c r="G16" i="25"/>
  <c r="H16" i="25" s="1"/>
  <c r="I16" i="25"/>
  <c r="F17" i="25"/>
  <c r="G17" i="25"/>
  <c r="H17" i="25" s="1"/>
  <c r="I17" i="25"/>
  <c r="F18" i="25"/>
  <c r="G18" i="25"/>
  <c r="H18" i="25" s="1"/>
  <c r="I18" i="25"/>
  <c r="F19" i="25"/>
  <c r="G19" i="25"/>
  <c r="H19" i="25" s="1"/>
  <c r="I19" i="25"/>
  <c r="F20" i="25"/>
  <c r="G20" i="25"/>
  <c r="H20" i="25" s="1"/>
  <c r="I20" i="25"/>
  <c r="F21" i="25"/>
  <c r="G21" i="25"/>
  <c r="H21" i="25" s="1"/>
  <c r="I21" i="25"/>
  <c r="F22" i="25"/>
  <c r="G22" i="25"/>
  <c r="H22" i="25" s="1"/>
  <c r="I22" i="25"/>
  <c r="F23" i="25"/>
  <c r="G23" i="25"/>
  <c r="H23" i="25" s="1"/>
  <c r="I23" i="25"/>
  <c r="F24" i="25"/>
  <c r="G24" i="25"/>
  <c r="H24" i="25" s="1"/>
  <c r="I24" i="25"/>
  <c r="F25" i="25"/>
  <c r="G25" i="25"/>
  <c r="H25" i="25" s="1"/>
  <c r="I25" i="25"/>
  <c r="F26" i="25"/>
  <c r="G26" i="25"/>
  <c r="H26" i="25" s="1"/>
  <c r="I26" i="25"/>
  <c r="F27" i="25"/>
  <c r="G27" i="25"/>
  <c r="H27" i="25" s="1"/>
  <c r="I27" i="25"/>
  <c r="F28" i="25"/>
  <c r="G28" i="25"/>
  <c r="H28" i="25" s="1"/>
  <c r="I28" i="25"/>
  <c r="F29" i="25"/>
  <c r="G29" i="25"/>
  <c r="H29" i="25" s="1"/>
  <c r="I29" i="25"/>
  <c r="F30" i="25"/>
  <c r="G30" i="25"/>
  <c r="H30" i="25" s="1"/>
  <c r="I30" i="25"/>
  <c r="F31" i="25"/>
  <c r="G31" i="25"/>
  <c r="H31" i="25" s="1"/>
  <c r="I31" i="25"/>
  <c r="F32" i="25"/>
  <c r="G32" i="25"/>
  <c r="H32" i="25" s="1"/>
  <c r="I32" i="25"/>
  <c r="F33" i="25"/>
  <c r="G33" i="25"/>
  <c r="H33" i="25" s="1"/>
  <c r="I33" i="25"/>
  <c r="F34" i="25"/>
  <c r="G34" i="25"/>
  <c r="H34" i="25" s="1"/>
  <c r="I34" i="25"/>
  <c r="F35" i="25"/>
  <c r="G35" i="25"/>
  <c r="H35" i="25" s="1"/>
  <c r="I35" i="25"/>
  <c r="F36" i="25"/>
  <c r="G36" i="25"/>
  <c r="H36" i="25" s="1"/>
  <c r="I36" i="25"/>
  <c r="F37" i="25"/>
  <c r="G37" i="25"/>
  <c r="H37" i="25" s="1"/>
  <c r="I37" i="25"/>
  <c r="F38" i="25"/>
  <c r="G38" i="25"/>
  <c r="H38" i="25" s="1"/>
  <c r="I38" i="25"/>
  <c r="F39" i="25"/>
  <c r="G39" i="25"/>
  <c r="H39" i="25" s="1"/>
  <c r="I39" i="25"/>
  <c r="F40" i="25"/>
  <c r="G40" i="25"/>
  <c r="H40" i="25" s="1"/>
  <c r="I40" i="25"/>
  <c r="F41" i="25"/>
  <c r="G41" i="25"/>
  <c r="H41" i="25" s="1"/>
  <c r="I41" i="25"/>
  <c r="F42" i="25"/>
  <c r="G42" i="25"/>
  <c r="H42" i="25" s="1"/>
  <c r="I42" i="25"/>
  <c r="F43" i="25"/>
  <c r="G43" i="25"/>
  <c r="H43" i="25" s="1"/>
  <c r="I43" i="25"/>
  <c r="F44" i="25"/>
  <c r="G44" i="25"/>
  <c r="H44" i="25" s="1"/>
  <c r="I44" i="25"/>
  <c r="F45" i="25"/>
  <c r="G45" i="25"/>
  <c r="H45" i="25" s="1"/>
  <c r="I45" i="25"/>
  <c r="F46" i="25"/>
  <c r="G46" i="25"/>
  <c r="H46" i="25" s="1"/>
  <c r="I46" i="25"/>
  <c r="F47" i="25"/>
  <c r="G47" i="25"/>
  <c r="H47" i="25" s="1"/>
  <c r="I47" i="25"/>
  <c r="F48" i="25"/>
  <c r="G48" i="25"/>
  <c r="H48" i="25" s="1"/>
  <c r="I48" i="25"/>
  <c r="F49" i="25"/>
  <c r="G49" i="25"/>
  <c r="H49" i="25" s="1"/>
  <c r="I49" i="25"/>
  <c r="F50" i="25"/>
  <c r="G50" i="25"/>
  <c r="H50" i="25" s="1"/>
  <c r="I50" i="25"/>
  <c r="F51" i="25"/>
  <c r="G51" i="25"/>
  <c r="H51" i="25" s="1"/>
  <c r="I51" i="25"/>
  <c r="F52" i="25"/>
  <c r="G52" i="25"/>
  <c r="H52" i="25" s="1"/>
  <c r="I52" i="25"/>
  <c r="F53" i="25"/>
  <c r="G53" i="25"/>
  <c r="H53" i="25" s="1"/>
  <c r="I53" i="25"/>
  <c r="F54" i="25"/>
  <c r="G54" i="25"/>
  <c r="H54" i="25" s="1"/>
  <c r="I54" i="25"/>
  <c r="F55" i="25"/>
  <c r="G55" i="25"/>
  <c r="H55" i="25" s="1"/>
  <c r="I55" i="25"/>
  <c r="F56" i="25"/>
  <c r="G56" i="25"/>
  <c r="H56" i="25" s="1"/>
  <c r="I56" i="25"/>
  <c r="F57" i="25"/>
  <c r="G57" i="25"/>
  <c r="H57" i="25" s="1"/>
  <c r="I57" i="25"/>
  <c r="F58" i="25"/>
  <c r="G58" i="25"/>
  <c r="H58" i="25" s="1"/>
  <c r="I58" i="25"/>
  <c r="F59" i="25"/>
  <c r="G59" i="25"/>
  <c r="H59" i="25" s="1"/>
  <c r="I59" i="25"/>
  <c r="F60" i="25"/>
  <c r="G60" i="25"/>
  <c r="H60" i="25" s="1"/>
  <c r="I60" i="25"/>
  <c r="F61" i="25"/>
  <c r="G61" i="25"/>
  <c r="H61" i="25" s="1"/>
  <c r="I61" i="25"/>
  <c r="F62" i="25"/>
  <c r="G62" i="25"/>
  <c r="H62" i="25" s="1"/>
  <c r="I62" i="25"/>
  <c r="F63" i="25"/>
  <c r="G63" i="25"/>
  <c r="H63" i="25" s="1"/>
  <c r="I63" i="25"/>
  <c r="F64" i="25"/>
  <c r="G64" i="25"/>
  <c r="H64" i="25" s="1"/>
  <c r="I64" i="25"/>
  <c r="F65" i="25"/>
  <c r="G65" i="25"/>
  <c r="H65" i="25" s="1"/>
  <c r="I65" i="25"/>
  <c r="F66" i="25"/>
  <c r="G66" i="25"/>
  <c r="H66" i="25" s="1"/>
  <c r="I66" i="25"/>
  <c r="F67" i="25"/>
  <c r="G67" i="25"/>
  <c r="H67" i="25" s="1"/>
  <c r="I67" i="25"/>
  <c r="F68" i="25"/>
  <c r="G68" i="25"/>
  <c r="H68" i="25" s="1"/>
  <c r="I68" i="25"/>
  <c r="F69" i="25"/>
  <c r="G69" i="25"/>
  <c r="H69" i="25" s="1"/>
  <c r="I69" i="25"/>
  <c r="F70" i="25"/>
  <c r="G70" i="25"/>
  <c r="H70" i="25" s="1"/>
  <c r="I70" i="25"/>
  <c r="F71" i="25"/>
  <c r="G71" i="25"/>
  <c r="H71" i="25" s="1"/>
  <c r="I71" i="25"/>
  <c r="F72" i="25"/>
  <c r="G72" i="25"/>
  <c r="H72" i="25" s="1"/>
  <c r="I72" i="25"/>
  <c r="F73" i="25"/>
  <c r="G73" i="25"/>
  <c r="H73" i="25" s="1"/>
  <c r="I73" i="25"/>
  <c r="F74" i="25"/>
  <c r="G74" i="25"/>
  <c r="H74" i="25" s="1"/>
  <c r="I74" i="25"/>
  <c r="F75" i="25"/>
  <c r="G75" i="25"/>
  <c r="H75" i="25" s="1"/>
  <c r="I75" i="25"/>
  <c r="F76" i="25"/>
  <c r="G76" i="25"/>
  <c r="H76" i="25" s="1"/>
  <c r="I76" i="25"/>
  <c r="F77" i="25"/>
  <c r="G77" i="25"/>
  <c r="H77" i="25" s="1"/>
  <c r="I77" i="25"/>
  <c r="F78" i="25"/>
  <c r="G78" i="25"/>
  <c r="H78" i="25" s="1"/>
  <c r="I78" i="25"/>
  <c r="F79" i="25"/>
  <c r="G79" i="25"/>
  <c r="H79" i="25" s="1"/>
  <c r="I79" i="25"/>
  <c r="F80" i="25"/>
  <c r="G80" i="25"/>
  <c r="H80" i="25" s="1"/>
  <c r="I80" i="25"/>
  <c r="F81" i="25"/>
  <c r="G81" i="25"/>
  <c r="H81" i="25" s="1"/>
  <c r="I81" i="25"/>
  <c r="F82" i="25"/>
  <c r="G82" i="25"/>
  <c r="H82" i="25" s="1"/>
  <c r="I82" i="25"/>
  <c r="F83" i="25"/>
  <c r="G83" i="25"/>
  <c r="H83" i="25" s="1"/>
  <c r="I83" i="25"/>
  <c r="F84" i="25"/>
  <c r="G84" i="25"/>
  <c r="H84" i="25" s="1"/>
  <c r="I84" i="25"/>
  <c r="F85" i="25"/>
  <c r="G85" i="25"/>
  <c r="H85" i="25" s="1"/>
  <c r="I85" i="25"/>
  <c r="F86" i="25"/>
  <c r="G86" i="25"/>
  <c r="H86" i="25" s="1"/>
  <c r="I86" i="25"/>
  <c r="F87" i="25"/>
  <c r="G87" i="25"/>
  <c r="H87" i="25" s="1"/>
  <c r="I87" i="25"/>
  <c r="F88" i="25"/>
  <c r="G88" i="25"/>
  <c r="H88" i="25" s="1"/>
  <c r="I88" i="25"/>
  <c r="F89" i="25"/>
  <c r="G89" i="25"/>
  <c r="H89" i="25" s="1"/>
  <c r="I89" i="25"/>
  <c r="F90" i="25"/>
  <c r="G90" i="25"/>
  <c r="H90" i="25" s="1"/>
  <c r="I90" i="25"/>
  <c r="F91" i="25"/>
  <c r="G91" i="25"/>
  <c r="H91" i="25" s="1"/>
  <c r="I91" i="25"/>
  <c r="F92" i="25"/>
  <c r="G92" i="25"/>
  <c r="H92" i="25" s="1"/>
  <c r="I92" i="25"/>
  <c r="F93" i="25"/>
  <c r="G93" i="25"/>
  <c r="H93" i="25" s="1"/>
  <c r="I93" i="25"/>
  <c r="F94" i="25"/>
  <c r="G94" i="25"/>
  <c r="H94" i="25" s="1"/>
  <c r="I94" i="25"/>
  <c r="F95" i="25"/>
  <c r="G95" i="25"/>
  <c r="H95" i="25" s="1"/>
  <c r="I95" i="25"/>
  <c r="F96" i="25"/>
  <c r="G96" i="25"/>
  <c r="H96" i="25" s="1"/>
  <c r="I96" i="25"/>
  <c r="F97" i="25"/>
  <c r="G97" i="25"/>
  <c r="H97" i="25" s="1"/>
  <c r="I97" i="25"/>
  <c r="F98" i="25"/>
  <c r="G98" i="25"/>
  <c r="H98" i="25" s="1"/>
  <c r="I98" i="25"/>
  <c r="F99" i="25"/>
  <c r="G99" i="25"/>
  <c r="H99" i="25" s="1"/>
  <c r="I99" i="25"/>
  <c r="F100" i="25"/>
  <c r="G100" i="25"/>
  <c r="H100" i="25" s="1"/>
  <c r="I100" i="25"/>
  <c r="F101" i="25"/>
  <c r="G101" i="25"/>
  <c r="H101" i="25" s="1"/>
  <c r="I101" i="25"/>
  <c r="F102" i="25"/>
  <c r="G102" i="25"/>
  <c r="H102" i="25" s="1"/>
  <c r="I102" i="25"/>
  <c r="F103" i="25"/>
  <c r="G103" i="25"/>
  <c r="H103" i="25" s="1"/>
  <c r="I103" i="25"/>
  <c r="F104" i="25"/>
  <c r="G104" i="25"/>
  <c r="H104" i="25" s="1"/>
  <c r="I104" i="25"/>
  <c r="F105" i="25"/>
  <c r="G105" i="25"/>
  <c r="H105" i="25" s="1"/>
  <c r="I105" i="25"/>
  <c r="F106" i="25"/>
  <c r="G106" i="25"/>
  <c r="H106" i="25" s="1"/>
  <c r="I106" i="25"/>
  <c r="F107" i="25"/>
  <c r="G107" i="25"/>
  <c r="H107" i="25" s="1"/>
  <c r="I107" i="25"/>
  <c r="F108" i="25"/>
  <c r="G108" i="25"/>
  <c r="H108" i="25" s="1"/>
  <c r="I108" i="25"/>
  <c r="F109" i="25"/>
  <c r="G109" i="25"/>
  <c r="H109" i="25" s="1"/>
  <c r="I109" i="25"/>
  <c r="F110" i="25"/>
  <c r="G110" i="25"/>
  <c r="H110" i="25" s="1"/>
  <c r="I110" i="25"/>
  <c r="F111" i="25"/>
  <c r="G111" i="25"/>
  <c r="H111" i="25" s="1"/>
  <c r="I111" i="25"/>
  <c r="F112" i="25"/>
  <c r="G112" i="25"/>
  <c r="H112" i="25" s="1"/>
  <c r="I112" i="25"/>
  <c r="F113" i="25"/>
  <c r="G113" i="25"/>
  <c r="H113" i="25" s="1"/>
  <c r="I113" i="25"/>
  <c r="F114" i="25"/>
  <c r="G114" i="25"/>
  <c r="H114" i="25" s="1"/>
  <c r="I114" i="25"/>
  <c r="F115" i="25"/>
  <c r="G115" i="25"/>
  <c r="H115" i="25" s="1"/>
  <c r="I115" i="25"/>
  <c r="F116" i="25"/>
  <c r="G116" i="25"/>
  <c r="H116" i="25" s="1"/>
  <c r="I116" i="25"/>
  <c r="F117" i="25"/>
  <c r="G117" i="25"/>
  <c r="H117" i="25" s="1"/>
  <c r="I117" i="25"/>
  <c r="F118" i="25"/>
  <c r="G118" i="25"/>
  <c r="H118" i="25" s="1"/>
  <c r="I118" i="25"/>
  <c r="F119" i="25"/>
  <c r="G119" i="25"/>
  <c r="H119" i="25" s="1"/>
  <c r="I119" i="25"/>
  <c r="F120" i="25"/>
  <c r="G120" i="25"/>
  <c r="H120" i="25" s="1"/>
  <c r="I120" i="25"/>
  <c r="F121" i="25"/>
  <c r="G121" i="25"/>
  <c r="H121" i="25" s="1"/>
  <c r="I121" i="25"/>
  <c r="F122" i="25"/>
  <c r="G122" i="25"/>
  <c r="H122" i="25" s="1"/>
  <c r="I122" i="25"/>
  <c r="F123" i="25"/>
  <c r="G123" i="25"/>
  <c r="H123" i="25" s="1"/>
  <c r="I123" i="25"/>
  <c r="F124" i="25"/>
  <c r="G124" i="25"/>
  <c r="H124" i="25" s="1"/>
  <c r="I124" i="25"/>
  <c r="F125" i="25"/>
  <c r="G125" i="25"/>
  <c r="H125" i="25" s="1"/>
  <c r="I125" i="25"/>
  <c r="F126" i="25"/>
  <c r="G126" i="25"/>
  <c r="H126" i="25" s="1"/>
  <c r="I126" i="25"/>
  <c r="F127" i="25"/>
  <c r="G127" i="25"/>
  <c r="H127" i="25" s="1"/>
  <c r="I127" i="25"/>
  <c r="F128" i="25"/>
  <c r="G128" i="25"/>
  <c r="H128" i="25" s="1"/>
  <c r="I128" i="25"/>
  <c r="F129" i="25"/>
  <c r="G129" i="25"/>
  <c r="H129" i="25" s="1"/>
  <c r="I129" i="25"/>
  <c r="F130" i="25"/>
  <c r="G130" i="25"/>
  <c r="H130" i="25" s="1"/>
  <c r="I130" i="25"/>
  <c r="F131" i="25"/>
  <c r="G131" i="25"/>
  <c r="H131" i="25" s="1"/>
  <c r="I131" i="25"/>
  <c r="F132" i="25"/>
  <c r="G132" i="25"/>
  <c r="H132" i="25" s="1"/>
  <c r="I132" i="25"/>
  <c r="F133" i="25"/>
  <c r="G133" i="25"/>
  <c r="H133" i="25" s="1"/>
  <c r="I133" i="25"/>
  <c r="F134" i="25"/>
  <c r="G134" i="25"/>
  <c r="H134" i="25" s="1"/>
  <c r="I134" i="25"/>
  <c r="F135" i="25"/>
  <c r="G135" i="25"/>
  <c r="H135" i="25" s="1"/>
  <c r="I135" i="25"/>
  <c r="F136" i="25"/>
  <c r="G136" i="25"/>
  <c r="H136" i="25" s="1"/>
  <c r="I136" i="25"/>
  <c r="F137" i="25"/>
  <c r="G137" i="25"/>
  <c r="H137" i="25" s="1"/>
  <c r="I137" i="25"/>
  <c r="F138" i="25"/>
  <c r="G138" i="25"/>
  <c r="H138" i="25" s="1"/>
  <c r="I138" i="25"/>
  <c r="F139" i="25"/>
  <c r="G139" i="25"/>
  <c r="H139" i="25" s="1"/>
  <c r="I139" i="25"/>
  <c r="F140" i="25"/>
  <c r="G140" i="25"/>
  <c r="H140" i="25" s="1"/>
  <c r="I140" i="25"/>
  <c r="F141" i="25"/>
  <c r="G141" i="25"/>
  <c r="H141" i="25" s="1"/>
  <c r="I141" i="25"/>
  <c r="F142" i="25"/>
  <c r="G142" i="25"/>
  <c r="H142" i="25" s="1"/>
  <c r="I142" i="25"/>
  <c r="F143" i="25"/>
  <c r="G143" i="25"/>
  <c r="H143" i="25" s="1"/>
  <c r="I143" i="25"/>
  <c r="F144" i="25"/>
  <c r="G144" i="25"/>
  <c r="H144" i="25" s="1"/>
  <c r="I144" i="25"/>
  <c r="F145" i="25"/>
  <c r="G145" i="25"/>
  <c r="H145" i="25" s="1"/>
  <c r="I145" i="25"/>
  <c r="F146" i="25"/>
  <c r="G146" i="25"/>
  <c r="H146" i="25" s="1"/>
  <c r="I146" i="25"/>
  <c r="F147" i="25"/>
  <c r="G147" i="25"/>
  <c r="H147" i="25" s="1"/>
  <c r="I147" i="25"/>
  <c r="F148" i="25"/>
  <c r="G148" i="25"/>
  <c r="H148" i="25" s="1"/>
  <c r="I148" i="25"/>
  <c r="F149" i="25"/>
  <c r="G149" i="25"/>
  <c r="H149" i="25" s="1"/>
  <c r="I149" i="25"/>
  <c r="F150" i="25"/>
  <c r="G150" i="25"/>
  <c r="H150" i="25" s="1"/>
  <c r="I150" i="25"/>
  <c r="F151" i="25"/>
  <c r="G151" i="25"/>
  <c r="H151" i="25" s="1"/>
  <c r="I151" i="25"/>
  <c r="F152" i="25"/>
  <c r="G152" i="25"/>
  <c r="H152" i="25" s="1"/>
  <c r="I152" i="25"/>
  <c r="F153" i="25"/>
  <c r="G153" i="25"/>
  <c r="H153" i="25" s="1"/>
  <c r="I153" i="25"/>
  <c r="F154" i="25"/>
  <c r="G154" i="25"/>
  <c r="H154" i="25" s="1"/>
  <c r="I154" i="25"/>
  <c r="F155" i="25"/>
  <c r="G155" i="25"/>
  <c r="H155" i="25" s="1"/>
  <c r="I155" i="25"/>
  <c r="F156" i="25"/>
  <c r="G156" i="25"/>
  <c r="H156" i="25" s="1"/>
  <c r="I156" i="25"/>
  <c r="F157" i="25"/>
  <c r="G157" i="25"/>
  <c r="H157" i="25" s="1"/>
  <c r="I157" i="25"/>
  <c r="F158" i="25"/>
  <c r="G158" i="25"/>
  <c r="H158" i="25" s="1"/>
  <c r="I158" i="25"/>
  <c r="F159" i="25"/>
  <c r="G159" i="25"/>
  <c r="H159" i="25" s="1"/>
  <c r="I159" i="25"/>
  <c r="F160" i="25"/>
  <c r="G160" i="25"/>
  <c r="H160" i="25" s="1"/>
  <c r="I160" i="25"/>
  <c r="F161" i="25"/>
  <c r="G161" i="25"/>
  <c r="H161" i="25" s="1"/>
  <c r="I161" i="25"/>
  <c r="F162" i="25"/>
  <c r="G162" i="25"/>
  <c r="H162" i="25" s="1"/>
  <c r="I162" i="25"/>
  <c r="F163" i="25"/>
  <c r="G163" i="25"/>
  <c r="H163" i="25" s="1"/>
  <c r="I163" i="25"/>
  <c r="F164" i="25"/>
  <c r="G164" i="25"/>
  <c r="H164" i="25" s="1"/>
  <c r="I164" i="25"/>
  <c r="F165" i="25"/>
  <c r="G165" i="25"/>
  <c r="H165" i="25" s="1"/>
  <c r="I165" i="25"/>
  <c r="F166" i="25"/>
  <c r="G166" i="25"/>
  <c r="H166" i="25" s="1"/>
  <c r="I166" i="25"/>
  <c r="F167" i="25"/>
  <c r="G167" i="25"/>
  <c r="H167" i="25" s="1"/>
  <c r="I167" i="25"/>
  <c r="F168" i="25"/>
  <c r="G168" i="25"/>
  <c r="H168" i="25" s="1"/>
  <c r="I168" i="25"/>
  <c r="F169" i="25"/>
  <c r="G169" i="25"/>
  <c r="H169" i="25" s="1"/>
  <c r="I169" i="25"/>
  <c r="F170" i="25"/>
  <c r="G170" i="25"/>
  <c r="H170" i="25" s="1"/>
  <c r="I170" i="25"/>
  <c r="F171" i="25"/>
  <c r="G171" i="25"/>
  <c r="H171" i="25" s="1"/>
  <c r="I171" i="25"/>
  <c r="F172" i="25"/>
  <c r="G172" i="25"/>
  <c r="H172" i="25" s="1"/>
  <c r="I172" i="25"/>
  <c r="F173" i="25"/>
  <c r="G173" i="25"/>
  <c r="H173" i="25" s="1"/>
  <c r="I173" i="25"/>
  <c r="F174" i="25"/>
  <c r="G174" i="25"/>
  <c r="H174" i="25" s="1"/>
  <c r="I174" i="25"/>
  <c r="F175" i="25"/>
  <c r="G175" i="25"/>
  <c r="H175" i="25" s="1"/>
  <c r="I175" i="25"/>
  <c r="F176" i="25"/>
  <c r="G176" i="25"/>
  <c r="H176" i="25" s="1"/>
  <c r="I176" i="25"/>
  <c r="F177" i="25"/>
  <c r="G177" i="25"/>
  <c r="H177" i="25" s="1"/>
  <c r="I177" i="25"/>
  <c r="F178" i="25"/>
  <c r="G178" i="25"/>
  <c r="H178" i="25" s="1"/>
  <c r="I178" i="25"/>
  <c r="F179" i="25"/>
  <c r="G179" i="25"/>
  <c r="H179" i="25" s="1"/>
  <c r="I179" i="25"/>
  <c r="F180" i="25"/>
  <c r="G180" i="25"/>
  <c r="H180" i="25" s="1"/>
  <c r="I180" i="25"/>
  <c r="F181" i="25"/>
  <c r="G181" i="25"/>
  <c r="H181" i="25" s="1"/>
  <c r="I181" i="25"/>
  <c r="F182" i="25"/>
  <c r="G182" i="25"/>
  <c r="H182" i="25" s="1"/>
  <c r="I182" i="25"/>
  <c r="F183" i="25"/>
  <c r="G183" i="25"/>
  <c r="H183" i="25" s="1"/>
  <c r="I183" i="25"/>
  <c r="F184" i="25"/>
  <c r="G184" i="25"/>
  <c r="H184" i="25" s="1"/>
  <c r="I184" i="25"/>
  <c r="F185" i="25"/>
  <c r="G185" i="25"/>
  <c r="H185" i="25" s="1"/>
  <c r="I185" i="25"/>
  <c r="F186" i="25"/>
  <c r="G186" i="25"/>
  <c r="H186" i="25" s="1"/>
  <c r="I186" i="25"/>
  <c r="F187" i="25"/>
  <c r="G187" i="25"/>
  <c r="H187" i="25" s="1"/>
  <c r="I187" i="25"/>
  <c r="F188" i="25"/>
  <c r="G188" i="25"/>
  <c r="H188" i="25" s="1"/>
  <c r="I188" i="25"/>
  <c r="F189" i="25"/>
  <c r="G189" i="25"/>
  <c r="H189" i="25" s="1"/>
  <c r="I189" i="25"/>
  <c r="F190" i="25"/>
  <c r="G190" i="25"/>
  <c r="H190" i="25" s="1"/>
  <c r="I190" i="25"/>
  <c r="F191" i="25"/>
  <c r="G191" i="25"/>
  <c r="H191" i="25" s="1"/>
  <c r="I191" i="25"/>
  <c r="F192" i="25"/>
  <c r="G192" i="25"/>
  <c r="H192" i="25" s="1"/>
  <c r="I192" i="25"/>
  <c r="F193" i="25"/>
  <c r="G193" i="25"/>
  <c r="H193" i="25" s="1"/>
  <c r="I193" i="25"/>
  <c r="F194" i="25"/>
  <c r="G194" i="25"/>
  <c r="H194" i="25" s="1"/>
  <c r="I194" i="25"/>
  <c r="F195" i="25"/>
  <c r="G195" i="25"/>
  <c r="H195" i="25" s="1"/>
  <c r="I195" i="25"/>
  <c r="F196" i="25"/>
  <c r="G196" i="25"/>
  <c r="H196" i="25" s="1"/>
  <c r="I196" i="25"/>
  <c r="F197" i="25"/>
  <c r="G197" i="25"/>
  <c r="H197" i="25" s="1"/>
  <c r="I197" i="25"/>
  <c r="F198" i="25"/>
  <c r="G198" i="25"/>
  <c r="H198" i="25" s="1"/>
  <c r="I198" i="25"/>
  <c r="F199" i="25"/>
  <c r="G199" i="25"/>
  <c r="H199" i="25" s="1"/>
  <c r="I199" i="25"/>
  <c r="F200" i="25"/>
  <c r="G200" i="25"/>
  <c r="H200" i="25" s="1"/>
  <c r="I200" i="25"/>
  <c r="F201" i="25"/>
  <c r="G201" i="25"/>
  <c r="H201" i="25" s="1"/>
  <c r="I201" i="25"/>
  <c r="F202" i="25"/>
  <c r="G202" i="25"/>
  <c r="H202" i="25" s="1"/>
  <c r="I202" i="25"/>
  <c r="F203" i="25"/>
  <c r="G203" i="25"/>
  <c r="H203" i="25" s="1"/>
  <c r="I203" i="25"/>
  <c r="F204" i="25"/>
  <c r="G204" i="25"/>
  <c r="H204" i="25" s="1"/>
  <c r="I204" i="25"/>
  <c r="F205" i="25"/>
  <c r="G205" i="25"/>
  <c r="H205" i="25" s="1"/>
  <c r="I205" i="25"/>
  <c r="F206" i="25"/>
  <c r="G206" i="25"/>
  <c r="H206" i="25" s="1"/>
  <c r="I206" i="25"/>
  <c r="F207" i="25"/>
  <c r="G207" i="25"/>
  <c r="H207" i="25" s="1"/>
  <c r="I207" i="25"/>
  <c r="F208" i="25"/>
  <c r="G208" i="25"/>
  <c r="H208" i="25" s="1"/>
  <c r="I208" i="25"/>
  <c r="F209" i="25"/>
  <c r="G209" i="25"/>
  <c r="H209" i="25" s="1"/>
  <c r="I209" i="25"/>
  <c r="F210" i="25"/>
  <c r="G210" i="25"/>
  <c r="H210" i="25" s="1"/>
  <c r="I210" i="25"/>
  <c r="F211" i="25"/>
  <c r="G211" i="25"/>
  <c r="H211" i="25" s="1"/>
  <c r="I211" i="25"/>
  <c r="F212" i="25"/>
  <c r="G212" i="25"/>
  <c r="H212" i="25" s="1"/>
  <c r="I212" i="25"/>
  <c r="F213" i="25"/>
  <c r="G213" i="25"/>
  <c r="H213" i="25" s="1"/>
  <c r="I213" i="25"/>
  <c r="F214" i="25"/>
  <c r="G214" i="25"/>
  <c r="H214" i="25" s="1"/>
  <c r="I214" i="25"/>
  <c r="F215" i="25"/>
  <c r="G215" i="25"/>
  <c r="H215" i="25" s="1"/>
  <c r="I215" i="25"/>
  <c r="F216" i="25"/>
  <c r="G216" i="25"/>
  <c r="H216" i="25" s="1"/>
  <c r="I216" i="25"/>
  <c r="F217" i="25"/>
  <c r="G217" i="25"/>
  <c r="H217" i="25" s="1"/>
  <c r="I217" i="25"/>
  <c r="F218" i="25"/>
  <c r="G218" i="25"/>
  <c r="H218" i="25" s="1"/>
  <c r="I218" i="25"/>
  <c r="F219" i="25"/>
  <c r="G219" i="25"/>
  <c r="H219" i="25" s="1"/>
  <c r="I219" i="25"/>
  <c r="F220" i="25"/>
  <c r="G220" i="25"/>
  <c r="H220" i="25" s="1"/>
  <c r="I220" i="25"/>
  <c r="F221" i="25"/>
  <c r="G221" i="25"/>
  <c r="H221" i="25" s="1"/>
  <c r="I221" i="25"/>
  <c r="F222" i="25"/>
  <c r="G222" i="25"/>
  <c r="H222" i="25" s="1"/>
  <c r="I222" i="25"/>
  <c r="F223" i="25"/>
  <c r="G223" i="25"/>
  <c r="H223" i="25" s="1"/>
  <c r="I223" i="25"/>
  <c r="F224" i="25"/>
  <c r="G224" i="25"/>
  <c r="H224" i="25" s="1"/>
  <c r="I224" i="25"/>
  <c r="F225" i="25"/>
  <c r="G225" i="25"/>
  <c r="H225" i="25" s="1"/>
  <c r="I225" i="25"/>
  <c r="F226" i="25"/>
  <c r="G226" i="25"/>
  <c r="H226" i="25" s="1"/>
  <c r="I226" i="25"/>
  <c r="F227" i="25"/>
  <c r="G227" i="25"/>
  <c r="H227" i="25" s="1"/>
  <c r="I227" i="25"/>
  <c r="F228" i="25"/>
  <c r="G228" i="25"/>
  <c r="H228" i="25" s="1"/>
  <c r="I228" i="25"/>
  <c r="F229" i="25"/>
  <c r="G229" i="25"/>
  <c r="H229" i="25" s="1"/>
  <c r="I229" i="25"/>
  <c r="F230" i="25"/>
  <c r="G230" i="25"/>
  <c r="H230" i="25" s="1"/>
  <c r="I230" i="25"/>
  <c r="F231" i="25"/>
  <c r="G231" i="25"/>
  <c r="H231" i="25" s="1"/>
  <c r="I231" i="25"/>
  <c r="F232" i="25"/>
  <c r="G232" i="25"/>
  <c r="H232" i="25" s="1"/>
  <c r="I232" i="25"/>
  <c r="F233" i="25"/>
  <c r="G233" i="25"/>
  <c r="H233" i="25" s="1"/>
  <c r="I233" i="25"/>
  <c r="F234" i="25"/>
  <c r="G234" i="25"/>
  <c r="H234" i="25" s="1"/>
  <c r="I234" i="25"/>
  <c r="F235" i="25"/>
  <c r="G235" i="25"/>
  <c r="H235" i="25" s="1"/>
  <c r="I235" i="25"/>
  <c r="F236" i="25"/>
  <c r="G236" i="25"/>
  <c r="H236" i="25" s="1"/>
  <c r="I236" i="25"/>
  <c r="F237" i="25"/>
  <c r="G237" i="25"/>
  <c r="H237" i="25" s="1"/>
  <c r="I237" i="25"/>
  <c r="F238" i="25"/>
  <c r="G238" i="25"/>
  <c r="H238" i="25" s="1"/>
  <c r="I238" i="25"/>
  <c r="F239" i="25"/>
  <c r="G239" i="25"/>
  <c r="H239" i="25" s="1"/>
  <c r="I239" i="25"/>
  <c r="F240" i="25"/>
  <c r="G240" i="25"/>
  <c r="H240" i="25" s="1"/>
  <c r="I240" i="25"/>
  <c r="F241" i="25"/>
  <c r="G241" i="25"/>
  <c r="H241" i="25" s="1"/>
  <c r="I241" i="25"/>
  <c r="F242" i="25"/>
  <c r="G242" i="25"/>
  <c r="H242" i="25" s="1"/>
  <c r="I242" i="25"/>
  <c r="F243" i="25"/>
  <c r="G243" i="25"/>
  <c r="H243" i="25" s="1"/>
  <c r="I243" i="25"/>
  <c r="F244" i="25"/>
  <c r="G244" i="25"/>
  <c r="H244" i="25" s="1"/>
  <c r="I244" i="25"/>
  <c r="F245" i="25"/>
  <c r="G245" i="25"/>
  <c r="H245" i="25" s="1"/>
  <c r="I245" i="25"/>
  <c r="F246" i="25"/>
  <c r="G246" i="25"/>
  <c r="H246" i="25" s="1"/>
  <c r="I246" i="25"/>
  <c r="F247" i="25"/>
  <c r="G247" i="25"/>
  <c r="H247" i="25" s="1"/>
  <c r="I247" i="25"/>
  <c r="F248" i="25"/>
  <c r="G248" i="25"/>
  <c r="H248" i="25" s="1"/>
  <c r="I248" i="25"/>
  <c r="F249" i="25"/>
  <c r="G249" i="25"/>
  <c r="H249" i="25" s="1"/>
  <c r="I249" i="25"/>
  <c r="F250" i="25"/>
  <c r="G250" i="25"/>
  <c r="H250" i="25" s="1"/>
  <c r="I250" i="25"/>
  <c r="F251" i="25"/>
  <c r="G251" i="25"/>
  <c r="H251" i="25" s="1"/>
  <c r="I251" i="25"/>
  <c r="F252" i="25"/>
  <c r="G252" i="25"/>
  <c r="H252" i="25" s="1"/>
  <c r="I252" i="25"/>
  <c r="F253" i="25"/>
  <c r="G253" i="25"/>
  <c r="H253" i="25" s="1"/>
  <c r="I253" i="25"/>
  <c r="F254" i="25"/>
  <c r="G254" i="25"/>
  <c r="H254" i="25" s="1"/>
  <c r="I254" i="25"/>
  <c r="F255" i="25"/>
  <c r="G255" i="25"/>
  <c r="H255" i="25" s="1"/>
  <c r="I255" i="25"/>
  <c r="F256" i="25"/>
  <c r="G256" i="25"/>
  <c r="H256" i="25" s="1"/>
  <c r="I256" i="25"/>
  <c r="F257" i="25"/>
  <c r="G257" i="25"/>
  <c r="H257" i="25" s="1"/>
  <c r="I257" i="25"/>
  <c r="F258" i="25"/>
  <c r="G258" i="25"/>
  <c r="H258" i="25" s="1"/>
  <c r="I258" i="25"/>
  <c r="F259" i="25"/>
  <c r="G259" i="25"/>
  <c r="H259" i="25" s="1"/>
  <c r="I259" i="25"/>
  <c r="F260" i="25"/>
  <c r="G260" i="25"/>
  <c r="H260" i="25" s="1"/>
  <c r="I260" i="25"/>
  <c r="F261" i="25"/>
  <c r="G261" i="25"/>
  <c r="H261" i="25" s="1"/>
  <c r="I261" i="25"/>
  <c r="F262" i="25"/>
  <c r="G262" i="25"/>
  <c r="H262" i="25" s="1"/>
  <c r="I262" i="25"/>
  <c r="F263" i="25"/>
  <c r="G263" i="25"/>
  <c r="H263" i="25" s="1"/>
  <c r="I263" i="25"/>
  <c r="F264" i="25"/>
  <c r="G264" i="25"/>
  <c r="H264" i="25" s="1"/>
  <c r="I264" i="25"/>
  <c r="F265" i="25"/>
  <c r="G265" i="25"/>
  <c r="H265" i="25" s="1"/>
  <c r="I265" i="25"/>
  <c r="F266" i="25"/>
  <c r="G266" i="25"/>
  <c r="H266" i="25" s="1"/>
  <c r="I266" i="25"/>
  <c r="F267" i="25"/>
  <c r="G267" i="25"/>
  <c r="H267" i="25" s="1"/>
  <c r="I267" i="25"/>
  <c r="F268" i="25"/>
  <c r="G268" i="25"/>
  <c r="H268" i="25" s="1"/>
  <c r="I268" i="25"/>
  <c r="F269" i="25"/>
  <c r="G269" i="25"/>
  <c r="H269" i="25" s="1"/>
  <c r="I269" i="25"/>
  <c r="F270" i="25"/>
  <c r="G270" i="25"/>
  <c r="H270" i="25" s="1"/>
  <c r="I270" i="25"/>
  <c r="F271" i="25"/>
  <c r="G271" i="25"/>
  <c r="H271" i="25" s="1"/>
  <c r="I271" i="25"/>
  <c r="F272" i="25"/>
  <c r="G272" i="25"/>
  <c r="H272" i="25" s="1"/>
  <c r="I272" i="25"/>
  <c r="F273" i="25"/>
  <c r="G273" i="25"/>
  <c r="H273" i="25" s="1"/>
  <c r="I273" i="25"/>
  <c r="F274" i="25"/>
  <c r="G274" i="25"/>
  <c r="H274" i="25" s="1"/>
  <c r="I274" i="25"/>
  <c r="F275" i="25"/>
  <c r="G275" i="25"/>
  <c r="H275" i="25" s="1"/>
  <c r="I275" i="25"/>
  <c r="F276" i="25"/>
  <c r="G276" i="25"/>
  <c r="H276" i="25" s="1"/>
  <c r="I276" i="25"/>
  <c r="F277" i="25"/>
  <c r="G277" i="25"/>
  <c r="H277" i="25" s="1"/>
  <c r="I277" i="25"/>
  <c r="F278" i="25"/>
  <c r="G278" i="25"/>
  <c r="H278" i="25" s="1"/>
  <c r="I278" i="25"/>
  <c r="F279" i="25"/>
  <c r="G279" i="25"/>
  <c r="H279" i="25" s="1"/>
  <c r="I279" i="25"/>
  <c r="F280" i="25"/>
  <c r="G280" i="25"/>
  <c r="H280" i="25" s="1"/>
  <c r="I280" i="25"/>
  <c r="F281" i="25"/>
  <c r="G281" i="25"/>
  <c r="H281" i="25" s="1"/>
  <c r="I281" i="25"/>
  <c r="F282" i="25"/>
  <c r="G282" i="25"/>
  <c r="H282" i="25" s="1"/>
  <c r="I282" i="25"/>
  <c r="F283" i="25"/>
  <c r="G283" i="25"/>
  <c r="H283" i="25" s="1"/>
  <c r="I283" i="25"/>
  <c r="F284" i="25"/>
  <c r="G284" i="25"/>
  <c r="H284" i="25" s="1"/>
  <c r="I284" i="25"/>
  <c r="F285" i="25"/>
  <c r="G285" i="25"/>
  <c r="H285" i="25" s="1"/>
  <c r="I285" i="25"/>
  <c r="F286" i="25"/>
  <c r="G286" i="25"/>
  <c r="H286" i="25" s="1"/>
  <c r="I286" i="25"/>
  <c r="F287" i="25"/>
  <c r="G287" i="25"/>
  <c r="H287" i="25" s="1"/>
  <c r="I287" i="25"/>
  <c r="F288" i="25"/>
  <c r="G288" i="25"/>
  <c r="H288" i="25" s="1"/>
  <c r="I288" i="25"/>
  <c r="F289" i="25"/>
  <c r="G289" i="25"/>
  <c r="H289" i="25" s="1"/>
  <c r="I289" i="25"/>
  <c r="F290" i="25"/>
  <c r="G290" i="25"/>
  <c r="H290" i="25" s="1"/>
  <c r="I290" i="25"/>
  <c r="F291" i="25"/>
  <c r="G291" i="25"/>
  <c r="H291" i="25" s="1"/>
  <c r="I291" i="25"/>
  <c r="F292" i="25"/>
  <c r="G292" i="25"/>
  <c r="H292" i="25" s="1"/>
  <c r="I292" i="25"/>
  <c r="F293" i="25"/>
  <c r="G293" i="25"/>
  <c r="H293" i="25" s="1"/>
  <c r="I293" i="25"/>
  <c r="F294" i="25"/>
  <c r="G294" i="25"/>
  <c r="H294" i="25" s="1"/>
  <c r="I294" i="25"/>
  <c r="F295" i="25"/>
  <c r="G295" i="25"/>
  <c r="H295" i="25" s="1"/>
  <c r="I295" i="25"/>
  <c r="F296" i="25"/>
  <c r="G296" i="25"/>
  <c r="H296" i="25" s="1"/>
  <c r="I296" i="25"/>
  <c r="F297" i="25"/>
  <c r="G297" i="25"/>
  <c r="H297" i="25" s="1"/>
  <c r="I297" i="25"/>
  <c r="F298" i="25"/>
  <c r="G298" i="25"/>
  <c r="H298" i="25" s="1"/>
  <c r="I298" i="25"/>
  <c r="F299" i="25"/>
  <c r="G299" i="25"/>
  <c r="H299" i="25" s="1"/>
  <c r="I299" i="25"/>
  <c r="F300" i="25"/>
  <c r="G300" i="25"/>
  <c r="H300" i="25" s="1"/>
  <c r="I300" i="25"/>
  <c r="F301" i="25"/>
  <c r="G301" i="25"/>
  <c r="H301" i="25" s="1"/>
  <c r="I301" i="25"/>
  <c r="F302" i="25"/>
  <c r="G302" i="25"/>
  <c r="H302" i="25" s="1"/>
  <c r="I302" i="25"/>
  <c r="F303" i="25"/>
  <c r="G303" i="25"/>
  <c r="H303" i="25" s="1"/>
  <c r="I303" i="25"/>
  <c r="F304" i="25"/>
  <c r="G304" i="25"/>
  <c r="H304" i="25" s="1"/>
  <c r="I304" i="25"/>
  <c r="F305" i="25"/>
  <c r="G305" i="25"/>
  <c r="H305" i="25" s="1"/>
  <c r="I305" i="25"/>
  <c r="F306" i="25"/>
  <c r="G306" i="25"/>
  <c r="H306" i="25" s="1"/>
  <c r="I306" i="25"/>
  <c r="F307" i="25"/>
  <c r="G307" i="25"/>
  <c r="H307" i="25" s="1"/>
  <c r="I307" i="25"/>
  <c r="F308" i="25"/>
  <c r="G308" i="25"/>
  <c r="H308" i="25" s="1"/>
  <c r="I308" i="25"/>
  <c r="F309" i="25"/>
  <c r="G309" i="25"/>
  <c r="H309" i="25" s="1"/>
  <c r="I309" i="25"/>
  <c r="F310" i="25"/>
  <c r="G310" i="25"/>
  <c r="H310" i="25" s="1"/>
  <c r="I310" i="25"/>
  <c r="F311" i="25"/>
  <c r="G311" i="25"/>
  <c r="H311" i="25" s="1"/>
  <c r="I311" i="25"/>
  <c r="F312" i="25"/>
  <c r="G312" i="25"/>
  <c r="H312" i="25" s="1"/>
  <c r="I312" i="25"/>
  <c r="F313" i="25"/>
  <c r="G313" i="25"/>
  <c r="H313" i="25" s="1"/>
  <c r="I313" i="25"/>
  <c r="F314" i="25"/>
  <c r="G314" i="25"/>
  <c r="H314" i="25" s="1"/>
  <c r="I314" i="25"/>
  <c r="F315" i="25"/>
  <c r="G315" i="25"/>
  <c r="H315" i="25" s="1"/>
  <c r="I315" i="25"/>
  <c r="F316" i="25"/>
  <c r="G316" i="25"/>
  <c r="H316" i="25" s="1"/>
  <c r="I316" i="25"/>
  <c r="F317" i="25"/>
  <c r="G317" i="25"/>
  <c r="H317" i="25" s="1"/>
  <c r="I317" i="25"/>
  <c r="F318" i="25"/>
  <c r="G318" i="25"/>
  <c r="H318" i="25" s="1"/>
  <c r="I318" i="25"/>
  <c r="F319" i="25"/>
  <c r="G319" i="25"/>
  <c r="H319" i="25" s="1"/>
  <c r="I319" i="25"/>
  <c r="F320" i="25"/>
  <c r="G320" i="25"/>
  <c r="H320" i="25" s="1"/>
  <c r="I320" i="25"/>
  <c r="F321" i="25"/>
  <c r="G321" i="25"/>
  <c r="H321" i="25" s="1"/>
  <c r="I321" i="25"/>
  <c r="F322" i="25"/>
  <c r="G322" i="25"/>
  <c r="H322" i="25" s="1"/>
  <c r="I322" i="25"/>
  <c r="F323" i="25"/>
  <c r="G323" i="25"/>
  <c r="H323" i="25" s="1"/>
  <c r="I323" i="25"/>
  <c r="F324" i="25"/>
  <c r="G324" i="25"/>
  <c r="H324" i="25" s="1"/>
  <c r="I324" i="25"/>
  <c r="F325" i="25"/>
  <c r="G325" i="25"/>
  <c r="H325" i="25" s="1"/>
  <c r="I325" i="25"/>
  <c r="F326" i="25"/>
  <c r="G326" i="25"/>
  <c r="H326" i="25" s="1"/>
  <c r="I326" i="25"/>
  <c r="F327" i="25"/>
  <c r="G327" i="25"/>
  <c r="H327" i="25" s="1"/>
  <c r="I327" i="25"/>
  <c r="F328" i="25"/>
  <c r="G328" i="25"/>
  <c r="H328" i="25" s="1"/>
  <c r="I328" i="25"/>
  <c r="F329" i="25"/>
  <c r="G329" i="25"/>
  <c r="H329" i="25" s="1"/>
  <c r="I329" i="25"/>
  <c r="F330" i="25"/>
  <c r="G330" i="25"/>
  <c r="H330" i="25" s="1"/>
  <c r="I330" i="25"/>
  <c r="F331" i="25"/>
  <c r="G331" i="25"/>
  <c r="H331" i="25" s="1"/>
  <c r="I331" i="25"/>
  <c r="F332" i="25"/>
  <c r="G332" i="25"/>
  <c r="H332" i="25" s="1"/>
  <c r="I332" i="25"/>
  <c r="F333" i="25"/>
  <c r="G333" i="25"/>
  <c r="H333" i="25" s="1"/>
  <c r="I333" i="25"/>
  <c r="F334" i="25"/>
  <c r="G334" i="25"/>
  <c r="H334" i="25" s="1"/>
  <c r="I334" i="25"/>
  <c r="F335" i="25"/>
  <c r="G335" i="25"/>
  <c r="H335" i="25" s="1"/>
  <c r="I335" i="25"/>
  <c r="F336" i="25"/>
  <c r="G336" i="25"/>
  <c r="H336" i="25" s="1"/>
  <c r="I336" i="25"/>
  <c r="F337" i="25"/>
  <c r="G337" i="25"/>
  <c r="H337" i="25" s="1"/>
  <c r="I337" i="25"/>
  <c r="F338" i="25"/>
  <c r="G338" i="25"/>
  <c r="H338" i="25" s="1"/>
  <c r="I338" i="25"/>
  <c r="F339" i="25"/>
  <c r="G339" i="25"/>
  <c r="H339" i="25" s="1"/>
  <c r="I339" i="25"/>
  <c r="F340" i="25"/>
  <c r="G340" i="25"/>
  <c r="H340" i="25" s="1"/>
  <c r="I340" i="25"/>
  <c r="F341" i="25"/>
  <c r="G341" i="25"/>
  <c r="H341" i="25" s="1"/>
  <c r="I341" i="25"/>
  <c r="F342" i="25"/>
  <c r="G342" i="25"/>
  <c r="H342" i="25" s="1"/>
  <c r="I342" i="25"/>
  <c r="F343" i="25"/>
  <c r="G343" i="25"/>
  <c r="H343" i="25" s="1"/>
  <c r="I343" i="25"/>
  <c r="F344" i="25"/>
  <c r="G344" i="25"/>
  <c r="H344" i="25" s="1"/>
  <c r="I344" i="25"/>
  <c r="F345" i="25"/>
  <c r="G345" i="25"/>
  <c r="H345" i="25" s="1"/>
  <c r="I345" i="25"/>
  <c r="F346" i="25"/>
  <c r="G346" i="25"/>
  <c r="H346" i="25" s="1"/>
  <c r="I346" i="25"/>
  <c r="F347" i="25"/>
  <c r="G347" i="25"/>
  <c r="H347" i="25" s="1"/>
  <c r="I347" i="25"/>
  <c r="F348" i="25"/>
  <c r="G348" i="25"/>
  <c r="H348" i="25" s="1"/>
  <c r="I348" i="25"/>
  <c r="F349" i="25"/>
  <c r="G349" i="25"/>
  <c r="H349" i="25" s="1"/>
  <c r="I349" i="25"/>
  <c r="F350" i="25"/>
  <c r="G350" i="25"/>
  <c r="H350" i="25" s="1"/>
  <c r="I350" i="25"/>
  <c r="F351" i="25"/>
  <c r="G351" i="25"/>
  <c r="H351" i="25" s="1"/>
  <c r="I351" i="25"/>
  <c r="F352" i="25"/>
  <c r="G352" i="25"/>
  <c r="H352" i="25" s="1"/>
  <c r="I352" i="25"/>
  <c r="F353" i="25"/>
  <c r="G353" i="25"/>
  <c r="H353" i="25" s="1"/>
  <c r="I353" i="25"/>
  <c r="F354" i="25"/>
  <c r="G354" i="25"/>
  <c r="H354" i="25" s="1"/>
  <c r="I354" i="25"/>
  <c r="F355" i="25"/>
  <c r="G355" i="25"/>
  <c r="H355" i="25" s="1"/>
  <c r="I355" i="25"/>
  <c r="F356" i="25"/>
  <c r="G356" i="25"/>
  <c r="H356" i="25" s="1"/>
  <c r="I356" i="25"/>
  <c r="F357" i="25"/>
  <c r="G357" i="25"/>
  <c r="H357" i="25" s="1"/>
  <c r="I357" i="25"/>
  <c r="F358" i="25"/>
  <c r="G358" i="25"/>
  <c r="H358" i="25" s="1"/>
  <c r="I358" i="25"/>
  <c r="F359" i="25"/>
  <c r="G359" i="25"/>
  <c r="H359" i="25" s="1"/>
  <c r="I359" i="25"/>
  <c r="F360" i="25"/>
  <c r="G360" i="25"/>
  <c r="H360" i="25" s="1"/>
  <c r="I360" i="25"/>
  <c r="F361" i="25"/>
  <c r="G361" i="25"/>
  <c r="H361" i="25" s="1"/>
  <c r="I361" i="25"/>
  <c r="F362" i="25"/>
  <c r="G362" i="25"/>
  <c r="H362" i="25" s="1"/>
  <c r="I362" i="25"/>
  <c r="F363" i="25"/>
  <c r="G363" i="25"/>
  <c r="H363" i="25" s="1"/>
  <c r="I363" i="25"/>
  <c r="F364" i="25"/>
  <c r="G364" i="25"/>
  <c r="H364" i="25" s="1"/>
  <c r="I364" i="25"/>
  <c r="F365" i="25"/>
  <c r="G365" i="25"/>
  <c r="H365" i="25" s="1"/>
  <c r="I365" i="25"/>
  <c r="F366" i="25"/>
  <c r="G366" i="25"/>
  <c r="H366" i="25" s="1"/>
  <c r="I366" i="25"/>
  <c r="F367" i="25"/>
  <c r="G367" i="25"/>
  <c r="H367" i="25" s="1"/>
  <c r="I367" i="25"/>
  <c r="F368" i="25"/>
  <c r="G368" i="25"/>
  <c r="H368" i="25" s="1"/>
  <c r="I368" i="25"/>
  <c r="F369" i="25"/>
  <c r="G369" i="25"/>
  <c r="H369" i="25" s="1"/>
  <c r="I369" i="25"/>
  <c r="F370" i="25"/>
  <c r="G370" i="25"/>
  <c r="H370" i="25" s="1"/>
  <c r="I370" i="25"/>
  <c r="F371" i="25"/>
  <c r="G371" i="25"/>
  <c r="H371" i="25" s="1"/>
  <c r="I371" i="25"/>
  <c r="F372" i="25"/>
  <c r="G372" i="25"/>
  <c r="H372" i="25" s="1"/>
  <c r="I372" i="25"/>
  <c r="F373" i="25"/>
  <c r="G373" i="25"/>
  <c r="H373" i="25" s="1"/>
  <c r="I373" i="25"/>
  <c r="F374" i="25"/>
  <c r="G374" i="25"/>
  <c r="H374" i="25" s="1"/>
  <c r="I374" i="25"/>
  <c r="F375" i="25"/>
  <c r="G375" i="25"/>
  <c r="H375" i="25" s="1"/>
  <c r="I375" i="25"/>
  <c r="F376" i="25"/>
  <c r="G376" i="25"/>
  <c r="H376" i="25" s="1"/>
  <c r="I376" i="25"/>
  <c r="F377" i="25"/>
  <c r="G377" i="25"/>
  <c r="H377" i="25" s="1"/>
  <c r="I377" i="25"/>
  <c r="F378" i="25"/>
  <c r="G378" i="25"/>
  <c r="H378" i="25" s="1"/>
  <c r="I378" i="25"/>
  <c r="F379" i="25"/>
  <c r="G379" i="25"/>
  <c r="H379" i="25" s="1"/>
  <c r="I379" i="25"/>
  <c r="F380" i="25"/>
  <c r="G380" i="25"/>
  <c r="H380" i="25" s="1"/>
  <c r="I380" i="25"/>
  <c r="F381" i="25"/>
  <c r="G381" i="25"/>
  <c r="H381" i="25" s="1"/>
  <c r="I381" i="25"/>
  <c r="F382" i="25"/>
  <c r="G382" i="25"/>
  <c r="H382" i="25" s="1"/>
  <c r="I382" i="25"/>
  <c r="F383" i="25"/>
  <c r="G383" i="25"/>
  <c r="H383" i="25" s="1"/>
  <c r="I383" i="25"/>
  <c r="F384" i="25"/>
  <c r="G384" i="25"/>
  <c r="H384" i="25" s="1"/>
  <c r="I384" i="25"/>
  <c r="F385" i="25"/>
  <c r="G385" i="25"/>
  <c r="H385" i="25" s="1"/>
  <c r="I385" i="25"/>
  <c r="F386" i="25"/>
  <c r="G386" i="25"/>
  <c r="H386" i="25" s="1"/>
  <c r="I386" i="25"/>
  <c r="F387" i="25"/>
  <c r="G387" i="25"/>
  <c r="H387" i="25" s="1"/>
  <c r="I387" i="25"/>
  <c r="F388" i="25"/>
  <c r="G388" i="25"/>
  <c r="H388" i="25" s="1"/>
  <c r="I388" i="25"/>
  <c r="F389" i="25"/>
  <c r="G389" i="25"/>
  <c r="H389" i="25" s="1"/>
  <c r="I389" i="25"/>
  <c r="F390" i="25"/>
  <c r="G390" i="25"/>
  <c r="H390" i="25" s="1"/>
  <c r="I390" i="25"/>
  <c r="F391" i="25"/>
  <c r="G391" i="25"/>
  <c r="H391" i="25" s="1"/>
  <c r="I391" i="25"/>
  <c r="F392" i="25"/>
  <c r="G392" i="25"/>
  <c r="H392" i="25" s="1"/>
  <c r="I392" i="25"/>
  <c r="F393" i="25"/>
  <c r="G393" i="25"/>
  <c r="H393" i="25" s="1"/>
  <c r="I393" i="25"/>
  <c r="F394" i="25"/>
  <c r="G394" i="25"/>
  <c r="H394" i="25" s="1"/>
  <c r="I394" i="25"/>
  <c r="F395" i="25"/>
  <c r="G395" i="25"/>
  <c r="H395" i="25" s="1"/>
  <c r="I395" i="25"/>
  <c r="F396" i="25"/>
  <c r="G396" i="25"/>
  <c r="H396" i="25" s="1"/>
  <c r="I396" i="25"/>
  <c r="F397" i="25"/>
  <c r="G397" i="25"/>
  <c r="H397" i="25" s="1"/>
  <c r="I397" i="25"/>
  <c r="F398" i="25"/>
  <c r="G398" i="25"/>
  <c r="H398" i="25" s="1"/>
  <c r="I398" i="25"/>
  <c r="F399" i="25"/>
  <c r="G399" i="25"/>
  <c r="H399" i="25" s="1"/>
  <c r="I399" i="25"/>
  <c r="F400" i="25"/>
  <c r="G400" i="25"/>
  <c r="H400" i="25" s="1"/>
  <c r="I400" i="25"/>
  <c r="F401" i="25"/>
  <c r="G401" i="25"/>
  <c r="H401" i="25" s="1"/>
  <c r="I401" i="25"/>
  <c r="F402" i="25"/>
  <c r="G402" i="25"/>
  <c r="H402" i="25" s="1"/>
  <c r="I402" i="25"/>
  <c r="F403" i="25"/>
  <c r="G403" i="25"/>
  <c r="H403" i="25" s="1"/>
  <c r="I403" i="25"/>
  <c r="F404" i="25"/>
  <c r="G404" i="25"/>
  <c r="H404" i="25" s="1"/>
  <c r="I404" i="25"/>
  <c r="F405" i="25"/>
  <c r="G405" i="25"/>
  <c r="H405" i="25" s="1"/>
  <c r="I405" i="25"/>
  <c r="F406" i="25"/>
  <c r="G406" i="25"/>
  <c r="H406" i="25" s="1"/>
  <c r="I406" i="25"/>
  <c r="F407" i="25"/>
  <c r="G407" i="25"/>
  <c r="H407" i="25" s="1"/>
  <c r="I407" i="25"/>
  <c r="F408" i="25"/>
  <c r="G408" i="25"/>
  <c r="H408" i="25" s="1"/>
  <c r="I408" i="25"/>
  <c r="F409" i="25"/>
  <c r="G409" i="25"/>
  <c r="H409" i="25" s="1"/>
  <c r="I409" i="25"/>
  <c r="F410" i="25"/>
  <c r="G410" i="25"/>
  <c r="H410" i="25" s="1"/>
  <c r="I410" i="25"/>
  <c r="F411" i="25"/>
  <c r="G411" i="25"/>
  <c r="H411" i="25" s="1"/>
  <c r="I411" i="25"/>
  <c r="F412" i="25"/>
  <c r="G412" i="25"/>
  <c r="H412" i="25" s="1"/>
  <c r="I412" i="25"/>
  <c r="F413" i="25"/>
  <c r="G413" i="25"/>
  <c r="H413" i="25" s="1"/>
  <c r="I413" i="25"/>
  <c r="F414" i="25"/>
  <c r="G414" i="25"/>
  <c r="H414" i="25" s="1"/>
  <c r="I414" i="25"/>
  <c r="F415" i="25"/>
  <c r="G415" i="25"/>
  <c r="H415" i="25" s="1"/>
  <c r="I415" i="25"/>
  <c r="F416" i="25"/>
  <c r="G416" i="25"/>
  <c r="H416" i="25" s="1"/>
  <c r="I416" i="25"/>
  <c r="F417" i="25"/>
  <c r="G417" i="25"/>
  <c r="H417" i="25" s="1"/>
  <c r="I417" i="25"/>
  <c r="F418" i="25"/>
  <c r="G418" i="25"/>
  <c r="H418" i="25" s="1"/>
  <c r="I418" i="25"/>
  <c r="F419" i="25"/>
  <c r="G419" i="25"/>
  <c r="H419" i="25" s="1"/>
  <c r="I419" i="25"/>
  <c r="F420" i="25"/>
  <c r="G420" i="25"/>
  <c r="H420" i="25" s="1"/>
  <c r="I420" i="25"/>
  <c r="F421" i="25"/>
  <c r="G421" i="25"/>
  <c r="H421" i="25" s="1"/>
  <c r="I421" i="25"/>
  <c r="F422" i="25"/>
  <c r="G422" i="25"/>
  <c r="H422" i="25" s="1"/>
  <c r="I422" i="25"/>
  <c r="F423" i="25"/>
  <c r="G423" i="25"/>
  <c r="H423" i="25" s="1"/>
  <c r="I423" i="25"/>
  <c r="F424" i="25"/>
  <c r="G424" i="25"/>
  <c r="H424" i="25" s="1"/>
  <c r="I424" i="25"/>
  <c r="F425" i="25"/>
  <c r="G425" i="25"/>
  <c r="H425" i="25" s="1"/>
  <c r="I425" i="25"/>
  <c r="F426" i="25"/>
  <c r="G426" i="25"/>
  <c r="H426" i="25" s="1"/>
  <c r="I426" i="25"/>
  <c r="F427" i="25"/>
  <c r="G427" i="25"/>
  <c r="H427" i="25" s="1"/>
  <c r="I427" i="25"/>
  <c r="F428" i="25"/>
  <c r="G428" i="25"/>
  <c r="H428" i="25" s="1"/>
  <c r="I428" i="25"/>
  <c r="F429" i="25"/>
  <c r="G429" i="25"/>
  <c r="H429" i="25" s="1"/>
  <c r="I429" i="25"/>
  <c r="F430" i="25"/>
  <c r="G430" i="25"/>
  <c r="H430" i="25" s="1"/>
  <c r="I430" i="25"/>
  <c r="F431" i="25"/>
  <c r="G431" i="25"/>
  <c r="H431" i="25" s="1"/>
  <c r="I431" i="25"/>
  <c r="F432" i="25"/>
  <c r="G432" i="25"/>
  <c r="H432" i="25" s="1"/>
  <c r="I432" i="25"/>
  <c r="F433" i="25"/>
  <c r="G433" i="25"/>
  <c r="H433" i="25" s="1"/>
  <c r="I433" i="25"/>
  <c r="F434" i="25"/>
  <c r="G434" i="25"/>
  <c r="H434" i="25" s="1"/>
  <c r="I434" i="25"/>
  <c r="F435" i="25"/>
  <c r="G435" i="25"/>
  <c r="H435" i="25" s="1"/>
  <c r="I435" i="25"/>
  <c r="F436" i="25"/>
  <c r="G436" i="25"/>
  <c r="H436" i="25" s="1"/>
  <c r="I436" i="25"/>
  <c r="F437" i="25"/>
  <c r="G437" i="25"/>
  <c r="H437" i="25" s="1"/>
  <c r="I437" i="25"/>
  <c r="F438" i="25"/>
  <c r="G438" i="25"/>
  <c r="H438" i="25" s="1"/>
  <c r="I438" i="25"/>
  <c r="F439" i="25"/>
  <c r="G439" i="25"/>
  <c r="H439" i="25" s="1"/>
  <c r="I439" i="25"/>
  <c r="F440" i="25"/>
  <c r="G440" i="25"/>
  <c r="H440" i="25" s="1"/>
  <c r="I440" i="25"/>
  <c r="F441" i="25"/>
  <c r="G441" i="25"/>
  <c r="H441" i="25" s="1"/>
  <c r="I441" i="25"/>
  <c r="F442" i="25"/>
  <c r="G442" i="25"/>
  <c r="H442" i="25" s="1"/>
  <c r="I442" i="25"/>
  <c r="F443" i="25"/>
  <c r="G443" i="25"/>
  <c r="H443" i="25" s="1"/>
  <c r="I443" i="25"/>
  <c r="F444" i="25"/>
  <c r="G444" i="25"/>
  <c r="H444" i="25" s="1"/>
  <c r="I444" i="25"/>
  <c r="F445" i="25"/>
  <c r="G445" i="25"/>
  <c r="H445" i="25" s="1"/>
  <c r="I445" i="25"/>
  <c r="F446" i="25"/>
  <c r="G446" i="25"/>
  <c r="H446" i="25" s="1"/>
  <c r="I446" i="25"/>
  <c r="F447" i="25"/>
  <c r="G447" i="25"/>
  <c r="H447" i="25" s="1"/>
  <c r="I447" i="25"/>
  <c r="F448" i="25"/>
  <c r="G448" i="25"/>
  <c r="H448" i="25" s="1"/>
  <c r="I448" i="25"/>
  <c r="F449" i="25"/>
  <c r="G449" i="25"/>
  <c r="H449" i="25" s="1"/>
  <c r="I449" i="25"/>
  <c r="F450" i="25"/>
  <c r="G450" i="25"/>
  <c r="H450" i="25" s="1"/>
  <c r="I450" i="25"/>
  <c r="F451" i="25"/>
  <c r="G451" i="25"/>
  <c r="H451" i="25" s="1"/>
  <c r="I451" i="25"/>
  <c r="F452" i="25"/>
  <c r="G452" i="25"/>
  <c r="H452" i="25" s="1"/>
  <c r="I452" i="25"/>
  <c r="F453" i="25"/>
  <c r="G453" i="25"/>
  <c r="H453" i="25" s="1"/>
  <c r="I453" i="25"/>
  <c r="F454" i="25"/>
  <c r="G454" i="25"/>
  <c r="H454" i="25" s="1"/>
  <c r="I454" i="25"/>
  <c r="F455" i="25"/>
  <c r="G455" i="25"/>
  <c r="H455" i="25" s="1"/>
  <c r="I455" i="25"/>
  <c r="F456" i="25"/>
  <c r="G456" i="25"/>
  <c r="H456" i="25" s="1"/>
  <c r="I456" i="25"/>
  <c r="F457" i="25"/>
  <c r="G457" i="25"/>
  <c r="H457" i="25" s="1"/>
  <c r="I457" i="25"/>
  <c r="F458" i="25"/>
  <c r="G458" i="25"/>
  <c r="H458" i="25" s="1"/>
  <c r="I458" i="25"/>
  <c r="F459" i="25"/>
  <c r="G459" i="25"/>
  <c r="H459" i="25" s="1"/>
  <c r="I459" i="25"/>
  <c r="F460" i="25"/>
  <c r="G460" i="25"/>
  <c r="H460" i="25" s="1"/>
  <c r="I460" i="25"/>
  <c r="F461" i="25"/>
  <c r="G461" i="25"/>
  <c r="H461" i="25" s="1"/>
  <c r="I461" i="25"/>
  <c r="F462" i="25"/>
  <c r="G462" i="25"/>
  <c r="H462" i="25" s="1"/>
  <c r="I462" i="25"/>
  <c r="F463" i="25"/>
  <c r="G463" i="25"/>
  <c r="H463" i="25" s="1"/>
  <c r="I463" i="25"/>
  <c r="F464" i="25"/>
  <c r="G464" i="25"/>
  <c r="H464" i="25" s="1"/>
  <c r="I464" i="25"/>
  <c r="F465" i="25"/>
  <c r="G465" i="25"/>
  <c r="H465" i="25" s="1"/>
  <c r="I465" i="25"/>
  <c r="F466" i="25"/>
  <c r="G466" i="25"/>
  <c r="H466" i="25" s="1"/>
  <c r="I466" i="25"/>
  <c r="F467" i="25"/>
  <c r="G467" i="25"/>
  <c r="H467" i="25" s="1"/>
  <c r="I467" i="25"/>
  <c r="F468" i="25"/>
  <c r="G468" i="25"/>
  <c r="H468" i="25" s="1"/>
  <c r="I468" i="25"/>
  <c r="F469" i="25"/>
  <c r="G469" i="25"/>
  <c r="H469" i="25" s="1"/>
  <c r="I469" i="25"/>
  <c r="F470" i="25"/>
  <c r="G470" i="25"/>
  <c r="H470" i="25" s="1"/>
  <c r="I470" i="25"/>
  <c r="F471" i="25"/>
  <c r="G471" i="25"/>
  <c r="H471" i="25" s="1"/>
  <c r="I471" i="25"/>
  <c r="F472" i="25"/>
  <c r="G472" i="25"/>
  <c r="H472" i="25" s="1"/>
  <c r="I472" i="25"/>
  <c r="F473" i="25"/>
  <c r="G473" i="25"/>
  <c r="H473" i="25" s="1"/>
  <c r="I473" i="25"/>
  <c r="F474" i="25"/>
  <c r="G474" i="25"/>
  <c r="H474" i="25" s="1"/>
  <c r="I474" i="25"/>
  <c r="F475" i="25"/>
  <c r="G475" i="25"/>
  <c r="H475" i="25" s="1"/>
  <c r="I475" i="25"/>
  <c r="F476" i="25"/>
  <c r="G476" i="25"/>
  <c r="H476" i="25" s="1"/>
  <c r="I476" i="25"/>
  <c r="F477" i="25"/>
  <c r="G477" i="25"/>
  <c r="H477" i="25" s="1"/>
  <c r="I477" i="25"/>
  <c r="F478" i="25"/>
  <c r="G478" i="25"/>
  <c r="H478" i="25" s="1"/>
  <c r="I478" i="25"/>
  <c r="F479" i="25"/>
  <c r="G479" i="25"/>
  <c r="H479" i="25" s="1"/>
  <c r="I479" i="25"/>
  <c r="F480" i="25"/>
  <c r="G480" i="25"/>
  <c r="H480" i="25" s="1"/>
  <c r="I480" i="25"/>
  <c r="F481" i="25"/>
  <c r="G481" i="25"/>
  <c r="H481" i="25" s="1"/>
  <c r="I481" i="25"/>
  <c r="F482" i="25"/>
  <c r="G482" i="25"/>
  <c r="H482" i="25" s="1"/>
  <c r="I482" i="25"/>
  <c r="F483" i="25"/>
  <c r="G483" i="25"/>
  <c r="H483" i="25" s="1"/>
  <c r="I483" i="25"/>
  <c r="F484" i="25"/>
  <c r="G484" i="25"/>
  <c r="H484" i="25" s="1"/>
  <c r="I484" i="25"/>
  <c r="F485" i="25"/>
  <c r="G485" i="25"/>
  <c r="H485" i="25" s="1"/>
  <c r="I485" i="25"/>
  <c r="F486" i="25"/>
  <c r="G486" i="25"/>
  <c r="H486" i="25" s="1"/>
  <c r="I486" i="25"/>
  <c r="F487" i="25"/>
  <c r="G487" i="25"/>
  <c r="H487" i="25" s="1"/>
  <c r="I487" i="25"/>
  <c r="F488" i="25"/>
  <c r="G488" i="25"/>
  <c r="H488" i="25" s="1"/>
  <c r="I488" i="25"/>
  <c r="F489" i="25"/>
  <c r="G489" i="25"/>
  <c r="H489" i="25" s="1"/>
  <c r="I489" i="25"/>
  <c r="F490" i="25"/>
  <c r="G490" i="25"/>
  <c r="H490" i="25" s="1"/>
  <c r="I490" i="25"/>
  <c r="F491" i="25"/>
  <c r="G491" i="25"/>
  <c r="H491" i="25" s="1"/>
  <c r="I491" i="25"/>
  <c r="F492" i="25"/>
  <c r="G492" i="25"/>
  <c r="H492" i="25" s="1"/>
  <c r="I492" i="25"/>
  <c r="F493" i="25"/>
  <c r="G493" i="25"/>
  <c r="H493" i="25" s="1"/>
  <c r="I493" i="25"/>
  <c r="F494" i="25"/>
  <c r="G494" i="25"/>
  <c r="H494" i="25" s="1"/>
  <c r="I494" i="25"/>
  <c r="F495" i="25"/>
  <c r="G495" i="25"/>
  <c r="H495" i="25" s="1"/>
  <c r="I495" i="25"/>
  <c r="F496" i="25"/>
  <c r="G496" i="25"/>
  <c r="H496" i="25" s="1"/>
  <c r="I496" i="25"/>
  <c r="F497" i="25"/>
  <c r="G497" i="25"/>
  <c r="H497" i="25" s="1"/>
  <c r="I497" i="25"/>
  <c r="F498" i="25"/>
  <c r="G498" i="25"/>
  <c r="H498" i="25" s="1"/>
  <c r="I498" i="25"/>
  <c r="F499" i="25"/>
  <c r="G499" i="25"/>
  <c r="H499" i="25" s="1"/>
  <c r="I499" i="25"/>
  <c r="F500" i="25"/>
  <c r="G500" i="25"/>
  <c r="H500" i="25" s="1"/>
  <c r="I500" i="25"/>
  <c r="F501" i="25"/>
  <c r="G501" i="25"/>
  <c r="H501" i="25" s="1"/>
  <c r="I501" i="25"/>
  <c r="F502" i="25"/>
  <c r="G502" i="25"/>
  <c r="H502" i="25" s="1"/>
  <c r="I502" i="25"/>
  <c r="F503" i="25"/>
  <c r="G503" i="25"/>
  <c r="H503" i="25" s="1"/>
  <c r="I503" i="25"/>
  <c r="F504" i="25"/>
  <c r="G504" i="25"/>
  <c r="H504" i="25" s="1"/>
  <c r="I504" i="25"/>
  <c r="F505" i="25"/>
  <c r="G505" i="25"/>
  <c r="H505" i="25" s="1"/>
  <c r="I505" i="25"/>
  <c r="F506" i="25"/>
  <c r="G506" i="25"/>
  <c r="H506" i="25" s="1"/>
  <c r="I506" i="25"/>
  <c r="F507" i="25"/>
  <c r="G507" i="25"/>
  <c r="H507" i="25" s="1"/>
  <c r="I507" i="25"/>
  <c r="F508" i="25"/>
  <c r="G508" i="25"/>
  <c r="H508" i="25" s="1"/>
  <c r="I508" i="25"/>
  <c r="F509" i="25"/>
  <c r="G509" i="25"/>
  <c r="H509" i="25" s="1"/>
  <c r="I509" i="25"/>
  <c r="F510" i="25"/>
  <c r="G510" i="25"/>
  <c r="H510" i="25" s="1"/>
  <c r="I510" i="25"/>
  <c r="F511" i="25"/>
  <c r="G511" i="25"/>
  <c r="H511" i="25" s="1"/>
  <c r="I511" i="25"/>
  <c r="F512" i="25"/>
  <c r="G512" i="25"/>
  <c r="H512" i="25" s="1"/>
  <c r="I512" i="25"/>
  <c r="F513" i="25"/>
  <c r="G513" i="25"/>
  <c r="H513" i="25" s="1"/>
  <c r="I513" i="25"/>
  <c r="F514" i="25"/>
  <c r="G514" i="25"/>
  <c r="H514" i="25" s="1"/>
  <c r="I514" i="25"/>
  <c r="F515" i="25"/>
  <c r="G515" i="25"/>
  <c r="H515" i="25" s="1"/>
  <c r="I515" i="25"/>
  <c r="F516" i="25"/>
  <c r="G516" i="25"/>
  <c r="H516" i="25" s="1"/>
  <c r="I516" i="25"/>
  <c r="F517" i="25"/>
  <c r="G517" i="25"/>
  <c r="H517" i="25" s="1"/>
  <c r="I517" i="25"/>
  <c r="F518" i="25"/>
  <c r="G518" i="25"/>
  <c r="H518" i="25" s="1"/>
  <c r="I518" i="25"/>
  <c r="F519" i="25"/>
  <c r="G519" i="25"/>
  <c r="H519" i="25" s="1"/>
  <c r="I519" i="25"/>
  <c r="F520" i="25"/>
  <c r="G520" i="25"/>
  <c r="H520" i="25" s="1"/>
  <c r="I520" i="25"/>
  <c r="F521" i="25"/>
  <c r="G521" i="25"/>
  <c r="H521" i="25" s="1"/>
  <c r="I521" i="25"/>
  <c r="F522" i="25"/>
  <c r="G522" i="25"/>
  <c r="H522" i="25" s="1"/>
  <c r="I522" i="25"/>
  <c r="F523" i="25"/>
  <c r="G523" i="25"/>
  <c r="H523" i="25" s="1"/>
  <c r="I523" i="25"/>
  <c r="F524" i="25"/>
  <c r="G524" i="25"/>
  <c r="H524" i="25" s="1"/>
  <c r="I524" i="25"/>
  <c r="F525" i="25"/>
  <c r="G525" i="25"/>
  <c r="H525" i="25" s="1"/>
  <c r="I525" i="25"/>
  <c r="F526" i="25"/>
  <c r="G526" i="25"/>
  <c r="H526" i="25" s="1"/>
  <c r="I526" i="25"/>
  <c r="F527" i="25"/>
  <c r="G527" i="25"/>
  <c r="H527" i="25" s="1"/>
  <c r="I527" i="25"/>
  <c r="F528" i="25"/>
  <c r="G528" i="25"/>
  <c r="H528" i="25" s="1"/>
  <c r="I528" i="25"/>
  <c r="F529" i="25"/>
  <c r="G529" i="25"/>
  <c r="H529" i="25" s="1"/>
  <c r="I529" i="25"/>
  <c r="F530" i="25"/>
  <c r="G530" i="25"/>
  <c r="H530" i="25" s="1"/>
  <c r="I530" i="25"/>
  <c r="F531" i="25"/>
  <c r="G531" i="25"/>
  <c r="H531" i="25" s="1"/>
  <c r="I531" i="25"/>
  <c r="F532" i="25"/>
  <c r="G532" i="25"/>
  <c r="H532" i="25" s="1"/>
  <c r="I532" i="25"/>
  <c r="F533" i="25"/>
  <c r="G533" i="25"/>
  <c r="H533" i="25" s="1"/>
  <c r="I533" i="25"/>
  <c r="F534" i="25"/>
  <c r="G534" i="25"/>
  <c r="H534" i="25" s="1"/>
  <c r="I534" i="25"/>
  <c r="F535" i="25"/>
  <c r="G535" i="25"/>
  <c r="H535" i="25" s="1"/>
  <c r="I535" i="25"/>
  <c r="F536" i="25"/>
  <c r="G536" i="25"/>
  <c r="H536" i="25" s="1"/>
  <c r="I536" i="25"/>
  <c r="F537" i="25"/>
  <c r="G537" i="25"/>
  <c r="H537" i="25" s="1"/>
  <c r="I537" i="25"/>
  <c r="F538" i="25"/>
  <c r="G538" i="25"/>
  <c r="H538" i="25" s="1"/>
  <c r="I538" i="25"/>
  <c r="F539" i="25"/>
  <c r="G539" i="25"/>
  <c r="H539" i="25" s="1"/>
  <c r="I539" i="25"/>
  <c r="F540" i="25"/>
  <c r="G540" i="25"/>
  <c r="H540" i="25" s="1"/>
  <c r="I540" i="25"/>
  <c r="F541" i="25"/>
  <c r="G541" i="25"/>
  <c r="H541" i="25" s="1"/>
  <c r="I541" i="25"/>
  <c r="F542" i="25"/>
  <c r="G542" i="25"/>
  <c r="H542" i="25" s="1"/>
  <c r="I542" i="25"/>
  <c r="F543" i="25"/>
  <c r="G543" i="25"/>
  <c r="H543" i="25" s="1"/>
  <c r="I543" i="25"/>
  <c r="F544" i="25"/>
  <c r="G544" i="25"/>
  <c r="H544" i="25" s="1"/>
  <c r="I544" i="25"/>
  <c r="F545" i="25"/>
  <c r="G545" i="25"/>
  <c r="H545" i="25" s="1"/>
  <c r="I545" i="25"/>
  <c r="F546" i="25"/>
  <c r="G546" i="25"/>
  <c r="H546" i="25" s="1"/>
  <c r="I546" i="25"/>
  <c r="F547" i="25"/>
  <c r="G547" i="25"/>
  <c r="H547" i="25" s="1"/>
  <c r="I547" i="25"/>
  <c r="F548" i="25"/>
  <c r="G548" i="25"/>
  <c r="H548" i="25" s="1"/>
  <c r="I548" i="25"/>
  <c r="F549" i="25"/>
  <c r="G549" i="25"/>
  <c r="H549" i="25" s="1"/>
  <c r="I549" i="25"/>
  <c r="F550" i="25"/>
  <c r="G550" i="25"/>
  <c r="H550" i="25" s="1"/>
  <c r="I550" i="25"/>
  <c r="F551" i="25"/>
  <c r="G551" i="25"/>
  <c r="H551" i="25" s="1"/>
  <c r="I551" i="25"/>
  <c r="F552" i="25"/>
  <c r="G552" i="25"/>
  <c r="H552" i="25" s="1"/>
  <c r="I552" i="25"/>
  <c r="F553" i="25"/>
  <c r="G553" i="25"/>
  <c r="H553" i="25" s="1"/>
  <c r="I553" i="25"/>
  <c r="F554" i="25"/>
  <c r="G554" i="25"/>
  <c r="H554" i="25" s="1"/>
  <c r="I554" i="25"/>
  <c r="F555" i="25"/>
  <c r="G555" i="25"/>
  <c r="H555" i="25" s="1"/>
  <c r="I555" i="25"/>
  <c r="F556" i="25"/>
  <c r="G556" i="25"/>
  <c r="H556" i="25" s="1"/>
  <c r="I556" i="25"/>
  <c r="F557" i="25"/>
  <c r="G557" i="25"/>
  <c r="H557" i="25" s="1"/>
  <c r="I557" i="25"/>
  <c r="F558" i="25"/>
  <c r="G558" i="25"/>
  <c r="H558" i="25" s="1"/>
  <c r="I558" i="25"/>
  <c r="F559" i="25"/>
  <c r="G559" i="25"/>
  <c r="H559" i="25" s="1"/>
  <c r="I559" i="25"/>
  <c r="F560" i="25"/>
  <c r="G560" i="25"/>
  <c r="H560" i="25" s="1"/>
  <c r="I560" i="25"/>
  <c r="F561" i="25"/>
  <c r="G561" i="25"/>
  <c r="H561" i="25" s="1"/>
  <c r="I561" i="25"/>
  <c r="F562" i="25"/>
  <c r="G562" i="25"/>
  <c r="H562" i="25" s="1"/>
  <c r="I562" i="25"/>
  <c r="F563" i="25"/>
  <c r="G563" i="25"/>
  <c r="H563" i="25" s="1"/>
  <c r="I563" i="25"/>
  <c r="F564" i="25"/>
  <c r="G564" i="25"/>
  <c r="H564" i="25" s="1"/>
  <c r="I564" i="25"/>
  <c r="F565" i="25"/>
  <c r="G565" i="25"/>
  <c r="H565" i="25" s="1"/>
  <c r="I565" i="25"/>
  <c r="F566" i="25"/>
  <c r="G566" i="25"/>
  <c r="H566" i="25" s="1"/>
  <c r="I566" i="25"/>
  <c r="F567" i="25"/>
  <c r="G567" i="25"/>
  <c r="H567" i="25" s="1"/>
  <c r="I567" i="25"/>
  <c r="F568" i="25"/>
  <c r="G568" i="25"/>
  <c r="H568" i="25" s="1"/>
  <c r="I568" i="25"/>
  <c r="F569" i="25"/>
  <c r="G569" i="25"/>
  <c r="H569" i="25" s="1"/>
  <c r="I569" i="25"/>
  <c r="F570" i="25"/>
  <c r="G570" i="25"/>
  <c r="H570" i="25" s="1"/>
  <c r="I570" i="25"/>
  <c r="F571" i="25"/>
  <c r="G571" i="25"/>
  <c r="H571" i="25" s="1"/>
  <c r="I571" i="25"/>
  <c r="F572" i="25"/>
  <c r="G572" i="25"/>
  <c r="H572" i="25" s="1"/>
  <c r="I572" i="25"/>
  <c r="F573" i="25"/>
  <c r="G573" i="25"/>
  <c r="H573" i="25" s="1"/>
  <c r="I573" i="25"/>
  <c r="F574" i="25"/>
  <c r="G574" i="25"/>
  <c r="H574" i="25" s="1"/>
  <c r="I574" i="25"/>
  <c r="F575" i="25"/>
  <c r="G575" i="25"/>
  <c r="H575" i="25" s="1"/>
  <c r="I575" i="25"/>
  <c r="F576" i="25"/>
  <c r="G576" i="25"/>
  <c r="H576" i="25" s="1"/>
  <c r="I576" i="25"/>
  <c r="F577" i="25"/>
  <c r="G577" i="25"/>
  <c r="H577" i="25" s="1"/>
  <c r="I577" i="25"/>
  <c r="F578" i="25"/>
  <c r="G578" i="25"/>
  <c r="H578" i="25" s="1"/>
  <c r="I578" i="25"/>
  <c r="F579" i="25"/>
  <c r="G579" i="25"/>
  <c r="H579" i="25" s="1"/>
  <c r="I579" i="25"/>
  <c r="F580" i="25"/>
  <c r="G580" i="25"/>
  <c r="H580" i="25" s="1"/>
  <c r="I580" i="25"/>
  <c r="F581" i="25"/>
  <c r="G581" i="25"/>
  <c r="H581" i="25" s="1"/>
  <c r="I581" i="25"/>
  <c r="F582" i="25"/>
  <c r="G582" i="25"/>
  <c r="H582" i="25" s="1"/>
  <c r="I582" i="25"/>
  <c r="F583" i="25"/>
  <c r="G583" i="25"/>
  <c r="H583" i="25" s="1"/>
  <c r="I583" i="25"/>
  <c r="F584" i="25"/>
  <c r="G584" i="25"/>
  <c r="H584" i="25" s="1"/>
  <c r="I584" i="25"/>
  <c r="F585" i="25"/>
  <c r="G585" i="25"/>
  <c r="H585" i="25" s="1"/>
  <c r="I585" i="25"/>
  <c r="F586" i="25"/>
  <c r="G586" i="25"/>
  <c r="H586" i="25" s="1"/>
  <c r="I586" i="25"/>
  <c r="F587" i="25"/>
  <c r="G587" i="25"/>
  <c r="H587" i="25" s="1"/>
  <c r="I587" i="25"/>
  <c r="F588" i="25"/>
  <c r="G588" i="25"/>
  <c r="H588" i="25" s="1"/>
  <c r="I588" i="25"/>
  <c r="F589" i="25"/>
  <c r="G589" i="25"/>
  <c r="H589" i="25" s="1"/>
  <c r="I589" i="25"/>
  <c r="F590" i="25"/>
  <c r="G590" i="25"/>
  <c r="H590" i="25" s="1"/>
  <c r="I590" i="25"/>
  <c r="F591" i="25"/>
  <c r="G591" i="25"/>
  <c r="H591" i="25" s="1"/>
  <c r="I591" i="25"/>
  <c r="F592" i="25"/>
  <c r="G592" i="25"/>
  <c r="H592" i="25" s="1"/>
  <c r="I592" i="25"/>
  <c r="F593" i="25"/>
  <c r="G593" i="25"/>
  <c r="H593" i="25" s="1"/>
  <c r="I593" i="25"/>
  <c r="F594" i="25"/>
  <c r="G594" i="25"/>
  <c r="H594" i="25" s="1"/>
  <c r="I594" i="25"/>
  <c r="F595" i="25"/>
  <c r="G595" i="25"/>
  <c r="H595" i="25" s="1"/>
  <c r="I595" i="25"/>
  <c r="F596" i="25"/>
  <c r="G596" i="25"/>
  <c r="H596" i="25" s="1"/>
  <c r="I596" i="25"/>
  <c r="F597" i="25"/>
  <c r="G597" i="25"/>
  <c r="H597" i="25" s="1"/>
  <c r="I597" i="25"/>
  <c r="F598" i="25"/>
  <c r="G598" i="25"/>
  <c r="H598" i="25" s="1"/>
  <c r="I598" i="25"/>
  <c r="F599" i="25"/>
  <c r="G599" i="25"/>
  <c r="H599" i="25" s="1"/>
  <c r="I599" i="25"/>
  <c r="F600" i="25"/>
  <c r="G600" i="25"/>
  <c r="H600" i="25" s="1"/>
  <c r="I600" i="25"/>
  <c r="F601" i="25"/>
  <c r="G601" i="25"/>
  <c r="H601" i="25" s="1"/>
  <c r="I601" i="25"/>
  <c r="F602" i="25"/>
  <c r="G602" i="25"/>
  <c r="H602" i="25" s="1"/>
  <c r="I602" i="25"/>
  <c r="F603" i="25"/>
  <c r="G603" i="25"/>
  <c r="H603" i="25" s="1"/>
  <c r="I603" i="25"/>
  <c r="F604" i="25"/>
  <c r="G604" i="25"/>
  <c r="H604" i="25" s="1"/>
  <c r="I604" i="25"/>
  <c r="F605" i="25"/>
  <c r="G605" i="25"/>
  <c r="H605" i="25" s="1"/>
  <c r="I605" i="25"/>
  <c r="F606" i="25"/>
  <c r="G606" i="25"/>
  <c r="H606" i="25" s="1"/>
  <c r="I606" i="25"/>
  <c r="F607" i="25"/>
  <c r="G607" i="25"/>
  <c r="H607" i="25" s="1"/>
  <c r="I607" i="25"/>
  <c r="F608" i="25"/>
  <c r="G608" i="25"/>
  <c r="H608" i="25" s="1"/>
  <c r="I608" i="25"/>
  <c r="F609" i="25"/>
  <c r="G609" i="25"/>
  <c r="H609" i="25" s="1"/>
  <c r="I609" i="25"/>
  <c r="F610" i="25"/>
  <c r="G610" i="25"/>
  <c r="H610" i="25" s="1"/>
  <c r="I610" i="25"/>
  <c r="F611" i="25"/>
  <c r="G611" i="25"/>
  <c r="H611" i="25" s="1"/>
  <c r="I611" i="25"/>
  <c r="F612" i="25"/>
  <c r="G612" i="25"/>
  <c r="H612" i="25" s="1"/>
  <c r="I612" i="25"/>
  <c r="F613" i="25"/>
  <c r="G613" i="25"/>
  <c r="H613" i="25" s="1"/>
  <c r="I613" i="25"/>
  <c r="F614" i="25"/>
  <c r="G614" i="25"/>
  <c r="H614" i="25" s="1"/>
  <c r="I614" i="25"/>
  <c r="F615" i="25"/>
  <c r="G615" i="25"/>
  <c r="H615" i="25" s="1"/>
  <c r="I615" i="25"/>
  <c r="F616" i="25"/>
  <c r="G616" i="25"/>
  <c r="H616" i="25" s="1"/>
  <c r="I616" i="25"/>
  <c r="F617" i="25"/>
  <c r="G617" i="25"/>
  <c r="H617" i="25" s="1"/>
  <c r="I617" i="25"/>
  <c r="F618" i="25"/>
  <c r="G618" i="25"/>
  <c r="H618" i="25" s="1"/>
  <c r="I618" i="25"/>
  <c r="F619" i="25"/>
  <c r="G619" i="25"/>
  <c r="H619" i="25" s="1"/>
  <c r="I619" i="25"/>
  <c r="F620" i="25"/>
  <c r="G620" i="25"/>
  <c r="H620" i="25" s="1"/>
  <c r="I620" i="25"/>
  <c r="F621" i="25"/>
  <c r="G621" i="25"/>
  <c r="H621" i="25" s="1"/>
  <c r="I621" i="25"/>
  <c r="F622" i="25"/>
  <c r="G622" i="25"/>
  <c r="H622" i="25" s="1"/>
  <c r="I622" i="25"/>
  <c r="F623" i="25"/>
  <c r="G623" i="25"/>
  <c r="H623" i="25" s="1"/>
  <c r="I623" i="25"/>
  <c r="F624" i="25"/>
  <c r="G624" i="25"/>
  <c r="H624" i="25" s="1"/>
  <c r="I624" i="25"/>
  <c r="F625" i="25"/>
  <c r="G625" i="25"/>
  <c r="H625" i="25" s="1"/>
  <c r="I625" i="25"/>
  <c r="F626" i="25"/>
  <c r="G626" i="25"/>
  <c r="H626" i="25" s="1"/>
  <c r="I626" i="25"/>
  <c r="F627" i="25"/>
  <c r="G627" i="25"/>
  <c r="H627" i="25" s="1"/>
  <c r="I627" i="25"/>
  <c r="F628" i="25"/>
  <c r="G628" i="25"/>
  <c r="H628" i="25" s="1"/>
  <c r="I628" i="25"/>
  <c r="F629" i="25"/>
  <c r="G629" i="25"/>
  <c r="H629" i="25" s="1"/>
  <c r="I629" i="25"/>
  <c r="F630" i="25"/>
  <c r="G630" i="25"/>
  <c r="H630" i="25" s="1"/>
  <c r="I630" i="25"/>
  <c r="F631" i="25"/>
  <c r="G631" i="25"/>
  <c r="H631" i="25" s="1"/>
  <c r="I631" i="25"/>
  <c r="F632" i="25"/>
  <c r="G632" i="25"/>
  <c r="H632" i="25" s="1"/>
  <c r="I632" i="25"/>
  <c r="F633" i="25"/>
  <c r="G633" i="25"/>
  <c r="H633" i="25" s="1"/>
  <c r="I633" i="25"/>
  <c r="F634" i="25"/>
  <c r="G634" i="25"/>
  <c r="H634" i="25" s="1"/>
  <c r="I634" i="25"/>
  <c r="F635" i="25"/>
  <c r="G635" i="25"/>
  <c r="H635" i="25" s="1"/>
  <c r="I635" i="25"/>
  <c r="F636" i="25"/>
  <c r="G636" i="25"/>
  <c r="H636" i="25" s="1"/>
  <c r="I636" i="25"/>
  <c r="F637" i="25"/>
  <c r="G637" i="25"/>
  <c r="H637" i="25" s="1"/>
  <c r="I637" i="25"/>
  <c r="F638" i="25"/>
  <c r="G638" i="25"/>
  <c r="H638" i="25" s="1"/>
  <c r="I638" i="25"/>
  <c r="F639" i="25"/>
  <c r="G639" i="25"/>
  <c r="H639" i="25" s="1"/>
  <c r="I639" i="25"/>
  <c r="F640" i="25"/>
  <c r="G640" i="25"/>
  <c r="H640" i="25" s="1"/>
  <c r="I640" i="25"/>
  <c r="F641" i="25"/>
  <c r="G641" i="25"/>
  <c r="H641" i="25" s="1"/>
  <c r="I641" i="25"/>
  <c r="F642" i="25"/>
  <c r="G642" i="25"/>
  <c r="H642" i="25" s="1"/>
  <c r="I642" i="25"/>
  <c r="F643" i="25"/>
  <c r="G643" i="25"/>
  <c r="H643" i="25" s="1"/>
  <c r="I643" i="25"/>
  <c r="F644" i="25"/>
  <c r="G644" i="25"/>
  <c r="H644" i="25" s="1"/>
  <c r="I644" i="25"/>
  <c r="F645" i="25"/>
  <c r="G645" i="25"/>
  <c r="H645" i="25" s="1"/>
  <c r="I645" i="25"/>
  <c r="F646" i="25"/>
  <c r="G646" i="25"/>
  <c r="H646" i="25" s="1"/>
  <c r="I646" i="25"/>
  <c r="F647" i="25"/>
  <c r="G647" i="25"/>
  <c r="H647" i="25" s="1"/>
  <c r="I647" i="25"/>
  <c r="F648" i="25"/>
  <c r="G648" i="25"/>
  <c r="H648" i="25" s="1"/>
  <c r="I648" i="25"/>
  <c r="F649" i="25"/>
  <c r="G649" i="25"/>
  <c r="H649" i="25" s="1"/>
  <c r="I649" i="25"/>
  <c r="F650" i="25"/>
  <c r="G650" i="25"/>
  <c r="H650" i="25" s="1"/>
  <c r="I650" i="25"/>
  <c r="F651" i="25"/>
  <c r="G651" i="25"/>
  <c r="H651" i="25" s="1"/>
  <c r="I651" i="25"/>
  <c r="F652" i="25"/>
  <c r="G652" i="25"/>
  <c r="H652" i="25" s="1"/>
  <c r="I652" i="25"/>
  <c r="F653" i="25"/>
  <c r="G653" i="25"/>
  <c r="H653" i="25" s="1"/>
  <c r="I653" i="25"/>
  <c r="F654" i="25"/>
  <c r="G654" i="25"/>
  <c r="H654" i="25" s="1"/>
  <c r="I654" i="25"/>
  <c r="F655" i="25"/>
  <c r="G655" i="25"/>
  <c r="H655" i="25" s="1"/>
  <c r="I655" i="25"/>
  <c r="F656" i="25"/>
  <c r="G656" i="25"/>
  <c r="H656" i="25" s="1"/>
  <c r="I656" i="25"/>
  <c r="F657" i="25"/>
  <c r="G657" i="25"/>
  <c r="H657" i="25" s="1"/>
  <c r="I657" i="25"/>
  <c r="F658" i="25"/>
  <c r="G658" i="25"/>
  <c r="H658" i="25" s="1"/>
  <c r="I658" i="25"/>
  <c r="F659" i="25"/>
  <c r="G659" i="25"/>
  <c r="H659" i="25" s="1"/>
  <c r="I659" i="25"/>
  <c r="F660" i="25"/>
  <c r="G660" i="25"/>
  <c r="H660" i="25" s="1"/>
  <c r="I660" i="25"/>
  <c r="F661" i="25"/>
  <c r="G661" i="25"/>
  <c r="H661" i="25" s="1"/>
  <c r="I661" i="25"/>
  <c r="F662" i="25"/>
  <c r="G662" i="25"/>
  <c r="H662" i="25" s="1"/>
  <c r="I662" i="25"/>
  <c r="F663" i="25"/>
  <c r="G663" i="25"/>
  <c r="H663" i="25" s="1"/>
  <c r="I663" i="25"/>
  <c r="F664" i="25"/>
  <c r="G664" i="25"/>
  <c r="H664" i="25" s="1"/>
  <c r="I664" i="25"/>
  <c r="F665" i="25"/>
  <c r="G665" i="25"/>
  <c r="H665" i="25" s="1"/>
  <c r="I665" i="25"/>
  <c r="F666" i="25"/>
  <c r="G666" i="25"/>
  <c r="H666" i="25" s="1"/>
  <c r="I666" i="25"/>
  <c r="F667" i="25"/>
  <c r="G667" i="25"/>
  <c r="H667" i="25" s="1"/>
  <c r="I667" i="25"/>
  <c r="F668" i="25"/>
  <c r="G668" i="25"/>
  <c r="H668" i="25" s="1"/>
  <c r="I668" i="25"/>
  <c r="F669" i="25"/>
  <c r="G669" i="25"/>
  <c r="H669" i="25" s="1"/>
  <c r="I669" i="25"/>
  <c r="F670" i="25"/>
  <c r="G670" i="25"/>
  <c r="H670" i="25" s="1"/>
  <c r="I670" i="25"/>
  <c r="F671" i="25"/>
  <c r="G671" i="25"/>
  <c r="H671" i="25" s="1"/>
  <c r="I671" i="25"/>
  <c r="F672" i="25"/>
  <c r="G672" i="25"/>
  <c r="H672" i="25" s="1"/>
  <c r="I672" i="25"/>
  <c r="F673" i="25"/>
  <c r="G673" i="25"/>
  <c r="H673" i="25" s="1"/>
  <c r="I673" i="25"/>
  <c r="F674" i="25"/>
  <c r="G674" i="25"/>
  <c r="H674" i="25" s="1"/>
  <c r="I674" i="25"/>
  <c r="F675" i="25"/>
  <c r="G675" i="25"/>
  <c r="H675" i="25" s="1"/>
  <c r="I675" i="25"/>
  <c r="F676" i="25"/>
  <c r="G676" i="25"/>
  <c r="H676" i="25" s="1"/>
  <c r="I676" i="25"/>
  <c r="F677" i="25"/>
  <c r="G677" i="25"/>
  <c r="H677" i="25" s="1"/>
  <c r="I677" i="25"/>
  <c r="F678" i="25"/>
  <c r="G678" i="25"/>
  <c r="H678" i="25" s="1"/>
  <c r="I678" i="25"/>
  <c r="F679" i="25"/>
  <c r="G679" i="25"/>
  <c r="H679" i="25" s="1"/>
  <c r="I679" i="25"/>
  <c r="F680" i="25"/>
  <c r="G680" i="25"/>
  <c r="H680" i="25" s="1"/>
  <c r="I680" i="25"/>
  <c r="F681" i="25"/>
  <c r="G681" i="25"/>
  <c r="H681" i="25" s="1"/>
  <c r="I681" i="25"/>
  <c r="F682" i="25"/>
  <c r="G682" i="25"/>
  <c r="H682" i="25" s="1"/>
  <c r="I682" i="25"/>
  <c r="F683" i="25"/>
  <c r="G683" i="25"/>
  <c r="H683" i="25" s="1"/>
  <c r="I683" i="25"/>
  <c r="F684" i="25"/>
  <c r="G684" i="25"/>
  <c r="H684" i="25" s="1"/>
  <c r="I684" i="25"/>
  <c r="F685" i="25"/>
  <c r="G685" i="25"/>
  <c r="H685" i="25" s="1"/>
  <c r="I685" i="25"/>
  <c r="F686" i="25"/>
  <c r="G686" i="25"/>
  <c r="H686" i="25" s="1"/>
  <c r="I686" i="25"/>
  <c r="F687" i="25"/>
  <c r="G687" i="25"/>
  <c r="H687" i="25" s="1"/>
  <c r="I687" i="25"/>
  <c r="F688" i="25"/>
  <c r="G688" i="25"/>
  <c r="H688" i="25" s="1"/>
  <c r="I688" i="25"/>
  <c r="F689" i="25"/>
  <c r="G689" i="25"/>
  <c r="H689" i="25" s="1"/>
  <c r="I689" i="25"/>
  <c r="F690" i="25"/>
  <c r="G690" i="25"/>
  <c r="H690" i="25" s="1"/>
  <c r="I690" i="25"/>
  <c r="F691" i="25"/>
  <c r="G691" i="25"/>
  <c r="H691" i="25" s="1"/>
  <c r="I691" i="25"/>
  <c r="F692" i="25"/>
  <c r="G692" i="25"/>
  <c r="H692" i="25" s="1"/>
  <c r="I692" i="25"/>
  <c r="F693" i="25"/>
  <c r="G693" i="25"/>
  <c r="H693" i="25" s="1"/>
  <c r="I693" i="25"/>
  <c r="F694" i="25"/>
  <c r="G694" i="25"/>
  <c r="H694" i="25" s="1"/>
  <c r="I694" i="25"/>
  <c r="F695" i="25"/>
  <c r="G695" i="25"/>
  <c r="H695" i="25" s="1"/>
  <c r="I695" i="25"/>
  <c r="F696" i="25"/>
  <c r="G696" i="25"/>
  <c r="H696" i="25" s="1"/>
  <c r="I696" i="25"/>
  <c r="F697" i="25"/>
  <c r="G697" i="25"/>
  <c r="H697" i="25" s="1"/>
  <c r="I697" i="25"/>
  <c r="F698" i="25"/>
  <c r="G698" i="25"/>
  <c r="H698" i="25" s="1"/>
  <c r="I698" i="25"/>
  <c r="F699" i="25"/>
  <c r="G699" i="25"/>
  <c r="H699" i="25" s="1"/>
  <c r="I699" i="25"/>
  <c r="F700" i="25"/>
  <c r="G700" i="25"/>
  <c r="H700" i="25" s="1"/>
  <c r="I700" i="25"/>
  <c r="F701" i="25"/>
  <c r="G701" i="25"/>
  <c r="H701" i="25" s="1"/>
  <c r="I701" i="25"/>
  <c r="F702" i="25"/>
  <c r="G702" i="25"/>
  <c r="H702" i="25" s="1"/>
  <c r="I702" i="25"/>
  <c r="F703" i="25"/>
  <c r="G703" i="25"/>
  <c r="H703" i="25" s="1"/>
  <c r="I703" i="25"/>
  <c r="F704" i="25"/>
  <c r="G704" i="25"/>
  <c r="H704" i="25" s="1"/>
  <c r="I704" i="25"/>
  <c r="F705" i="25"/>
  <c r="G705" i="25"/>
  <c r="H705" i="25" s="1"/>
  <c r="I705" i="25"/>
  <c r="F706" i="25"/>
  <c r="G706" i="25"/>
  <c r="H706" i="25" s="1"/>
  <c r="I706" i="25"/>
  <c r="F707" i="25"/>
  <c r="G707" i="25"/>
  <c r="H707" i="25" s="1"/>
  <c r="I707" i="25"/>
  <c r="F708" i="25"/>
  <c r="G708" i="25"/>
  <c r="H708" i="25" s="1"/>
  <c r="I708" i="25"/>
  <c r="F709" i="25"/>
  <c r="G709" i="25"/>
  <c r="H709" i="25" s="1"/>
  <c r="I709" i="25"/>
  <c r="F710" i="25"/>
  <c r="G710" i="25"/>
  <c r="H710" i="25" s="1"/>
  <c r="I710" i="25"/>
  <c r="F711" i="25"/>
  <c r="G711" i="25"/>
  <c r="H711" i="25" s="1"/>
  <c r="I711" i="25"/>
  <c r="F712" i="25"/>
  <c r="G712" i="25"/>
  <c r="H712" i="25" s="1"/>
  <c r="I712" i="25"/>
  <c r="F713" i="25"/>
  <c r="G713" i="25"/>
  <c r="H713" i="25" s="1"/>
  <c r="I713" i="25"/>
  <c r="F714" i="25"/>
  <c r="G714" i="25"/>
  <c r="H714" i="25" s="1"/>
  <c r="I714" i="25"/>
  <c r="F715" i="25"/>
  <c r="G715" i="25"/>
  <c r="H715" i="25" s="1"/>
  <c r="I715" i="25"/>
  <c r="F716" i="25"/>
  <c r="G716" i="25"/>
  <c r="H716" i="25" s="1"/>
  <c r="I716" i="25"/>
  <c r="F717" i="25"/>
  <c r="G717" i="25"/>
  <c r="H717" i="25" s="1"/>
  <c r="I717" i="25"/>
  <c r="F718" i="25"/>
  <c r="G718" i="25"/>
  <c r="H718" i="25" s="1"/>
  <c r="I718" i="25"/>
  <c r="F719" i="25"/>
  <c r="G719" i="25"/>
  <c r="H719" i="25" s="1"/>
  <c r="I719" i="25"/>
  <c r="F720" i="25"/>
  <c r="G720" i="25"/>
  <c r="H720" i="25" s="1"/>
  <c r="I720" i="25"/>
  <c r="F721" i="25"/>
  <c r="G721" i="25"/>
  <c r="H721" i="25" s="1"/>
  <c r="I721" i="25"/>
  <c r="F722" i="25"/>
  <c r="G722" i="25"/>
  <c r="H722" i="25" s="1"/>
  <c r="I722" i="25"/>
  <c r="F723" i="25"/>
  <c r="G723" i="25"/>
  <c r="H723" i="25" s="1"/>
  <c r="I723" i="25"/>
  <c r="F724" i="25"/>
  <c r="G724" i="25"/>
  <c r="H724" i="25" s="1"/>
  <c r="I724" i="25"/>
  <c r="F725" i="25"/>
  <c r="G725" i="25"/>
  <c r="H725" i="25" s="1"/>
  <c r="I725" i="25"/>
  <c r="F726" i="25"/>
  <c r="G726" i="25"/>
  <c r="H726" i="25" s="1"/>
  <c r="I726" i="25"/>
  <c r="F727" i="25"/>
  <c r="G727" i="25"/>
  <c r="H727" i="25" s="1"/>
  <c r="I727" i="25"/>
  <c r="F728" i="25"/>
  <c r="G728" i="25"/>
  <c r="H728" i="25" s="1"/>
  <c r="I728" i="25"/>
  <c r="F729" i="25"/>
  <c r="G729" i="25"/>
  <c r="H729" i="25" s="1"/>
  <c r="I729" i="25"/>
  <c r="F730" i="25"/>
  <c r="G730" i="25"/>
  <c r="H730" i="25" s="1"/>
  <c r="I730" i="25"/>
  <c r="F731" i="25"/>
  <c r="G731" i="25"/>
  <c r="H731" i="25" s="1"/>
  <c r="I731" i="25"/>
  <c r="F732" i="25"/>
  <c r="G732" i="25"/>
  <c r="H732" i="25" s="1"/>
  <c r="I732" i="25"/>
  <c r="F733" i="25"/>
  <c r="G733" i="25"/>
  <c r="H733" i="25" s="1"/>
  <c r="I733" i="25"/>
  <c r="F734" i="25"/>
  <c r="G734" i="25"/>
  <c r="H734" i="25" s="1"/>
  <c r="I734" i="25"/>
  <c r="F735" i="25"/>
  <c r="G735" i="25"/>
  <c r="H735" i="25" s="1"/>
  <c r="I735" i="25"/>
  <c r="F736" i="25"/>
  <c r="G736" i="25"/>
  <c r="H736" i="25" s="1"/>
  <c r="I736" i="25"/>
  <c r="F737" i="25"/>
  <c r="G737" i="25"/>
  <c r="H737" i="25" s="1"/>
  <c r="I737" i="25"/>
  <c r="F738" i="25"/>
  <c r="G738" i="25"/>
  <c r="H738" i="25" s="1"/>
  <c r="I738" i="25"/>
  <c r="F739" i="25"/>
  <c r="G739" i="25"/>
  <c r="H739" i="25" s="1"/>
  <c r="I739" i="25"/>
  <c r="F740" i="25"/>
  <c r="G740" i="25"/>
  <c r="H740" i="25" s="1"/>
  <c r="I740" i="25"/>
  <c r="F741" i="25"/>
  <c r="G741" i="25"/>
  <c r="H741" i="25" s="1"/>
  <c r="I741" i="25"/>
  <c r="F742" i="25"/>
  <c r="G742" i="25"/>
  <c r="H742" i="25" s="1"/>
  <c r="I742" i="25"/>
  <c r="F743" i="25"/>
  <c r="G743" i="25"/>
  <c r="H743" i="25" s="1"/>
  <c r="I743" i="25"/>
  <c r="F744" i="25"/>
  <c r="G744" i="25"/>
  <c r="H744" i="25" s="1"/>
  <c r="I744" i="25"/>
  <c r="F745" i="25"/>
  <c r="G745" i="25"/>
  <c r="H745" i="25" s="1"/>
  <c r="I745" i="25"/>
  <c r="F746" i="25"/>
  <c r="G746" i="25"/>
  <c r="H746" i="25" s="1"/>
  <c r="I746" i="25"/>
  <c r="F747" i="25"/>
  <c r="G747" i="25"/>
  <c r="H747" i="25" s="1"/>
  <c r="I747" i="25"/>
  <c r="F748" i="25"/>
  <c r="G748" i="25"/>
  <c r="H748" i="25" s="1"/>
  <c r="I748" i="25"/>
  <c r="F749" i="25"/>
  <c r="G749" i="25"/>
  <c r="H749" i="25" s="1"/>
  <c r="I749" i="25"/>
  <c r="F750" i="25"/>
  <c r="G750" i="25"/>
  <c r="H750" i="25" s="1"/>
  <c r="I750" i="25"/>
  <c r="F751" i="25"/>
  <c r="G751" i="25"/>
  <c r="H751" i="25" s="1"/>
  <c r="I751" i="25"/>
  <c r="F752" i="25"/>
  <c r="G752" i="25"/>
  <c r="H752" i="25" s="1"/>
  <c r="I752" i="25"/>
  <c r="F753" i="25"/>
  <c r="G753" i="25"/>
  <c r="H753" i="25" s="1"/>
  <c r="I753" i="25"/>
  <c r="F754" i="25"/>
  <c r="G754" i="25"/>
  <c r="H754" i="25" s="1"/>
  <c r="I754" i="25"/>
  <c r="F755" i="25"/>
  <c r="G755" i="25"/>
  <c r="H755" i="25" s="1"/>
  <c r="I755" i="25"/>
  <c r="F756" i="25"/>
  <c r="G756" i="25"/>
  <c r="H756" i="25" s="1"/>
  <c r="I756" i="25"/>
  <c r="F757" i="25"/>
  <c r="G757" i="25"/>
  <c r="H757" i="25" s="1"/>
  <c r="I757" i="25"/>
  <c r="F758" i="25"/>
  <c r="G758" i="25"/>
  <c r="H758" i="25" s="1"/>
  <c r="I758" i="25"/>
  <c r="F759" i="25"/>
  <c r="G759" i="25"/>
  <c r="H759" i="25" s="1"/>
  <c r="I759" i="25"/>
  <c r="F760" i="25"/>
  <c r="G760" i="25"/>
  <c r="H760" i="25" s="1"/>
  <c r="I760" i="25"/>
  <c r="F761" i="25"/>
  <c r="G761" i="25"/>
  <c r="H761" i="25" s="1"/>
  <c r="I761" i="25"/>
  <c r="F762" i="25"/>
  <c r="G762" i="25"/>
  <c r="H762" i="25" s="1"/>
  <c r="I762" i="25"/>
  <c r="F763" i="25"/>
  <c r="G763" i="25"/>
  <c r="H763" i="25" s="1"/>
  <c r="I763" i="25"/>
  <c r="F764" i="25"/>
  <c r="G764" i="25"/>
  <c r="H764" i="25" s="1"/>
  <c r="I764" i="25"/>
  <c r="F765" i="25"/>
  <c r="G765" i="25"/>
  <c r="H765" i="25" s="1"/>
  <c r="I765" i="25"/>
  <c r="F766" i="25"/>
  <c r="G766" i="25"/>
  <c r="H766" i="25" s="1"/>
  <c r="I766" i="25"/>
  <c r="F767" i="25"/>
  <c r="G767" i="25"/>
  <c r="H767" i="25" s="1"/>
  <c r="I767" i="25"/>
  <c r="F768" i="25"/>
  <c r="G768" i="25"/>
  <c r="H768" i="25" s="1"/>
  <c r="I768" i="25"/>
  <c r="F769" i="25"/>
  <c r="G769" i="25"/>
  <c r="H769" i="25" s="1"/>
  <c r="I769" i="25"/>
  <c r="F770" i="25"/>
  <c r="G770" i="25"/>
  <c r="H770" i="25" s="1"/>
  <c r="I770" i="25"/>
  <c r="F771" i="25"/>
  <c r="G771" i="25"/>
  <c r="H771" i="25" s="1"/>
  <c r="I771" i="25"/>
  <c r="F772" i="25"/>
  <c r="G772" i="25"/>
  <c r="H772" i="25" s="1"/>
  <c r="I772" i="25"/>
  <c r="F773" i="25"/>
  <c r="G773" i="25"/>
  <c r="H773" i="25" s="1"/>
  <c r="I773" i="25"/>
  <c r="F774" i="25"/>
  <c r="G774" i="25"/>
  <c r="H774" i="25" s="1"/>
  <c r="I774" i="25"/>
  <c r="F775" i="25"/>
  <c r="G775" i="25"/>
  <c r="H775" i="25" s="1"/>
  <c r="I775" i="25"/>
  <c r="F776" i="25"/>
  <c r="G776" i="25"/>
  <c r="H776" i="25" s="1"/>
  <c r="I776" i="25"/>
  <c r="F777" i="25"/>
  <c r="G777" i="25"/>
  <c r="H777" i="25" s="1"/>
  <c r="I777" i="25"/>
  <c r="F778" i="25"/>
  <c r="G778" i="25"/>
  <c r="H778" i="25" s="1"/>
  <c r="I778" i="25"/>
  <c r="F779" i="25"/>
  <c r="G779" i="25"/>
  <c r="H779" i="25" s="1"/>
  <c r="I779" i="25"/>
  <c r="F780" i="25"/>
  <c r="G780" i="25"/>
  <c r="H780" i="25" s="1"/>
  <c r="I780" i="25"/>
  <c r="F781" i="25"/>
  <c r="G781" i="25"/>
  <c r="H781" i="25" s="1"/>
  <c r="I781" i="25"/>
  <c r="F782" i="25"/>
  <c r="G782" i="25"/>
  <c r="H782" i="25" s="1"/>
  <c r="I782" i="25"/>
  <c r="F783" i="25"/>
  <c r="G783" i="25"/>
  <c r="H783" i="25" s="1"/>
  <c r="I783" i="25"/>
  <c r="F784" i="25"/>
  <c r="G784" i="25"/>
  <c r="H784" i="25" s="1"/>
  <c r="I784" i="25"/>
  <c r="F785" i="25"/>
  <c r="G785" i="25"/>
  <c r="H785" i="25" s="1"/>
  <c r="I785" i="25"/>
  <c r="F786" i="25"/>
  <c r="G786" i="25"/>
  <c r="H786" i="25" s="1"/>
  <c r="I786" i="25"/>
  <c r="F787" i="25"/>
  <c r="G787" i="25"/>
  <c r="H787" i="25" s="1"/>
  <c r="I787" i="25"/>
  <c r="F788" i="25"/>
  <c r="G788" i="25"/>
  <c r="H788" i="25" s="1"/>
  <c r="I788" i="25"/>
  <c r="F789" i="25"/>
  <c r="G789" i="25"/>
  <c r="H789" i="25" s="1"/>
  <c r="I789" i="25"/>
  <c r="F790" i="25"/>
  <c r="G790" i="25"/>
  <c r="H790" i="25" s="1"/>
  <c r="I790" i="25"/>
  <c r="F791" i="25"/>
  <c r="G791" i="25"/>
  <c r="H791" i="25" s="1"/>
  <c r="I791" i="25"/>
  <c r="F792" i="25"/>
  <c r="G792" i="25"/>
  <c r="H792" i="25" s="1"/>
  <c r="I792" i="25"/>
  <c r="F793" i="25"/>
  <c r="G793" i="25"/>
  <c r="H793" i="25" s="1"/>
  <c r="I793" i="25"/>
  <c r="F794" i="25"/>
  <c r="G794" i="25"/>
  <c r="H794" i="25" s="1"/>
  <c r="I794" i="25"/>
  <c r="F795" i="25"/>
  <c r="G795" i="25"/>
  <c r="H795" i="25" s="1"/>
  <c r="I795" i="25"/>
  <c r="F796" i="25"/>
  <c r="G796" i="25"/>
  <c r="H796" i="25" s="1"/>
  <c r="I796" i="25"/>
  <c r="F797" i="25"/>
  <c r="G797" i="25"/>
  <c r="H797" i="25" s="1"/>
  <c r="I797" i="25"/>
  <c r="F798" i="25"/>
  <c r="G798" i="25"/>
  <c r="H798" i="25" s="1"/>
  <c r="I798" i="25"/>
  <c r="F799" i="25"/>
  <c r="G799" i="25"/>
  <c r="H799" i="25" s="1"/>
  <c r="I799" i="25"/>
  <c r="F800" i="25"/>
  <c r="G800" i="25"/>
  <c r="H800" i="25" s="1"/>
  <c r="I800" i="25"/>
  <c r="F801" i="25"/>
  <c r="G801" i="25"/>
  <c r="H801" i="25" s="1"/>
  <c r="I801" i="25"/>
  <c r="F802" i="25"/>
  <c r="G802" i="25"/>
  <c r="H802" i="25" s="1"/>
  <c r="I802" i="25"/>
  <c r="F803" i="25"/>
  <c r="G803" i="25"/>
  <c r="H803" i="25" s="1"/>
  <c r="I803" i="25"/>
  <c r="F804" i="25"/>
  <c r="G804" i="25"/>
  <c r="H804" i="25" s="1"/>
  <c r="I804" i="25"/>
  <c r="F805" i="25"/>
  <c r="G805" i="25"/>
  <c r="H805" i="25" s="1"/>
  <c r="I805" i="25"/>
  <c r="F806" i="25"/>
  <c r="G806" i="25"/>
  <c r="H806" i="25" s="1"/>
  <c r="I806" i="25"/>
  <c r="F807" i="25"/>
  <c r="G807" i="25"/>
  <c r="H807" i="25" s="1"/>
  <c r="I807" i="25"/>
  <c r="F808" i="25"/>
  <c r="G808" i="25"/>
  <c r="H808" i="25" s="1"/>
  <c r="I808" i="25"/>
  <c r="F809" i="25"/>
  <c r="G809" i="25"/>
  <c r="H809" i="25" s="1"/>
  <c r="I809" i="25"/>
  <c r="F810" i="25"/>
  <c r="G810" i="25"/>
  <c r="H810" i="25" s="1"/>
  <c r="I810" i="25"/>
  <c r="F811" i="25"/>
  <c r="G811" i="25"/>
  <c r="H811" i="25" s="1"/>
  <c r="I811" i="25"/>
  <c r="F812" i="25"/>
  <c r="G812" i="25"/>
  <c r="H812" i="25" s="1"/>
  <c r="I812" i="25"/>
  <c r="F813" i="25"/>
  <c r="G813" i="25"/>
  <c r="H813" i="25" s="1"/>
  <c r="I813" i="25"/>
  <c r="F814" i="25"/>
  <c r="G814" i="25"/>
  <c r="H814" i="25" s="1"/>
  <c r="I814" i="25"/>
  <c r="F815" i="25"/>
  <c r="G815" i="25"/>
  <c r="H815" i="25" s="1"/>
  <c r="I815" i="25"/>
  <c r="F816" i="25"/>
  <c r="G816" i="25"/>
  <c r="H816" i="25" s="1"/>
  <c r="I816" i="25"/>
  <c r="F817" i="25"/>
  <c r="G817" i="25"/>
  <c r="H817" i="25" s="1"/>
  <c r="I817" i="25"/>
  <c r="F818" i="25"/>
  <c r="G818" i="25"/>
  <c r="H818" i="25" s="1"/>
  <c r="I818" i="25"/>
  <c r="F819" i="25"/>
  <c r="G819" i="25"/>
  <c r="H819" i="25" s="1"/>
  <c r="I819" i="25"/>
  <c r="F820" i="25"/>
  <c r="G820" i="25"/>
  <c r="H820" i="25" s="1"/>
  <c r="I820" i="25"/>
  <c r="F821" i="25"/>
  <c r="G821" i="25"/>
  <c r="H821" i="25" s="1"/>
  <c r="I821" i="25"/>
  <c r="F822" i="25"/>
  <c r="G822" i="25"/>
  <c r="H822" i="25" s="1"/>
  <c r="I822" i="25"/>
  <c r="F823" i="25"/>
  <c r="G823" i="25"/>
  <c r="H823" i="25" s="1"/>
  <c r="I823" i="25"/>
  <c r="F824" i="25"/>
  <c r="G824" i="25"/>
  <c r="H824" i="25" s="1"/>
  <c r="I824" i="25"/>
  <c r="F825" i="25"/>
  <c r="G825" i="25"/>
  <c r="H825" i="25" s="1"/>
  <c r="I825" i="25"/>
  <c r="F826" i="25"/>
  <c r="G826" i="25"/>
  <c r="H826" i="25" s="1"/>
  <c r="I826" i="25"/>
  <c r="F827" i="25"/>
  <c r="G827" i="25"/>
  <c r="H827" i="25" s="1"/>
  <c r="I827" i="25"/>
  <c r="F828" i="25"/>
  <c r="G828" i="25"/>
  <c r="H828" i="25" s="1"/>
  <c r="I828" i="25"/>
  <c r="F829" i="25"/>
  <c r="G829" i="25"/>
  <c r="H829" i="25" s="1"/>
  <c r="I829" i="25"/>
  <c r="F830" i="25"/>
  <c r="G830" i="25"/>
  <c r="H830" i="25" s="1"/>
  <c r="I830" i="25"/>
  <c r="F831" i="25"/>
  <c r="G831" i="25"/>
  <c r="H831" i="25" s="1"/>
  <c r="I831" i="25"/>
  <c r="F832" i="25"/>
  <c r="G832" i="25"/>
  <c r="H832" i="25" s="1"/>
  <c r="I832" i="25"/>
  <c r="F833" i="25"/>
  <c r="G833" i="25"/>
  <c r="H833" i="25" s="1"/>
  <c r="I833" i="25"/>
  <c r="F834" i="25"/>
  <c r="G834" i="25"/>
  <c r="H834" i="25" s="1"/>
  <c r="I834" i="25"/>
  <c r="F835" i="25"/>
  <c r="G835" i="25"/>
  <c r="H835" i="25" s="1"/>
  <c r="I835" i="25"/>
  <c r="F836" i="25"/>
  <c r="G836" i="25"/>
  <c r="H836" i="25" s="1"/>
  <c r="I836" i="25"/>
  <c r="F837" i="25"/>
  <c r="G837" i="25"/>
  <c r="H837" i="25" s="1"/>
  <c r="I837" i="25"/>
  <c r="F838" i="25"/>
  <c r="G838" i="25"/>
  <c r="H838" i="25" s="1"/>
  <c r="I838" i="25"/>
  <c r="F839" i="25"/>
  <c r="G839" i="25"/>
  <c r="H839" i="25" s="1"/>
  <c r="I839" i="25"/>
  <c r="F840" i="25"/>
  <c r="G840" i="25"/>
  <c r="H840" i="25" s="1"/>
  <c r="I840" i="25"/>
  <c r="F841" i="25"/>
  <c r="G841" i="25"/>
  <c r="H841" i="25" s="1"/>
  <c r="I841" i="25"/>
  <c r="F842" i="25"/>
  <c r="G842" i="25"/>
  <c r="H842" i="25" s="1"/>
  <c r="I842" i="25"/>
  <c r="F843" i="25"/>
  <c r="G843" i="25"/>
  <c r="H843" i="25" s="1"/>
  <c r="I843" i="25"/>
  <c r="F844" i="25"/>
  <c r="G844" i="25"/>
  <c r="H844" i="25" s="1"/>
  <c r="I844" i="25"/>
  <c r="F845" i="25"/>
  <c r="G845" i="25"/>
  <c r="H845" i="25" s="1"/>
  <c r="I845" i="25"/>
  <c r="F846" i="25"/>
  <c r="G846" i="25"/>
  <c r="H846" i="25" s="1"/>
  <c r="I846" i="25"/>
  <c r="F847" i="25"/>
  <c r="G847" i="25"/>
  <c r="H847" i="25" s="1"/>
  <c r="I847" i="25"/>
  <c r="F848" i="25"/>
  <c r="G848" i="25"/>
  <c r="H848" i="25" s="1"/>
  <c r="I848" i="25"/>
  <c r="F849" i="25"/>
  <c r="G849" i="25"/>
  <c r="H849" i="25" s="1"/>
  <c r="I849" i="25"/>
  <c r="F850" i="25"/>
  <c r="G850" i="25"/>
  <c r="H850" i="25" s="1"/>
  <c r="I850" i="25"/>
  <c r="F851" i="25"/>
  <c r="G851" i="25"/>
  <c r="H851" i="25" s="1"/>
  <c r="I851" i="25"/>
  <c r="F852" i="25"/>
  <c r="G852" i="25"/>
  <c r="H852" i="25" s="1"/>
  <c r="I852" i="25"/>
  <c r="F853" i="25"/>
  <c r="G853" i="25"/>
  <c r="H853" i="25" s="1"/>
  <c r="I853" i="25"/>
  <c r="F854" i="25"/>
  <c r="G854" i="25"/>
  <c r="H854" i="25" s="1"/>
  <c r="I854" i="25"/>
  <c r="F855" i="25"/>
  <c r="G855" i="25"/>
  <c r="H855" i="25" s="1"/>
  <c r="I855" i="25"/>
  <c r="F856" i="25"/>
  <c r="G856" i="25"/>
  <c r="H856" i="25" s="1"/>
  <c r="I856" i="25"/>
  <c r="F857" i="25"/>
  <c r="G857" i="25"/>
  <c r="H857" i="25" s="1"/>
  <c r="I857" i="25"/>
  <c r="F858" i="25"/>
  <c r="G858" i="25"/>
  <c r="H858" i="25" s="1"/>
  <c r="I858" i="25"/>
  <c r="F859" i="25"/>
  <c r="G859" i="25"/>
  <c r="H859" i="25" s="1"/>
  <c r="I859" i="25"/>
  <c r="F860" i="25"/>
  <c r="G860" i="25"/>
  <c r="H860" i="25" s="1"/>
  <c r="I860" i="25"/>
  <c r="F861" i="25"/>
  <c r="G861" i="25"/>
  <c r="H861" i="25" s="1"/>
  <c r="I861" i="25"/>
  <c r="F862" i="25"/>
  <c r="G862" i="25"/>
  <c r="H862" i="25" s="1"/>
  <c r="I862" i="25"/>
  <c r="F863" i="25"/>
  <c r="G863" i="25"/>
  <c r="H863" i="25" s="1"/>
  <c r="I863" i="25"/>
  <c r="F864" i="25"/>
  <c r="G864" i="25"/>
  <c r="H864" i="25" s="1"/>
  <c r="I864" i="25"/>
  <c r="F865" i="25"/>
  <c r="G865" i="25"/>
  <c r="H865" i="25" s="1"/>
  <c r="I865" i="25"/>
  <c r="F866" i="25"/>
  <c r="G866" i="25"/>
  <c r="H866" i="25" s="1"/>
  <c r="I866" i="25"/>
  <c r="F867" i="25"/>
  <c r="G867" i="25"/>
  <c r="H867" i="25" s="1"/>
  <c r="I867" i="25"/>
  <c r="F868" i="25"/>
  <c r="G868" i="25"/>
  <c r="H868" i="25" s="1"/>
  <c r="I868" i="25"/>
  <c r="F869" i="25"/>
  <c r="G869" i="25"/>
  <c r="H869" i="25" s="1"/>
  <c r="I869" i="25"/>
  <c r="F870" i="25"/>
  <c r="G870" i="25"/>
  <c r="H870" i="25" s="1"/>
  <c r="I870" i="25"/>
  <c r="F871" i="25"/>
  <c r="G871" i="25"/>
  <c r="H871" i="25" s="1"/>
  <c r="I871" i="25"/>
  <c r="F872" i="25"/>
  <c r="G872" i="25"/>
  <c r="H872" i="25" s="1"/>
  <c r="I872" i="25"/>
  <c r="F873" i="25"/>
  <c r="G873" i="25"/>
  <c r="H873" i="25" s="1"/>
  <c r="I873" i="25"/>
  <c r="F874" i="25"/>
  <c r="G874" i="25"/>
  <c r="H874" i="25" s="1"/>
  <c r="I874" i="25"/>
  <c r="F875" i="25"/>
  <c r="G875" i="25"/>
  <c r="H875" i="25" s="1"/>
  <c r="I875" i="25"/>
  <c r="F876" i="25"/>
  <c r="G876" i="25"/>
  <c r="H876" i="25" s="1"/>
  <c r="I876" i="25"/>
  <c r="F877" i="25"/>
  <c r="G877" i="25"/>
  <c r="H877" i="25" s="1"/>
  <c r="I877" i="25"/>
  <c r="F878" i="25"/>
  <c r="G878" i="25"/>
  <c r="H878" i="25" s="1"/>
  <c r="I878" i="25"/>
  <c r="F879" i="25"/>
  <c r="G879" i="25"/>
  <c r="H879" i="25" s="1"/>
  <c r="I879" i="25"/>
  <c r="F880" i="25"/>
  <c r="G880" i="25"/>
  <c r="H880" i="25" s="1"/>
  <c r="I880" i="25"/>
  <c r="F881" i="25"/>
  <c r="G881" i="25"/>
  <c r="H881" i="25" s="1"/>
  <c r="I881" i="25"/>
  <c r="F882" i="25"/>
  <c r="G882" i="25"/>
  <c r="H882" i="25" s="1"/>
  <c r="I882" i="25"/>
  <c r="F883" i="25"/>
  <c r="G883" i="25"/>
  <c r="H883" i="25" s="1"/>
  <c r="I883" i="25"/>
  <c r="F884" i="25"/>
  <c r="G884" i="25"/>
  <c r="H884" i="25" s="1"/>
  <c r="I884" i="25"/>
  <c r="F885" i="25"/>
  <c r="G885" i="25"/>
  <c r="H885" i="25" s="1"/>
  <c r="I885" i="25"/>
  <c r="F886" i="25"/>
  <c r="G886" i="25"/>
  <c r="H886" i="25" s="1"/>
  <c r="I886" i="25"/>
  <c r="F887" i="25"/>
  <c r="G887" i="25"/>
  <c r="H887" i="25" s="1"/>
  <c r="I887" i="25"/>
  <c r="F888" i="25"/>
  <c r="G888" i="25"/>
  <c r="H888" i="25" s="1"/>
  <c r="I888" i="25"/>
  <c r="F889" i="25"/>
  <c r="G889" i="25"/>
  <c r="H889" i="25" s="1"/>
  <c r="I889" i="25"/>
  <c r="F890" i="25"/>
  <c r="G890" i="25"/>
  <c r="H890" i="25" s="1"/>
  <c r="I890" i="25"/>
  <c r="F891" i="25"/>
  <c r="G891" i="25"/>
  <c r="H891" i="25" s="1"/>
  <c r="I891" i="25"/>
  <c r="F892" i="25"/>
  <c r="G892" i="25"/>
  <c r="H892" i="25" s="1"/>
  <c r="I892" i="25"/>
  <c r="F893" i="25"/>
  <c r="G893" i="25"/>
  <c r="H893" i="25" s="1"/>
  <c r="I893" i="25"/>
  <c r="F894" i="25"/>
  <c r="G894" i="25"/>
  <c r="H894" i="25" s="1"/>
  <c r="I894" i="25"/>
  <c r="F895" i="25"/>
  <c r="G895" i="25"/>
  <c r="H895" i="25" s="1"/>
  <c r="I895" i="25"/>
  <c r="F896" i="25"/>
  <c r="G896" i="25"/>
  <c r="H896" i="25" s="1"/>
  <c r="I896" i="25"/>
  <c r="F897" i="25"/>
  <c r="G897" i="25"/>
  <c r="H897" i="25" s="1"/>
  <c r="I897" i="25"/>
  <c r="F898" i="25"/>
  <c r="G898" i="25"/>
  <c r="H898" i="25" s="1"/>
  <c r="I898" i="25"/>
  <c r="F899" i="25"/>
  <c r="G899" i="25"/>
  <c r="H899" i="25" s="1"/>
  <c r="I899" i="25"/>
  <c r="F900" i="25"/>
  <c r="G900" i="25"/>
  <c r="H900" i="25" s="1"/>
  <c r="I900" i="25"/>
  <c r="F901" i="25"/>
  <c r="G901" i="25"/>
  <c r="H901" i="25" s="1"/>
  <c r="I901" i="25"/>
  <c r="F902" i="25"/>
  <c r="G902" i="25"/>
  <c r="H902" i="25" s="1"/>
  <c r="I902" i="25"/>
  <c r="F903" i="25"/>
  <c r="G903" i="25"/>
  <c r="H903" i="25" s="1"/>
  <c r="I903" i="25"/>
  <c r="F904" i="25"/>
  <c r="G904" i="25"/>
  <c r="H904" i="25" s="1"/>
  <c r="I904" i="25"/>
  <c r="F905" i="25"/>
  <c r="G905" i="25"/>
  <c r="H905" i="25" s="1"/>
  <c r="I905" i="25"/>
  <c r="F906" i="25"/>
  <c r="G906" i="25"/>
  <c r="H906" i="25" s="1"/>
  <c r="I906" i="25"/>
  <c r="F907" i="25"/>
  <c r="G907" i="25"/>
  <c r="H907" i="25" s="1"/>
  <c r="I907" i="25"/>
  <c r="F908" i="25"/>
  <c r="G908" i="25"/>
  <c r="H908" i="25" s="1"/>
  <c r="I908" i="25"/>
  <c r="F909" i="25"/>
  <c r="G909" i="25"/>
  <c r="H909" i="25" s="1"/>
  <c r="I909" i="25"/>
  <c r="F910" i="25"/>
  <c r="G910" i="25"/>
  <c r="H910" i="25" s="1"/>
  <c r="I910" i="25"/>
  <c r="F911" i="25"/>
  <c r="G911" i="25"/>
  <c r="H911" i="25" s="1"/>
  <c r="I911" i="25"/>
  <c r="F912" i="25"/>
  <c r="G912" i="25"/>
  <c r="H912" i="25" s="1"/>
  <c r="I912" i="25"/>
  <c r="F913" i="25"/>
  <c r="G913" i="25"/>
  <c r="H913" i="25" s="1"/>
  <c r="I913" i="25"/>
  <c r="F914" i="25"/>
  <c r="G914" i="25"/>
  <c r="H914" i="25" s="1"/>
  <c r="I914" i="25"/>
  <c r="F915" i="25"/>
  <c r="G915" i="25"/>
  <c r="H915" i="25" s="1"/>
  <c r="I915" i="25"/>
  <c r="F916" i="25"/>
  <c r="G916" i="25"/>
  <c r="H916" i="25" s="1"/>
  <c r="I916" i="25"/>
  <c r="F917" i="25"/>
  <c r="G917" i="25"/>
  <c r="H917" i="25" s="1"/>
  <c r="I917" i="25"/>
  <c r="F918" i="25"/>
  <c r="G918" i="25"/>
  <c r="H918" i="25" s="1"/>
  <c r="I918" i="25"/>
  <c r="F919" i="25"/>
  <c r="G919" i="25"/>
  <c r="H919" i="25" s="1"/>
  <c r="I919" i="25"/>
  <c r="F920" i="25"/>
  <c r="G920" i="25"/>
  <c r="H920" i="25" s="1"/>
  <c r="I920" i="25"/>
  <c r="F921" i="25"/>
  <c r="G921" i="25"/>
  <c r="H921" i="25" s="1"/>
  <c r="I921" i="25"/>
  <c r="F922" i="25"/>
  <c r="G922" i="25"/>
  <c r="H922" i="25" s="1"/>
  <c r="I922" i="25"/>
  <c r="F923" i="25"/>
  <c r="G923" i="25"/>
  <c r="H923" i="25" s="1"/>
  <c r="I923" i="25"/>
  <c r="F924" i="25"/>
  <c r="G924" i="25"/>
  <c r="H924" i="25" s="1"/>
  <c r="I924" i="25"/>
  <c r="F925" i="25"/>
  <c r="G925" i="25"/>
  <c r="H925" i="25" s="1"/>
  <c r="I925" i="25"/>
  <c r="F926" i="25"/>
  <c r="G926" i="25"/>
  <c r="H926" i="25" s="1"/>
  <c r="I926" i="25"/>
  <c r="F927" i="25"/>
  <c r="G927" i="25"/>
  <c r="H927" i="25" s="1"/>
  <c r="I927" i="25"/>
  <c r="F928" i="25"/>
  <c r="G928" i="25"/>
  <c r="H928" i="25" s="1"/>
  <c r="I928" i="25"/>
  <c r="F929" i="25"/>
  <c r="G929" i="25"/>
  <c r="H929" i="25" s="1"/>
  <c r="I929" i="25"/>
  <c r="F930" i="25"/>
  <c r="G930" i="25"/>
  <c r="H930" i="25" s="1"/>
  <c r="I930" i="25"/>
  <c r="F931" i="25"/>
  <c r="G931" i="25"/>
  <c r="H931" i="25" s="1"/>
  <c r="I931" i="25"/>
  <c r="F932" i="25"/>
  <c r="G932" i="25"/>
  <c r="H932" i="25" s="1"/>
  <c r="I932" i="25"/>
  <c r="F933" i="25"/>
  <c r="G933" i="25"/>
  <c r="H933" i="25" s="1"/>
  <c r="I933" i="25"/>
  <c r="F934" i="25"/>
  <c r="G934" i="25"/>
  <c r="H934" i="25" s="1"/>
  <c r="I934" i="25"/>
  <c r="F935" i="25"/>
  <c r="G935" i="25"/>
  <c r="H935" i="25" s="1"/>
  <c r="I935" i="25"/>
  <c r="F936" i="25"/>
  <c r="G936" i="25"/>
  <c r="H936" i="25" s="1"/>
  <c r="I936" i="25"/>
  <c r="F937" i="25"/>
  <c r="G937" i="25"/>
  <c r="H937" i="25" s="1"/>
  <c r="I937" i="25"/>
  <c r="F938" i="25"/>
  <c r="G938" i="25"/>
  <c r="H938" i="25" s="1"/>
  <c r="I938" i="25"/>
  <c r="F939" i="25"/>
  <c r="G939" i="25"/>
  <c r="H939" i="25" s="1"/>
  <c r="I939" i="25"/>
  <c r="F940" i="25"/>
  <c r="G940" i="25"/>
  <c r="H940" i="25" s="1"/>
  <c r="I940" i="25"/>
  <c r="F941" i="25"/>
  <c r="G941" i="25"/>
  <c r="H941" i="25" s="1"/>
  <c r="I941" i="25"/>
  <c r="F942" i="25"/>
  <c r="G942" i="25"/>
  <c r="H942" i="25" s="1"/>
  <c r="I942" i="25"/>
  <c r="F943" i="25"/>
  <c r="G943" i="25"/>
  <c r="H943" i="25" s="1"/>
  <c r="I943" i="25"/>
  <c r="F944" i="25"/>
  <c r="G944" i="25"/>
  <c r="H944" i="25" s="1"/>
  <c r="I944" i="25"/>
  <c r="F945" i="25"/>
  <c r="G945" i="25"/>
  <c r="H945" i="25" s="1"/>
  <c r="I945" i="25"/>
  <c r="F946" i="25"/>
  <c r="G946" i="25"/>
  <c r="H946" i="25" s="1"/>
  <c r="I946" i="25"/>
  <c r="F947" i="25"/>
  <c r="G947" i="25"/>
  <c r="H947" i="25" s="1"/>
  <c r="I947" i="25"/>
  <c r="F948" i="25"/>
  <c r="G948" i="25"/>
  <c r="H948" i="25" s="1"/>
  <c r="I948" i="25"/>
  <c r="F949" i="25"/>
  <c r="G949" i="25"/>
  <c r="H949" i="25" s="1"/>
  <c r="I949" i="25"/>
  <c r="F950" i="25"/>
  <c r="G950" i="25"/>
  <c r="H950" i="25" s="1"/>
  <c r="I950" i="25"/>
  <c r="F951" i="25"/>
  <c r="G951" i="25"/>
  <c r="H951" i="25" s="1"/>
  <c r="I951" i="25"/>
  <c r="F952" i="25"/>
  <c r="G952" i="25"/>
  <c r="H952" i="25" s="1"/>
  <c r="I952" i="25"/>
  <c r="F953" i="25"/>
  <c r="G953" i="25"/>
  <c r="H953" i="25" s="1"/>
  <c r="I953" i="25"/>
  <c r="F954" i="25"/>
  <c r="G954" i="25"/>
  <c r="H954" i="25" s="1"/>
  <c r="I954" i="25"/>
  <c r="F955" i="25"/>
  <c r="G955" i="25"/>
  <c r="H955" i="25" s="1"/>
  <c r="I955" i="25"/>
  <c r="F956" i="25"/>
  <c r="G956" i="25"/>
  <c r="H956" i="25" s="1"/>
  <c r="I956" i="25"/>
  <c r="F957" i="25"/>
  <c r="G957" i="25"/>
  <c r="H957" i="25" s="1"/>
  <c r="I957" i="25"/>
  <c r="F958" i="25"/>
  <c r="G958" i="25"/>
  <c r="H958" i="25" s="1"/>
  <c r="I958" i="25"/>
  <c r="F959" i="25"/>
  <c r="G959" i="25"/>
  <c r="H959" i="25" s="1"/>
  <c r="I959" i="25"/>
  <c r="F960" i="25"/>
  <c r="G960" i="25"/>
  <c r="H960" i="25" s="1"/>
  <c r="I960" i="25"/>
  <c r="F961" i="25"/>
  <c r="G961" i="25"/>
  <c r="H961" i="25" s="1"/>
  <c r="I961" i="25"/>
  <c r="F962" i="25"/>
  <c r="G962" i="25"/>
  <c r="H962" i="25" s="1"/>
  <c r="I962" i="25"/>
  <c r="F963" i="25"/>
  <c r="G963" i="25"/>
  <c r="H963" i="25" s="1"/>
  <c r="I963" i="25"/>
  <c r="F964" i="25"/>
  <c r="G964" i="25"/>
  <c r="H964" i="25" s="1"/>
  <c r="I964" i="25"/>
  <c r="F965" i="25"/>
  <c r="G965" i="25"/>
  <c r="H965" i="25" s="1"/>
  <c r="I965" i="25"/>
  <c r="F966" i="25"/>
  <c r="G966" i="25"/>
  <c r="H966" i="25" s="1"/>
  <c r="I966" i="25"/>
  <c r="F967" i="25"/>
  <c r="G967" i="25"/>
  <c r="H967" i="25" s="1"/>
  <c r="I967" i="25"/>
  <c r="F968" i="25"/>
  <c r="G968" i="25"/>
  <c r="H968" i="25" s="1"/>
  <c r="I968" i="25"/>
  <c r="F969" i="25"/>
  <c r="G969" i="25"/>
  <c r="H969" i="25" s="1"/>
  <c r="I969" i="25"/>
  <c r="F970" i="25"/>
  <c r="G970" i="25"/>
  <c r="H970" i="25" s="1"/>
  <c r="I970" i="25"/>
  <c r="F971" i="25"/>
  <c r="G971" i="25"/>
  <c r="H971" i="25" s="1"/>
  <c r="I971" i="25"/>
  <c r="F972" i="25"/>
  <c r="G972" i="25"/>
  <c r="H972" i="25" s="1"/>
  <c r="I972" i="25"/>
  <c r="F973" i="25"/>
  <c r="G973" i="25"/>
  <c r="H973" i="25" s="1"/>
  <c r="I973" i="25"/>
  <c r="F974" i="25"/>
  <c r="G974" i="25"/>
  <c r="H974" i="25" s="1"/>
  <c r="I974" i="25"/>
  <c r="F975" i="25"/>
  <c r="G975" i="25"/>
  <c r="H975" i="25" s="1"/>
  <c r="I975" i="25"/>
  <c r="F976" i="25"/>
  <c r="G976" i="25"/>
  <c r="H976" i="25" s="1"/>
  <c r="I976" i="25"/>
  <c r="F977" i="25"/>
  <c r="G977" i="25"/>
  <c r="H977" i="25" s="1"/>
  <c r="I977" i="25"/>
  <c r="F978" i="25"/>
  <c r="G978" i="25"/>
  <c r="H978" i="25" s="1"/>
  <c r="I978" i="25"/>
  <c r="F979" i="25"/>
  <c r="G979" i="25"/>
  <c r="H979" i="25" s="1"/>
  <c r="I979" i="25"/>
  <c r="F980" i="25"/>
  <c r="G980" i="25"/>
  <c r="H980" i="25" s="1"/>
  <c r="I980" i="25"/>
  <c r="F981" i="25"/>
  <c r="G981" i="25"/>
  <c r="H981" i="25" s="1"/>
  <c r="I981" i="25"/>
  <c r="F982" i="25"/>
  <c r="G982" i="25"/>
  <c r="H982" i="25" s="1"/>
  <c r="I982" i="25"/>
  <c r="F983" i="25"/>
  <c r="G983" i="25"/>
  <c r="H983" i="25" s="1"/>
  <c r="I983" i="25"/>
  <c r="F984" i="25"/>
  <c r="G984" i="25"/>
  <c r="H984" i="25" s="1"/>
  <c r="I984" i="25"/>
  <c r="F985" i="25"/>
  <c r="G985" i="25"/>
  <c r="H985" i="25" s="1"/>
  <c r="I985" i="25"/>
  <c r="F986" i="25"/>
  <c r="G986" i="25"/>
  <c r="H986" i="25" s="1"/>
  <c r="I986" i="25"/>
  <c r="F987" i="25"/>
  <c r="G987" i="25"/>
  <c r="H987" i="25" s="1"/>
  <c r="I987" i="25"/>
  <c r="F988" i="25"/>
  <c r="G988" i="25"/>
  <c r="H988" i="25" s="1"/>
  <c r="I988" i="25"/>
  <c r="F989" i="25"/>
  <c r="G989" i="25"/>
  <c r="H989" i="25" s="1"/>
  <c r="I989" i="25"/>
  <c r="F990" i="25"/>
  <c r="G990" i="25"/>
  <c r="H990" i="25" s="1"/>
  <c r="I990" i="25"/>
  <c r="F991" i="25"/>
  <c r="G991" i="25"/>
  <c r="H991" i="25" s="1"/>
  <c r="I991" i="25"/>
  <c r="F992" i="25"/>
  <c r="G992" i="25"/>
  <c r="H992" i="25" s="1"/>
  <c r="I992" i="25"/>
  <c r="F993" i="25"/>
  <c r="G993" i="25"/>
  <c r="H993" i="25" s="1"/>
  <c r="I993" i="25"/>
  <c r="F994" i="25"/>
  <c r="G994" i="25"/>
  <c r="H994" i="25" s="1"/>
  <c r="I994" i="25"/>
  <c r="F995" i="25"/>
  <c r="G995" i="25"/>
  <c r="H995" i="25" s="1"/>
  <c r="I995" i="25"/>
  <c r="F996" i="25"/>
  <c r="G996" i="25"/>
  <c r="H996" i="25" s="1"/>
  <c r="I996" i="25"/>
  <c r="F997" i="25"/>
  <c r="G997" i="25"/>
  <c r="H997" i="25" s="1"/>
  <c r="I997" i="25"/>
  <c r="F998" i="25"/>
  <c r="G998" i="25"/>
  <c r="H998" i="25" s="1"/>
  <c r="I998" i="25"/>
  <c r="F999" i="25"/>
  <c r="G999" i="25"/>
  <c r="H999" i="25" s="1"/>
  <c r="I999" i="25"/>
  <c r="F1000" i="25"/>
  <c r="G1000" i="25"/>
  <c r="H1000" i="25" s="1"/>
  <c r="I1000" i="25"/>
  <c r="F1001" i="25"/>
  <c r="G1001" i="25"/>
  <c r="H1001" i="25" s="1"/>
  <c r="I1001" i="25"/>
  <c r="F1002" i="25"/>
  <c r="G1002" i="25"/>
  <c r="H1002" i="25" s="1"/>
  <c r="I1002" i="25"/>
  <c r="F1003" i="25"/>
  <c r="G1003" i="25"/>
  <c r="H1003" i="25" s="1"/>
  <c r="I1003" i="25"/>
  <c r="F1004" i="25"/>
  <c r="G1004" i="25"/>
  <c r="H1004" i="25" s="1"/>
  <c r="I1004" i="25"/>
  <c r="F1005" i="25"/>
  <c r="G1005" i="25"/>
  <c r="H1005" i="25" s="1"/>
  <c r="I1005" i="25"/>
  <c r="F1006" i="25"/>
  <c r="G1006" i="25"/>
  <c r="H1006" i="25" s="1"/>
  <c r="I1006" i="25"/>
  <c r="F1007" i="25"/>
  <c r="G1007" i="25"/>
  <c r="H1007" i="25" s="1"/>
  <c r="I1007" i="25"/>
  <c r="F1008" i="25"/>
  <c r="G1008" i="25"/>
  <c r="H1008" i="25" s="1"/>
  <c r="I1008" i="25"/>
  <c r="F1009" i="25"/>
  <c r="G1009" i="25"/>
  <c r="H1009" i="25" s="1"/>
  <c r="I1009" i="25"/>
  <c r="F1010" i="25"/>
  <c r="G1010" i="25"/>
  <c r="H1010" i="25" s="1"/>
  <c r="I1010" i="25"/>
  <c r="F1011" i="25"/>
  <c r="G1011" i="25"/>
  <c r="H1011" i="25" s="1"/>
  <c r="I1011" i="25"/>
  <c r="F1012" i="25"/>
  <c r="G1012" i="25"/>
  <c r="H1012" i="25" s="1"/>
  <c r="I1012" i="25"/>
  <c r="F1013" i="25"/>
  <c r="G1013" i="25"/>
  <c r="H1013" i="25" s="1"/>
  <c r="I1013" i="25"/>
  <c r="F1014" i="25"/>
  <c r="G1014" i="25"/>
  <c r="H1014" i="25" s="1"/>
  <c r="I1014" i="25"/>
  <c r="F1015" i="25"/>
  <c r="G1015" i="25"/>
  <c r="H1015" i="25" s="1"/>
  <c r="I1015" i="25"/>
  <c r="F1016" i="25"/>
  <c r="G1016" i="25"/>
  <c r="H1016" i="25" s="1"/>
  <c r="I1016" i="25"/>
  <c r="F1017" i="25"/>
  <c r="G1017" i="25"/>
  <c r="H1017" i="25" s="1"/>
  <c r="I1017" i="25"/>
  <c r="F1018" i="25"/>
  <c r="G1018" i="25"/>
  <c r="H1018" i="25" s="1"/>
  <c r="I1018" i="25"/>
  <c r="F1019" i="25"/>
  <c r="G1019" i="25"/>
  <c r="H1019" i="25" s="1"/>
  <c r="I1019" i="25"/>
  <c r="F1020" i="25"/>
  <c r="G1020" i="25"/>
  <c r="H1020" i="25" s="1"/>
  <c r="I1020" i="25"/>
  <c r="F1021" i="25"/>
  <c r="G1021" i="25"/>
  <c r="H1021" i="25" s="1"/>
  <c r="I1021" i="25"/>
  <c r="F1022" i="25"/>
  <c r="G1022" i="25"/>
  <c r="H1022" i="25" s="1"/>
  <c r="I1022" i="25"/>
  <c r="F1023" i="25"/>
  <c r="G1023" i="25"/>
  <c r="H1023" i="25" s="1"/>
  <c r="I1023" i="25"/>
  <c r="F1024" i="25"/>
  <c r="G1024" i="25"/>
  <c r="H1024" i="25" s="1"/>
  <c r="I1024" i="25"/>
  <c r="F1025" i="25"/>
  <c r="G1025" i="25"/>
  <c r="H1025" i="25" s="1"/>
  <c r="I1025" i="25"/>
  <c r="F1026" i="25"/>
  <c r="G1026" i="25"/>
  <c r="H1026" i="25" s="1"/>
  <c r="I1026" i="25"/>
  <c r="F1027" i="25"/>
  <c r="G1027" i="25"/>
  <c r="H1027" i="25" s="1"/>
  <c r="I1027" i="25"/>
  <c r="F1028" i="25"/>
  <c r="G1028" i="25"/>
  <c r="H1028" i="25" s="1"/>
  <c r="I1028" i="25"/>
  <c r="F1029" i="25"/>
  <c r="G1029" i="25"/>
  <c r="H1029" i="25" s="1"/>
  <c r="I1029" i="25"/>
  <c r="F1030" i="25"/>
  <c r="G1030" i="25"/>
  <c r="H1030" i="25" s="1"/>
  <c r="I1030" i="25"/>
  <c r="F1031" i="25"/>
  <c r="G1031" i="25"/>
  <c r="H1031" i="25" s="1"/>
  <c r="I1031" i="25"/>
  <c r="F1032" i="25"/>
  <c r="G1032" i="25"/>
  <c r="H1032" i="25" s="1"/>
  <c r="I1032" i="25"/>
  <c r="F1033" i="25"/>
  <c r="G1033" i="25"/>
  <c r="H1033" i="25" s="1"/>
  <c r="I1033" i="25"/>
  <c r="F1034" i="25"/>
  <c r="G1034" i="25"/>
  <c r="H1034" i="25" s="1"/>
  <c r="I1034" i="25"/>
  <c r="F1035" i="25"/>
  <c r="G1035" i="25"/>
  <c r="H1035" i="25" s="1"/>
  <c r="I1035" i="25"/>
  <c r="F1036" i="25"/>
  <c r="G1036" i="25"/>
  <c r="H1036" i="25" s="1"/>
  <c r="I1036" i="25"/>
  <c r="F1037" i="25"/>
  <c r="G1037" i="25"/>
  <c r="H1037" i="25" s="1"/>
  <c r="I1037" i="25"/>
  <c r="F1038" i="25"/>
  <c r="G1038" i="25"/>
  <c r="H1038" i="25" s="1"/>
  <c r="I1038" i="25"/>
  <c r="F1039" i="25"/>
  <c r="G1039" i="25"/>
  <c r="H1039" i="25" s="1"/>
  <c r="I1039" i="25"/>
  <c r="F1040" i="25"/>
  <c r="G1040" i="25"/>
  <c r="H1040" i="25" s="1"/>
  <c r="I1040" i="25"/>
  <c r="F1041" i="25"/>
  <c r="G1041" i="25"/>
  <c r="H1041" i="25" s="1"/>
  <c r="I1041" i="25"/>
  <c r="F1042" i="25"/>
  <c r="G1042" i="25"/>
  <c r="H1042" i="25" s="1"/>
  <c r="I1042" i="25"/>
  <c r="F1043" i="25"/>
  <c r="G1043" i="25"/>
  <c r="H1043" i="25" s="1"/>
  <c r="I1043" i="25"/>
  <c r="F1044" i="25"/>
  <c r="G1044" i="25"/>
  <c r="H1044" i="25" s="1"/>
  <c r="I1044" i="25"/>
  <c r="F1045" i="25"/>
  <c r="G1045" i="25"/>
  <c r="H1045" i="25" s="1"/>
  <c r="I1045" i="25"/>
  <c r="F1046" i="25"/>
  <c r="G1046" i="25"/>
  <c r="H1046" i="25" s="1"/>
  <c r="I1046" i="25"/>
  <c r="F1047" i="25"/>
  <c r="G1047" i="25"/>
  <c r="H1047" i="25" s="1"/>
  <c r="I1047" i="25"/>
  <c r="F1048" i="25"/>
  <c r="G1048" i="25"/>
  <c r="H1048" i="25" s="1"/>
  <c r="I1048" i="25"/>
  <c r="F1049" i="25"/>
  <c r="G1049" i="25"/>
  <c r="H1049" i="25" s="1"/>
  <c r="I1049" i="25"/>
  <c r="F1050" i="25"/>
  <c r="G1050" i="25"/>
  <c r="H1050" i="25" s="1"/>
  <c r="I1050" i="25"/>
  <c r="F1051" i="25"/>
  <c r="G1051" i="25"/>
  <c r="H1051" i="25" s="1"/>
  <c r="I1051" i="25"/>
  <c r="F1052" i="25"/>
  <c r="G1052" i="25"/>
  <c r="H1052" i="25" s="1"/>
  <c r="I1052" i="25"/>
  <c r="F1053" i="25"/>
  <c r="G1053" i="25"/>
  <c r="H1053" i="25" s="1"/>
  <c r="I1053" i="25"/>
  <c r="F1054" i="25"/>
  <c r="G1054" i="25"/>
  <c r="H1054" i="25" s="1"/>
  <c r="I1054" i="25"/>
  <c r="F1055" i="25"/>
  <c r="G1055" i="25"/>
  <c r="H1055" i="25" s="1"/>
  <c r="I1055" i="25"/>
  <c r="F1056" i="25"/>
  <c r="G1056" i="25"/>
  <c r="H1056" i="25" s="1"/>
  <c r="I1056" i="25"/>
  <c r="F1057" i="25"/>
  <c r="G1057" i="25"/>
  <c r="H1057" i="25" s="1"/>
  <c r="I1057" i="25"/>
  <c r="F1058" i="25"/>
  <c r="G1058" i="25"/>
  <c r="H1058" i="25" s="1"/>
  <c r="I1058" i="25"/>
  <c r="F1059" i="25"/>
  <c r="G1059" i="25"/>
  <c r="H1059" i="25" s="1"/>
  <c r="I1059" i="25"/>
  <c r="F1060" i="25"/>
  <c r="G1060" i="25"/>
  <c r="H1060" i="25" s="1"/>
  <c r="I1060" i="25"/>
  <c r="F1061" i="25"/>
  <c r="G1061" i="25"/>
  <c r="H1061" i="25" s="1"/>
  <c r="I1061" i="25"/>
  <c r="F1062" i="25"/>
  <c r="G1062" i="25"/>
  <c r="H1062" i="25" s="1"/>
  <c r="I1062" i="25"/>
  <c r="F1063" i="25"/>
  <c r="G1063" i="25"/>
  <c r="H1063" i="25" s="1"/>
  <c r="I1063" i="25"/>
  <c r="F1064" i="25"/>
  <c r="G1064" i="25"/>
  <c r="H1064" i="25" s="1"/>
  <c r="I1064" i="25"/>
  <c r="F1065" i="25"/>
  <c r="G1065" i="25"/>
  <c r="H1065" i="25" s="1"/>
  <c r="I1065" i="25"/>
  <c r="F1066" i="25"/>
  <c r="G1066" i="25"/>
  <c r="H1066" i="25" s="1"/>
  <c r="I1066" i="25"/>
  <c r="F1067" i="25"/>
  <c r="G1067" i="25"/>
  <c r="H1067" i="25" s="1"/>
  <c r="I1067" i="25"/>
  <c r="F1068" i="25"/>
  <c r="G1068" i="25"/>
  <c r="H1068" i="25" s="1"/>
  <c r="I1068" i="25"/>
  <c r="F1069" i="25"/>
  <c r="G1069" i="25"/>
  <c r="H1069" i="25" s="1"/>
  <c r="I1069" i="25"/>
  <c r="F1070" i="25"/>
  <c r="G1070" i="25"/>
  <c r="H1070" i="25" s="1"/>
  <c r="I1070" i="25"/>
  <c r="F1071" i="25"/>
  <c r="G1071" i="25"/>
  <c r="H1071" i="25" s="1"/>
  <c r="I1071" i="25"/>
  <c r="F1072" i="25"/>
  <c r="G1072" i="25"/>
  <c r="H1072" i="25" s="1"/>
  <c r="I1072" i="25"/>
  <c r="F1073" i="25"/>
  <c r="G1073" i="25"/>
  <c r="H1073" i="25" s="1"/>
  <c r="I1073" i="25"/>
  <c r="F1074" i="25"/>
  <c r="G1074" i="25"/>
  <c r="H1074" i="25" s="1"/>
  <c r="I1074" i="25"/>
  <c r="F1075" i="25"/>
  <c r="G1075" i="25"/>
  <c r="H1075" i="25" s="1"/>
  <c r="I1075" i="25"/>
  <c r="F1076" i="25"/>
  <c r="G1076" i="25"/>
  <c r="H1076" i="25" s="1"/>
  <c r="I1076" i="25"/>
  <c r="F1077" i="25"/>
  <c r="G1077" i="25"/>
  <c r="H1077" i="25" s="1"/>
  <c r="I1077" i="25"/>
  <c r="F1078" i="25"/>
  <c r="G1078" i="25"/>
  <c r="H1078" i="25" s="1"/>
  <c r="I1078" i="25"/>
  <c r="F1079" i="25"/>
  <c r="G1079" i="25"/>
  <c r="H1079" i="25" s="1"/>
  <c r="I1079" i="25"/>
  <c r="F1080" i="25"/>
  <c r="G1080" i="25"/>
  <c r="H1080" i="25" s="1"/>
  <c r="I1080" i="25"/>
  <c r="F1081" i="25"/>
  <c r="G1081" i="25"/>
  <c r="H1081" i="25" s="1"/>
  <c r="I1081" i="25"/>
  <c r="F1082" i="25"/>
  <c r="G1082" i="25"/>
  <c r="H1082" i="25" s="1"/>
  <c r="I1082" i="25"/>
  <c r="F1083" i="25"/>
  <c r="G1083" i="25"/>
  <c r="H1083" i="25" s="1"/>
  <c r="I1083" i="25"/>
  <c r="F1084" i="25"/>
  <c r="G1084" i="25"/>
  <c r="H1084" i="25" s="1"/>
  <c r="I1084" i="25"/>
  <c r="F1085" i="25"/>
  <c r="G1085" i="25"/>
  <c r="H1085" i="25" s="1"/>
  <c r="I1085" i="25"/>
  <c r="F1086" i="25"/>
  <c r="G1086" i="25"/>
  <c r="H1086" i="25" s="1"/>
  <c r="I1086" i="25"/>
  <c r="F1087" i="25"/>
  <c r="G1087" i="25"/>
  <c r="H1087" i="25" s="1"/>
  <c r="I1087" i="25"/>
  <c r="F1088" i="25"/>
  <c r="G1088" i="25"/>
  <c r="H1088" i="25" s="1"/>
  <c r="I1088" i="25"/>
  <c r="F1089" i="25"/>
  <c r="G1089" i="25"/>
  <c r="H1089" i="25" s="1"/>
  <c r="I1089" i="25"/>
  <c r="F1090" i="25"/>
  <c r="G1090" i="25"/>
  <c r="H1090" i="25" s="1"/>
  <c r="I1090" i="25"/>
  <c r="F1091" i="25"/>
  <c r="G1091" i="25"/>
  <c r="H1091" i="25" s="1"/>
  <c r="I1091" i="25"/>
  <c r="F1092" i="25"/>
  <c r="G1092" i="25"/>
  <c r="H1092" i="25" s="1"/>
  <c r="I1092" i="25"/>
  <c r="F1093" i="25"/>
  <c r="G1093" i="25"/>
  <c r="H1093" i="25" s="1"/>
  <c r="I1093" i="25"/>
  <c r="F1094" i="25"/>
  <c r="G1094" i="25"/>
  <c r="H1094" i="25" s="1"/>
  <c r="I1094" i="25"/>
  <c r="F1095" i="25"/>
  <c r="G1095" i="25"/>
  <c r="H1095" i="25" s="1"/>
  <c r="I1095" i="25"/>
  <c r="F1096" i="25"/>
  <c r="G1096" i="25"/>
  <c r="H1096" i="25" s="1"/>
  <c r="I1096" i="25"/>
  <c r="F1097" i="25"/>
  <c r="G1097" i="25"/>
  <c r="H1097" i="25" s="1"/>
  <c r="I1097" i="25"/>
  <c r="F1098" i="25"/>
  <c r="G1098" i="25"/>
  <c r="H1098" i="25" s="1"/>
  <c r="I1098" i="25"/>
  <c r="F1099" i="25"/>
  <c r="G1099" i="25"/>
  <c r="H1099" i="25" s="1"/>
  <c r="I1099" i="25"/>
  <c r="F1100" i="25"/>
  <c r="G1100" i="25"/>
  <c r="H1100" i="25" s="1"/>
  <c r="I1100" i="25"/>
  <c r="F1101" i="25"/>
  <c r="G1101" i="25"/>
  <c r="H1101" i="25" s="1"/>
  <c r="I1101" i="25"/>
  <c r="F1102" i="25"/>
  <c r="G1102" i="25"/>
  <c r="H1102" i="25" s="1"/>
  <c r="I1102" i="25"/>
  <c r="F1103" i="25"/>
  <c r="G1103" i="25"/>
  <c r="H1103" i="25" s="1"/>
  <c r="I1103" i="25"/>
  <c r="F1104" i="25"/>
  <c r="G1104" i="25"/>
  <c r="H1104" i="25" s="1"/>
  <c r="I1104" i="25"/>
  <c r="F1105" i="25"/>
  <c r="G1105" i="25"/>
  <c r="H1105" i="25" s="1"/>
  <c r="I1105" i="25"/>
  <c r="F1106" i="25"/>
  <c r="G1106" i="25"/>
  <c r="H1106" i="25" s="1"/>
  <c r="I1106" i="25"/>
  <c r="F1107" i="25"/>
  <c r="G1107" i="25"/>
  <c r="H1107" i="25" s="1"/>
  <c r="I1107" i="25"/>
  <c r="F1108" i="25"/>
  <c r="G1108" i="25"/>
  <c r="H1108" i="25" s="1"/>
  <c r="I1108" i="25"/>
  <c r="F1109" i="25"/>
  <c r="G1109" i="25"/>
  <c r="H1109" i="25" s="1"/>
  <c r="I1109" i="25"/>
  <c r="F1110" i="25"/>
  <c r="G1110" i="25"/>
  <c r="H1110" i="25" s="1"/>
  <c r="I1110" i="25"/>
  <c r="F1111" i="25"/>
  <c r="G1111" i="25"/>
  <c r="H1111" i="25" s="1"/>
  <c r="I1111" i="25"/>
  <c r="F1112" i="25"/>
  <c r="G1112" i="25"/>
  <c r="H1112" i="25" s="1"/>
  <c r="I1112" i="25"/>
  <c r="F1113" i="25"/>
  <c r="G1113" i="25"/>
  <c r="H1113" i="25" s="1"/>
  <c r="I1113" i="25"/>
  <c r="F1114" i="25"/>
  <c r="G1114" i="25"/>
  <c r="H1114" i="25" s="1"/>
  <c r="I1114" i="25"/>
  <c r="F1115" i="25"/>
  <c r="G1115" i="25"/>
  <c r="H1115" i="25" s="1"/>
  <c r="I1115" i="25"/>
  <c r="F1116" i="25"/>
  <c r="G1116" i="25"/>
  <c r="H1116" i="25" s="1"/>
  <c r="I1116" i="25"/>
  <c r="F1117" i="25"/>
  <c r="G1117" i="25"/>
  <c r="H1117" i="25" s="1"/>
  <c r="I1117" i="25"/>
  <c r="F1118" i="25"/>
  <c r="G1118" i="25"/>
  <c r="H1118" i="25" s="1"/>
  <c r="I1118" i="25"/>
  <c r="F1119" i="25"/>
  <c r="G1119" i="25"/>
  <c r="H1119" i="25" s="1"/>
  <c r="I1119" i="25"/>
  <c r="F1120" i="25"/>
  <c r="G1120" i="25"/>
  <c r="H1120" i="25" s="1"/>
  <c r="I1120" i="25"/>
  <c r="F1121" i="25"/>
  <c r="G1121" i="25"/>
  <c r="H1121" i="25" s="1"/>
  <c r="I1121" i="25"/>
  <c r="F1122" i="25"/>
  <c r="G1122" i="25"/>
  <c r="H1122" i="25" s="1"/>
  <c r="I1122" i="25"/>
  <c r="F1123" i="25"/>
  <c r="G1123" i="25"/>
  <c r="H1123" i="25" s="1"/>
  <c r="I1123" i="25"/>
  <c r="F1124" i="25"/>
  <c r="G1124" i="25"/>
  <c r="H1124" i="25" s="1"/>
  <c r="I1124" i="25"/>
  <c r="F1125" i="25"/>
  <c r="G1125" i="25"/>
  <c r="H1125" i="25" s="1"/>
  <c r="I1125" i="25"/>
  <c r="F1126" i="25"/>
  <c r="G1126" i="25"/>
  <c r="H1126" i="25" s="1"/>
  <c r="I1126" i="25"/>
  <c r="F1127" i="25"/>
  <c r="G1127" i="25"/>
  <c r="H1127" i="25" s="1"/>
  <c r="I1127" i="25"/>
  <c r="F1128" i="25"/>
  <c r="G1128" i="25"/>
  <c r="H1128" i="25" s="1"/>
  <c r="I1128" i="25"/>
  <c r="F1129" i="25"/>
  <c r="G1129" i="25"/>
  <c r="H1129" i="25" s="1"/>
  <c r="I1129" i="25"/>
  <c r="F1130" i="25"/>
  <c r="G1130" i="25"/>
  <c r="H1130" i="25" s="1"/>
  <c r="I1130" i="25"/>
  <c r="F1131" i="25"/>
  <c r="G1131" i="25"/>
  <c r="H1131" i="25" s="1"/>
  <c r="I1131" i="25"/>
  <c r="F1132" i="25"/>
  <c r="G1132" i="25"/>
  <c r="H1132" i="25" s="1"/>
  <c r="I1132" i="25"/>
  <c r="F1133" i="25"/>
  <c r="G1133" i="25"/>
  <c r="H1133" i="25" s="1"/>
  <c r="I1133" i="25"/>
  <c r="F1134" i="25"/>
  <c r="G1134" i="25"/>
  <c r="H1134" i="25" s="1"/>
  <c r="I1134" i="25"/>
  <c r="F1135" i="25"/>
  <c r="G1135" i="25"/>
  <c r="H1135" i="25" s="1"/>
  <c r="I1135" i="25"/>
  <c r="F1136" i="25"/>
  <c r="G1136" i="25"/>
  <c r="H1136" i="25" s="1"/>
  <c r="I1136" i="25"/>
  <c r="F1137" i="25"/>
  <c r="G1137" i="25"/>
  <c r="H1137" i="25" s="1"/>
  <c r="I1137" i="25"/>
  <c r="F1138" i="25"/>
  <c r="G1138" i="25"/>
  <c r="H1138" i="25" s="1"/>
  <c r="I1138" i="25"/>
  <c r="F1139" i="25"/>
  <c r="G1139" i="25"/>
  <c r="H1139" i="25" s="1"/>
  <c r="I1139" i="25"/>
  <c r="F1140" i="25"/>
  <c r="G1140" i="25"/>
  <c r="H1140" i="25" s="1"/>
  <c r="I1140" i="25"/>
  <c r="F1141" i="25"/>
  <c r="G1141" i="25"/>
  <c r="H1141" i="25" s="1"/>
  <c r="I1141" i="25"/>
  <c r="F1142" i="25"/>
  <c r="G1142" i="25"/>
  <c r="H1142" i="25" s="1"/>
  <c r="I1142" i="25"/>
  <c r="F1143" i="25"/>
  <c r="G1143" i="25"/>
  <c r="H1143" i="25" s="1"/>
  <c r="I1143" i="25"/>
  <c r="F1144" i="25"/>
  <c r="G1144" i="25"/>
  <c r="H1144" i="25" s="1"/>
  <c r="I1144" i="25"/>
  <c r="F1145" i="25"/>
  <c r="G1145" i="25"/>
  <c r="H1145" i="25" s="1"/>
  <c r="I1145" i="25"/>
  <c r="F1146" i="25"/>
  <c r="G1146" i="25"/>
  <c r="H1146" i="25" s="1"/>
  <c r="I1146" i="25"/>
  <c r="F1147" i="25"/>
  <c r="G1147" i="25"/>
  <c r="H1147" i="25" s="1"/>
  <c r="I1147" i="25"/>
  <c r="F1148" i="25"/>
  <c r="G1148" i="25"/>
  <c r="H1148" i="25" s="1"/>
  <c r="I1148" i="25"/>
  <c r="F1149" i="25"/>
  <c r="G1149" i="25"/>
  <c r="H1149" i="25" s="1"/>
  <c r="I1149" i="25"/>
  <c r="F1150" i="25"/>
  <c r="G1150" i="25"/>
  <c r="H1150" i="25" s="1"/>
  <c r="I1150" i="25"/>
  <c r="F1151" i="25"/>
  <c r="G1151" i="25"/>
  <c r="H1151" i="25" s="1"/>
  <c r="I1151" i="25"/>
  <c r="F1152" i="25"/>
  <c r="G1152" i="25"/>
  <c r="H1152" i="25" s="1"/>
  <c r="I1152" i="25"/>
  <c r="F1153" i="25"/>
  <c r="G1153" i="25"/>
  <c r="H1153" i="25" s="1"/>
  <c r="I1153" i="25"/>
  <c r="F1154" i="25"/>
  <c r="G1154" i="25"/>
  <c r="H1154" i="25" s="1"/>
  <c r="I1154" i="25"/>
  <c r="F1155" i="25"/>
  <c r="G1155" i="25"/>
  <c r="H1155" i="25" s="1"/>
  <c r="I1155" i="25"/>
  <c r="F1156" i="25"/>
  <c r="G1156" i="25"/>
  <c r="H1156" i="25" s="1"/>
  <c r="I1156" i="25"/>
  <c r="F1157" i="25"/>
  <c r="G1157" i="25"/>
  <c r="H1157" i="25" s="1"/>
  <c r="I1157" i="25"/>
  <c r="F1158" i="25"/>
  <c r="G1158" i="25"/>
  <c r="H1158" i="25" s="1"/>
  <c r="I1158" i="25"/>
  <c r="F1159" i="25"/>
  <c r="G1159" i="25"/>
  <c r="H1159" i="25" s="1"/>
  <c r="I1159" i="25"/>
  <c r="F1160" i="25"/>
  <c r="G1160" i="25"/>
  <c r="H1160" i="25" s="1"/>
  <c r="I1160" i="25"/>
  <c r="F1161" i="25"/>
  <c r="G1161" i="25"/>
  <c r="H1161" i="25" s="1"/>
  <c r="I1161" i="25"/>
  <c r="F1162" i="25"/>
  <c r="G1162" i="25"/>
  <c r="H1162" i="25" s="1"/>
  <c r="I1162" i="25"/>
  <c r="F1163" i="25"/>
  <c r="G1163" i="25"/>
  <c r="H1163" i="25" s="1"/>
  <c r="I1163" i="25"/>
  <c r="F1164" i="25"/>
  <c r="G1164" i="25"/>
  <c r="H1164" i="25" s="1"/>
  <c r="I1164" i="25"/>
  <c r="F1165" i="25"/>
  <c r="G1165" i="25"/>
  <c r="H1165" i="25" s="1"/>
  <c r="I1165" i="25"/>
  <c r="F1166" i="25"/>
  <c r="G1166" i="25"/>
  <c r="H1166" i="25" s="1"/>
  <c r="I1166" i="25"/>
  <c r="F1167" i="25"/>
  <c r="G1167" i="25"/>
  <c r="H1167" i="25" s="1"/>
  <c r="I1167" i="25"/>
  <c r="F1168" i="25"/>
  <c r="G1168" i="25"/>
  <c r="H1168" i="25" s="1"/>
  <c r="I1168" i="25"/>
  <c r="F1169" i="25"/>
  <c r="G1169" i="25"/>
  <c r="H1169" i="25" s="1"/>
  <c r="I1169" i="25"/>
  <c r="F1170" i="25"/>
  <c r="G1170" i="25"/>
  <c r="H1170" i="25" s="1"/>
  <c r="I1170" i="25"/>
  <c r="F1171" i="25"/>
  <c r="G1171" i="25"/>
  <c r="H1171" i="25" s="1"/>
  <c r="I1171" i="25"/>
  <c r="F1172" i="25"/>
  <c r="G1172" i="25"/>
  <c r="H1172" i="25" s="1"/>
  <c r="I1172" i="25"/>
  <c r="F1173" i="25"/>
  <c r="G1173" i="25"/>
  <c r="H1173" i="25" s="1"/>
  <c r="I1173" i="25"/>
  <c r="F1174" i="25"/>
  <c r="G1174" i="25"/>
  <c r="H1174" i="25" s="1"/>
  <c r="I1174" i="25"/>
  <c r="F1175" i="25"/>
  <c r="G1175" i="25"/>
  <c r="H1175" i="25" s="1"/>
  <c r="I1175" i="25"/>
  <c r="F1176" i="25"/>
  <c r="G1176" i="25"/>
  <c r="H1176" i="25" s="1"/>
  <c r="I1176" i="25"/>
  <c r="F1177" i="25"/>
  <c r="G1177" i="25"/>
  <c r="H1177" i="25" s="1"/>
  <c r="I1177" i="25"/>
  <c r="F1178" i="25"/>
  <c r="G1178" i="25"/>
  <c r="H1178" i="25" s="1"/>
  <c r="I1178" i="25"/>
  <c r="F1179" i="25"/>
  <c r="G1179" i="25"/>
  <c r="H1179" i="25" s="1"/>
  <c r="I1179" i="25"/>
  <c r="F1180" i="25"/>
  <c r="G1180" i="25"/>
  <c r="H1180" i="25" s="1"/>
  <c r="I1180" i="25"/>
  <c r="F1181" i="25"/>
  <c r="G1181" i="25"/>
  <c r="H1181" i="25" s="1"/>
  <c r="I1181" i="25"/>
  <c r="F1182" i="25"/>
  <c r="G1182" i="25"/>
  <c r="H1182" i="25" s="1"/>
  <c r="I1182" i="25"/>
  <c r="F1183" i="25"/>
  <c r="G1183" i="25"/>
  <c r="H1183" i="25" s="1"/>
  <c r="I1183" i="25"/>
  <c r="F1184" i="25"/>
  <c r="G1184" i="25"/>
  <c r="H1184" i="25" s="1"/>
  <c r="I1184" i="25"/>
  <c r="F1185" i="25"/>
  <c r="G1185" i="25"/>
  <c r="H1185" i="25" s="1"/>
  <c r="I1185" i="25"/>
  <c r="F1186" i="25"/>
  <c r="G1186" i="25"/>
  <c r="H1186" i="25" s="1"/>
  <c r="I1186" i="25"/>
  <c r="F1187" i="25"/>
  <c r="G1187" i="25"/>
  <c r="H1187" i="25" s="1"/>
  <c r="I1187" i="25"/>
  <c r="F1188" i="25"/>
  <c r="G1188" i="25"/>
  <c r="H1188" i="25" s="1"/>
  <c r="I1188" i="25"/>
  <c r="F1189" i="25"/>
  <c r="G1189" i="25"/>
  <c r="H1189" i="25" s="1"/>
  <c r="I1189" i="25"/>
  <c r="F1190" i="25"/>
  <c r="G1190" i="25"/>
  <c r="H1190" i="25" s="1"/>
  <c r="I1190" i="25"/>
  <c r="F1191" i="25"/>
  <c r="G1191" i="25"/>
  <c r="H1191" i="25" s="1"/>
  <c r="I1191" i="25"/>
  <c r="F1192" i="25"/>
  <c r="G1192" i="25"/>
  <c r="H1192" i="25" s="1"/>
  <c r="I1192" i="25"/>
  <c r="F1193" i="25"/>
  <c r="G1193" i="25"/>
  <c r="H1193" i="25" s="1"/>
  <c r="I1193" i="25"/>
  <c r="F1194" i="25"/>
  <c r="G1194" i="25"/>
  <c r="H1194" i="25" s="1"/>
  <c r="I1194" i="25"/>
  <c r="F1195" i="25"/>
  <c r="G1195" i="25"/>
  <c r="H1195" i="25" s="1"/>
  <c r="I1195" i="25"/>
  <c r="F1196" i="25"/>
  <c r="G1196" i="25"/>
  <c r="H1196" i="25" s="1"/>
  <c r="I1196" i="25"/>
  <c r="F1197" i="25"/>
  <c r="G1197" i="25"/>
  <c r="H1197" i="25" s="1"/>
  <c r="I1197" i="25"/>
  <c r="F1198" i="25"/>
  <c r="G1198" i="25"/>
  <c r="H1198" i="25" s="1"/>
  <c r="I1198" i="25"/>
  <c r="F1199" i="25"/>
  <c r="G1199" i="25"/>
  <c r="H1199" i="25" s="1"/>
  <c r="I1199" i="25"/>
  <c r="F1200" i="25"/>
  <c r="G1200" i="25"/>
  <c r="H1200" i="25" s="1"/>
  <c r="I1200" i="25"/>
  <c r="I4" i="25"/>
  <c r="G4" i="25"/>
  <c r="H4" i="25" s="1"/>
  <c r="F4" i="25"/>
  <c r="E97" i="25"/>
  <c r="E98" i="25"/>
  <c r="E99" i="25"/>
  <c r="E103" i="25"/>
  <c r="E104" i="25"/>
  <c r="E133" i="25"/>
  <c r="E140" i="25"/>
  <c r="E229" i="25"/>
  <c r="E331" i="25"/>
  <c r="E332" i="25"/>
  <c r="E333" i="25"/>
  <c r="E334" i="25"/>
  <c r="E335" i="25"/>
  <c r="E336" i="25"/>
  <c r="E337" i="25"/>
  <c r="E338" i="25"/>
  <c r="E339" i="25"/>
  <c r="E340" i="25"/>
  <c r="E341" i="25"/>
  <c r="E342" i="25"/>
  <c r="E343" i="25"/>
  <c r="E344" i="25"/>
  <c r="E345" i="25"/>
  <c r="E346" i="25"/>
  <c r="E347" i="25"/>
  <c r="E348" i="25"/>
  <c r="E349" i="25"/>
  <c r="E350" i="25"/>
  <c r="E351" i="25"/>
  <c r="E352" i="25"/>
  <c r="E353" i="25"/>
  <c r="E354" i="25"/>
  <c r="E355" i="25"/>
  <c r="E356" i="25"/>
  <c r="E357" i="25"/>
  <c r="E358" i="25"/>
  <c r="E359" i="25"/>
  <c r="E360" i="25"/>
  <c r="E361" i="25"/>
  <c r="E362" i="25"/>
  <c r="E363" i="25"/>
  <c r="E364" i="25"/>
  <c r="E365" i="25"/>
  <c r="E366" i="25"/>
  <c r="E367" i="25"/>
  <c r="E368" i="25"/>
  <c r="E369" i="25"/>
  <c r="E370" i="25"/>
  <c r="E371" i="25"/>
  <c r="E372" i="25"/>
  <c r="E373" i="25"/>
  <c r="E374" i="25"/>
  <c r="E375" i="25"/>
  <c r="E376" i="25"/>
  <c r="E377" i="25"/>
  <c r="E378" i="25"/>
  <c r="E379" i="25"/>
  <c r="E380" i="25"/>
  <c r="E381" i="25"/>
  <c r="E382" i="25"/>
  <c r="E383" i="25"/>
  <c r="E384" i="25"/>
  <c r="E385" i="25"/>
  <c r="E386" i="25"/>
  <c r="E387" i="25"/>
  <c r="E388" i="25"/>
  <c r="E389" i="25"/>
  <c r="E390" i="25"/>
  <c r="E391" i="25"/>
  <c r="E392" i="25"/>
  <c r="E393" i="25"/>
  <c r="E394" i="25"/>
  <c r="E395" i="25"/>
  <c r="E396" i="25"/>
  <c r="E397" i="25"/>
  <c r="E398" i="25"/>
  <c r="E399" i="25"/>
  <c r="E400" i="25"/>
  <c r="E401" i="25"/>
  <c r="E402" i="25"/>
  <c r="E403" i="25"/>
  <c r="E404" i="25"/>
  <c r="E405" i="25"/>
  <c r="E406" i="25"/>
  <c r="E407" i="25"/>
  <c r="E408" i="25"/>
  <c r="E409" i="25"/>
  <c r="E410" i="25"/>
  <c r="E411" i="25"/>
  <c r="E412" i="25"/>
  <c r="E413" i="25"/>
  <c r="E414" i="25"/>
  <c r="E415" i="25"/>
  <c r="E416" i="25"/>
  <c r="E417" i="25"/>
  <c r="E418" i="25"/>
  <c r="E419" i="25"/>
  <c r="E420" i="25"/>
  <c r="E421" i="25"/>
  <c r="E422" i="25"/>
  <c r="E423" i="25"/>
  <c r="E424" i="25"/>
  <c r="E425" i="25"/>
  <c r="E426" i="25"/>
  <c r="E427" i="25"/>
  <c r="E428" i="25"/>
  <c r="E429" i="25"/>
  <c r="E430" i="25"/>
  <c r="E431" i="25"/>
  <c r="E432" i="25"/>
  <c r="E433" i="25"/>
  <c r="E434" i="25"/>
  <c r="E435" i="25"/>
  <c r="E436" i="25"/>
  <c r="E437" i="25"/>
  <c r="E438" i="25"/>
  <c r="E439" i="25"/>
  <c r="E440" i="25"/>
  <c r="E441" i="25"/>
  <c r="E442" i="25"/>
  <c r="E443" i="25"/>
  <c r="E444" i="25"/>
  <c r="E445" i="25"/>
  <c r="E446" i="25"/>
  <c r="E447" i="25"/>
  <c r="E448" i="25"/>
  <c r="E449" i="25"/>
  <c r="E450" i="25"/>
  <c r="E451" i="25"/>
  <c r="E452" i="25"/>
  <c r="E453" i="25"/>
  <c r="E454" i="25"/>
  <c r="E455" i="25"/>
  <c r="E456" i="25"/>
  <c r="E457" i="25"/>
  <c r="E458" i="25"/>
  <c r="E459" i="25"/>
  <c r="E460" i="25"/>
  <c r="E461" i="25"/>
  <c r="E462" i="25"/>
  <c r="E463" i="25"/>
  <c r="E464" i="25"/>
  <c r="E465" i="25"/>
  <c r="E466" i="25"/>
  <c r="E467" i="25"/>
  <c r="E468" i="25"/>
  <c r="E469" i="25"/>
  <c r="E470" i="25"/>
  <c r="E471" i="25"/>
  <c r="E472" i="25"/>
  <c r="E473" i="25"/>
  <c r="E474" i="25"/>
  <c r="E475" i="25"/>
  <c r="E476" i="25"/>
  <c r="E477" i="25"/>
  <c r="E478" i="25"/>
  <c r="E479" i="25"/>
  <c r="E480" i="25"/>
  <c r="E481" i="25"/>
  <c r="E482" i="25"/>
  <c r="E483" i="25"/>
  <c r="E484" i="25"/>
  <c r="E485" i="25"/>
  <c r="E486" i="25"/>
  <c r="E487" i="25"/>
  <c r="E488" i="25"/>
  <c r="E489" i="25"/>
  <c r="E490" i="25"/>
  <c r="E491" i="25"/>
  <c r="E492" i="25"/>
  <c r="E493" i="25"/>
  <c r="E494" i="25"/>
  <c r="E495" i="25"/>
  <c r="E496" i="25"/>
  <c r="E497" i="25"/>
  <c r="E498" i="25"/>
  <c r="E499" i="25"/>
  <c r="E500" i="25"/>
  <c r="E501" i="25"/>
  <c r="E502" i="25"/>
  <c r="E503" i="25"/>
  <c r="E504" i="25"/>
  <c r="E505" i="25"/>
  <c r="E506" i="25"/>
  <c r="E507" i="25"/>
  <c r="E508" i="25"/>
  <c r="E509" i="25"/>
  <c r="E510" i="25"/>
  <c r="E511" i="25"/>
  <c r="E512" i="25"/>
  <c r="E513" i="25"/>
  <c r="E514" i="25"/>
  <c r="E515" i="25"/>
  <c r="E516" i="25"/>
  <c r="E517" i="25"/>
  <c r="E518" i="25"/>
  <c r="E519" i="25"/>
  <c r="E520" i="25"/>
  <c r="E521" i="25"/>
  <c r="E522" i="25"/>
  <c r="E523" i="25"/>
  <c r="E524" i="25"/>
  <c r="E525" i="25"/>
  <c r="E526" i="25"/>
  <c r="E527" i="25"/>
  <c r="E528" i="25"/>
  <c r="E529" i="25"/>
  <c r="E530" i="25"/>
  <c r="E531" i="25"/>
  <c r="E532" i="25"/>
  <c r="E533" i="25"/>
  <c r="E534" i="25"/>
  <c r="E535" i="25"/>
  <c r="E536" i="25"/>
  <c r="E537" i="25"/>
  <c r="E538" i="25"/>
  <c r="E539" i="25"/>
  <c r="E540" i="25"/>
  <c r="E541" i="25"/>
  <c r="E542" i="25"/>
  <c r="E543" i="25"/>
  <c r="E544" i="25"/>
  <c r="E545" i="25"/>
  <c r="E546" i="25"/>
  <c r="E547" i="25"/>
  <c r="E548" i="25"/>
  <c r="E549" i="25"/>
  <c r="E550" i="25"/>
  <c r="E551" i="25"/>
  <c r="E552" i="25"/>
  <c r="E553" i="25"/>
  <c r="E554" i="25"/>
  <c r="E555" i="25"/>
  <c r="E556" i="25"/>
  <c r="E557" i="25"/>
  <c r="E558" i="25"/>
  <c r="E559" i="25"/>
  <c r="E560" i="25"/>
  <c r="E561" i="25"/>
  <c r="E562" i="25"/>
  <c r="E563" i="25"/>
  <c r="E564" i="25"/>
  <c r="E565" i="25"/>
  <c r="E566" i="25"/>
  <c r="E567" i="25"/>
  <c r="E568" i="25"/>
  <c r="E569" i="25"/>
  <c r="E570" i="25"/>
  <c r="E571" i="25"/>
  <c r="E572" i="25"/>
  <c r="E573" i="25"/>
  <c r="E574" i="25"/>
  <c r="E575" i="25"/>
  <c r="E576" i="25"/>
  <c r="E577" i="25"/>
  <c r="E578" i="25"/>
  <c r="E579" i="25"/>
  <c r="E580" i="25"/>
  <c r="E581" i="25"/>
  <c r="E582" i="25"/>
  <c r="E583" i="25"/>
  <c r="E584" i="25"/>
  <c r="E585" i="25"/>
  <c r="E586" i="25"/>
  <c r="E587" i="25"/>
  <c r="E588" i="25"/>
  <c r="E589" i="25"/>
  <c r="E590" i="25"/>
  <c r="E591" i="25"/>
  <c r="E592" i="25"/>
  <c r="E593" i="25"/>
  <c r="E594" i="25"/>
  <c r="E595" i="25"/>
  <c r="E596" i="25"/>
  <c r="E597" i="25"/>
  <c r="E598" i="25"/>
  <c r="E599" i="25"/>
  <c r="E600" i="25"/>
  <c r="E601" i="25"/>
  <c r="E602" i="25"/>
  <c r="E603" i="25"/>
  <c r="E604" i="25"/>
  <c r="E605" i="25"/>
  <c r="E606" i="25"/>
  <c r="E607" i="25"/>
  <c r="E608" i="25"/>
  <c r="E609" i="25"/>
  <c r="E610" i="25"/>
  <c r="E611" i="25"/>
  <c r="E612" i="25"/>
  <c r="E613" i="25"/>
  <c r="E614" i="25"/>
  <c r="E615" i="25"/>
  <c r="E616" i="25"/>
  <c r="E617" i="25"/>
  <c r="E618" i="25"/>
  <c r="E619" i="25"/>
  <c r="E620" i="25"/>
  <c r="E621" i="25"/>
  <c r="E622" i="25"/>
  <c r="E623" i="25"/>
  <c r="E624" i="25"/>
  <c r="E625" i="25"/>
  <c r="E626" i="25"/>
  <c r="E627" i="25"/>
  <c r="E628" i="25"/>
  <c r="E629" i="25"/>
  <c r="E630" i="25"/>
  <c r="E631" i="25"/>
  <c r="E632" i="25"/>
  <c r="E633" i="25"/>
  <c r="E634" i="25"/>
  <c r="E635" i="25"/>
  <c r="E636" i="25"/>
  <c r="E637" i="25"/>
  <c r="E638" i="25"/>
  <c r="E639" i="25"/>
  <c r="E640" i="25"/>
  <c r="E641" i="25"/>
  <c r="E642" i="25"/>
  <c r="E643" i="25"/>
  <c r="E644" i="25"/>
  <c r="E645" i="25"/>
  <c r="E646" i="25"/>
  <c r="E647" i="25"/>
  <c r="E648" i="25"/>
  <c r="E649" i="25"/>
  <c r="E650" i="25"/>
  <c r="E651" i="25"/>
  <c r="E652" i="25"/>
  <c r="E653" i="25"/>
  <c r="E654" i="25"/>
  <c r="E655" i="25"/>
  <c r="E656" i="25"/>
  <c r="E657" i="25"/>
  <c r="E658" i="25"/>
  <c r="E659" i="25"/>
  <c r="E660" i="25"/>
  <c r="E661" i="25"/>
  <c r="E662" i="25"/>
  <c r="E663" i="25"/>
  <c r="E664" i="25"/>
  <c r="E665" i="25"/>
  <c r="E666" i="25"/>
  <c r="E667" i="25"/>
  <c r="E668" i="25"/>
  <c r="E669" i="25"/>
  <c r="E670" i="25"/>
  <c r="E671" i="25"/>
  <c r="E672" i="25"/>
  <c r="E673" i="25"/>
  <c r="E674" i="25"/>
  <c r="E675" i="25"/>
  <c r="E676" i="25"/>
  <c r="E677" i="25"/>
  <c r="E678" i="25"/>
  <c r="E679" i="25"/>
  <c r="E680" i="25"/>
  <c r="E681" i="25"/>
  <c r="E682" i="25"/>
  <c r="E683" i="25"/>
  <c r="E684" i="25"/>
  <c r="E685" i="25"/>
  <c r="E686" i="25"/>
  <c r="E687" i="25"/>
  <c r="E688" i="25"/>
  <c r="E689" i="25"/>
  <c r="E690" i="25"/>
  <c r="E691" i="25"/>
  <c r="E692" i="25"/>
  <c r="E693" i="25"/>
  <c r="E694" i="25"/>
  <c r="E695" i="25"/>
  <c r="E696" i="25"/>
  <c r="E697" i="25"/>
  <c r="E698" i="25"/>
  <c r="E699" i="25"/>
  <c r="E700" i="25"/>
  <c r="E701" i="25"/>
  <c r="E702" i="25"/>
  <c r="E703" i="25"/>
  <c r="E704" i="25"/>
  <c r="E705" i="25"/>
  <c r="E706" i="25"/>
  <c r="E707" i="25"/>
  <c r="E708" i="25"/>
  <c r="E709" i="25"/>
  <c r="E710" i="25"/>
  <c r="E711" i="25"/>
  <c r="E712" i="25"/>
  <c r="E713" i="25"/>
  <c r="E714" i="25"/>
  <c r="E715" i="25"/>
  <c r="E716" i="25"/>
  <c r="E717" i="25"/>
  <c r="E718" i="25"/>
  <c r="E719" i="25"/>
  <c r="E720" i="25"/>
  <c r="E721" i="25"/>
  <c r="E722" i="25"/>
  <c r="E723" i="25"/>
  <c r="E724" i="25"/>
  <c r="E725" i="25"/>
  <c r="E726" i="25"/>
  <c r="E727" i="25"/>
  <c r="E728" i="25"/>
  <c r="E729" i="25"/>
  <c r="E730" i="25"/>
  <c r="E731" i="25"/>
  <c r="E732" i="25"/>
  <c r="E733" i="25"/>
  <c r="E734" i="25"/>
  <c r="E735" i="25"/>
  <c r="E736" i="25"/>
  <c r="E737" i="25"/>
  <c r="E738" i="25"/>
  <c r="E739" i="25"/>
  <c r="E740" i="25"/>
  <c r="E741" i="25"/>
  <c r="E742" i="25"/>
  <c r="E743" i="25"/>
  <c r="E744" i="25"/>
  <c r="E745" i="25"/>
  <c r="E746" i="25"/>
  <c r="E747" i="25"/>
  <c r="E748" i="25"/>
  <c r="E749" i="25"/>
  <c r="E750" i="25"/>
  <c r="E751" i="25"/>
  <c r="E752" i="25"/>
  <c r="E753" i="25"/>
  <c r="E754" i="25"/>
  <c r="E755" i="25"/>
  <c r="E756" i="25"/>
  <c r="E757" i="25"/>
  <c r="E758" i="25"/>
  <c r="E759" i="25"/>
  <c r="E760" i="25"/>
  <c r="E761" i="25"/>
  <c r="E762" i="25"/>
  <c r="E763" i="25"/>
  <c r="E764" i="25"/>
  <c r="E765" i="25"/>
  <c r="E766" i="25"/>
  <c r="E767" i="25"/>
  <c r="E768" i="25"/>
  <c r="E769" i="25"/>
  <c r="E770" i="25"/>
  <c r="E771" i="25"/>
  <c r="E772" i="25"/>
  <c r="E773" i="25"/>
  <c r="E774" i="25"/>
  <c r="E775" i="25"/>
  <c r="E776" i="25"/>
  <c r="E777" i="25"/>
  <c r="E778" i="25"/>
  <c r="E779" i="25"/>
  <c r="E780" i="25"/>
  <c r="E781" i="25"/>
  <c r="E782" i="25"/>
  <c r="E783" i="25"/>
  <c r="E784" i="25"/>
  <c r="E785" i="25"/>
  <c r="E786" i="25"/>
  <c r="E787" i="25"/>
  <c r="E788" i="25"/>
  <c r="E789" i="25"/>
  <c r="E790" i="25"/>
  <c r="E791" i="25"/>
  <c r="E792" i="25"/>
  <c r="E793" i="25"/>
  <c r="E794" i="25"/>
  <c r="E795" i="25"/>
  <c r="E796" i="25"/>
  <c r="E797" i="25"/>
  <c r="E798" i="25"/>
  <c r="E799" i="25"/>
  <c r="E800" i="25"/>
  <c r="E801" i="25"/>
  <c r="E802" i="25"/>
  <c r="E803" i="25"/>
  <c r="E804" i="25"/>
  <c r="E805" i="25"/>
  <c r="E806" i="25"/>
  <c r="E807" i="25"/>
  <c r="E808" i="25"/>
  <c r="E809" i="25"/>
  <c r="E810" i="25"/>
  <c r="E811" i="25"/>
  <c r="E812" i="25"/>
  <c r="E813" i="25"/>
  <c r="E814" i="25"/>
  <c r="E815" i="25"/>
  <c r="E816" i="25"/>
  <c r="E817" i="25"/>
  <c r="E818" i="25"/>
  <c r="E819" i="25"/>
  <c r="E820" i="25"/>
  <c r="E821" i="25"/>
  <c r="E822" i="25"/>
  <c r="E823" i="25"/>
  <c r="E824" i="25"/>
  <c r="E825" i="25"/>
  <c r="E826" i="25"/>
  <c r="E827" i="25"/>
  <c r="E828" i="25"/>
  <c r="E829" i="25"/>
  <c r="E830" i="25"/>
  <c r="E831" i="25"/>
  <c r="E832" i="25"/>
  <c r="E833" i="25"/>
  <c r="E834" i="25"/>
  <c r="E835" i="25"/>
  <c r="E836" i="25"/>
  <c r="E837" i="25"/>
  <c r="E838" i="25"/>
  <c r="E839" i="25"/>
  <c r="E840" i="25"/>
  <c r="E841" i="25"/>
  <c r="E842" i="25"/>
  <c r="E843" i="25"/>
  <c r="E844" i="25"/>
  <c r="E845" i="25"/>
  <c r="E846" i="25"/>
  <c r="E847" i="25"/>
  <c r="E848" i="25"/>
  <c r="E849" i="25"/>
  <c r="E850" i="25"/>
  <c r="E851" i="25"/>
  <c r="E852" i="25"/>
  <c r="E853" i="25"/>
  <c r="E854" i="25"/>
  <c r="E855" i="25"/>
  <c r="E856" i="25"/>
  <c r="E857" i="25"/>
  <c r="E858" i="25"/>
  <c r="E859" i="25"/>
  <c r="E860" i="25"/>
  <c r="E861" i="25"/>
  <c r="E862" i="25"/>
  <c r="E863" i="25"/>
  <c r="E864" i="25"/>
  <c r="E865" i="25"/>
  <c r="E866" i="25"/>
  <c r="E867" i="25"/>
  <c r="E868" i="25"/>
  <c r="E869" i="25"/>
  <c r="E870" i="25"/>
  <c r="E871" i="25"/>
  <c r="E872" i="25"/>
  <c r="E873" i="25"/>
  <c r="E874" i="25"/>
  <c r="E875" i="25"/>
  <c r="E876" i="25"/>
  <c r="E877" i="25"/>
  <c r="E878" i="25"/>
  <c r="E879" i="25"/>
  <c r="E880" i="25"/>
  <c r="E881" i="25"/>
  <c r="E882" i="25"/>
  <c r="E883" i="25"/>
  <c r="E884" i="25"/>
  <c r="E885" i="25"/>
  <c r="E886" i="25"/>
  <c r="E887" i="25"/>
  <c r="E888" i="25"/>
  <c r="E889" i="25"/>
  <c r="E890" i="25"/>
  <c r="E891" i="25"/>
  <c r="E892" i="25"/>
  <c r="E893" i="25"/>
  <c r="E894" i="25"/>
  <c r="E895" i="25"/>
  <c r="E896" i="25"/>
  <c r="E897" i="25"/>
  <c r="E898" i="25"/>
  <c r="E899" i="25"/>
  <c r="E900" i="25"/>
  <c r="E901" i="25"/>
  <c r="E902" i="25"/>
  <c r="E903" i="25"/>
  <c r="E904" i="25"/>
  <c r="E905" i="25"/>
  <c r="E906" i="25"/>
  <c r="E907" i="25"/>
  <c r="E908" i="25"/>
  <c r="E909" i="25"/>
  <c r="E910" i="25"/>
  <c r="E911" i="25"/>
  <c r="E912" i="25"/>
  <c r="E913" i="25"/>
  <c r="E914" i="25"/>
  <c r="E915" i="25"/>
  <c r="E916" i="25"/>
  <c r="E917" i="25"/>
  <c r="E918" i="25"/>
  <c r="E919" i="25"/>
  <c r="E920" i="25"/>
  <c r="E921" i="25"/>
  <c r="E922" i="25"/>
  <c r="E923" i="25"/>
  <c r="E924" i="25"/>
  <c r="E925" i="25"/>
  <c r="E926" i="25"/>
  <c r="E927" i="25"/>
  <c r="E928" i="25"/>
  <c r="E929" i="25"/>
  <c r="E930" i="25"/>
  <c r="E931" i="25"/>
  <c r="E932" i="25"/>
  <c r="E933" i="25"/>
  <c r="E934" i="25"/>
  <c r="E935" i="25"/>
  <c r="E936" i="25"/>
  <c r="E937" i="25"/>
  <c r="E938" i="25"/>
  <c r="E939" i="25"/>
  <c r="E940" i="25"/>
  <c r="E941" i="25"/>
  <c r="E942" i="25"/>
  <c r="E943" i="25"/>
  <c r="E944" i="25"/>
  <c r="E945" i="25"/>
  <c r="E946" i="25"/>
  <c r="E947" i="25"/>
  <c r="E948" i="25"/>
  <c r="E949" i="25"/>
  <c r="E950" i="25"/>
  <c r="E951" i="25"/>
  <c r="E952" i="25"/>
  <c r="E953" i="25"/>
  <c r="E954" i="25"/>
  <c r="E955" i="25"/>
  <c r="E956" i="25"/>
  <c r="E957" i="25"/>
  <c r="E958" i="25"/>
  <c r="E959" i="25"/>
  <c r="E960" i="25"/>
  <c r="E961" i="25"/>
  <c r="E962" i="25"/>
  <c r="E963" i="25"/>
  <c r="E964" i="25"/>
  <c r="E965" i="25"/>
  <c r="E966" i="25"/>
  <c r="E967" i="25"/>
  <c r="E968" i="25"/>
  <c r="E969" i="25"/>
  <c r="E970" i="25"/>
  <c r="E971" i="25"/>
  <c r="E972" i="25"/>
  <c r="E973" i="25"/>
  <c r="E974" i="25"/>
  <c r="E975" i="25"/>
  <c r="E976" i="25"/>
  <c r="E977" i="25"/>
  <c r="E978" i="25"/>
  <c r="E979" i="25"/>
  <c r="E980" i="25"/>
  <c r="E981" i="25"/>
  <c r="E982" i="25"/>
  <c r="E983" i="25"/>
  <c r="E984" i="25"/>
  <c r="E985" i="25"/>
  <c r="E986" i="25"/>
  <c r="E987" i="25"/>
  <c r="E988" i="25"/>
  <c r="E989" i="25"/>
  <c r="E990" i="25"/>
  <c r="E991" i="25"/>
  <c r="E992" i="25"/>
  <c r="E993" i="25"/>
  <c r="E994" i="25"/>
  <c r="E995" i="25"/>
  <c r="E996" i="25"/>
  <c r="E997" i="25"/>
  <c r="E998" i="25"/>
  <c r="E999" i="25"/>
  <c r="E1000" i="25"/>
  <c r="E1001" i="25"/>
  <c r="E1002" i="25"/>
  <c r="E1003" i="25"/>
  <c r="E1004" i="25"/>
  <c r="E1005" i="25"/>
  <c r="E1006" i="25"/>
  <c r="E1007" i="25"/>
  <c r="E1008" i="25"/>
  <c r="E1009" i="25"/>
  <c r="E1010" i="25"/>
  <c r="E1011" i="25"/>
  <c r="E1012" i="25"/>
  <c r="E1013" i="25"/>
  <c r="E1014" i="25"/>
  <c r="E1015" i="25"/>
  <c r="E1016" i="25"/>
  <c r="E1017" i="25"/>
  <c r="E1018" i="25"/>
  <c r="E1019" i="25"/>
  <c r="E1020" i="25"/>
  <c r="E1021" i="25"/>
  <c r="E1022" i="25"/>
  <c r="E1023" i="25"/>
  <c r="E1024" i="25"/>
  <c r="E1025" i="25"/>
  <c r="E1026" i="25"/>
  <c r="E1027" i="25"/>
  <c r="E1028" i="25"/>
  <c r="E1029" i="25"/>
  <c r="E1030" i="25"/>
  <c r="E1031" i="25"/>
  <c r="E1032" i="25"/>
  <c r="E1033" i="25"/>
  <c r="E1034" i="25"/>
  <c r="E1035" i="25"/>
  <c r="E1036" i="25"/>
  <c r="E1037" i="25"/>
  <c r="E1038" i="25"/>
  <c r="E1039" i="25"/>
  <c r="E1040" i="25"/>
  <c r="E1041" i="25"/>
  <c r="E1042" i="25"/>
  <c r="E1043" i="25"/>
  <c r="E1044" i="25"/>
  <c r="E1045" i="25"/>
  <c r="E1046" i="25"/>
  <c r="E1047" i="25"/>
  <c r="E1048" i="25"/>
  <c r="E1049" i="25"/>
  <c r="E1050" i="25"/>
  <c r="E1051" i="25"/>
  <c r="E1052" i="25"/>
  <c r="E1053" i="25"/>
  <c r="E1054" i="25"/>
  <c r="E1055" i="25"/>
  <c r="E1056" i="25"/>
  <c r="E1057" i="25"/>
  <c r="E1058" i="25"/>
  <c r="E1059" i="25"/>
  <c r="E1060" i="25"/>
  <c r="E1061" i="25"/>
  <c r="E1062" i="25"/>
  <c r="E1063" i="25"/>
  <c r="E1064" i="25"/>
  <c r="E1065" i="25"/>
  <c r="E1066" i="25"/>
  <c r="E1067" i="25"/>
  <c r="E1068" i="25"/>
  <c r="E1069" i="25"/>
  <c r="E1070" i="25"/>
  <c r="E1071" i="25"/>
  <c r="E1072" i="25"/>
  <c r="E1073" i="25"/>
  <c r="E1074" i="25"/>
  <c r="E1075" i="25"/>
  <c r="E1076" i="25"/>
  <c r="E1077" i="25"/>
  <c r="E1078" i="25"/>
  <c r="E1079" i="25"/>
  <c r="E1080" i="25"/>
  <c r="E1081" i="25"/>
  <c r="E1082" i="25"/>
  <c r="E1083" i="25"/>
  <c r="E1084" i="25"/>
  <c r="E1085" i="25"/>
  <c r="E1086" i="25"/>
  <c r="E1087" i="25"/>
  <c r="E1088" i="25"/>
  <c r="E1089" i="25"/>
  <c r="E1090" i="25"/>
  <c r="E1091" i="25"/>
  <c r="E1092" i="25"/>
  <c r="E1093" i="25"/>
  <c r="E1094" i="25"/>
  <c r="E1095" i="25"/>
  <c r="E1096" i="25"/>
  <c r="E1097" i="25"/>
  <c r="E1098" i="25"/>
  <c r="E1099" i="25"/>
  <c r="E1100" i="25"/>
  <c r="E1101" i="25"/>
  <c r="E1102" i="25"/>
  <c r="E1103" i="25"/>
  <c r="E1104" i="25"/>
  <c r="E1105" i="25"/>
  <c r="E1106" i="25"/>
  <c r="E1107" i="25"/>
  <c r="E1108" i="25"/>
  <c r="E1109" i="25"/>
  <c r="E1110" i="25"/>
  <c r="E1111" i="25"/>
  <c r="E1112" i="25"/>
  <c r="E1113" i="25"/>
  <c r="E1114" i="25"/>
  <c r="E1115" i="25"/>
  <c r="E1116" i="25"/>
  <c r="E1117" i="25"/>
  <c r="E1118" i="25"/>
  <c r="E1119" i="25"/>
  <c r="E1120" i="25"/>
  <c r="E1121" i="25"/>
  <c r="E1122" i="25"/>
  <c r="E1123" i="25"/>
  <c r="E1124" i="25"/>
  <c r="E1125" i="25"/>
  <c r="E1126" i="25"/>
  <c r="E1127" i="25"/>
  <c r="E1128" i="25"/>
  <c r="E1129" i="25"/>
  <c r="E1130" i="25"/>
  <c r="E1131" i="25"/>
  <c r="E1132" i="25"/>
  <c r="E1133" i="25"/>
  <c r="E1134" i="25"/>
  <c r="E1135" i="25"/>
  <c r="E1136" i="25"/>
  <c r="E1137" i="25"/>
  <c r="E1138" i="25"/>
  <c r="E1139" i="25"/>
  <c r="E1140" i="25"/>
  <c r="E1141" i="25"/>
  <c r="E1142" i="25"/>
  <c r="E1143" i="25"/>
  <c r="E1144" i="25"/>
  <c r="E1145" i="25"/>
  <c r="E1146" i="25"/>
  <c r="E1147" i="25"/>
  <c r="E1148" i="25"/>
  <c r="E1149" i="25"/>
  <c r="E1150" i="25"/>
  <c r="E1151" i="25"/>
  <c r="E1152" i="25"/>
  <c r="E1153" i="25"/>
  <c r="E1154" i="25"/>
  <c r="E1155" i="25"/>
  <c r="E1156" i="25"/>
  <c r="E1157" i="25"/>
  <c r="E1158" i="25"/>
  <c r="E1159" i="25"/>
  <c r="E1160" i="25"/>
  <c r="E1161" i="25"/>
  <c r="E1162" i="25"/>
  <c r="E1163" i="25"/>
  <c r="E1164" i="25"/>
  <c r="E1165" i="25"/>
  <c r="E1166" i="25"/>
  <c r="E1167" i="25"/>
  <c r="E1168" i="25"/>
  <c r="E1169" i="25"/>
  <c r="E1170" i="25"/>
  <c r="E1171" i="25"/>
  <c r="E1172" i="25"/>
  <c r="E1173" i="25"/>
  <c r="E1174" i="25"/>
  <c r="E1175" i="25"/>
  <c r="E1176" i="25"/>
  <c r="E1177" i="25"/>
  <c r="E1178" i="25"/>
  <c r="E1179" i="25"/>
  <c r="E1180" i="25"/>
  <c r="E1181" i="25"/>
  <c r="E1182" i="25"/>
  <c r="E1183" i="25"/>
  <c r="E1184" i="25"/>
  <c r="E1185" i="25"/>
  <c r="E1186" i="25"/>
  <c r="E1187" i="25"/>
  <c r="E1188" i="25"/>
  <c r="E1189" i="25"/>
  <c r="E1190" i="25"/>
  <c r="E1191" i="25"/>
  <c r="E1192" i="25"/>
  <c r="E1193" i="25"/>
  <c r="E1194" i="25"/>
  <c r="E1195" i="25"/>
  <c r="E1196" i="25"/>
  <c r="E1197" i="25"/>
  <c r="E1198" i="25"/>
  <c r="E1199" i="25"/>
  <c r="E1200" i="25"/>
  <c r="C9" i="25"/>
  <c r="D9" i="25"/>
  <c r="C10" i="25"/>
  <c r="D10" i="25"/>
  <c r="C11" i="25"/>
  <c r="D11" i="25"/>
  <c r="C12" i="25"/>
  <c r="D12" i="25"/>
  <c r="C13" i="25"/>
  <c r="D13" i="25"/>
  <c r="C14" i="25"/>
  <c r="D14" i="25"/>
  <c r="C15" i="25"/>
  <c r="D15" i="25"/>
  <c r="C16" i="25"/>
  <c r="D16" i="25"/>
  <c r="C17" i="25"/>
  <c r="D17" i="25"/>
  <c r="C18" i="25"/>
  <c r="D18" i="25"/>
  <c r="C19" i="25"/>
  <c r="D19" i="25"/>
  <c r="C20" i="25"/>
  <c r="D20" i="25"/>
  <c r="C21" i="25"/>
  <c r="D21" i="25"/>
  <c r="C22" i="25"/>
  <c r="D22" i="25"/>
  <c r="C23" i="25"/>
  <c r="D23" i="25"/>
  <c r="C24" i="25"/>
  <c r="D24" i="25"/>
  <c r="C25" i="25"/>
  <c r="D25" i="25"/>
  <c r="C26" i="25"/>
  <c r="D26" i="25"/>
  <c r="C27" i="25"/>
  <c r="D27" i="25"/>
  <c r="C28" i="25"/>
  <c r="D28" i="25"/>
  <c r="C29" i="25"/>
  <c r="D29" i="25"/>
  <c r="C30" i="25"/>
  <c r="D30" i="25"/>
  <c r="C31" i="25"/>
  <c r="D31" i="25"/>
  <c r="C32" i="25"/>
  <c r="D32" i="25"/>
  <c r="C33" i="25"/>
  <c r="D33" i="25"/>
  <c r="C34" i="25"/>
  <c r="D34" i="25"/>
  <c r="C35" i="25"/>
  <c r="D35" i="25"/>
  <c r="C36" i="25"/>
  <c r="D36" i="25"/>
  <c r="C37" i="25"/>
  <c r="D37" i="25"/>
  <c r="C38" i="25"/>
  <c r="D38" i="25"/>
  <c r="C39" i="25"/>
  <c r="D39" i="25"/>
  <c r="C40" i="25"/>
  <c r="D40" i="25"/>
  <c r="C41" i="25"/>
  <c r="D41" i="25"/>
  <c r="C42" i="25"/>
  <c r="D42" i="25"/>
  <c r="C43" i="25"/>
  <c r="D43" i="25"/>
  <c r="C44" i="25"/>
  <c r="D44" i="25"/>
  <c r="C45" i="25"/>
  <c r="D45" i="25"/>
  <c r="C46" i="25"/>
  <c r="D46" i="25"/>
  <c r="C47" i="25"/>
  <c r="D47" i="25"/>
  <c r="C48" i="25"/>
  <c r="D48" i="25"/>
  <c r="C49" i="25"/>
  <c r="D49" i="25"/>
  <c r="C50" i="25"/>
  <c r="D50" i="25"/>
  <c r="C51" i="25"/>
  <c r="D51" i="25"/>
  <c r="C52" i="25"/>
  <c r="D52" i="25"/>
  <c r="C53" i="25"/>
  <c r="D53" i="25"/>
  <c r="C54" i="25"/>
  <c r="D54" i="25"/>
  <c r="C55" i="25"/>
  <c r="D55" i="25"/>
  <c r="C56" i="25"/>
  <c r="D56" i="25"/>
  <c r="C57" i="25"/>
  <c r="D57" i="25"/>
  <c r="C58" i="25"/>
  <c r="D58" i="25"/>
  <c r="C59" i="25"/>
  <c r="D59" i="25"/>
  <c r="C60" i="25"/>
  <c r="D60" i="25"/>
  <c r="C61" i="25"/>
  <c r="D61" i="25"/>
  <c r="C62" i="25"/>
  <c r="D62" i="25"/>
  <c r="C63" i="25"/>
  <c r="D63" i="25"/>
  <c r="C64" i="25"/>
  <c r="D64" i="25"/>
  <c r="C65" i="25"/>
  <c r="D65" i="25"/>
  <c r="C66" i="25"/>
  <c r="D66" i="25"/>
  <c r="C67" i="25"/>
  <c r="D67" i="25"/>
  <c r="C68" i="25"/>
  <c r="D68" i="25"/>
  <c r="C69" i="25"/>
  <c r="D69" i="25"/>
  <c r="C70" i="25"/>
  <c r="D70" i="25"/>
  <c r="C71" i="25"/>
  <c r="D71" i="25"/>
  <c r="C72" i="25"/>
  <c r="D72" i="25"/>
  <c r="C73" i="25"/>
  <c r="D73" i="25"/>
  <c r="C74" i="25"/>
  <c r="D74" i="25"/>
  <c r="C75" i="25"/>
  <c r="D75" i="25"/>
  <c r="C76" i="25"/>
  <c r="D76" i="25"/>
  <c r="C77" i="25"/>
  <c r="D77" i="25"/>
  <c r="C78" i="25"/>
  <c r="D78" i="25"/>
  <c r="C79" i="25"/>
  <c r="D79" i="25"/>
  <c r="C80" i="25"/>
  <c r="D80" i="25"/>
  <c r="C81" i="25"/>
  <c r="D81" i="25"/>
  <c r="C82" i="25"/>
  <c r="D82" i="25"/>
  <c r="C83" i="25"/>
  <c r="D83" i="25"/>
  <c r="C84" i="25"/>
  <c r="D84" i="25"/>
  <c r="C85" i="25"/>
  <c r="D85" i="25"/>
  <c r="C86" i="25"/>
  <c r="D86" i="25"/>
  <c r="C87" i="25"/>
  <c r="D87" i="25"/>
  <c r="C88" i="25"/>
  <c r="D88" i="25"/>
  <c r="C89" i="25"/>
  <c r="D89" i="25"/>
  <c r="C90" i="25"/>
  <c r="D90" i="25"/>
  <c r="C91" i="25"/>
  <c r="D91" i="25"/>
  <c r="C92" i="25"/>
  <c r="D92" i="25"/>
  <c r="C93" i="25"/>
  <c r="D93" i="25"/>
  <c r="C94" i="25"/>
  <c r="D94" i="25"/>
  <c r="C95" i="25"/>
  <c r="D95" i="25"/>
  <c r="C96" i="25"/>
  <c r="D96" i="25"/>
  <c r="C97" i="25"/>
  <c r="D97" i="25"/>
  <c r="C98" i="25"/>
  <c r="D98" i="25"/>
  <c r="C99" i="25"/>
  <c r="D99" i="25"/>
  <c r="C100" i="25"/>
  <c r="D100" i="25"/>
  <c r="C101" i="25"/>
  <c r="D101" i="25"/>
  <c r="C102" i="25"/>
  <c r="D102" i="25"/>
  <c r="C103" i="25"/>
  <c r="D103" i="25"/>
  <c r="C104" i="25"/>
  <c r="D104" i="25"/>
  <c r="C105" i="25"/>
  <c r="D105" i="25"/>
  <c r="C106" i="25"/>
  <c r="D106" i="25"/>
  <c r="C107" i="25"/>
  <c r="D107" i="25"/>
  <c r="C108" i="25"/>
  <c r="D108" i="25"/>
  <c r="C109" i="25"/>
  <c r="D109" i="25"/>
  <c r="C110" i="25"/>
  <c r="D110" i="25"/>
  <c r="C111" i="25"/>
  <c r="D111" i="25"/>
  <c r="C112" i="25"/>
  <c r="D112" i="25"/>
  <c r="C113" i="25"/>
  <c r="D113" i="25"/>
  <c r="C114" i="25"/>
  <c r="D114" i="25"/>
  <c r="C115" i="25"/>
  <c r="D115" i="25"/>
  <c r="C116" i="25"/>
  <c r="D116" i="25"/>
  <c r="C117" i="25"/>
  <c r="D117" i="25"/>
  <c r="C118" i="25"/>
  <c r="D118" i="25"/>
  <c r="C119" i="25"/>
  <c r="D119" i="25"/>
  <c r="C120" i="25"/>
  <c r="D120" i="25"/>
  <c r="C121" i="25"/>
  <c r="D121" i="25"/>
  <c r="C122" i="25"/>
  <c r="D122" i="25"/>
  <c r="C123" i="25"/>
  <c r="D123" i="25"/>
  <c r="C124" i="25"/>
  <c r="D124" i="25"/>
  <c r="C125" i="25"/>
  <c r="D125" i="25"/>
  <c r="C126" i="25"/>
  <c r="D126" i="25"/>
  <c r="C127" i="25"/>
  <c r="D127" i="25"/>
  <c r="C128" i="25"/>
  <c r="D128" i="25"/>
  <c r="C129" i="25"/>
  <c r="D129" i="25"/>
  <c r="C130" i="25"/>
  <c r="D130" i="25"/>
  <c r="C131" i="25"/>
  <c r="D131" i="25"/>
  <c r="C132" i="25"/>
  <c r="D132" i="25"/>
  <c r="C133" i="25"/>
  <c r="D133" i="25"/>
  <c r="C134" i="25"/>
  <c r="D134" i="25"/>
  <c r="C135" i="25"/>
  <c r="D135" i="25"/>
  <c r="C136" i="25"/>
  <c r="D136" i="25"/>
  <c r="C137" i="25"/>
  <c r="D137" i="25"/>
  <c r="C138" i="25"/>
  <c r="D138" i="25"/>
  <c r="C139" i="25"/>
  <c r="D139" i="25"/>
  <c r="C140" i="25"/>
  <c r="D140" i="25"/>
  <c r="C141" i="25"/>
  <c r="D141" i="25"/>
  <c r="C142" i="25"/>
  <c r="D142" i="25"/>
  <c r="C143" i="25"/>
  <c r="D143" i="25"/>
  <c r="C144" i="25"/>
  <c r="D144" i="25"/>
  <c r="C145" i="25"/>
  <c r="D145" i="25"/>
  <c r="C146" i="25"/>
  <c r="D146" i="25"/>
  <c r="C147" i="25"/>
  <c r="D147" i="25"/>
  <c r="C148" i="25"/>
  <c r="D148" i="25"/>
  <c r="C149" i="25"/>
  <c r="D149" i="25"/>
  <c r="C150" i="25"/>
  <c r="D150" i="25"/>
  <c r="C151" i="25"/>
  <c r="D151" i="25"/>
  <c r="C152" i="25"/>
  <c r="D152" i="25"/>
  <c r="C153" i="25"/>
  <c r="D153" i="25"/>
  <c r="C154" i="25"/>
  <c r="D154" i="25"/>
  <c r="C155" i="25"/>
  <c r="D155" i="25"/>
  <c r="C156" i="25"/>
  <c r="D156" i="25"/>
  <c r="C157" i="25"/>
  <c r="D157" i="25"/>
  <c r="C158" i="25"/>
  <c r="D158" i="25"/>
  <c r="C159" i="25"/>
  <c r="D159" i="25"/>
  <c r="C160" i="25"/>
  <c r="D160" i="25"/>
  <c r="C161" i="25"/>
  <c r="D161" i="25"/>
  <c r="C162" i="25"/>
  <c r="D162" i="25"/>
  <c r="C163" i="25"/>
  <c r="D163" i="25"/>
  <c r="C164" i="25"/>
  <c r="D164" i="25"/>
  <c r="C165" i="25"/>
  <c r="D165" i="25"/>
  <c r="C166" i="25"/>
  <c r="D166" i="25"/>
  <c r="C167" i="25"/>
  <c r="D167" i="25"/>
  <c r="C168" i="25"/>
  <c r="D168" i="25"/>
  <c r="C169" i="25"/>
  <c r="D169" i="25"/>
  <c r="C170" i="25"/>
  <c r="D170" i="25"/>
  <c r="C171" i="25"/>
  <c r="D171" i="25"/>
  <c r="C172" i="25"/>
  <c r="D172" i="25"/>
  <c r="C173" i="25"/>
  <c r="D173" i="25"/>
  <c r="C174" i="25"/>
  <c r="D174" i="25"/>
  <c r="C175" i="25"/>
  <c r="D175" i="25"/>
  <c r="C176" i="25"/>
  <c r="D176" i="25"/>
  <c r="C177" i="25"/>
  <c r="D177" i="25"/>
  <c r="C178" i="25"/>
  <c r="D178" i="25"/>
  <c r="C179" i="25"/>
  <c r="D179" i="25"/>
  <c r="C180" i="25"/>
  <c r="D180" i="25"/>
  <c r="C181" i="25"/>
  <c r="D181" i="25"/>
  <c r="C182" i="25"/>
  <c r="D182" i="25"/>
  <c r="C183" i="25"/>
  <c r="D183" i="25"/>
  <c r="C184" i="25"/>
  <c r="D184" i="25"/>
  <c r="C185" i="25"/>
  <c r="D185" i="25"/>
  <c r="C186" i="25"/>
  <c r="D186" i="25"/>
  <c r="C187" i="25"/>
  <c r="D187" i="25"/>
  <c r="C188" i="25"/>
  <c r="D188" i="25"/>
  <c r="C189" i="25"/>
  <c r="D189" i="25"/>
  <c r="C190" i="25"/>
  <c r="D190" i="25"/>
  <c r="C191" i="25"/>
  <c r="D191" i="25"/>
  <c r="C192" i="25"/>
  <c r="D192" i="25"/>
  <c r="C193" i="25"/>
  <c r="D193" i="25"/>
  <c r="C194" i="25"/>
  <c r="D194" i="25"/>
  <c r="C195" i="25"/>
  <c r="D195" i="25"/>
  <c r="C196" i="25"/>
  <c r="D196" i="25"/>
  <c r="C197" i="25"/>
  <c r="D197" i="25"/>
  <c r="C198" i="25"/>
  <c r="D198" i="25"/>
  <c r="C199" i="25"/>
  <c r="D199" i="25"/>
  <c r="C200" i="25"/>
  <c r="D200" i="25"/>
  <c r="C201" i="25"/>
  <c r="D201" i="25"/>
  <c r="C202" i="25"/>
  <c r="D202" i="25"/>
  <c r="C203" i="25"/>
  <c r="D203" i="25"/>
  <c r="C204" i="25"/>
  <c r="D204" i="25"/>
  <c r="C205" i="25"/>
  <c r="D205" i="25"/>
  <c r="C206" i="25"/>
  <c r="D206" i="25"/>
  <c r="C207" i="25"/>
  <c r="D207" i="25"/>
  <c r="C208" i="25"/>
  <c r="D208" i="25"/>
  <c r="C209" i="25"/>
  <c r="D209" i="25"/>
  <c r="C210" i="25"/>
  <c r="D210" i="25"/>
  <c r="C211" i="25"/>
  <c r="D211" i="25"/>
  <c r="C212" i="25"/>
  <c r="D212" i="25"/>
  <c r="C213" i="25"/>
  <c r="D213" i="25"/>
  <c r="C214" i="25"/>
  <c r="D214" i="25"/>
  <c r="C215" i="25"/>
  <c r="D215" i="25"/>
  <c r="C216" i="25"/>
  <c r="D216" i="25"/>
  <c r="C217" i="25"/>
  <c r="D217" i="25"/>
  <c r="C218" i="25"/>
  <c r="D218" i="25"/>
  <c r="C219" i="25"/>
  <c r="D219" i="25"/>
  <c r="C220" i="25"/>
  <c r="D220" i="25"/>
  <c r="C221" i="25"/>
  <c r="D221" i="25"/>
  <c r="C222" i="25"/>
  <c r="D222" i="25"/>
  <c r="C223" i="25"/>
  <c r="D223" i="25"/>
  <c r="C224" i="25"/>
  <c r="D224" i="25"/>
  <c r="C225" i="25"/>
  <c r="D225" i="25"/>
  <c r="C226" i="25"/>
  <c r="D226" i="25"/>
  <c r="C227" i="25"/>
  <c r="D227" i="25"/>
  <c r="C228" i="25"/>
  <c r="D228" i="25"/>
  <c r="C229" i="25"/>
  <c r="D229" i="25"/>
  <c r="C230" i="25"/>
  <c r="D230" i="25"/>
  <c r="C231" i="25"/>
  <c r="D231" i="25"/>
  <c r="C232" i="25"/>
  <c r="D232" i="25"/>
  <c r="C233" i="25"/>
  <c r="D233" i="25"/>
  <c r="C234" i="25"/>
  <c r="D234" i="25"/>
  <c r="C235" i="25"/>
  <c r="D235" i="25"/>
  <c r="C236" i="25"/>
  <c r="D236" i="25"/>
  <c r="C237" i="25"/>
  <c r="D237" i="25"/>
  <c r="C238" i="25"/>
  <c r="D238" i="25"/>
  <c r="C239" i="25"/>
  <c r="D239" i="25"/>
  <c r="C240" i="25"/>
  <c r="D240" i="25"/>
  <c r="C241" i="25"/>
  <c r="D241" i="25"/>
  <c r="C242" i="25"/>
  <c r="D242" i="25"/>
  <c r="C243" i="25"/>
  <c r="D243" i="25"/>
  <c r="C244" i="25"/>
  <c r="D244" i="25"/>
  <c r="C245" i="25"/>
  <c r="D245" i="25"/>
  <c r="C246" i="25"/>
  <c r="D246" i="25"/>
  <c r="C247" i="25"/>
  <c r="D247" i="25"/>
  <c r="C248" i="25"/>
  <c r="D248" i="25"/>
  <c r="C249" i="25"/>
  <c r="D249" i="25"/>
  <c r="C250" i="25"/>
  <c r="D250" i="25"/>
  <c r="C251" i="25"/>
  <c r="D251" i="25"/>
  <c r="C252" i="25"/>
  <c r="D252" i="25"/>
  <c r="C253" i="25"/>
  <c r="D253" i="25"/>
  <c r="C254" i="25"/>
  <c r="D254" i="25"/>
  <c r="C255" i="25"/>
  <c r="D255" i="25"/>
  <c r="C256" i="25"/>
  <c r="D256" i="25"/>
  <c r="C257" i="25"/>
  <c r="D257" i="25"/>
  <c r="C258" i="25"/>
  <c r="D258" i="25"/>
  <c r="C259" i="25"/>
  <c r="D259" i="25"/>
  <c r="C260" i="25"/>
  <c r="D260" i="25"/>
  <c r="C261" i="25"/>
  <c r="D261" i="25"/>
  <c r="C262" i="25"/>
  <c r="D262" i="25"/>
  <c r="C263" i="25"/>
  <c r="D263" i="25"/>
  <c r="C264" i="25"/>
  <c r="D264" i="25"/>
  <c r="C265" i="25"/>
  <c r="D265" i="25"/>
  <c r="C266" i="25"/>
  <c r="D266" i="25"/>
  <c r="C267" i="25"/>
  <c r="D267" i="25"/>
  <c r="C268" i="25"/>
  <c r="D268" i="25"/>
  <c r="C269" i="25"/>
  <c r="D269" i="25"/>
  <c r="C270" i="25"/>
  <c r="D270" i="25"/>
  <c r="C271" i="25"/>
  <c r="D271" i="25"/>
  <c r="C272" i="25"/>
  <c r="D272" i="25"/>
  <c r="C273" i="25"/>
  <c r="D273" i="25"/>
  <c r="C274" i="25"/>
  <c r="D274" i="25"/>
  <c r="C275" i="25"/>
  <c r="D275" i="25"/>
  <c r="C276" i="25"/>
  <c r="D276" i="25"/>
  <c r="C277" i="25"/>
  <c r="D277" i="25"/>
  <c r="C278" i="25"/>
  <c r="D278" i="25"/>
  <c r="C279" i="25"/>
  <c r="D279" i="25"/>
  <c r="C280" i="25"/>
  <c r="D280" i="25"/>
  <c r="C281" i="25"/>
  <c r="D281" i="25"/>
  <c r="C282" i="25"/>
  <c r="D282" i="25"/>
  <c r="C283" i="25"/>
  <c r="D283" i="25"/>
  <c r="C284" i="25"/>
  <c r="D284" i="25"/>
  <c r="C285" i="25"/>
  <c r="D285" i="25"/>
  <c r="C286" i="25"/>
  <c r="D286" i="25"/>
  <c r="C287" i="25"/>
  <c r="D287" i="25"/>
  <c r="C288" i="25"/>
  <c r="D288" i="25"/>
  <c r="C289" i="25"/>
  <c r="D289" i="25"/>
  <c r="C290" i="25"/>
  <c r="D290" i="25"/>
  <c r="C291" i="25"/>
  <c r="D291" i="25"/>
  <c r="C292" i="25"/>
  <c r="D292" i="25"/>
  <c r="C293" i="25"/>
  <c r="D293" i="25"/>
  <c r="C294" i="25"/>
  <c r="D294" i="25"/>
  <c r="C295" i="25"/>
  <c r="D295" i="25"/>
  <c r="C296" i="25"/>
  <c r="D296" i="25"/>
  <c r="C297" i="25"/>
  <c r="D297" i="25"/>
  <c r="C298" i="25"/>
  <c r="D298" i="25"/>
  <c r="C299" i="25"/>
  <c r="D299" i="25"/>
  <c r="C300" i="25"/>
  <c r="D300" i="25"/>
  <c r="C301" i="25"/>
  <c r="D301" i="25"/>
  <c r="C302" i="25"/>
  <c r="D302" i="25"/>
  <c r="C303" i="25"/>
  <c r="D303" i="25"/>
  <c r="C304" i="25"/>
  <c r="D304" i="25"/>
  <c r="C305" i="25"/>
  <c r="D305" i="25"/>
  <c r="C306" i="25"/>
  <c r="D306" i="25"/>
  <c r="C307" i="25"/>
  <c r="D307" i="25"/>
  <c r="C308" i="25"/>
  <c r="D308" i="25"/>
  <c r="C309" i="25"/>
  <c r="D309" i="25"/>
  <c r="C310" i="25"/>
  <c r="D310" i="25"/>
  <c r="C311" i="25"/>
  <c r="D311" i="25"/>
  <c r="C312" i="25"/>
  <c r="D312" i="25"/>
  <c r="C313" i="25"/>
  <c r="D313" i="25"/>
  <c r="C314" i="25"/>
  <c r="D314" i="25"/>
  <c r="C315" i="25"/>
  <c r="D315" i="25"/>
  <c r="C316" i="25"/>
  <c r="D316" i="25"/>
  <c r="C317" i="25"/>
  <c r="D317" i="25"/>
  <c r="C318" i="25"/>
  <c r="D318" i="25"/>
  <c r="C319" i="25"/>
  <c r="D319" i="25"/>
  <c r="C320" i="25"/>
  <c r="D320" i="25"/>
  <c r="C321" i="25"/>
  <c r="D321" i="25"/>
  <c r="C322" i="25"/>
  <c r="D322" i="25"/>
  <c r="C323" i="25"/>
  <c r="D323" i="25"/>
  <c r="C324" i="25"/>
  <c r="D324" i="25"/>
  <c r="C325" i="25"/>
  <c r="D325" i="25"/>
  <c r="C326" i="25"/>
  <c r="D326" i="25"/>
  <c r="C327" i="25"/>
  <c r="D327" i="25"/>
  <c r="C328" i="25"/>
  <c r="D328" i="25"/>
  <c r="C329" i="25"/>
  <c r="D329" i="25"/>
  <c r="C330" i="25"/>
  <c r="D330" i="25"/>
  <c r="C331" i="25"/>
  <c r="D331" i="25"/>
  <c r="C332" i="25"/>
  <c r="D332" i="25"/>
  <c r="C333" i="25"/>
  <c r="D333" i="25"/>
  <c r="C334" i="25"/>
  <c r="D334" i="25"/>
  <c r="C335" i="25"/>
  <c r="D335" i="25"/>
  <c r="C336" i="25"/>
  <c r="D336" i="25"/>
  <c r="C337" i="25"/>
  <c r="D337" i="25"/>
  <c r="C338" i="25"/>
  <c r="D338" i="25"/>
  <c r="C339" i="25"/>
  <c r="D339" i="25"/>
  <c r="C340" i="25"/>
  <c r="D340" i="25"/>
  <c r="C341" i="25"/>
  <c r="D341" i="25"/>
  <c r="C342" i="25"/>
  <c r="D342" i="25"/>
  <c r="C343" i="25"/>
  <c r="D343" i="25"/>
  <c r="C344" i="25"/>
  <c r="D344" i="25"/>
  <c r="C345" i="25"/>
  <c r="D345" i="25"/>
  <c r="C346" i="25"/>
  <c r="D346" i="25"/>
  <c r="C347" i="25"/>
  <c r="D347" i="25"/>
  <c r="C348" i="25"/>
  <c r="D348" i="25"/>
  <c r="C349" i="25"/>
  <c r="D349" i="25"/>
  <c r="C350" i="25"/>
  <c r="D350" i="25"/>
  <c r="C351" i="25"/>
  <c r="D351" i="25"/>
  <c r="C352" i="25"/>
  <c r="D352" i="25"/>
  <c r="C353" i="25"/>
  <c r="D353" i="25"/>
  <c r="C354" i="25"/>
  <c r="D354" i="25"/>
  <c r="C355" i="25"/>
  <c r="D355" i="25"/>
  <c r="C356" i="25"/>
  <c r="D356" i="25"/>
  <c r="C357" i="25"/>
  <c r="D357" i="25"/>
  <c r="C358" i="25"/>
  <c r="D358" i="25"/>
  <c r="C359" i="25"/>
  <c r="D359" i="25"/>
  <c r="C360" i="25"/>
  <c r="D360" i="25"/>
  <c r="C361" i="25"/>
  <c r="D361" i="25"/>
  <c r="C362" i="25"/>
  <c r="D362" i="25"/>
  <c r="C363" i="25"/>
  <c r="D363" i="25"/>
  <c r="C364" i="25"/>
  <c r="D364" i="25"/>
  <c r="C365" i="25"/>
  <c r="D365" i="25"/>
  <c r="C366" i="25"/>
  <c r="D366" i="25"/>
  <c r="C367" i="25"/>
  <c r="D367" i="25"/>
  <c r="C368" i="25"/>
  <c r="D368" i="25"/>
  <c r="C369" i="25"/>
  <c r="D369" i="25"/>
  <c r="C370" i="25"/>
  <c r="D370" i="25"/>
  <c r="C371" i="25"/>
  <c r="D371" i="25"/>
  <c r="C372" i="25"/>
  <c r="D372" i="25"/>
  <c r="C373" i="25"/>
  <c r="D373" i="25"/>
  <c r="C374" i="25"/>
  <c r="D374" i="25"/>
  <c r="C375" i="25"/>
  <c r="D375" i="25"/>
  <c r="C376" i="25"/>
  <c r="D376" i="25"/>
  <c r="C377" i="25"/>
  <c r="D377" i="25"/>
  <c r="C378" i="25"/>
  <c r="D378" i="25"/>
  <c r="C379" i="25"/>
  <c r="D379" i="25"/>
  <c r="C380" i="25"/>
  <c r="D380" i="25"/>
  <c r="C381" i="25"/>
  <c r="D381" i="25"/>
  <c r="C382" i="25"/>
  <c r="D382" i="25"/>
  <c r="C383" i="25"/>
  <c r="D383" i="25"/>
  <c r="C384" i="25"/>
  <c r="D384" i="25"/>
  <c r="C385" i="25"/>
  <c r="D385" i="25"/>
  <c r="C386" i="25"/>
  <c r="D386" i="25"/>
  <c r="C387" i="25"/>
  <c r="D387" i="25"/>
  <c r="C388" i="25"/>
  <c r="D388" i="25"/>
  <c r="C389" i="25"/>
  <c r="D389" i="25"/>
  <c r="C390" i="25"/>
  <c r="D390" i="25"/>
  <c r="C391" i="25"/>
  <c r="D391" i="25"/>
  <c r="C392" i="25"/>
  <c r="D392" i="25"/>
  <c r="C393" i="25"/>
  <c r="D393" i="25"/>
  <c r="C394" i="25"/>
  <c r="D394" i="25"/>
  <c r="C395" i="25"/>
  <c r="D395" i="25"/>
  <c r="C396" i="25"/>
  <c r="D396" i="25"/>
  <c r="C397" i="25"/>
  <c r="D397" i="25"/>
  <c r="C398" i="25"/>
  <c r="D398" i="25"/>
  <c r="C399" i="25"/>
  <c r="D399" i="25"/>
  <c r="C400" i="25"/>
  <c r="D400" i="25"/>
  <c r="C401" i="25"/>
  <c r="D401" i="25"/>
  <c r="C402" i="25"/>
  <c r="D402" i="25"/>
  <c r="C403" i="25"/>
  <c r="D403" i="25"/>
  <c r="C404" i="25"/>
  <c r="D404" i="25"/>
  <c r="C405" i="25"/>
  <c r="D405" i="25"/>
  <c r="C406" i="25"/>
  <c r="D406" i="25"/>
  <c r="C407" i="25"/>
  <c r="D407" i="25"/>
  <c r="C408" i="25"/>
  <c r="D408" i="25"/>
  <c r="C409" i="25"/>
  <c r="D409" i="25"/>
  <c r="C410" i="25"/>
  <c r="D410" i="25"/>
  <c r="C411" i="25"/>
  <c r="D411" i="25"/>
  <c r="C412" i="25"/>
  <c r="D412" i="25"/>
  <c r="C413" i="25"/>
  <c r="D413" i="25"/>
  <c r="C414" i="25"/>
  <c r="D414" i="25"/>
  <c r="C415" i="25"/>
  <c r="D415" i="25"/>
  <c r="C416" i="25"/>
  <c r="D416" i="25"/>
  <c r="C417" i="25"/>
  <c r="D417" i="25"/>
  <c r="C418" i="25"/>
  <c r="D418" i="25"/>
  <c r="C419" i="25"/>
  <c r="D419" i="25"/>
  <c r="C420" i="25"/>
  <c r="D420" i="25"/>
  <c r="C421" i="25"/>
  <c r="D421" i="25"/>
  <c r="C422" i="25"/>
  <c r="D422" i="25"/>
  <c r="C423" i="25"/>
  <c r="D423" i="25"/>
  <c r="C424" i="25"/>
  <c r="D424" i="25"/>
  <c r="C425" i="25"/>
  <c r="D425" i="25"/>
  <c r="C426" i="25"/>
  <c r="D426" i="25"/>
  <c r="C427" i="25"/>
  <c r="D427" i="25"/>
  <c r="C428" i="25"/>
  <c r="D428" i="25"/>
  <c r="C429" i="25"/>
  <c r="D429" i="25"/>
  <c r="C430" i="25"/>
  <c r="D430" i="25"/>
  <c r="C431" i="25"/>
  <c r="D431" i="25"/>
  <c r="C432" i="25"/>
  <c r="D432" i="25"/>
  <c r="C433" i="25"/>
  <c r="D433" i="25"/>
  <c r="C434" i="25"/>
  <c r="D434" i="25"/>
  <c r="C435" i="25"/>
  <c r="D435" i="25"/>
  <c r="C436" i="25"/>
  <c r="D436" i="25"/>
  <c r="C437" i="25"/>
  <c r="D437" i="25"/>
  <c r="C438" i="25"/>
  <c r="D438" i="25"/>
  <c r="C439" i="25"/>
  <c r="D439" i="25"/>
  <c r="C440" i="25"/>
  <c r="D440" i="25"/>
  <c r="C441" i="25"/>
  <c r="D441" i="25"/>
  <c r="C442" i="25"/>
  <c r="D442" i="25"/>
  <c r="C443" i="25"/>
  <c r="D443" i="25"/>
  <c r="C444" i="25"/>
  <c r="D444" i="25"/>
  <c r="C445" i="25"/>
  <c r="D445" i="25"/>
  <c r="C446" i="25"/>
  <c r="D446" i="25"/>
  <c r="C447" i="25"/>
  <c r="D447" i="25"/>
  <c r="C448" i="25"/>
  <c r="D448" i="25"/>
  <c r="C449" i="25"/>
  <c r="D449" i="25"/>
  <c r="C450" i="25"/>
  <c r="D450" i="25"/>
  <c r="C451" i="25"/>
  <c r="D451" i="25"/>
  <c r="C452" i="25"/>
  <c r="D452" i="25"/>
  <c r="C453" i="25"/>
  <c r="D453" i="25"/>
  <c r="C454" i="25"/>
  <c r="D454" i="25"/>
  <c r="C455" i="25"/>
  <c r="D455" i="25"/>
  <c r="C456" i="25"/>
  <c r="D456" i="25"/>
  <c r="C457" i="25"/>
  <c r="D457" i="25"/>
  <c r="C458" i="25"/>
  <c r="D458" i="25"/>
  <c r="C459" i="25"/>
  <c r="D459" i="25"/>
  <c r="C460" i="25"/>
  <c r="D460" i="25"/>
  <c r="C461" i="25"/>
  <c r="D461" i="25"/>
  <c r="C462" i="25"/>
  <c r="D462" i="25"/>
  <c r="C463" i="25"/>
  <c r="D463" i="25"/>
  <c r="C464" i="25"/>
  <c r="D464" i="25"/>
  <c r="C465" i="25"/>
  <c r="D465" i="25"/>
  <c r="C466" i="25"/>
  <c r="D466" i="25"/>
  <c r="C467" i="25"/>
  <c r="D467" i="25"/>
  <c r="C468" i="25"/>
  <c r="D468" i="25"/>
  <c r="C469" i="25"/>
  <c r="D469" i="25"/>
  <c r="C470" i="25"/>
  <c r="D470" i="25"/>
  <c r="C471" i="25"/>
  <c r="D471" i="25"/>
  <c r="C472" i="25"/>
  <c r="D472" i="25"/>
  <c r="C473" i="25"/>
  <c r="D473" i="25"/>
  <c r="C474" i="25"/>
  <c r="D474" i="25"/>
  <c r="C475" i="25"/>
  <c r="D475" i="25"/>
  <c r="C476" i="25"/>
  <c r="D476" i="25"/>
  <c r="C477" i="25"/>
  <c r="D477" i="25"/>
  <c r="C478" i="25"/>
  <c r="D478" i="25"/>
  <c r="C479" i="25"/>
  <c r="D479" i="25"/>
  <c r="C480" i="25"/>
  <c r="D480" i="25"/>
  <c r="C481" i="25"/>
  <c r="D481" i="25"/>
  <c r="C482" i="25"/>
  <c r="D482" i="25"/>
  <c r="C483" i="25"/>
  <c r="D483" i="25"/>
  <c r="C484" i="25"/>
  <c r="D484" i="25"/>
  <c r="C485" i="25"/>
  <c r="D485" i="25"/>
  <c r="C486" i="25"/>
  <c r="D486" i="25"/>
  <c r="C487" i="25"/>
  <c r="D487" i="25"/>
  <c r="C488" i="25"/>
  <c r="D488" i="25"/>
  <c r="C489" i="25"/>
  <c r="D489" i="25"/>
  <c r="C490" i="25"/>
  <c r="D490" i="25"/>
  <c r="C491" i="25"/>
  <c r="D491" i="25"/>
  <c r="C492" i="25"/>
  <c r="D492" i="25"/>
  <c r="C493" i="25"/>
  <c r="D493" i="25"/>
  <c r="C494" i="25"/>
  <c r="D494" i="25"/>
  <c r="C495" i="25"/>
  <c r="D495" i="25"/>
  <c r="C496" i="25"/>
  <c r="D496" i="25"/>
  <c r="C497" i="25"/>
  <c r="D497" i="25"/>
  <c r="C498" i="25"/>
  <c r="D498" i="25"/>
  <c r="C499" i="25"/>
  <c r="D499" i="25"/>
  <c r="C500" i="25"/>
  <c r="D500" i="25"/>
  <c r="C501" i="25"/>
  <c r="D501" i="25"/>
  <c r="C502" i="25"/>
  <c r="D502" i="25"/>
  <c r="C503" i="25"/>
  <c r="D503" i="25"/>
  <c r="C504" i="25"/>
  <c r="D504" i="25"/>
  <c r="C505" i="25"/>
  <c r="D505" i="25"/>
  <c r="C506" i="25"/>
  <c r="D506" i="25"/>
  <c r="C507" i="25"/>
  <c r="D507" i="25"/>
  <c r="C508" i="25"/>
  <c r="D508" i="25"/>
  <c r="C509" i="25"/>
  <c r="D509" i="25"/>
  <c r="C510" i="25"/>
  <c r="D510" i="25"/>
  <c r="C511" i="25"/>
  <c r="D511" i="25"/>
  <c r="C512" i="25"/>
  <c r="D512" i="25"/>
  <c r="C513" i="25"/>
  <c r="D513" i="25"/>
  <c r="C514" i="25"/>
  <c r="D514" i="25"/>
  <c r="C515" i="25"/>
  <c r="D515" i="25"/>
  <c r="C516" i="25"/>
  <c r="D516" i="25"/>
  <c r="C517" i="25"/>
  <c r="D517" i="25"/>
  <c r="C518" i="25"/>
  <c r="D518" i="25"/>
  <c r="C519" i="25"/>
  <c r="D519" i="25"/>
  <c r="C520" i="25"/>
  <c r="D520" i="25"/>
  <c r="C521" i="25"/>
  <c r="D521" i="25"/>
  <c r="C522" i="25"/>
  <c r="D522" i="25"/>
  <c r="C523" i="25"/>
  <c r="D523" i="25"/>
  <c r="C524" i="25"/>
  <c r="D524" i="25"/>
  <c r="C525" i="25"/>
  <c r="D525" i="25"/>
  <c r="C526" i="25"/>
  <c r="D526" i="25"/>
  <c r="C527" i="25"/>
  <c r="D527" i="25"/>
  <c r="C528" i="25"/>
  <c r="D528" i="25"/>
  <c r="C529" i="25"/>
  <c r="D529" i="25"/>
  <c r="C530" i="25"/>
  <c r="D530" i="25"/>
  <c r="C531" i="25"/>
  <c r="D531" i="25"/>
  <c r="C532" i="25"/>
  <c r="D532" i="25"/>
  <c r="C533" i="25"/>
  <c r="D533" i="25"/>
  <c r="C534" i="25"/>
  <c r="D534" i="25"/>
  <c r="C535" i="25"/>
  <c r="D535" i="25"/>
  <c r="C536" i="25"/>
  <c r="D536" i="25"/>
  <c r="C537" i="25"/>
  <c r="D537" i="25"/>
  <c r="C538" i="25"/>
  <c r="D538" i="25"/>
  <c r="C539" i="25"/>
  <c r="D539" i="25"/>
  <c r="C540" i="25"/>
  <c r="D540" i="25"/>
  <c r="C541" i="25"/>
  <c r="D541" i="25"/>
  <c r="C542" i="25"/>
  <c r="D542" i="25"/>
  <c r="C543" i="25"/>
  <c r="D543" i="25"/>
  <c r="C544" i="25"/>
  <c r="D544" i="25"/>
  <c r="C545" i="25"/>
  <c r="D545" i="25"/>
  <c r="C546" i="25"/>
  <c r="D546" i="25"/>
  <c r="C547" i="25"/>
  <c r="D547" i="25"/>
  <c r="C548" i="25"/>
  <c r="D548" i="25"/>
  <c r="C549" i="25"/>
  <c r="D549" i="25"/>
  <c r="C550" i="25"/>
  <c r="D550" i="25"/>
  <c r="C551" i="25"/>
  <c r="D551" i="25"/>
  <c r="C552" i="25"/>
  <c r="D552" i="25"/>
  <c r="C553" i="25"/>
  <c r="D553" i="25"/>
  <c r="C554" i="25"/>
  <c r="D554" i="25"/>
  <c r="C555" i="25"/>
  <c r="D555" i="25"/>
  <c r="C556" i="25"/>
  <c r="D556" i="25"/>
  <c r="C557" i="25"/>
  <c r="D557" i="25"/>
  <c r="C558" i="25"/>
  <c r="D558" i="25"/>
  <c r="C559" i="25"/>
  <c r="D559" i="25"/>
  <c r="C560" i="25"/>
  <c r="D560" i="25"/>
  <c r="C561" i="25"/>
  <c r="D561" i="25"/>
  <c r="C562" i="25"/>
  <c r="D562" i="25"/>
  <c r="C563" i="25"/>
  <c r="D563" i="25"/>
  <c r="C564" i="25"/>
  <c r="D564" i="25"/>
  <c r="C565" i="25"/>
  <c r="D565" i="25"/>
  <c r="C566" i="25"/>
  <c r="D566" i="25"/>
  <c r="C567" i="25"/>
  <c r="D567" i="25"/>
  <c r="C568" i="25"/>
  <c r="D568" i="25"/>
  <c r="C569" i="25"/>
  <c r="D569" i="25"/>
  <c r="C570" i="25"/>
  <c r="D570" i="25"/>
  <c r="C571" i="25"/>
  <c r="D571" i="25"/>
  <c r="C572" i="25"/>
  <c r="D572" i="25"/>
  <c r="C573" i="25"/>
  <c r="D573" i="25"/>
  <c r="C574" i="25"/>
  <c r="D574" i="25"/>
  <c r="C575" i="25"/>
  <c r="D575" i="25"/>
  <c r="C576" i="25"/>
  <c r="D576" i="25"/>
  <c r="C577" i="25"/>
  <c r="D577" i="25"/>
  <c r="C578" i="25"/>
  <c r="D578" i="25"/>
  <c r="C579" i="25"/>
  <c r="D579" i="25"/>
  <c r="C580" i="25"/>
  <c r="D580" i="25"/>
  <c r="C581" i="25"/>
  <c r="D581" i="25"/>
  <c r="C582" i="25"/>
  <c r="D582" i="25"/>
  <c r="C583" i="25"/>
  <c r="D583" i="25"/>
  <c r="C584" i="25"/>
  <c r="D584" i="25"/>
  <c r="C585" i="25"/>
  <c r="D585" i="25"/>
  <c r="C586" i="25"/>
  <c r="D586" i="25"/>
  <c r="C587" i="25"/>
  <c r="D587" i="25"/>
  <c r="C588" i="25"/>
  <c r="D588" i="25"/>
  <c r="C589" i="25"/>
  <c r="D589" i="25"/>
  <c r="C590" i="25"/>
  <c r="D590" i="25"/>
  <c r="C591" i="25"/>
  <c r="D591" i="25"/>
  <c r="C592" i="25"/>
  <c r="D592" i="25"/>
  <c r="C593" i="25"/>
  <c r="D593" i="25"/>
  <c r="C594" i="25"/>
  <c r="D594" i="25"/>
  <c r="C595" i="25"/>
  <c r="D595" i="25"/>
  <c r="C596" i="25"/>
  <c r="D596" i="25"/>
  <c r="C597" i="25"/>
  <c r="D597" i="25"/>
  <c r="C598" i="25"/>
  <c r="D598" i="25"/>
  <c r="C599" i="25"/>
  <c r="D599" i="25"/>
  <c r="C600" i="25"/>
  <c r="D600" i="25"/>
  <c r="C601" i="25"/>
  <c r="D601" i="25"/>
  <c r="C602" i="25"/>
  <c r="D602" i="25"/>
  <c r="C603" i="25"/>
  <c r="D603" i="25"/>
  <c r="C604" i="25"/>
  <c r="D604" i="25"/>
  <c r="C605" i="25"/>
  <c r="D605" i="25"/>
  <c r="C606" i="25"/>
  <c r="D606" i="25"/>
  <c r="C607" i="25"/>
  <c r="D607" i="25"/>
  <c r="C608" i="25"/>
  <c r="D608" i="25"/>
  <c r="C609" i="25"/>
  <c r="D609" i="25"/>
  <c r="C610" i="25"/>
  <c r="D610" i="25"/>
  <c r="C611" i="25"/>
  <c r="D611" i="25"/>
  <c r="C612" i="25"/>
  <c r="D612" i="25"/>
  <c r="C613" i="25"/>
  <c r="D613" i="25"/>
  <c r="C614" i="25"/>
  <c r="D614" i="25"/>
  <c r="C615" i="25"/>
  <c r="D615" i="25"/>
  <c r="C616" i="25"/>
  <c r="D616" i="25"/>
  <c r="C617" i="25"/>
  <c r="D617" i="25"/>
  <c r="C618" i="25"/>
  <c r="D618" i="25"/>
  <c r="C619" i="25"/>
  <c r="D619" i="25"/>
  <c r="C620" i="25"/>
  <c r="D620" i="25"/>
  <c r="C621" i="25"/>
  <c r="D621" i="25"/>
  <c r="C622" i="25"/>
  <c r="D622" i="25"/>
  <c r="C623" i="25"/>
  <c r="D623" i="25"/>
  <c r="C624" i="25"/>
  <c r="D624" i="25"/>
  <c r="C625" i="25"/>
  <c r="D625" i="25"/>
  <c r="C626" i="25"/>
  <c r="D626" i="25"/>
  <c r="C627" i="25"/>
  <c r="D627" i="25"/>
  <c r="C628" i="25"/>
  <c r="D628" i="25"/>
  <c r="C629" i="25"/>
  <c r="D629" i="25"/>
  <c r="C630" i="25"/>
  <c r="D630" i="25"/>
  <c r="C631" i="25"/>
  <c r="D631" i="25"/>
  <c r="C632" i="25"/>
  <c r="D632" i="25"/>
  <c r="C633" i="25"/>
  <c r="D633" i="25"/>
  <c r="C634" i="25"/>
  <c r="D634" i="25"/>
  <c r="C635" i="25"/>
  <c r="D635" i="25"/>
  <c r="C636" i="25"/>
  <c r="D636" i="25"/>
  <c r="C637" i="25"/>
  <c r="D637" i="25"/>
  <c r="C638" i="25"/>
  <c r="D638" i="25"/>
  <c r="C639" i="25"/>
  <c r="D639" i="25"/>
  <c r="C640" i="25"/>
  <c r="D640" i="25"/>
  <c r="C641" i="25"/>
  <c r="D641" i="25"/>
  <c r="C642" i="25"/>
  <c r="D642" i="25"/>
  <c r="C643" i="25"/>
  <c r="D643" i="25"/>
  <c r="C644" i="25"/>
  <c r="D644" i="25"/>
  <c r="C645" i="25"/>
  <c r="D645" i="25"/>
  <c r="C646" i="25"/>
  <c r="D646" i="25"/>
  <c r="C647" i="25"/>
  <c r="D647" i="25"/>
  <c r="C648" i="25"/>
  <c r="D648" i="25"/>
  <c r="C649" i="25"/>
  <c r="D649" i="25"/>
  <c r="C650" i="25"/>
  <c r="D650" i="25"/>
  <c r="C651" i="25"/>
  <c r="D651" i="25"/>
  <c r="C652" i="25"/>
  <c r="D652" i="25"/>
  <c r="C653" i="25"/>
  <c r="D653" i="25"/>
  <c r="C654" i="25"/>
  <c r="D654" i="25"/>
  <c r="C655" i="25"/>
  <c r="D655" i="25"/>
  <c r="C656" i="25"/>
  <c r="D656" i="25"/>
  <c r="C657" i="25"/>
  <c r="D657" i="25"/>
  <c r="C658" i="25"/>
  <c r="D658" i="25"/>
  <c r="C659" i="25"/>
  <c r="D659" i="25"/>
  <c r="C660" i="25"/>
  <c r="D660" i="25"/>
  <c r="C661" i="25"/>
  <c r="D661" i="25"/>
  <c r="C662" i="25"/>
  <c r="D662" i="25"/>
  <c r="C663" i="25"/>
  <c r="D663" i="25"/>
  <c r="C664" i="25"/>
  <c r="D664" i="25"/>
  <c r="C665" i="25"/>
  <c r="D665" i="25"/>
  <c r="C666" i="25"/>
  <c r="D666" i="25"/>
  <c r="C667" i="25"/>
  <c r="D667" i="25"/>
  <c r="C668" i="25"/>
  <c r="D668" i="25"/>
  <c r="C669" i="25"/>
  <c r="D669" i="25"/>
  <c r="C670" i="25"/>
  <c r="D670" i="25"/>
  <c r="C671" i="25"/>
  <c r="D671" i="25"/>
  <c r="C672" i="25"/>
  <c r="D672" i="25"/>
  <c r="C673" i="25"/>
  <c r="D673" i="25"/>
  <c r="C674" i="25"/>
  <c r="D674" i="25"/>
  <c r="C675" i="25"/>
  <c r="D675" i="25"/>
  <c r="C676" i="25"/>
  <c r="D676" i="25"/>
  <c r="C677" i="25"/>
  <c r="D677" i="25"/>
  <c r="C678" i="25"/>
  <c r="D678" i="25"/>
  <c r="C679" i="25"/>
  <c r="D679" i="25"/>
  <c r="C680" i="25"/>
  <c r="D680" i="25"/>
  <c r="C681" i="25"/>
  <c r="D681" i="25"/>
  <c r="C682" i="25"/>
  <c r="D682" i="25"/>
  <c r="C683" i="25"/>
  <c r="D683" i="25"/>
  <c r="C684" i="25"/>
  <c r="D684" i="25"/>
  <c r="C685" i="25"/>
  <c r="D685" i="25"/>
  <c r="C686" i="25"/>
  <c r="D686" i="25"/>
  <c r="C687" i="25"/>
  <c r="D687" i="25"/>
  <c r="C688" i="25"/>
  <c r="D688" i="25"/>
  <c r="C689" i="25"/>
  <c r="D689" i="25"/>
  <c r="C690" i="25"/>
  <c r="D690" i="25"/>
  <c r="C691" i="25"/>
  <c r="D691" i="25"/>
  <c r="C692" i="25"/>
  <c r="D692" i="25"/>
  <c r="C693" i="25"/>
  <c r="D693" i="25"/>
  <c r="C694" i="25"/>
  <c r="D694" i="25"/>
  <c r="C695" i="25"/>
  <c r="D695" i="25"/>
  <c r="C696" i="25"/>
  <c r="D696" i="25"/>
  <c r="C697" i="25"/>
  <c r="D697" i="25"/>
  <c r="C698" i="25"/>
  <c r="D698" i="25"/>
  <c r="C699" i="25"/>
  <c r="D699" i="25"/>
  <c r="C700" i="25"/>
  <c r="D700" i="25"/>
  <c r="C701" i="25"/>
  <c r="D701" i="25"/>
  <c r="C702" i="25"/>
  <c r="D702" i="25"/>
  <c r="C703" i="25"/>
  <c r="D703" i="25"/>
  <c r="C704" i="25"/>
  <c r="D704" i="25"/>
  <c r="C705" i="25"/>
  <c r="D705" i="25"/>
  <c r="C706" i="25"/>
  <c r="D706" i="25"/>
  <c r="C707" i="25"/>
  <c r="D707" i="25"/>
  <c r="C708" i="25"/>
  <c r="D708" i="25"/>
  <c r="C709" i="25"/>
  <c r="D709" i="25"/>
  <c r="C710" i="25"/>
  <c r="D710" i="25"/>
  <c r="C711" i="25"/>
  <c r="D711" i="25"/>
  <c r="C712" i="25"/>
  <c r="D712" i="25"/>
  <c r="C713" i="25"/>
  <c r="D713" i="25"/>
  <c r="C714" i="25"/>
  <c r="D714" i="25"/>
  <c r="C715" i="25"/>
  <c r="D715" i="25"/>
  <c r="C716" i="25"/>
  <c r="D716" i="25"/>
  <c r="C717" i="25"/>
  <c r="D717" i="25"/>
  <c r="C718" i="25"/>
  <c r="D718" i="25"/>
  <c r="C719" i="25"/>
  <c r="D719" i="25"/>
  <c r="C720" i="25"/>
  <c r="D720" i="25"/>
  <c r="C721" i="25"/>
  <c r="D721" i="25"/>
  <c r="C722" i="25"/>
  <c r="D722" i="25"/>
  <c r="C723" i="25"/>
  <c r="D723" i="25"/>
  <c r="C724" i="25"/>
  <c r="D724" i="25"/>
  <c r="C725" i="25"/>
  <c r="D725" i="25"/>
  <c r="C726" i="25"/>
  <c r="D726" i="25"/>
  <c r="C727" i="25"/>
  <c r="D727" i="25"/>
  <c r="C728" i="25"/>
  <c r="D728" i="25"/>
  <c r="C729" i="25"/>
  <c r="D729" i="25"/>
  <c r="C730" i="25"/>
  <c r="D730" i="25"/>
  <c r="C731" i="25"/>
  <c r="D731" i="25"/>
  <c r="C732" i="25"/>
  <c r="D732" i="25"/>
  <c r="C733" i="25"/>
  <c r="D733" i="25"/>
  <c r="C734" i="25"/>
  <c r="D734" i="25"/>
  <c r="C735" i="25"/>
  <c r="D735" i="25"/>
  <c r="C736" i="25"/>
  <c r="D736" i="25"/>
  <c r="C737" i="25"/>
  <c r="D737" i="25"/>
  <c r="C738" i="25"/>
  <c r="D738" i="25"/>
  <c r="C739" i="25"/>
  <c r="D739" i="25"/>
  <c r="C740" i="25"/>
  <c r="D740" i="25"/>
  <c r="C741" i="25"/>
  <c r="D741" i="25"/>
  <c r="C742" i="25"/>
  <c r="D742" i="25"/>
  <c r="C743" i="25"/>
  <c r="D743" i="25"/>
  <c r="C744" i="25"/>
  <c r="D744" i="25"/>
  <c r="C745" i="25"/>
  <c r="D745" i="25"/>
  <c r="C746" i="25"/>
  <c r="D746" i="25"/>
  <c r="C747" i="25"/>
  <c r="D747" i="25"/>
  <c r="C748" i="25"/>
  <c r="D748" i="25"/>
  <c r="C749" i="25"/>
  <c r="D749" i="25"/>
  <c r="C750" i="25"/>
  <c r="D750" i="25"/>
  <c r="C751" i="25"/>
  <c r="D751" i="25"/>
  <c r="C752" i="25"/>
  <c r="D752" i="25"/>
  <c r="C753" i="25"/>
  <c r="D753" i="25"/>
  <c r="C754" i="25"/>
  <c r="D754" i="25"/>
  <c r="C755" i="25"/>
  <c r="D755" i="25"/>
  <c r="C756" i="25"/>
  <c r="D756" i="25"/>
  <c r="C757" i="25"/>
  <c r="D757" i="25"/>
  <c r="C758" i="25"/>
  <c r="D758" i="25"/>
  <c r="C759" i="25"/>
  <c r="D759" i="25"/>
  <c r="C760" i="25"/>
  <c r="D760" i="25"/>
  <c r="C761" i="25"/>
  <c r="D761" i="25"/>
  <c r="C762" i="25"/>
  <c r="D762" i="25"/>
  <c r="C763" i="25"/>
  <c r="D763" i="25"/>
  <c r="C764" i="25"/>
  <c r="D764" i="25"/>
  <c r="C765" i="25"/>
  <c r="D765" i="25"/>
  <c r="C766" i="25"/>
  <c r="D766" i="25"/>
  <c r="C767" i="25"/>
  <c r="D767" i="25"/>
  <c r="C768" i="25"/>
  <c r="D768" i="25"/>
  <c r="C769" i="25"/>
  <c r="D769" i="25"/>
  <c r="C770" i="25"/>
  <c r="D770" i="25"/>
  <c r="C771" i="25"/>
  <c r="D771" i="25"/>
  <c r="C772" i="25"/>
  <c r="D772" i="25"/>
  <c r="C773" i="25"/>
  <c r="D773" i="25"/>
  <c r="C774" i="25"/>
  <c r="D774" i="25"/>
  <c r="C775" i="25"/>
  <c r="D775" i="25"/>
  <c r="C776" i="25"/>
  <c r="D776" i="25"/>
  <c r="C777" i="25"/>
  <c r="D777" i="25"/>
  <c r="C778" i="25"/>
  <c r="D778" i="25"/>
  <c r="C779" i="25"/>
  <c r="D779" i="25"/>
  <c r="C780" i="25"/>
  <c r="D780" i="25"/>
  <c r="C781" i="25"/>
  <c r="D781" i="25"/>
  <c r="C782" i="25"/>
  <c r="D782" i="25"/>
  <c r="C783" i="25"/>
  <c r="D783" i="25"/>
  <c r="C784" i="25"/>
  <c r="D784" i="25"/>
  <c r="C785" i="25"/>
  <c r="D785" i="25"/>
  <c r="C786" i="25"/>
  <c r="D786" i="25"/>
  <c r="C787" i="25"/>
  <c r="D787" i="25"/>
  <c r="C788" i="25"/>
  <c r="D788" i="25"/>
  <c r="C789" i="25"/>
  <c r="D789" i="25"/>
  <c r="C790" i="25"/>
  <c r="D790" i="25"/>
  <c r="C791" i="25"/>
  <c r="D791" i="25"/>
  <c r="C792" i="25"/>
  <c r="D792" i="25"/>
  <c r="C793" i="25"/>
  <c r="D793" i="25"/>
  <c r="C794" i="25"/>
  <c r="D794" i="25"/>
  <c r="C795" i="25"/>
  <c r="D795" i="25"/>
  <c r="C796" i="25"/>
  <c r="D796" i="25"/>
  <c r="C797" i="25"/>
  <c r="D797" i="25"/>
  <c r="C798" i="25"/>
  <c r="D798" i="25"/>
  <c r="C799" i="25"/>
  <c r="D799" i="25"/>
  <c r="C800" i="25"/>
  <c r="D800" i="25"/>
  <c r="C801" i="25"/>
  <c r="D801" i="25"/>
  <c r="C802" i="25"/>
  <c r="D802" i="25"/>
  <c r="C803" i="25"/>
  <c r="D803" i="25"/>
  <c r="C804" i="25"/>
  <c r="D804" i="25"/>
  <c r="C805" i="25"/>
  <c r="D805" i="25"/>
  <c r="C806" i="25"/>
  <c r="D806" i="25"/>
  <c r="C807" i="25"/>
  <c r="D807" i="25"/>
  <c r="C808" i="25"/>
  <c r="D808" i="25"/>
  <c r="C809" i="25"/>
  <c r="D809" i="25"/>
  <c r="C810" i="25"/>
  <c r="D810" i="25"/>
  <c r="C811" i="25"/>
  <c r="D811" i="25"/>
  <c r="C812" i="25"/>
  <c r="D812" i="25"/>
  <c r="C813" i="25"/>
  <c r="D813" i="25"/>
  <c r="C814" i="25"/>
  <c r="D814" i="25"/>
  <c r="C815" i="25"/>
  <c r="D815" i="25"/>
  <c r="C816" i="25"/>
  <c r="D816" i="25"/>
  <c r="C817" i="25"/>
  <c r="D817" i="25"/>
  <c r="C818" i="25"/>
  <c r="D818" i="25"/>
  <c r="C819" i="25"/>
  <c r="D819" i="25"/>
  <c r="C820" i="25"/>
  <c r="D820" i="25"/>
  <c r="C821" i="25"/>
  <c r="D821" i="25"/>
  <c r="C822" i="25"/>
  <c r="D822" i="25"/>
  <c r="C823" i="25"/>
  <c r="D823" i="25"/>
  <c r="C824" i="25"/>
  <c r="D824" i="25"/>
  <c r="C825" i="25"/>
  <c r="D825" i="25"/>
  <c r="C826" i="25"/>
  <c r="D826" i="25"/>
  <c r="C827" i="25"/>
  <c r="D827" i="25"/>
  <c r="C828" i="25"/>
  <c r="D828" i="25"/>
  <c r="C829" i="25"/>
  <c r="D829" i="25"/>
  <c r="C830" i="25"/>
  <c r="D830" i="25"/>
  <c r="C831" i="25"/>
  <c r="D831" i="25"/>
  <c r="C832" i="25"/>
  <c r="D832" i="25"/>
  <c r="C833" i="25"/>
  <c r="D833" i="25"/>
  <c r="C834" i="25"/>
  <c r="D834" i="25"/>
  <c r="C835" i="25"/>
  <c r="D835" i="25"/>
  <c r="C836" i="25"/>
  <c r="D836" i="25"/>
  <c r="C837" i="25"/>
  <c r="D837" i="25"/>
  <c r="C838" i="25"/>
  <c r="D838" i="25"/>
  <c r="C839" i="25"/>
  <c r="D839" i="25"/>
  <c r="C840" i="25"/>
  <c r="D840" i="25"/>
  <c r="C841" i="25"/>
  <c r="D841" i="25"/>
  <c r="C842" i="25"/>
  <c r="D842" i="25"/>
  <c r="C843" i="25"/>
  <c r="D843" i="25"/>
  <c r="C844" i="25"/>
  <c r="D844" i="25"/>
  <c r="C845" i="25"/>
  <c r="D845" i="25"/>
  <c r="C846" i="25"/>
  <c r="D846" i="25"/>
  <c r="C847" i="25"/>
  <c r="D847" i="25"/>
  <c r="C848" i="25"/>
  <c r="D848" i="25"/>
  <c r="C849" i="25"/>
  <c r="D849" i="25"/>
  <c r="C850" i="25"/>
  <c r="D850" i="25"/>
  <c r="C851" i="25"/>
  <c r="D851" i="25"/>
  <c r="C852" i="25"/>
  <c r="D852" i="25"/>
  <c r="C853" i="25"/>
  <c r="D853" i="25"/>
  <c r="C854" i="25"/>
  <c r="D854" i="25"/>
  <c r="C855" i="25"/>
  <c r="D855" i="25"/>
  <c r="C856" i="25"/>
  <c r="D856" i="25"/>
  <c r="C857" i="25"/>
  <c r="D857" i="25"/>
  <c r="C858" i="25"/>
  <c r="D858" i="25"/>
  <c r="C859" i="25"/>
  <c r="D859" i="25"/>
  <c r="C860" i="25"/>
  <c r="D860" i="25"/>
  <c r="C861" i="25"/>
  <c r="D861" i="25"/>
  <c r="C862" i="25"/>
  <c r="D862" i="25"/>
  <c r="C863" i="25"/>
  <c r="D863" i="25"/>
  <c r="C864" i="25"/>
  <c r="D864" i="25"/>
  <c r="C865" i="25"/>
  <c r="D865" i="25"/>
  <c r="C866" i="25"/>
  <c r="D866" i="25"/>
  <c r="C867" i="25"/>
  <c r="D867" i="25"/>
  <c r="C868" i="25"/>
  <c r="D868" i="25"/>
  <c r="C869" i="25"/>
  <c r="D869" i="25"/>
  <c r="C870" i="25"/>
  <c r="D870" i="25"/>
  <c r="C871" i="25"/>
  <c r="D871" i="25"/>
  <c r="C872" i="25"/>
  <c r="D872" i="25"/>
  <c r="C873" i="25"/>
  <c r="D873" i="25"/>
  <c r="C874" i="25"/>
  <c r="D874" i="25"/>
  <c r="C875" i="25"/>
  <c r="D875" i="25"/>
  <c r="C876" i="25"/>
  <c r="D876" i="25"/>
  <c r="C877" i="25"/>
  <c r="D877" i="25"/>
  <c r="C878" i="25"/>
  <c r="D878" i="25"/>
  <c r="C879" i="25"/>
  <c r="D879" i="25"/>
  <c r="C880" i="25"/>
  <c r="D880" i="25"/>
  <c r="C881" i="25"/>
  <c r="D881" i="25"/>
  <c r="C882" i="25"/>
  <c r="D882" i="25"/>
  <c r="C883" i="25"/>
  <c r="D883" i="25"/>
  <c r="C884" i="25"/>
  <c r="D884" i="25"/>
  <c r="C885" i="25"/>
  <c r="D885" i="25"/>
  <c r="C886" i="25"/>
  <c r="D886" i="25"/>
  <c r="C887" i="25"/>
  <c r="D887" i="25"/>
  <c r="C888" i="25"/>
  <c r="D888" i="25"/>
  <c r="C889" i="25"/>
  <c r="D889" i="25"/>
  <c r="C890" i="25"/>
  <c r="D890" i="25"/>
  <c r="C891" i="25"/>
  <c r="D891" i="25"/>
  <c r="C892" i="25"/>
  <c r="D892" i="25"/>
  <c r="C893" i="25"/>
  <c r="D893" i="25"/>
  <c r="C894" i="25"/>
  <c r="D894" i="25"/>
  <c r="C895" i="25"/>
  <c r="D895" i="25"/>
  <c r="C896" i="25"/>
  <c r="D896" i="25"/>
  <c r="C897" i="25"/>
  <c r="D897" i="25"/>
  <c r="C898" i="25"/>
  <c r="D898" i="25"/>
  <c r="C899" i="25"/>
  <c r="D899" i="25"/>
  <c r="C900" i="25"/>
  <c r="D900" i="25"/>
  <c r="C901" i="25"/>
  <c r="D901" i="25"/>
  <c r="C902" i="25"/>
  <c r="D902" i="25"/>
  <c r="C903" i="25"/>
  <c r="D903" i="25"/>
  <c r="C904" i="25"/>
  <c r="D904" i="25"/>
  <c r="C905" i="25"/>
  <c r="D905" i="25"/>
  <c r="C906" i="25"/>
  <c r="D906" i="25"/>
  <c r="C907" i="25"/>
  <c r="D907" i="25"/>
  <c r="C908" i="25"/>
  <c r="D908" i="25"/>
  <c r="C909" i="25"/>
  <c r="D909" i="25"/>
  <c r="C910" i="25"/>
  <c r="D910" i="25"/>
  <c r="C911" i="25"/>
  <c r="D911" i="25"/>
  <c r="C912" i="25"/>
  <c r="D912" i="25"/>
  <c r="C913" i="25"/>
  <c r="D913" i="25"/>
  <c r="C914" i="25"/>
  <c r="D914" i="25"/>
  <c r="C915" i="25"/>
  <c r="D915" i="25"/>
  <c r="C916" i="25"/>
  <c r="D916" i="25"/>
  <c r="C917" i="25"/>
  <c r="D917" i="25"/>
  <c r="C918" i="25"/>
  <c r="D918" i="25"/>
  <c r="C919" i="25"/>
  <c r="D919" i="25"/>
  <c r="C920" i="25"/>
  <c r="D920" i="25"/>
  <c r="C921" i="25"/>
  <c r="D921" i="25"/>
  <c r="C922" i="25"/>
  <c r="D922" i="25"/>
  <c r="C923" i="25"/>
  <c r="D923" i="25"/>
  <c r="C924" i="25"/>
  <c r="D924" i="25"/>
  <c r="C925" i="25"/>
  <c r="D925" i="25"/>
  <c r="C926" i="25"/>
  <c r="D926" i="25"/>
  <c r="C927" i="25"/>
  <c r="D927" i="25"/>
  <c r="C928" i="25"/>
  <c r="D928" i="25"/>
  <c r="C929" i="25"/>
  <c r="D929" i="25"/>
  <c r="C930" i="25"/>
  <c r="D930" i="25"/>
  <c r="C931" i="25"/>
  <c r="D931" i="25"/>
  <c r="C932" i="25"/>
  <c r="D932" i="25"/>
  <c r="C933" i="25"/>
  <c r="D933" i="25"/>
  <c r="C934" i="25"/>
  <c r="D934" i="25"/>
  <c r="C935" i="25"/>
  <c r="D935" i="25"/>
  <c r="C936" i="25"/>
  <c r="D936" i="25"/>
  <c r="C937" i="25"/>
  <c r="D937" i="25"/>
  <c r="C938" i="25"/>
  <c r="D938" i="25"/>
  <c r="C939" i="25"/>
  <c r="D939" i="25"/>
  <c r="C940" i="25"/>
  <c r="D940" i="25"/>
  <c r="C941" i="25"/>
  <c r="D941" i="25"/>
  <c r="C942" i="25"/>
  <c r="D942" i="25"/>
  <c r="C943" i="25"/>
  <c r="D943" i="25"/>
  <c r="C944" i="25"/>
  <c r="D944" i="25"/>
  <c r="C945" i="25"/>
  <c r="D945" i="25"/>
  <c r="C946" i="25"/>
  <c r="D946" i="25"/>
  <c r="C947" i="25"/>
  <c r="D947" i="25"/>
  <c r="C948" i="25"/>
  <c r="D948" i="25"/>
  <c r="C949" i="25"/>
  <c r="D949" i="25"/>
  <c r="C950" i="25"/>
  <c r="D950" i="25"/>
  <c r="C951" i="25"/>
  <c r="D951" i="25"/>
  <c r="C952" i="25"/>
  <c r="D952" i="25"/>
  <c r="C953" i="25"/>
  <c r="D953" i="25"/>
  <c r="C954" i="25"/>
  <c r="D954" i="25"/>
  <c r="C955" i="25"/>
  <c r="D955" i="25"/>
  <c r="C956" i="25"/>
  <c r="D956" i="25"/>
  <c r="C957" i="25"/>
  <c r="D957" i="25"/>
  <c r="C958" i="25"/>
  <c r="D958" i="25"/>
  <c r="C959" i="25"/>
  <c r="D959" i="25"/>
  <c r="C960" i="25"/>
  <c r="D960" i="25"/>
  <c r="C961" i="25"/>
  <c r="D961" i="25"/>
  <c r="C962" i="25"/>
  <c r="D962" i="25"/>
  <c r="C963" i="25"/>
  <c r="D963" i="25"/>
  <c r="C964" i="25"/>
  <c r="D964" i="25"/>
  <c r="C965" i="25"/>
  <c r="D965" i="25"/>
  <c r="C966" i="25"/>
  <c r="D966" i="25"/>
  <c r="C967" i="25"/>
  <c r="D967" i="25"/>
  <c r="C968" i="25"/>
  <c r="D968" i="25"/>
  <c r="C969" i="25"/>
  <c r="D969" i="25"/>
  <c r="C970" i="25"/>
  <c r="D970" i="25"/>
  <c r="C971" i="25"/>
  <c r="D971" i="25"/>
  <c r="C972" i="25"/>
  <c r="D972" i="25"/>
  <c r="C973" i="25"/>
  <c r="D973" i="25"/>
  <c r="C974" i="25"/>
  <c r="D974" i="25"/>
  <c r="C975" i="25"/>
  <c r="D975" i="25"/>
  <c r="C976" i="25"/>
  <c r="D976" i="25"/>
  <c r="C977" i="25"/>
  <c r="D977" i="25"/>
  <c r="C978" i="25"/>
  <c r="D978" i="25"/>
  <c r="C979" i="25"/>
  <c r="D979" i="25"/>
  <c r="C980" i="25"/>
  <c r="D980" i="25"/>
  <c r="C981" i="25"/>
  <c r="D981" i="25"/>
  <c r="C982" i="25"/>
  <c r="D982" i="25"/>
  <c r="C983" i="25"/>
  <c r="D983" i="25"/>
  <c r="C984" i="25"/>
  <c r="D984" i="25"/>
  <c r="C985" i="25"/>
  <c r="D985" i="25"/>
  <c r="C986" i="25"/>
  <c r="D986" i="25"/>
  <c r="C987" i="25"/>
  <c r="D987" i="25"/>
  <c r="C988" i="25"/>
  <c r="D988" i="25"/>
  <c r="C989" i="25"/>
  <c r="D989" i="25"/>
  <c r="C990" i="25"/>
  <c r="D990" i="25"/>
  <c r="C991" i="25"/>
  <c r="D991" i="25"/>
  <c r="C992" i="25"/>
  <c r="D992" i="25"/>
  <c r="C993" i="25"/>
  <c r="D993" i="25"/>
  <c r="C994" i="25"/>
  <c r="D994" i="25"/>
  <c r="C995" i="25"/>
  <c r="D995" i="25"/>
  <c r="C996" i="25"/>
  <c r="D996" i="25"/>
  <c r="C997" i="25"/>
  <c r="D997" i="25"/>
  <c r="C998" i="25"/>
  <c r="D998" i="25"/>
  <c r="C999" i="25"/>
  <c r="D999" i="25"/>
  <c r="C1000" i="25"/>
  <c r="D1000" i="25"/>
  <c r="C1001" i="25"/>
  <c r="D1001" i="25"/>
  <c r="C1002" i="25"/>
  <c r="D1002" i="25"/>
  <c r="C1003" i="25"/>
  <c r="D1003" i="25"/>
  <c r="C1004" i="25"/>
  <c r="D1004" i="25"/>
  <c r="C1005" i="25"/>
  <c r="D1005" i="25"/>
  <c r="C1006" i="25"/>
  <c r="D1006" i="25"/>
  <c r="C1007" i="25"/>
  <c r="D1007" i="25"/>
  <c r="C1008" i="25"/>
  <c r="D1008" i="25"/>
  <c r="C1009" i="25"/>
  <c r="D1009" i="25"/>
  <c r="C1010" i="25"/>
  <c r="D1010" i="25"/>
  <c r="C1011" i="25"/>
  <c r="D1011" i="25"/>
  <c r="C1012" i="25"/>
  <c r="D1012" i="25"/>
  <c r="C1013" i="25"/>
  <c r="D1013" i="25"/>
  <c r="C1014" i="25"/>
  <c r="D1014" i="25"/>
  <c r="C1015" i="25"/>
  <c r="D1015" i="25"/>
  <c r="C1016" i="25"/>
  <c r="D1016" i="25"/>
  <c r="C1017" i="25"/>
  <c r="D1017" i="25"/>
  <c r="C1018" i="25"/>
  <c r="D1018" i="25"/>
  <c r="C1019" i="25"/>
  <c r="D1019" i="25"/>
  <c r="C1020" i="25"/>
  <c r="D1020" i="25"/>
  <c r="C1021" i="25"/>
  <c r="D1021" i="25"/>
  <c r="C1022" i="25"/>
  <c r="D1022" i="25"/>
  <c r="C1023" i="25"/>
  <c r="D1023" i="25"/>
  <c r="C1024" i="25"/>
  <c r="D1024" i="25"/>
  <c r="C1025" i="25"/>
  <c r="D1025" i="25"/>
  <c r="C1026" i="25"/>
  <c r="D1026" i="25"/>
  <c r="C1027" i="25"/>
  <c r="D1027" i="25"/>
  <c r="C1028" i="25"/>
  <c r="D1028" i="25"/>
  <c r="C1029" i="25"/>
  <c r="D1029" i="25"/>
  <c r="C1030" i="25"/>
  <c r="D1030" i="25"/>
  <c r="C1031" i="25"/>
  <c r="D1031" i="25"/>
  <c r="C1032" i="25"/>
  <c r="D1032" i="25"/>
  <c r="C1033" i="25"/>
  <c r="D1033" i="25"/>
  <c r="C1034" i="25"/>
  <c r="D1034" i="25"/>
  <c r="C1035" i="25"/>
  <c r="D1035" i="25"/>
  <c r="C1036" i="25"/>
  <c r="D1036" i="25"/>
  <c r="C1037" i="25"/>
  <c r="D1037" i="25"/>
  <c r="C1038" i="25"/>
  <c r="D1038" i="25"/>
  <c r="C1039" i="25"/>
  <c r="D1039" i="25"/>
  <c r="C1040" i="25"/>
  <c r="D1040" i="25"/>
  <c r="C1041" i="25"/>
  <c r="D1041" i="25"/>
  <c r="C1042" i="25"/>
  <c r="D1042" i="25"/>
  <c r="C1043" i="25"/>
  <c r="D1043" i="25"/>
  <c r="C1044" i="25"/>
  <c r="D1044" i="25"/>
  <c r="C1045" i="25"/>
  <c r="D1045" i="25"/>
  <c r="C1046" i="25"/>
  <c r="D1046" i="25"/>
  <c r="C1047" i="25"/>
  <c r="D1047" i="25"/>
  <c r="C1048" i="25"/>
  <c r="D1048" i="25"/>
  <c r="C1049" i="25"/>
  <c r="D1049" i="25"/>
  <c r="C1050" i="25"/>
  <c r="D1050" i="25"/>
  <c r="C1051" i="25"/>
  <c r="D1051" i="25"/>
  <c r="C1052" i="25"/>
  <c r="D1052" i="25"/>
  <c r="C1053" i="25"/>
  <c r="D1053" i="25"/>
  <c r="C1054" i="25"/>
  <c r="D1054" i="25"/>
  <c r="C1055" i="25"/>
  <c r="D1055" i="25"/>
  <c r="C1056" i="25"/>
  <c r="D1056" i="25"/>
  <c r="C1057" i="25"/>
  <c r="D1057" i="25"/>
  <c r="C1058" i="25"/>
  <c r="D1058" i="25"/>
  <c r="C1059" i="25"/>
  <c r="D1059" i="25"/>
  <c r="C1060" i="25"/>
  <c r="D1060" i="25"/>
  <c r="C1061" i="25"/>
  <c r="D1061" i="25"/>
  <c r="C1062" i="25"/>
  <c r="D1062" i="25"/>
  <c r="C1063" i="25"/>
  <c r="D1063" i="25"/>
  <c r="C1064" i="25"/>
  <c r="D1064" i="25"/>
  <c r="C1065" i="25"/>
  <c r="D1065" i="25"/>
  <c r="C1066" i="25"/>
  <c r="D1066" i="25"/>
  <c r="C1067" i="25"/>
  <c r="D1067" i="25"/>
  <c r="C1068" i="25"/>
  <c r="D1068" i="25"/>
  <c r="C1069" i="25"/>
  <c r="D1069" i="25"/>
  <c r="C1070" i="25"/>
  <c r="D1070" i="25"/>
  <c r="C1071" i="25"/>
  <c r="D1071" i="25"/>
  <c r="C1072" i="25"/>
  <c r="D1072" i="25"/>
  <c r="C1073" i="25"/>
  <c r="D1073" i="25"/>
  <c r="C1074" i="25"/>
  <c r="D1074" i="25"/>
  <c r="C1075" i="25"/>
  <c r="D1075" i="25"/>
  <c r="C1076" i="25"/>
  <c r="D1076" i="25"/>
  <c r="C1077" i="25"/>
  <c r="D1077" i="25"/>
  <c r="C1078" i="25"/>
  <c r="D1078" i="25"/>
  <c r="C1079" i="25"/>
  <c r="D1079" i="25"/>
  <c r="C1080" i="25"/>
  <c r="D1080" i="25"/>
  <c r="C1081" i="25"/>
  <c r="D1081" i="25"/>
  <c r="C1082" i="25"/>
  <c r="D1082" i="25"/>
  <c r="C1083" i="25"/>
  <c r="D1083" i="25"/>
  <c r="C1084" i="25"/>
  <c r="D1084" i="25"/>
  <c r="C1085" i="25"/>
  <c r="D1085" i="25"/>
  <c r="C1086" i="25"/>
  <c r="D1086" i="25"/>
  <c r="C1087" i="25"/>
  <c r="D1087" i="25"/>
  <c r="C1088" i="25"/>
  <c r="D1088" i="25"/>
  <c r="C1089" i="25"/>
  <c r="D1089" i="25"/>
  <c r="C1090" i="25"/>
  <c r="D1090" i="25"/>
  <c r="C1091" i="25"/>
  <c r="D1091" i="25"/>
  <c r="C1092" i="25"/>
  <c r="D1092" i="25"/>
  <c r="C1093" i="25"/>
  <c r="D1093" i="25"/>
  <c r="C1094" i="25"/>
  <c r="D1094" i="25"/>
  <c r="C1095" i="25"/>
  <c r="D1095" i="25"/>
  <c r="C1096" i="25"/>
  <c r="D1096" i="25"/>
  <c r="C1097" i="25"/>
  <c r="D1097" i="25"/>
  <c r="C1098" i="25"/>
  <c r="D1098" i="25"/>
  <c r="C1099" i="25"/>
  <c r="D1099" i="25"/>
  <c r="C1100" i="25"/>
  <c r="D1100" i="25"/>
  <c r="C1101" i="25"/>
  <c r="D1101" i="25"/>
  <c r="C1102" i="25"/>
  <c r="D1102" i="25"/>
  <c r="C1103" i="25"/>
  <c r="D1103" i="25"/>
  <c r="C1104" i="25"/>
  <c r="D1104" i="25"/>
  <c r="C1105" i="25"/>
  <c r="D1105" i="25"/>
  <c r="C1106" i="25"/>
  <c r="D1106" i="25"/>
  <c r="C1107" i="25"/>
  <c r="D1107" i="25"/>
  <c r="C1108" i="25"/>
  <c r="D1108" i="25"/>
  <c r="C1109" i="25"/>
  <c r="D1109" i="25"/>
  <c r="C1110" i="25"/>
  <c r="D1110" i="25"/>
  <c r="C1111" i="25"/>
  <c r="D1111" i="25"/>
  <c r="C1112" i="25"/>
  <c r="D1112" i="25"/>
  <c r="C1113" i="25"/>
  <c r="D1113" i="25"/>
  <c r="C1114" i="25"/>
  <c r="D1114" i="25"/>
  <c r="C1115" i="25"/>
  <c r="D1115" i="25"/>
  <c r="C1116" i="25"/>
  <c r="D1116" i="25"/>
  <c r="C1117" i="25"/>
  <c r="D1117" i="25"/>
  <c r="C1118" i="25"/>
  <c r="D1118" i="25"/>
  <c r="C1119" i="25"/>
  <c r="D1119" i="25"/>
  <c r="C1120" i="25"/>
  <c r="D1120" i="25"/>
  <c r="C1121" i="25"/>
  <c r="D1121" i="25"/>
  <c r="C1122" i="25"/>
  <c r="D1122" i="25"/>
  <c r="C1123" i="25"/>
  <c r="D1123" i="25"/>
  <c r="C1124" i="25"/>
  <c r="D1124" i="25"/>
  <c r="C1125" i="25"/>
  <c r="D1125" i="25"/>
  <c r="C1126" i="25"/>
  <c r="D1126" i="25"/>
  <c r="C1127" i="25"/>
  <c r="D1127" i="25"/>
  <c r="C1128" i="25"/>
  <c r="D1128" i="25"/>
  <c r="C1129" i="25"/>
  <c r="D1129" i="25"/>
  <c r="C1130" i="25"/>
  <c r="D1130" i="25"/>
  <c r="C1131" i="25"/>
  <c r="D1131" i="25"/>
  <c r="C1132" i="25"/>
  <c r="D1132" i="25"/>
  <c r="C1133" i="25"/>
  <c r="D1133" i="25"/>
  <c r="C1134" i="25"/>
  <c r="D1134" i="25"/>
  <c r="C1135" i="25"/>
  <c r="D1135" i="25"/>
  <c r="C1136" i="25"/>
  <c r="D1136" i="25"/>
  <c r="C1137" i="25"/>
  <c r="D1137" i="25"/>
  <c r="C1138" i="25"/>
  <c r="D1138" i="25"/>
  <c r="C1139" i="25"/>
  <c r="D1139" i="25"/>
  <c r="C1140" i="25"/>
  <c r="D1140" i="25"/>
  <c r="C1141" i="25"/>
  <c r="D1141" i="25"/>
  <c r="C1142" i="25"/>
  <c r="D1142" i="25"/>
  <c r="C1143" i="25"/>
  <c r="D1143" i="25"/>
  <c r="C1144" i="25"/>
  <c r="D1144" i="25"/>
  <c r="C1145" i="25"/>
  <c r="D1145" i="25"/>
  <c r="C1146" i="25"/>
  <c r="D1146" i="25"/>
  <c r="C1147" i="25"/>
  <c r="D1147" i="25"/>
  <c r="C1148" i="25"/>
  <c r="D1148" i="25"/>
  <c r="C1149" i="25"/>
  <c r="D1149" i="25"/>
  <c r="C1150" i="25"/>
  <c r="D1150" i="25"/>
  <c r="C1151" i="25"/>
  <c r="D1151" i="25"/>
  <c r="C1152" i="25"/>
  <c r="D1152" i="25"/>
  <c r="C1153" i="25"/>
  <c r="D1153" i="25"/>
  <c r="C1154" i="25"/>
  <c r="D1154" i="25"/>
  <c r="C1155" i="25"/>
  <c r="D1155" i="25"/>
  <c r="C1156" i="25"/>
  <c r="D1156" i="25"/>
  <c r="C1157" i="25"/>
  <c r="D1157" i="25"/>
  <c r="C1158" i="25"/>
  <c r="D1158" i="25"/>
  <c r="C1159" i="25"/>
  <c r="D1159" i="25"/>
  <c r="C1160" i="25"/>
  <c r="D1160" i="25"/>
  <c r="C1161" i="25"/>
  <c r="D1161" i="25"/>
  <c r="C1162" i="25"/>
  <c r="D1162" i="25"/>
  <c r="C1163" i="25"/>
  <c r="D1163" i="25"/>
  <c r="C1164" i="25"/>
  <c r="D1164" i="25"/>
  <c r="C1165" i="25"/>
  <c r="D1165" i="25"/>
  <c r="C1166" i="25"/>
  <c r="D1166" i="25"/>
  <c r="C1167" i="25"/>
  <c r="D1167" i="25"/>
  <c r="C1168" i="25"/>
  <c r="D1168" i="25"/>
  <c r="C1169" i="25"/>
  <c r="D1169" i="25"/>
  <c r="C1170" i="25"/>
  <c r="D1170" i="25"/>
  <c r="C1171" i="25"/>
  <c r="D1171" i="25"/>
  <c r="C1172" i="25"/>
  <c r="D1172" i="25"/>
  <c r="C1173" i="25"/>
  <c r="D1173" i="25"/>
  <c r="C1174" i="25"/>
  <c r="D1174" i="25"/>
  <c r="C1175" i="25"/>
  <c r="D1175" i="25"/>
  <c r="C1176" i="25"/>
  <c r="D1176" i="25"/>
  <c r="C1177" i="25"/>
  <c r="D1177" i="25"/>
  <c r="C1178" i="25"/>
  <c r="D1178" i="25"/>
  <c r="C1179" i="25"/>
  <c r="D1179" i="25"/>
  <c r="C1180" i="25"/>
  <c r="D1180" i="25"/>
  <c r="C1181" i="25"/>
  <c r="D1181" i="25"/>
  <c r="C1182" i="25"/>
  <c r="D1182" i="25"/>
  <c r="C1183" i="25"/>
  <c r="D1183" i="25"/>
  <c r="C1184" i="25"/>
  <c r="D1184" i="25"/>
  <c r="C1185" i="25"/>
  <c r="D1185" i="25"/>
  <c r="C1186" i="25"/>
  <c r="D1186" i="25"/>
  <c r="C1187" i="25"/>
  <c r="D1187" i="25"/>
  <c r="C1188" i="25"/>
  <c r="D1188" i="25"/>
  <c r="C1189" i="25"/>
  <c r="D1189" i="25"/>
  <c r="C1190" i="25"/>
  <c r="D1190" i="25"/>
  <c r="C1191" i="25"/>
  <c r="D1191" i="25"/>
  <c r="C1192" i="25"/>
  <c r="D1192" i="25"/>
  <c r="C1193" i="25"/>
  <c r="D1193" i="25"/>
  <c r="C1194" i="25"/>
  <c r="D1194" i="25"/>
  <c r="C1195" i="25"/>
  <c r="D1195" i="25"/>
  <c r="C1196" i="25"/>
  <c r="D1196" i="25"/>
  <c r="C1197" i="25"/>
  <c r="D1197" i="25"/>
  <c r="C1198" i="25"/>
  <c r="D1198" i="25"/>
  <c r="C1199" i="25"/>
  <c r="D1199" i="25"/>
  <c r="C1200" i="25"/>
  <c r="D1200" i="25"/>
  <c r="C5" i="25"/>
  <c r="D5" i="25"/>
  <c r="C6" i="25"/>
  <c r="D6" i="25"/>
  <c r="C7" i="25"/>
  <c r="D7" i="25"/>
  <c r="C8" i="25"/>
  <c r="D8" i="25"/>
  <c r="D4" i="25"/>
  <c r="C4" i="25"/>
  <c r="B331" i="25"/>
  <c r="B332" i="25"/>
  <c r="B333" i="25"/>
  <c r="B334" i="25"/>
  <c r="B335" i="25"/>
  <c r="B336" i="25"/>
  <c r="B337" i="25"/>
  <c r="B338" i="25"/>
  <c r="B339" i="25"/>
  <c r="B340" i="25"/>
  <c r="B341" i="25"/>
  <c r="B342" i="25"/>
  <c r="B343" i="25"/>
  <c r="B344" i="25"/>
  <c r="B345" i="25"/>
  <c r="B346" i="25"/>
  <c r="B347" i="25"/>
  <c r="B348" i="25"/>
  <c r="B349" i="25"/>
  <c r="B350" i="25"/>
  <c r="B351" i="25"/>
  <c r="B352" i="25"/>
  <c r="B353" i="25"/>
  <c r="B354" i="25"/>
  <c r="B355" i="25"/>
  <c r="B356" i="25"/>
  <c r="B357" i="25"/>
  <c r="B358" i="25"/>
  <c r="B359" i="25"/>
  <c r="B360" i="25"/>
  <c r="B361" i="25"/>
  <c r="B362" i="25"/>
  <c r="B363" i="25"/>
  <c r="B364" i="25"/>
  <c r="B365" i="25"/>
  <c r="B366" i="25"/>
  <c r="B367" i="25"/>
  <c r="B368" i="25"/>
  <c r="B369" i="25"/>
  <c r="B370" i="25"/>
  <c r="B371" i="25"/>
  <c r="B372" i="25"/>
  <c r="B373" i="25"/>
  <c r="B374" i="25"/>
  <c r="B375" i="25"/>
  <c r="B376" i="25"/>
  <c r="B377" i="25"/>
  <c r="B378" i="25"/>
  <c r="B379" i="25"/>
  <c r="B380" i="25"/>
  <c r="B381" i="25"/>
  <c r="B382" i="25"/>
  <c r="B383" i="25"/>
  <c r="B384" i="25"/>
  <c r="B385" i="25"/>
  <c r="B386" i="25"/>
  <c r="B387" i="25"/>
  <c r="B388" i="25"/>
  <c r="B389" i="25"/>
  <c r="B390" i="25"/>
  <c r="B391" i="25"/>
  <c r="B392" i="25"/>
  <c r="B393" i="25"/>
  <c r="B394" i="25"/>
  <c r="B395" i="25"/>
  <c r="B396" i="25"/>
  <c r="B397" i="25"/>
  <c r="B398" i="25"/>
  <c r="B399" i="25"/>
  <c r="B400" i="25"/>
  <c r="B401" i="25"/>
  <c r="B402" i="25"/>
  <c r="B403" i="25"/>
  <c r="B404" i="25"/>
  <c r="B405" i="25"/>
  <c r="B406" i="25"/>
  <c r="B407" i="25"/>
  <c r="B408" i="25"/>
  <c r="B409" i="25"/>
  <c r="B410" i="25"/>
  <c r="B411" i="25"/>
  <c r="B412" i="25"/>
  <c r="B413" i="25"/>
  <c r="B414" i="25"/>
  <c r="B415" i="25"/>
  <c r="B416" i="25"/>
  <c r="B417" i="25"/>
  <c r="B418" i="25"/>
  <c r="B419" i="25"/>
  <c r="B420" i="25"/>
  <c r="B421" i="25"/>
  <c r="B422" i="25"/>
  <c r="B423" i="25"/>
  <c r="B424" i="25"/>
  <c r="B425" i="25"/>
  <c r="B426" i="25"/>
  <c r="B427" i="25"/>
  <c r="B428" i="25"/>
  <c r="B429" i="25"/>
  <c r="B430" i="25"/>
  <c r="B431" i="25"/>
  <c r="B432" i="25"/>
  <c r="B433" i="25"/>
  <c r="B434" i="25"/>
  <c r="B435" i="25"/>
  <c r="B436" i="25"/>
  <c r="B437" i="25"/>
  <c r="B438" i="25"/>
  <c r="B439" i="25"/>
  <c r="B440" i="25"/>
  <c r="B441" i="25"/>
  <c r="B442" i="25"/>
  <c r="B443" i="25"/>
  <c r="B444" i="25"/>
  <c r="B445" i="25"/>
  <c r="B446" i="25"/>
  <c r="B447" i="25"/>
  <c r="B448" i="25"/>
  <c r="B449" i="25"/>
  <c r="B450" i="25"/>
  <c r="B451" i="25"/>
  <c r="B452" i="25"/>
  <c r="B453" i="25"/>
  <c r="B454" i="25"/>
  <c r="B455" i="25"/>
  <c r="B456" i="25"/>
  <c r="B457" i="25"/>
  <c r="B458" i="25"/>
  <c r="B459" i="25"/>
  <c r="B460" i="25"/>
  <c r="B461" i="25"/>
  <c r="B462" i="25"/>
  <c r="B463" i="25"/>
  <c r="B464" i="25"/>
  <c r="B465" i="25"/>
  <c r="B466" i="25"/>
  <c r="B467" i="25"/>
  <c r="B468" i="25"/>
  <c r="B469" i="25"/>
  <c r="B470" i="25"/>
  <c r="B471" i="25"/>
  <c r="B472" i="25"/>
  <c r="B473" i="25"/>
  <c r="B474" i="25"/>
  <c r="B475" i="25"/>
  <c r="B476" i="25"/>
  <c r="B477" i="25"/>
  <c r="B478" i="25"/>
  <c r="B479" i="25"/>
  <c r="B480" i="25"/>
  <c r="B481" i="25"/>
  <c r="B482" i="25"/>
  <c r="B483" i="25"/>
  <c r="B484" i="25"/>
  <c r="B485" i="25"/>
  <c r="B486" i="25"/>
  <c r="B487" i="25"/>
  <c r="B488" i="25"/>
  <c r="B489" i="25"/>
  <c r="B490" i="25"/>
  <c r="B491" i="25"/>
  <c r="B492" i="25"/>
  <c r="B493" i="25"/>
  <c r="B494" i="25"/>
  <c r="B495" i="25"/>
  <c r="B496" i="25"/>
  <c r="B497" i="25"/>
  <c r="B498" i="25"/>
  <c r="B499" i="25"/>
  <c r="B500" i="25"/>
  <c r="B501" i="25"/>
  <c r="B502" i="25"/>
  <c r="B503" i="25"/>
  <c r="B504" i="25"/>
  <c r="B505" i="25"/>
  <c r="B506" i="25"/>
  <c r="B507" i="25"/>
  <c r="B508" i="25"/>
  <c r="B509" i="25"/>
  <c r="B510" i="25"/>
  <c r="B511" i="25"/>
  <c r="B512" i="25"/>
  <c r="B513" i="25"/>
  <c r="B514" i="25"/>
  <c r="B515" i="25"/>
  <c r="B516" i="25"/>
  <c r="B517" i="25"/>
  <c r="B518" i="25"/>
  <c r="B519" i="25"/>
  <c r="B520" i="25"/>
  <c r="B521" i="25"/>
  <c r="B522" i="25"/>
  <c r="B523" i="25"/>
  <c r="B524" i="25"/>
  <c r="B525" i="25"/>
  <c r="B526" i="25"/>
  <c r="B527" i="25"/>
  <c r="B528" i="25"/>
  <c r="B529" i="25"/>
  <c r="B530" i="25"/>
  <c r="B531" i="25"/>
  <c r="B532" i="25"/>
  <c r="B533" i="25"/>
  <c r="B534" i="25"/>
  <c r="B535" i="25"/>
  <c r="B536" i="25"/>
  <c r="B537" i="25"/>
  <c r="B538" i="25"/>
  <c r="B539" i="25"/>
  <c r="B540" i="25"/>
  <c r="B541" i="25"/>
  <c r="B542" i="25"/>
  <c r="B543" i="25"/>
  <c r="B544" i="25"/>
  <c r="B545" i="25"/>
  <c r="B546" i="25"/>
  <c r="B547" i="25"/>
  <c r="B548" i="25"/>
  <c r="B549" i="25"/>
  <c r="B550" i="25"/>
  <c r="B551" i="25"/>
  <c r="B552" i="25"/>
  <c r="B553" i="25"/>
  <c r="B554" i="25"/>
  <c r="B555" i="25"/>
  <c r="B556" i="25"/>
  <c r="B557" i="25"/>
  <c r="B558" i="25"/>
  <c r="B559" i="25"/>
  <c r="B560" i="25"/>
  <c r="B561" i="25"/>
  <c r="B562" i="25"/>
  <c r="B563" i="25"/>
  <c r="B564" i="25"/>
  <c r="B565" i="25"/>
  <c r="B566" i="25"/>
  <c r="B567" i="25"/>
  <c r="B568" i="25"/>
  <c r="B569" i="25"/>
  <c r="B570" i="25"/>
  <c r="B571" i="25"/>
  <c r="B572" i="25"/>
  <c r="B573" i="25"/>
  <c r="B574" i="25"/>
  <c r="B575" i="25"/>
  <c r="B576" i="25"/>
  <c r="B577" i="25"/>
  <c r="B578" i="25"/>
  <c r="B579" i="25"/>
  <c r="B580" i="25"/>
  <c r="B581" i="25"/>
  <c r="B582" i="25"/>
  <c r="B583" i="25"/>
  <c r="B584" i="25"/>
  <c r="B585" i="25"/>
  <c r="B586" i="25"/>
  <c r="B587" i="25"/>
  <c r="B588" i="25"/>
  <c r="B589" i="25"/>
  <c r="B590" i="25"/>
  <c r="B591" i="25"/>
  <c r="B592" i="25"/>
  <c r="B593" i="25"/>
  <c r="B594" i="25"/>
  <c r="B595" i="25"/>
  <c r="B596" i="25"/>
  <c r="B597" i="25"/>
  <c r="B598" i="25"/>
  <c r="B599" i="25"/>
  <c r="B600" i="25"/>
  <c r="B601" i="25"/>
  <c r="B602" i="25"/>
  <c r="B603" i="25"/>
  <c r="B604" i="25"/>
  <c r="B605" i="25"/>
  <c r="B606" i="25"/>
  <c r="B607" i="25"/>
  <c r="B608" i="25"/>
  <c r="B609" i="25"/>
  <c r="B610" i="25"/>
  <c r="B611" i="25"/>
  <c r="B612" i="25"/>
  <c r="B613" i="25"/>
  <c r="B614" i="25"/>
  <c r="B615" i="25"/>
  <c r="B616" i="25"/>
  <c r="B617" i="25"/>
  <c r="B618" i="25"/>
  <c r="B619" i="25"/>
  <c r="B620" i="25"/>
  <c r="B621" i="25"/>
  <c r="B622" i="25"/>
  <c r="B623" i="25"/>
  <c r="B624" i="25"/>
  <c r="B625" i="25"/>
  <c r="B626" i="25"/>
  <c r="B627" i="25"/>
  <c r="B628" i="25"/>
  <c r="B629" i="25"/>
  <c r="B630" i="25"/>
  <c r="B631" i="25"/>
  <c r="B632" i="25"/>
  <c r="B633" i="25"/>
  <c r="B634" i="25"/>
  <c r="B635" i="25"/>
  <c r="B636" i="25"/>
  <c r="B637" i="25"/>
  <c r="B638" i="25"/>
  <c r="B639" i="25"/>
  <c r="B640" i="25"/>
  <c r="B641" i="25"/>
  <c r="B642" i="25"/>
  <c r="B643" i="25"/>
  <c r="B644" i="25"/>
  <c r="B645" i="25"/>
  <c r="B646" i="25"/>
  <c r="B647" i="25"/>
  <c r="B648" i="25"/>
  <c r="B649" i="25"/>
  <c r="B650" i="25"/>
  <c r="B651" i="25"/>
  <c r="B652" i="25"/>
  <c r="B653" i="25"/>
  <c r="B654" i="25"/>
  <c r="B655" i="25"/>
  <c r="B656" i="25"/>
  <c r="B657" i="25"/>
  <c r="B658" i="25"/>
  <c r="B659" i="25"/>
  <c r="B660" i="25"/>
  <c r="B661" i="25"/>
  <c r="B662" i="25"/>
  <c r="B663" i="25"/>
  <c r="B664" i="25"/>
  <c r="B665" i="25"/>
  <c r="B666" i="25"/>
  <c r="B667" i="25"/>
  <c r="B668" i="25"/>
  <c r="B669" i="25"/>
  <c r="B670" i="25"/>
  <c r="B671" i="25"/>
  <c r="B672" i="25"/>
  <c r="B673" i="25"/>
  <c r="B674" i="25"/>
  <c r="B675" i="25"/>
  <c r="B676" i="25"/>
  <c r="B677" i="25"/>
  <c r="B678" i="25"/>
  <c r="B679" i="25"/>
  <c r="B680" i="25"/>
  <c r="B681" i="25"/>
  <c r="B682" i="25"/>
  <c r="B683" i="25"/>
  <c r="B684" i="25"/>
  <c r="B685" i="25"/>
  <c r="B686" i="25"/>
  <c r="B687" i="25"/>
  <c r="B688" i="25"/>
  <c r="B689" i="25"/>
  <c r="B690" i="25"/>
  <c r="B691" i="25"/>
  <c r="B692" i="25"/>
  <c r="B693" i="25"/>
  <c r="B694" i="25"/>
  <c r="B695" i="25"/>
  <c r="B696" i="25"/>
  <c r="B697" i="25"/>
  <c r="B698" i="25"/>
  <c r="B699" i="25"/>
  <c r="B700" i="25"/>
  <c r="B701" i="25"/>
  <c r="B702" i="25"/>
  <c r="B703" i="25"/>
  <c r="B704" i="25"/>
  <c r="B705" i="25"/>
  <c r="B706" i="25"/>
  <c r="B707" i="25"/>
  <c r="B708" i="25"/>
  <c r="B709" i="25"/>
  <c r="B710" i="25"/>
  <c r="B711" i="25"/>
  <c r="B712" i="25"/>
  <c r="B713" i="25"/>
  <c r="B714" i="25"/>
  <c r="B715" i="25"/>
  <c r="B716" i="25"/>
  <c r="B717" i="25"/>
  <c r="B718" i="25"/>
  <c r="B719" i="25"/>
  <c r="B720" i="25"/>
  <c r="B721" i="25"/>
  <c r="B722" i="25"/>
  <c r="B723" i="25"/>
  <c r="B724" i="25"/>
  <c r="B725" i="25"/>
  <c r="B726" i="25"/>
  <c r="B727" i="25"/>
  <c r="B728" i="25"/>
  <c r="B729" i="25"/>
  <c r="B730" i="25"/>
  <c r="B731" i="25"/>
  <c r="B732" i="25"/>
  <c r="B733" i="25"/>
  <c r="B734" i="25"/>
  <c r="B735" i="25"/>
  <c r="B736" i="25"/>
  <c r="B737" i="25"/>
  <c r="B738" i="25"/>
  <c r="B739" i="25"/>
  <c r="B740" i="25"/>
  <c r="B741" i="25"/>
  <c r="B742" i="25"/>
  <c r="B743" i="25"/>
  <c r="B744" i="25"/>
  <c r="B745" i="25"/>
  <c r="B746" i="25"/>
  <c r="B747" i="25"/>
  <c r="B748" i="25"/>
  <c r="B749" i="25"/>
  <c r="B750" i="25"/>
  <c r="B751" i="25"/>
  <c r="B752" i="25"/>
  <c r="B753" i="25"/>
  <c r="B754" i="25"/>
  <c r="B755" i="25"/>
  <c r="B756" i="25"/>
  <c r="B757" i="25"/>
  <c r="B758" i="25"/>
  <c r="B759" i="25"/>
  <c r="B760" i="25"/>
  <c r="B761" i="25"/>
  <c r="B762" i="25"/>
  <c r="B763" i="25"/>
  <c r="B764" i="25"/>
  <c r="B765" i="25"/>
  <c r="B766" i="25"/>
  <c r="B767" i="25"/>
  <c r="B768" i="25"/>
  <c r="B769" i="25"/>
  <c r="B770" i="25"/>
  <c r="B771" i="25"/>
  <c r="B772" i="25"/>
  <c r="B773" i="25"/>
  <c r="B774" i="25"/>
  <c r="B775" i="25"/>
  <c r="B776" i="25"/>
  <c r="B777" i="25"/>
  <c r="B778" i="25"/>
  <c r="B779" i="25"/>
  <c r="B780" i="25"/>
  <c r="B781" i="25"/>
  <c r="B782" i="25"/>
  <c r="B783" i="25"/>
  <c r="B784" i="25"/>
  <c r="B785" i="25"/>
  <c r="B786" i="25"/>
  <c r="B787" i="25"/>
  <c r="B788" i="25"/>
  <c r="B789" i="25"/>
  <c r="B790" i="25"/>
  <c r="B791" i="25"/>
  <c r="B792" i="25"/>
  <c r="B793" i="25"/>
  <c r="B794" i="25"/>
  <c r="B795" i="25"/>
  <c r="B796" i="25"/>
  <c r="B797" i="25"/>
  <c r="B798" i="25"/>
  <c r="B799" i="25"/>
  <c r="B800" i="25"/>
  <c r="B801" i="25"/>
  <c r="B802" i="25"/>
  <c r="B803" i="25"/>
  <c r="B804" i="25"/>
  <c r="B805" i="25"/>
  <c r="B806" i="25"/>
  <c r="B807" i="25"/>
  <c r="B808" i="25"/>
  <c r="B809" i="25"/>
  <c r="B810" i="25"/>
  <c r="B811" i="25"/>
  <c r="B812" i="25"/>
  <c r="B813" i="25"/>
  <c r="B814" i="25"/>
  <c r="B815" i="25"/>
  <c r="B816" i="25"/>
  <c r="B817" i="25"/>
  <c r="B818" i="25"/>
  <c r="B819" i="25"/>
  <c r="B820" i="25"/>
  <c r="B821" i="25"/>
  <c r="B822" i="25"/>
  <c r="B823" i="25"/>
  <c r="B824" i="25"/>
  <c r="B825" i="25"/>
  <c r="B826" i="25"/>
  <c r="B827" i="25"/>
  <c r="B828" i="25"/>
  <c r="B829" i="25"/>
  <c r="B830" i="25"/>
  <c r="B831" i="25"/>
  <c r="B832" i="25"/>
  <c r="B833" i="25"/>
  <c r="B834" i="25"/>
  <c r="B835" i="25"/>
  <c r="B836" i="25"/>
  <c r="B837" i="25"/>
  <c r="B838" i="25"/>
  <c r="B839" i="25"/>
  <c r="B840" i="25"/>
  <c r="B841" i="25"/>
  <c r="B842" i="25"/>
  <c r="B843" i="25"/>
  <c r="B844" i="25"/>
  <c r="B845" i="25"/>
  <c r="B846" i="25"/>
  <c r="B847" i="25"/>
  <c r="B848" i="25"/>
  <c r="B849" i="25"/>
  <c r="B850" i="25"/>
  <c r="B851" i="25"/>
  <c r="B852" i="25"/>
  <c r="B853" i="25"/>
  <c r="B854" i="25"/>
  <c r="B855" i="25"/>
  <c r="B856" i="25"/>
  <c r="B857" i="25"/>
  <c r="B858" i="25"/>
  <c r="B859" i="25"/>
  <c r="B860" i="25"/>
  <c r="B861" i="25"/>
  <c r="B862" i="25"/>
  <c r="B863" i="25"/>
  <c r="B864" i="25"/>
  <c r="B865" i="25"/>
  <c r="B866" i="25"/>
  <c r="B867" i="25"/>
  <c r="B868" i="25"/>
  <c r="B869" i="25"/>
  <c r="B870" i="25"/>
  <c r="B871" i="25"/>
  <c r="B872" i="25"/>
  <c r="B873" i="25"/>
  <c r="B874" i="25"/>
  <c r="B875" i="25"/>
  <c r="B876" i="25"/>
  <c r="B877" i="25"/>
  <c r="B878" i="25"/>
  <c r="B879" i="25"/>
  <c r="B880" i="25"/>
  <c r="B881" i="25"/>
  <c r="B882" i="25"/>
  <c r="B883" i="25"/>
  <c r="B884" i="25"/>
  <c r="B885" i="25"/>
  <c r="B886" i="25"/>
  <c r="B887" i="25"/>
  <c r="B888" i="25"/>
  <c r="B889" i="25"/>
  <c r="B890" i="25"/>
  <c r="B891" i="25"/>
  <c r="B892" i="25"/>
  <c r="B893" i="25"/>
  <c r="B894" i="25"/>
  <c r="B895" i="25"/>
  <c r="B896" i="25"/>
  <c r="B897" i="25"/>
  <c r="B898" i="25"/>
  <c r="B899" i="25"/>
  <c r="B900" i="25"/>
  <c r="B901" i="25"/>
  <c r="B902" i="25"/>
  <c r="B903" i="25"/>
  <c r="B904" i="25"/>
  <c r="B905" i="25"/>
  <c r="B906" i="25"/>
  <c r="B907" i="25"/>
  <c r="B908" i="25"/>
  <c r="B909" i="25"/>
  <c r="B910" i="25"/>
  <c r="B911" i="25"/>
  <c r="B912" i="25"/>
  <c r="B913" i="25"/>
  <c r="B914" i="25"/>
  <c r="B915" i="25"/>
  <c r="B916" i="25"/>
  <c r="B917" i="25"/>
  <c r="B918" i="25"/>
  <c r="B919" i="25"/>
  <c r="B920" i="25"/>
  <c r="B921" i="25"/>
  <c r="B922" i="25"/>
  <c r="B923" i="25"/>
  <c r="B924" i="25"/>
  <c r="B925" i="25"/>
  <c r="B926" i="25"/>
  <c r="B927" i="25"/>
  <c r="B928" i="25"/>
  <c r="B929" i="25"/>
  <c r="B930" i="25"/>
  <c r="B931" i="25"/>
  <c r="B932" i="25"/>
  <c r="B933" i="25"/>
  <c r="B934" i="25"/>
  <c r="B935" i="25"/>
  <c r="B936" i="25"/>
  <c r="B937" i="25"/>
  <c r="B938" i="25"/>
  <c r="B939" i="25"/>
  <c r="B940" i="25"/>
  <c r="B941" i="25"/>
  <c r="B942" i="25"/>
  <c r="B943" i="25"/>
  <c r="B944" i="25"/>
  <c r="B945" i="25"/>
  <c r="B946" i="25"/>
  <c r="B947" i="25"/>
  <c r="B948" i="25"/>
  <c r="B949" i="25"/>
  <c r="B950" i="25"/>
  <c r="B951" i="25"/>
  <c r="B952" i="25"/>
  <c r="B953" i="25"/>
  <c r="B954" i="25"/>
  <c r="B955" i="25"/>
  <c r="B956" i="25"/>
  <c r="B957" i="25"/>
  <c r="B958" i="25"/>
  <c r="B959" i="25"/>
  <c r="B960" i="25"/>
  <c r="B961" i="25"/>
  <c r="B962" i="25"/>
  <c r="B963" i="25"/>
  <c r="B964" i="25"/>
  <c r="B965" i="25"/>
  <c r="B966" i="25"/>
  <c r="B967" i="25"/>
  <c r="B968" i="25"/>
  <c r="B969" i="25"/>
  <c r="B970" i="25"/>
  <c r="B971" i="25"/>
  <c r="B972" i="25"/>
  <c r="B973" i="25"/>
  <c r="B974" i="25"/>
  <c r="B975" i="25"/>
  <c r="B976" i="25"/>
  <c r="B977" i="25"/>
  <c r="B978" i="25"/>
  <c r="B979" i="25"/>
  <c r="B980" i="25"/>
  <c r="B981" i="25"/>
  <c r="B982" i="25"/>
  <c r="B983" i="25"/>
  <c r="B984" i="25"/>
  <c r="B985" i="25"/>
  <c r="B986" i="25"/>
  <c r="B987" i="25"/>
  <c r="B988" i="25"/>
  <c r="B989" i="25"/>
  <c r="B990" i="25"/>
  <c r="B991" i="25"/>
  <c r="B992" i="25"/>
  <c r="B993" i="25"/>
  <c r="B994" i="25"/>
  <c r="B995" i="25"/>
  <c r="B996" i="25"/>
  <c r="B997" i="25"/>
  <c r="B998" i="25"/>
  <c r="B999" i="25"/>
  <c r="B1000" i="25"/>
  <c r="B1001" i="25"/>
  <c r="B1002" i="25"/>
  <c r="B1003" i="25"/>
  <c r="B1004" i="25"/>
  <c r="B1005" i="25"/>
  <c r="B1006" i="25"/>
  <c r="B1007" i="25"/>
  <c r="B1008" i="25"/>
  <c r="B1009" i="25"/>
  <c r="B1010" i="25"/>
  <c r="B1011" i="25"/>
  <c r="B1012" i="25"/>
  <c r="B1013" i="25"/>
  <c r="B1014" i="25"/>
  <c r="B1015" i="25"/>
  <c r="B1016" i="25"/>
  <c r="B1017" i="25"/>
  <c r="B1018" i="25"/>
  <c r="B1019" i="25"/>
  <c r="B1020" i="25"/>
  <c r="B1021" i="25"/>
  <c r="B1022" i="25"/>
  <c r="B1023" i="25"/>
  <c r="B1024" i="25"/>
  <c r="B1025" i="25"/>
  <c r="B1026" i="25"/>
  <c r="B1027" i="25"/>
  <c r="B1028" i="25"/>
  <c r="B1029" i="25"/>
  <c r="B1030" i="25"/>
  <c r="B1031" i="25"/>
  <c r="B1032" i="25"/>
  <c r="B1033" i="25"/>
  <c r="B1034" i="25"/>
  <c r="B1035" i="25"/>
  <c r="B1036" i="25"/>
  <c r="B1037" i="25"/>
  <c r="B1038" i="25"/>
  <c r="B1039" i="25"/>
  <c r="B1040" i="25"/>
  <c r="B1041" i="25"/>
  <c r="B1042" i="25"/>
  <c r="B1043" i="25"/>
  <c r="B1044" i="25"/>
  <c r="B1045" i="25"/>
  <c r="B1046" i="25"/>
  <c r="B1047" i="25"/>
  <c r="B1048" i="25"/>
  <c r="B1049" i="25"/>
  <c r="B1050" i="25"/>
  <c r="B1051" i="25"/>
  <c r="B1052" i="25"/>
  <c r="B1053" i="25"/>
  <c r="B1054" i="25"/>
  <c r="B1055" i="25"/>
  <c r="B1056" i="25"/>
  <c r="B1057" i="25"/>
  <c r="B1058" i="25"/>
  <c r="B1059" i="25"/>
  <c r="B1060" i="25"/>
  <c r="B1061" i="25"/>
  <c r="B1062" i="25"/>
  <c r="B1063" i="25"/>
  <c r="B1064" i="25"/>
  <c r="B1065" i="25"/>
  <c r="B1066" i="25"/>
  <c r="B1067" i="25"/>
  <c r="B1068" i="25"/>
  <c r="B1069" i="25"/>
  <c r="B1070" i="25"/>
  <c r="B1071" i="25"/>
  <c r="B1072" i="25"/>
  <c r="B1073" i="25"/>
  <c r="B1074" i="25"/>
  <c r="B1075" i="25"/>
  <c r="B1076" i="25"/>
  <c r="B1077" i="25"/>
  <c r="B1078" i="25"/>
  <c r="B1079" i="25"/>
  <c r="B1080" i="25"/>
  <c r="B1081" i="25"/>
  <c r="B1082" i="25"/>
  <c r="B1083" i="25"/>
  <c r="B1084" i="25"/>
  <c r="B1085" i="25"/>
  <c r="B1086" i="25"/>
  <c r="B1087" i="25"/>
  <c r="B1088" i="25"/>
  <c r="B1089" i="25"/>
  <c r="B1090" i="25"/>
  <c r="B1091" i="25"/>
  <c r="B1092" i="25"/>
  <c r="B1093" i="25"/>
  <c r="B1094" i="25"/>
  <c r="B1095" i="25"/>
  <c r="B1096" i="25"/>
  <c r="B1097" i="25"/>
  <c r="B1098" i="25"/>
  <c r="B1099" i="25"/>
  <c r="B1100" i="25"/>
  <c r="B1101" i="25"/>
  <c r="B1102" i="25"/>
  <c r="B1103" i="25"/>
  <c r="B1104" i="25"/>
  <c r="B1105" i="25"/>
  <c r="B1106" i="25"/>
  <c r="B1107" i="25"/>
  <c r="B1108" i="25"/>
  <c r="B1109" i="25"/>
  <c r="B1110" i="25"/>
  <c r="B1111" i="25"/>
  <c r="B1112" i="25"/>
  <c r="B1113" i="25"/>
  <c r="B1114" i="25"/>
  <c r="B1115" i="25"/>
  <c r="B1116" i="25"/>
  <c r="B1117" i="25"/>
  <c r="B1118" i="25"/>
  <c r="B1119" i="25"/>
  <c r="B1120" i="25"/>
  <c r="B1121" i="25"/>
  <c r="B1122" i="25"/>
  <c r="B1123" i="25"/>
  <c r="B1124" i="25"/>
  <c r="B1125" i="25"/>
  <c r="B1126" i="25"/>
  <c r="B1127" i="25"/>
  <c r="B1128" i="25"/>
  <c r="B1129" i="25"/>
  <c r="B1130" i="25"/>
  <c r="B1131" i="25"/>
  <c r="B1132" i="25"/>
  <c r="B1133" i="25"/>
  <c r="B1134" i="25"/>
  <c r="B1135" i="25"/>
  <c r="B1136" i="25"/>
  <c r="B1137" i="25"/>
  <c r="B1138" i="25"/>
  <c r="B1139" i="25"/>
  <c r="B1140" i="25"/>
  <c r="B1141" i="25"/>
  <c r="B1142" i="25"/>
  <c r="B1143" i="25"/>
  <c r="B1144" i="25"/>
  <c r="B1145" i="25"/>
  <c r="B1146" i="25"/>
  <c r="B1147" i="25"/>
  <c r="B1148" i="25"/>
  <c r="B1149" i="25"/>
  <c r="B1150" i="25"/>
  <c r="B1151" i="25"/>
  <c r="B1152" i="25"/>
  <c r="B1153" i="25"/>
  <c r="B1154" i="25"/>
  <c r="B1155" i="25"/>
  <c r="B1156" i="25"/>
  <c r="B1157" i="25"/>
  <c r="B1158" i="25"/>
  <c r="B1159" i="25"/>
  <c r="B1160" i="25"/>
  <c r="B1161" i="25"/>
  <c r="B1162" i="25"/>
  <c r="B1163" i="25"/>
  <c r="B1164" i="25"/>
  <c r="B1165" i="25"/>
  <c r="B1166" i="25"/>
  <c r="B1167" i="25"/>
  <c r="B1168" i="25"/>
  <c r="B1169" i="25"/>
  <c r="B1170" i="25"/>
  <c r="B1171" i="25"/>
  <c r="B1172" i="25"/>
  <c r="B1173" i="25"/>
  <c r="B1174" i="25"/>
  <c r="B1175" i="25"/>
  <c r="B1176" i="25"/>
  <c r="B1177" i="25"/>
  <c r="B1178" i="25"/>
  <c r="B1179" i="25"/>
  <c r="B1180" i="25"/>
  <c r="B1181" i="25"/>
  <c r="B1182" i="25"/>
  <c r="B1183" i="25"/>
  <c r="B1184" i="25"/>
  <c r="B1185" i="25"/>
  <c r="B1186" i="25"/>
  <c r="B1187" i="25"/>
  <c r="B1188" i="25"/>
  <c r="B1189" i="25"/>
  <c r="B1190" i="25"/>
  <c r="B1191" i="25"/>
  <c r="B1192" i="25"/>
  <c r="B1193" i="25"/>
  <c r="B1194" i="25"/>
  <c r="B1195" i="25"/>
  <c r="B1196" i="25"/>
  <c r="B1197" i="25"/>
  <c r="B1198" i="25"/>
  <c r="B1199" i="25"/>
  <c r="B1200" i="25"/>
  <c r="A5" i="25"/>
  <c r="A6" i="25"/>
  <c r="A7" i="25"/>
  <c r="A9" i="25"/>
  <c r="A10" i="25"/>
  <c r="A11" i="25"/>
  <c r="A12" i="25"/>
  <c r="A13" i="25"/>
  <c r="A14" i="25"/>
  <c r="A15" i="25"/>
  <c r="A16" i="25"/>
  <c r="A17" i="25"/>
  <c r="A18" i="25"/>
  <c r="A19" i="25"/>
  <c r="A20" i="25"/>
  <c r="A21" i="25"/>
  <c r="A22" i="25"/>
  <c r="A23" i="25"/>
  <c r="A24" i="25"/>
  <c r="A25" i="25"/>
  <c r="A26" i="25"/>
  <c r="A27" i="25"/>
  <c r="A28" i="25"/>
  <c r="A29" i="25"/>
  <c r="A30" i="25"/>
  <c r="A31" i="25"/>
  <c r="A32" i="25"/>
  <c r="A33" i="25"/>
  <c r="A34" i="25"/>
  <c r="A35" i="25"/>
  <c r="A36" i="25"/>
  <c r="A37" i="25"/>
  <c r="A38" i="25"/>
  <c r="A39" i="25"/>
  <c r="A40" i="25"/>
  <c r="A41" i="25"/>
  <c r="A42" i="25"/>
  <c r="A43" i="25"/>
  <c r="A44" i="25"/>
  <c r="A45" i="25"/>
  <c r="A46" i="25"/>
  <c r="A47" i="25"/>
  <c r="A48" i="25"/>
  <c r="A49" i="25"/>
  <c r="A50" i="25"/>
  <c r="A51" i="25"/>
  <c r="A52" i="25"/>
  <c r="A53" i="25"/>
  <c r="A54" i="25"/>
  <c r="A55" i="25"/>
  <c r="A56" i="25"/>
  <c r="A57" i="25"/>
  <c r="A58" i="25"/>
  <c r="A59" i="25"/>
  <c r="A60" i="25"/>
  <c r="A61" i="25"/>
  <c r="A62" i="25"/>
  <c r="A63" i="25"/>
  <c r="A64" i="25"/>
  <c r="A65" i="25"/>
  <c r="A66" i="25"/>
  <c r="A67" i="25"/>
  <c r="A68" i="25"/>
  <c r="A69" i="25"/>
  <c r="A70" i="25"/>
  <c r="A71" i="25"/>
  <c r="A72" i="25"/>
  <c r="A73" i="25"/>
  <c r="A74" i="25"/>
  <c r="A75" i="25"/>
  <c r="A76" i="25"/>
  <c r="A77" i="25"/>
  <c r="A78" i="25"/>
  <c r="A79" i="25"/>
  <c r="A80" i="25"/>
  <c r="A81" i="25"/>
  <c r="A82" i="25"/>
  <c r="A83" i="25"/>
  <c r="A84" i="25"/>
  <c r="A85" i="25"/>
  <c r="A86" i="25"/>
  <c r="A87" i="25"/>
  <c r="A88" i="25"/>
  <c r="A89" i="25"/>
  <c r="A90" i="25"/>
  <c r="A91" i="25"/>
  <c r="A92" i="25"/>
  <c r="A93" i="25"/>
  <c r="A94" i="25"/>
  <c r="A95" i="25"/>
  <c r="A96" i="25"/>
  <c r="A97" i="25"/>
  <c r="A98" i="25"/>
  <c r="A99" i="25"/>
  <c r="A100" i="25"/>
  <c r="A101" i="25"/>
  <c r="A102" i="25"/>
  <c r="A103" i="25"/>
  <c r="A104" i="25"/>
  <c r="A105" i="25"/>
  <c r="A106" i="25"/>
  <c r="A107" i="25"/>
  <c r="A108" i="25"/>
  <c r="A109" i="25"/>
  <c r="A110" i="25"/>
  <c r="A111" i="25"/>
  <c r="A112" i="25"/>
  <c r="A113" i="25"/>
  <c r="A114" i="25"/>
  <c r="A115" i="25"/>
  <c r="A116" i="25"/>
  <c r="A117" i="25"/>
  <c r="A118" i="25"/>
  <c r="A119" i="25"/>
  <c r="A120" i="25"/>
  <c r="A121" i="25"/>
  <c r="A122" i="25"/>
  <c r="A123" i="25"/>
  <c r="A124" i="25"/>
  <c r="A125" i="25"/>
  <c r="A126" i="25"/>
  <c r="A127" i="25"/>
  <c r="A128" i="25"/>
  <c r="A129" i="25"/>
  <c r="A130" i="25"/>
  <c r="A131" i="25"/>
  <c r="A132" i="25"/>
  <c r="A133" i="25"/>
  <c r="A134" i="25"/>
  <c r="A135" i="25"/>
  <c r="A136" i="25"/>
  <c r="A137" i="25"/>
  <c r="A138" i="25"/>
  <c r="A139" i="25"/>
  <c r="A140" i="25"/>
  <c r="A141" i="25"/>
  <c r="A142" i="25"/>
  <c r="A143" i="25"/>
  <c r="A144" i="25"/>
  <c r="A145" i="25"/>
  <c r="A146" i="25"/>
  <c r="A147" i="25"/>
  <c r="A148" i="25"/>
  <c r="A149" i="25"/>
  <c r="A150" i="25"/>
  <c r="A151" i="25"/>
  <c r="A152" i="25"/>
  <c r="A153" i="25"/>
  <c r="A154" i="25"/>
  <c r="A155" i="25"/>
  <c r="A156" i="25"/>
  <c r="A157" i="25"/>
  <c r="A158" i="25"/>
  <c r="A159" i="25"/>
  <c r="A160" i="25"/>
  <c r="A161" i="25"/>
  <c r="A162" i="25"/>
  <c r="A163" i="25"/>
  <c r="A164" i="25"/>
  <c r="A165" i="25"/>
  <c r="A166" i="25"/>
  <c r="A167" i="25"/>
  <c r="A168" i="25"/>
  <c r="A169" i="25"/>
  <c r="A170" i="25"/>
  <c r="A171" i="25"/>
  <c r="A172" i="25"/>
  <c r="A173" i="25"/>
  <c r="A174" i="25"/>
  <c r="A175" i="25"/>
  <c r="A176" i="25"/>
  <c r="A177" i="25"/>
  <c r="A178" i="25"/>
  <c r="A179" i="25"/>
  <c r="A180" i="25"/>
  <c r="A181" i="25"/>
  <c r="A182" i="25"/>
  <c r="A183" i="25"/>
  <c r="A184" i="25"/>
  <c r="A185" i="25"/>
  <c r="A186" i="25"/>
  <c r="A187" i="25"/>
  <c r="A188" i="25"/>
  <c r="A189" i="25"/>
  <c r="A190" i="25"/>
  <c r="A191" i="25"/>
  <c r="A192" i="25"/>
  <c r="A193" i="25"/>
  <c r="A194" i="25"/>
  <c r="A195" i="25"/>
  <c r="A196" i="25"/>
  <c r="A197" i="25"/>
  <c r="A198" i="25"/>
  <c r="A199" i="25"/>
  <c r="A200" i="25"/>
  <c r="A201" i="25"/>
  <c r="A202" i="25"/>
  <c r="A203" i="25"/>
  <c r="A204" i="25"/>
  <c r="A205" i="25"/>
  <c r="A206" i="25"/>
  <c r="A207" i="25"/>
  <c r="A208" i="25"/>
  <c r="A209" i="25"/>
  <c r="A210" i="25"/>
  <c r="A211" i="25"/>
  <c r="A212" i="25"/>
  <c r="A213" i="25"/>
  <c r="A214" i="25"/>
  <c r="A215" i="25"/>
  <c r="A216" i="25"/>
  <c r="A217" i="25"/>
  <c r="A218" i="25"/>
  <c r="A219" i="25"/>
  <c r="A220" i="25"/>
  <c r="A221" i="25"/>
  <c r="A222" i="25"/>
  <c r="A223" i="25"/>
  <c r="A224" i="25"/>
  <c r="A225" i="25"/>
  <c r="A226" i="25"/>
  <c r="A227" i="25"/>
  <c r="A228" i="25"/>
  <c r="A229" i="25"/>
  <c r="A230" i="25"/>
  <c r="A231" i="25"/>
  <c r="A232" i="25"/>
  <c r="A233" i="25"/>
  <c r="A234" i="25"/>
  <c r="A235" i="25"/>
  <c r="A236" i="25"/>
  <c r="A237" i="25"/>
  <c r="A238" i="25"/>
  <c r="A239" i="25"/>
  <c r="A240" i="25"/>
  <c r="A241" i="25"/>
  <c r="A242" i="25"/>
  <c r="A243" i="25"/>
  <c r="A244" i="25"/>
  <c r="A245" i="25"/>
  <c r="A246" i="25"/>
  <c r="A247" i="25"/>
  <c r="A248" i="25"/>
  <c r="A249" i="25"/>
  <c r="A250" i="25"/>
  <c r="A251" i="25"/>
  <c r="A252" i="25"/>
  <c r="A253" i="25"/>
  <c r="A254" i="25"/>
  <c r="A255" i="25"/>
  <c r="A256" i="25"/>
  <c r="A257" i="25"/>
  <c r="A258" i="25"/>
  <c r="A259" i="25"/>
  <c r="A260" i="25"/>
  <c r="A261" i="25"/>
  <c r="A262" i="25"/>
  <c r="A263" i="25"/>
  <c r="A264" i="25"/>
  <c r="A265" i="25"/>
  <c r="A266" i="25"/>
  <c r="A267" i="25"/>
  <c r="A268" i="25"/>
  <c r="A269" i="25"/>
  <c r="A270" i="25"/>
  <c r="A271" i="25"/>
  <c r="A272" i="25"/>
  <c r="A273" i="25"/>
  <c r="A274" i="25"/>
  <c r="A275" i="25"/>
  <c r="A276" i="25"/>
  <c r="A277" i="25"/>
  <c r="A278" i="25"/>
  <c r="A279" i="25"/>
  <c r="A280" i="25"/>
  <c r="A281" i="25"/>
  <c r="A282" i="25"/>
  <c r="A283" i="25"/>
  <c r="A284" i="25"/>
  <c r="A285" i="25"/>
  <c r="A286" i="25"/>
  <c r="A287" i="25"/>
  <c r="A288" i="25"/>
  <c r="A289" i="25"/>
  <c r="A290" i="25"/>
  <c r="A291" i="25"/>
  <c r="A292" i="25"/>
  <c r="A293" i="25"/>
  <c r="A294" i="25"/>
  <c r="A295" i="25"/>
  <c r="A296" i="25"/>
  <c r="A297" i="25"/>
  <c r="A298" i="25"/>
  <c r="A299" i="25"/>
  <c r="A300" i="25"/>
  <c r="A301" i="25"/>
  <c r="A302" i="25"/>
  <c r="A303" i="25"/>
  <c r="A304" i="25"/>
  <c r="A305" i="25"/>
  <c r="A306" i="25"/>
  <c r="A307" i="25"/>
  <c r="A308" i="25"/>
  <c r="A309" i="25"/>
  <c r="A310" i="25"/>
  <c r="A311" i="25"/>
  <c r="A312" i="25"/>
  <c r="A313" i="25"/>
  <c r="A314" i="25"/>
  <c r="A315" i="25"/>
  <c r="A316" i="25"/>
  <c r="A317" i="25"/>
  <c r="A318" i="25"/>
  <c r="A319" i="25"/>
  <c r="A320" i="25"/>
  <c r="A321" i="25"/>
  <c r="A322" i="25"/>
  <c r="A323" i="25"/>
  <c r="A324" i="25"/>
  <c r="A325" i="25"/>
  <c r="A326" i="25"/>
  <c r="A327" i="25"/>
  <c r="A328" i="25"/>
  <c r="A329" i="25"/>
  <c r="A330" i="25"/>
  <c r="A331" i="25"/>
  <c r="A332" i="25"/>
  <c r="A333" i="25"/>
  <c r="A334" i="25"/>
  <c r="A335" i="25"/>
  <c r="A336" i="25"/>
  <c r="A337" i="25"/>
  <c r="A338" i="25"/>
  <c r="A339" i="25"/>
  <c r="A340" i="25"/>
  <c r="A341" i="25"/>
  <c r="A342" i="25"/>
  <c r="A343" i="25"/>
  <c r="A344" i="25"/>
  <c r="A345" i="25"/>
  <c r="A346" i="25"/>
  <c r="A347" i="25"/>
  <c r="A348" i="25"/>
  <c r="A349" i="25"/>
  <c r="A350" i="25"/>
  <c r="A351" i="25"/>
  <c r="A352" i="25"/>
  <c r="A353" i="25"/>
  <c r="A354" i="25"/>
  <c r="A355" i="25"/>
  <c r="A356" i="25"/>
  <c r="A357" i="25"/>
  <c r="A358" i="25"/>
  <c r="A359" i="25"/>
  <c r="A360" i="25"/>
  <c r="A361" i="25"/>
  <c r="A362" i="25"/>
  <c r="A363" i="25"/>
  <c r="A364" i="25"/>
  <c r="A365" i="25"/>
  <c r="A366" i="25"/>
  <c r="A367" i="25"/>
  <c r="A368" i="25"/>
  <c r="A369" i="25"/>
  <c r="A370" i="25"/>
  <c r="A371" i="25"/>
  <c r="A372" i="25"/>
  <c r="A373" i="25"/>
  <c r="A374" i="25"/>
  <c r="A375" i="25"/>
  <c r="A376" i="25"/>
  <c r="A377" i="25"/>
  <c r="A378" i="25"/>
  <c r="A379" i="25"/>
  <c r="A380" i="25"/>
  <c r="A381" i="25"/>
  <c r="A382" i="25"/>
  <c r="A383" i="25"/>
  <c r="A384" i="25"/>
  <c r="A385" i="25"/>
  <c r="A386" i="25"/>
  <c r="A387" i="25"/>
  <c r="A388" i="25"/>
  <c r="A389" i="25"/>
  <c r="A390" i="25"/>
  <c r="A391" i="25"/>
  <c r="A392" i="25"/>
  <c r="A393" i="25"/>
  <c r="A394" i="25"/>
  <c r="A395" i="25"/>
  <c r="A396" i="25"/>
  <c r="A397" i="25"/>
  <c r="A398" i="25"/>
  <c r="A399" i="25"/>
  <c r="A400" i="25"/>
  <c r="A401" i="25"/>
  <c r="A402" i="25"/>
  <c r="A403" i="25"/>
  <c r="A404" i="25"/>
  <c r="A405" i="25"/>
  <c r="A406" i="25"/>
  <c r="A407" i="25"/>
  <c r="A408" i="25"/>
  <c r="A409" i="25"/>
  <c r="A410" i="25"/>
  <c r="A411" i="25"/>
  <c r="A412" i="25"/>
  <c r="A413" i="25"/>
  <c r="A414" i="25"/>
  <c r="A415" i="25"/>
  <c r="A416" i="25"/>
  <c r="A417" i="25"/>
  <c r="A418" i="25"/>
  <c r="A419" i="25"/>
  <c r="A420" i="25"/>
  <c r="A421" i="25"/>
  <c r="A422" i="25"/>
  <c r="A423" i="25"/>
  <c r="A424" i="25"/>
  <c r="A425" i="25"/>
  <c r="A426" i="25"/>
  <c r="A427" i="25"/>
  <c r="A428" i="25"/>
  <c r="A429" i="25"/>
  <c r="A430" i="25"/>
  <c r="A431" i="25"/>
  <c r="A432" i="25"/>
  <c r="A433" i="25"/>
  <c r="A434" i="25"/>
  <c r="A435" i="25"/>
  <c r="A436" i="25"/>
  <c r="A437" i="25"/>
  <c r="A438" i="25"/>
  <c r="A439" i="25"/>
  <c r="A440" i="25"/>
  <c r="A441" i="25"/>
  <c r="A442" i="25"/>
  <c r="A443" i="25"/>
  <c r="A444" i="25"/>
  <c r="A445" i="25"/>
  <c r="A446" i="25"/>
  <c r="A447" i="25"/>
  <c r="A448" i="25"/>
  <c r="A449" i="25"/>
  <c r="A450" i="25"/>
  <c r="A451" i="25"/>
  <c r="A452" i="25"/>
  <c r="A453" i="25"/>
  <c r="A454" i="25"/>
  <c r="A455" i="25"/>
  <c r="A456" i="25"/>
  <c r="A457" i="25"/>
  <c r="A458" i="25"/>
  <c r="A459" i="25"/>
  <c r="A460" i="25"/>
  <c r="A461" i="25"/>
  <c r="A462" i="25"/>
  <c r="A463" i="25"/>
  <c r="A464" i="25"/>
  <c r="A465" i="25"/>
  <c r="A466" i="25"/>
  <c r="A467" i="25"/>
  <c r="A468" i="25"/>
  <c r="A469" i="25"/>
  <c r="A470" i="25"/>
  <c r="A471" i="25"/>
  <c r="A472" i="25"/>
  <c r="A473" i="25"/>
  <c r="A474" i="25"/>
  <c r="A475" i="25"/>
  <c r="A476" i="25"/>
  <c r="A477" i="25"/>
  <c r="A478" i="25"/>
  <c r="A479" i="25"/>
  <c r="A480" i="25"/>
  <c r="A481" i="25"/>
  <c r="A482" i="25"/>
  <c r="A483" i="25"/>
  <c r="A484" i="25"/>
  <c r="A485" i="25"/>
  <c r="A486" i="25"/>
  <c r="A487" i="25"/>
  <c r="A488" i="25"/>
  <c r="A489" i="25"/>
  <c r="A490" i="25"/>
  <c r="A491" i="25"/>
  <c r="A492" i="25"/>
  <c r="A493" i="25"/>
  <c r="A494" i="25"/>
  <c r="A495" i="25"/>
  <c r="A496" i="25"/>
  <c r="A497" i="25"/>
  <c r="A498" i="25"/>
  <c r="A499" i="25"/>
  <c r="A500" i="25"/>
  <c r="A501" i="25"/>
  <c r="A502" i="25"/>
  <c r="A503" i="25"/>
  <c r="A504" i="25"/>
  <c r="A505" i="25"/>
  <c r="A506" i="25"/>
  <c r="A507" i="25"/>
  <c r="A508" i="25"/>
  <c r="A509" i="25"/>
  <c r="A510" i="25"/>
  <c r="A511" i="25"/>
  <c r="A512" i="25"/>
  <c r="A513" i="25"/>
  <c r="A514" i="25"/>
  <c r="A515" i="25"/>
  <c r="A516" i="25"/>
  <c r="A517" i="25"/>
  <c r="A518" i="25"/>
  <c r="A519" i="25"/>
  <c r="A520" i="25"/>
  <c r="A521" i="25"/>
  <c r="A522" i="25"/>
  <c r="A523" i="25"/>
  <c r="A524" i="25"/>
  <c r="A525" i="25"/>
  <c r="A526" i="25"/>
  <c r="A527" i="25"/>
  <c r="A528" i="25"/>
  <c r="A529" i="25"/>
  <c r="A530" i="25"/>
  <c r="A531" i="25"/>
  <c r="A532" i="25"/>
  <c r="A533" i="25"/>
  <c r="A534" i="25"/>
  <c r="A535" i="25"/>
  <c r="A536" i="25"/>
  <c r="A537" i="25"/>
  <c r="A538" i="25"/>
  <c r="A539" i="25"/>
  <c r="A540" i="25"/>
  <c r="A541" i="25"/>
  <c r="A542" i="25"/>
  <c r="A543" i="25"/>
  <c r="A544" i="25"/>
  <c r="A545" i="25"/>
  <c r="A546" i="25"/>
  <c r="A547" i="25"/>
  <c r="A548" i="25"/>
  <c r="A549" i="25"/>
  <c r="A550" i="25"/>
  <c r="A551" i="25"/>
  <c r="A552" i="25"/>
  <c r="A553" i="25"/>
  <c r="A554" i="25"/>
  <c r="A555" i="25"/>
  <c r="A556" i="25"/>
  <c r="A557" i="25"/>
  <c r="A558" i="25"/>
  <c r="A559" i="25"/>
  <c r="A560" i="25"/>
  <c r="A561" i="25"/>
  <c r="A562" i="25"/>
  <c r="A563" i="25"/>
  <c r="A564" i="25"/>
  <c r="A565" i="25"/>
  <c r="A566" i="25"/>
  <c r="A567" i="25"/>
  <c r="A568" i="25"/>
  <c r="A569" i="25"/>
  <c r="A570" i="25"/>
  <c r="A571" i="25"/>
  <c r="A572" i="25"/>
  <c r="A573" i="25"/>
  <c r="A574" i="25"/>
  <c r="A575" i="25"/>
  <c r="A576" i="25"/>
  <c r="A577" i="25"/>
  <c r="A578" i="25"/>
  <c r="A579" i="25"/>
  <c r="A580" i="25"/>
  <c r="A581" i="25"/>
  <c r="A582" i="25"/>
  <c r="A583" i="25"/>
  <c r="A584" i="25"/>
  <c r="A585" i="25"/>
  <c r="A586" i="25"/>
  <c r="A587" i="25"/>
  <c r="A588" i="25"/>
  <c r="A589" i="25"/>
  <c r="A590" i="25"/>
  <c r="A591" i="25"/>
  <c r="A592" i="25"/>
  <c r="A593" i="25"/>
  <c r="A594" i="25"/>
  <c r="A595" i="25"/>
  <c r="A596" i="25"/>
  <c r="A597" i="25"/>
  <c r="A598" i="25"/>
  <c r="A599" i="25"/>
  <c r="A600" i="25"/>
  <c r="A601" i="25"/>
  <c r="A602" i="25"/>
  <c r="A603" i="25"/>
  <c r="A604" i="25"/>
  <c r="A605" i="25"/>
  <c r="A606" i="25"/>
  <c r="A607" i="25"/>
  <c r="A608" i="25"/>
  <c r="A609" i="25"/>
  <c r="A610" i="25"/>
  <c r="A611" i="25"/>
  <c r="A612" i="25"/>
  <c r="A613" i="25"/>
  <c r="A614" i="25"/>
  <c r="A615" i="25"/>
  <c r="A616" i="25"/>
  <c r="A617" i="25"/>
  <c r="A618" i="25"/>
  <c r="A619" i="25"/>
  <c r="A620" i="25"/>
  <c r="A621" i="25"/>
  <c r="A622" i="25"/>
  <c r="A623" i="25"/>
  <c r="A624" i="25"/>
  <c r="A625" i="25"/>
  <c r="A626" i="25"/>
  <c r="A627" i="25"/>
  <c r="A628" i="25"/>
  <c r="A629" i="25"/>
  <c r="A630" i="25"/>
  <c r="A631" i="25"/>
  <c r="A632" i="25"/>
  <c r="A633" i="25"/>
  <c r="A634" i="25"/>
  <c r="A635" i="25"/>
  <c r="A636" i="25"/>
  <c r="A637" i="25"/>
  <c r="A638" i="25"/>
  <c r="A639" i="25"/>
  <c r="A640" i="25"/>
  <c r="A641" i="25"/>
  <c r="A642" i="25"/>
  <c r="A643" i="25"/>
  <c r="A644" i="25"/>
  <c r="A645" i="25"/>
  <c r="A646" i="25"/>
  <c r="A647" i="25"/>
  <c r="A648" i="25"/>
  <c r="A649" i="25"/>
  <c r="A650" i="25"/>
  <c r="A651" i="25"/>
  <c r="A652" i="25"/>
  <c r="A653" i="25"/>
  <c r="A654" i="25"/>
  <c r="A655" i="25"/>
  <c r="A656" i="25"/>
  <c r="A657" i="25"/>
  <c r="A658" i="25"/>
  <c r="A659" i="25"/>
  <c r="A660" i="25"/>
  <c r="A661" i="25"/>
  <c r="A662" i="25"/>
  <c r="A663" i="25"/>
  <c r="A664" i="25"/>
  <c r="A665" i="25"/>
  <c r="A666" i="25"/>
  <c r="A667" i="25"/>
  <c r="A668" i="25"/>
  <c r="A669" i="25"/>
  <c r="A670" i="25"/>
  <c r="A671" i="25"/>
  <c r="A672" i="25"/>
  <c r="A673" i="25"/>
  <c r="A674" i="25"/>
  <c r="A675" i="25"/>
  <c r="A676" i="25"/>
  <c r="A677" i="25"/>
  <c r="A678" i="25"/>
  <c r="A679" i="25"/>
  <c r="A680" i="25"/>
  <c r="A681" i="25"/>
  <c r="A682" i="25"/>
  <c r="A683" i="25"/>
  <c r="A684" i="25"/>
  <c r="A685" i="25"/>
  <c r="A686" i="25"/>
  <c r="A687" i="25"/>
  <c r="A688" i="25"/>
  <c r="A689" i="25"/>
  <c r="A690" i="25"/>
  <c r="A691" i="25"/>
  <c r="A692" i="25"/>
  <c r="A693" i="25"/>
  <c r="A694" i="25"/>
  <c r="A695" i="25"/>
  <c r="A696" i="25"/>
  <c r="A697" i="25"/>
  <c r="A698" i="25"/>
  <c r="A699" i="25"/>
  <c r="A700" i="25"/>
  <c r="A701" i="25"/>
  <c r="A702" i="25"/>
  <c r="A703" i="25"/>
  <c r="A704" i="25"/>
  <c r="A705" i="25"/>
  <c r="A706" i="25"/>
  <c r="A707" i="25"/>
  <c r="A708" i="25"/>
  <c r="A709" i="25"/>
  <c r="A710" i="25"/>
  <c r="A711" i="25"/>
  <c r="A712" i="25"/>
  <c r="A713" i="25"/>
  <c r="A714" i="25"/>
  <c r="A715" i="25"/>
  <c r="A716" i="25"/>
  <c r="A717" i="25"/>
  <c r="A718" i="25"/>
  <c r="A719" i="25"/>
  <c r="A720" i="25"/>
  <c r="A721" i="25"/>
  <c r="A722" i="25"/>
  <c r="A723" i="25"/>
  <c r="A724" i="25"/>
  <c r="A725" i="25"/>
  <c r="A726" i="25"/>
  <c r="A727" i="25"/>
  <c r="A728" i="25"/>
  <c r="A729" i="25"/>
  <c r="A730" i="25"/>
  <c r="A731" i="25"/>
  <c r="A732" i="25"/>
  <c r="A733" i="25"/>
  <c r="A734" i="25"/>
  <c r="A735" i="25"/>
  <c r="A736" i="25"/>
  <c r="A737" i="25"/>
  <c r="A738" i="25"/>
  <c r="A739" i="25"/>
  <c r="A740" i="25"/>
  <c r="A741" i="25"/>
  <c r="A742" i="25"/>
  <c r="A743" i="25"/>
  <c r="A744" i="25"/>
  <c r="A745" i="25"/>
  <c r="A746" i="25"/>
  <c r="A747" i="25"/>
  <c r="A748" i="25"/>
  <c r="A749" i="25"/>
  <c r="A750" i="25"/>
  <c r="A751" i="25"/>
  <c r="A752" i="25"/>
  <c r="A753" i="25"/>
  <c r="A754" i="25"/>
  <c r="A755" i="25"/>
  <c r="A756" i="25"/>
  <c r="A757" i="25"/>
  <c r="A758" i="25"/>
  <c r="A759" i="25"/>
  <c r="A760" i="25"/>
  <c r="A761" i="25"/>
  <c r="A762" i="25"/>
  <c r="A763" i="25"/>
  <c r="A764" i="25"/>
  <c r="A765" i="25"/>
  <c r="A766" i="25"/>
  <c r="A767" i="25"/>
  <c r="A768" i="25"/>
  <c r="A769" i="25"/>
  <c r="A770" i="25"/>
  <c r="A771" i="25"/>
  <c r="A772" i="25"/>
  <c r="A773" i="25"/>
  <c r="A774" i="25"/>
  <c r="A775" i="25"/>
  <c r="A776" i="25"/>
  <c r="A777" i="25"/>
  <c r="A778" i="25"/>
  <c r="A779" i="25"/>
  <c r="A780" i="25"/>
  <c r="A781" i="25"/>
  <c r="A782" i="25"/>
  <c r="A783" i="25"/>
  <c r="A784" i="25"/>
  <c r="A785" i="25"/>
  <c r="A786" i="25"/>
  <c r="A787" i="25"/>
  <c r="A788" i="25"/>
  <c r="A789" i="25"/>
  <c r="A790" i="25"/>
  <c r="A791" i="25"/>
  <c r="A792" i="25"/>
  <c r="A793" i="25"/>
  <c r="A794" i="25"/>
  <c r="A795" i="25"/>
  <c r="A796" i="25"/>
  <c r="A797" i="25"/>
  <c r="A798" i="25"/>
  <c r="A799" i="25"/>
  <c r="A800" i="25"/>
  <c r="A801" i="25"/>
  <c r="A802" i="25"/>
  <c r="A803" i="25"/>
  <c r="A804" i="25"/>
  <c r="A805" i="25"/>
  <c r="A806" i="25"/>
  <c r="A807" i="25"/>
  <c r="A808" i="25"/>
  <c r="A809" i="25"/>
  <c r="A810" i="25"/>
  <c r="A811" i="25"/>
  <c r="A812" i="25"/>
  <c r="A813" i="25"/>
  <c r="A814" i="25"/>
  <c r="A815" i="25"/>
  <c r="A816" i="25"/>
  <c r="A817" i="25"/>
  <c r="A818" i="25"/>
  <c r="A819" i="25"/>
  <c r="A820" i="25"/>
  <c r="A821" i="25"/>
  <c r="A822" i="25"/>
  <c r="A823" i="25"/>
  <c r="A824" i="25"/>
  <c r="A825" i="25"/>
  <c r="A826" i="25"/>
  <c r="A827" i="25"/>
  <c r="A828" i="25"/>
  <c r="A829" i="25"/>
  <c r="A830" i="25"/>
  <c r="A831" i="25"/>
  <c r="A832" i="25"/>
  <c r="A833" i="25"/>
  <c r="A834" i="25"/>
  <c r="A835" i="25"/>
  <c r="A836" i="25"/>
  <c r="A837" i="25"/>
  <c r="A838" i="25"/>
  <c r="A839" i="25"/>
  <c r="A840" i="25"/>
  <c r="A841" i="25"/>
  <c r="A842" i="25"/>
  <c r="A843" i="25"/>
  <c r="A844" i="25"/>
  <c r="A845" i="25"/>
  <c r="A846" i="25"/>
  <c r="A847" i="25"/>
  <c r="A848" i="25"/>
  <c r="A849" i="25"/>
  <c r="A850" i="25"/>
  <c r="A851" i="25"/>
  <c r="A852" i="25"/>
  <c r="A853" i="25"/>
  <c r="A854" i="25"/>
  <c r="A855" i="25"/>
  <c r="A856" i="25"/>
  <c r="A857" i="25"/>
  <c r="A858" i="25"/>
  <c r="A859" i="25"/>
  <c r="A860" i="25"/>
  <c r="A861" i="25"/>
  <c r="A862" i="25"/>
  <c r="A863" i="25"/>
  <c r="A864" i="25"/>
  <c r="A865" i="25"/>
  <c r="A866" i="25"/>
  <c r="A867" i="25"/>
  <c r="A868" i="25"/>
  <c r="A869" i="25"/>
  <c r="A870" i="25"/>
  <c r="A871" i="25"/>
  <c r="A872" i="25"/>
  <c r="A873" i="25"/>
  <c r="A874" i="25"/>
  <c r="A875" i="25"/>
  <c r="A876" i="25"/>
  <c r="A877" i="25"/>
  <c r="A878" i="25"/>
  <c r="A879" i="25"/>
  <c r="A880" i="25"/>
  <c r="A881" i="25"/>
  <c r="A882" i="25"/>
  <c r="A883" i="25"/>
  <c r="A884" i="25"/>
  <c r="A885" i="25"/>
  <c r="A886" i="25"/>
  <c r="A887" i="25"/>
  <c r="A888" i="25"/>
  <c r="A889" i="25"/>
  <c r="A890" i="25"/>
  <c r="A891" i="25"/>
  <c r="A892" i="25"/>
  <c r="A893" i="25"/>
  <c r="A894" i="25"/>
  <c r="A895" i="25"/>
  <c r="A896" i="25"/>
  <c r="A897" i="25"/>
  <c r="A898" i="25"/>
  <c r="A899" i="25"/>
  <c r="A900" i="25"/>
  <c r="A901" i="25"/>
  <c r="A902" i="25"/>
  <c r="A903" i="25"/>
  <c r="A904" i="25"/>
  <c r="A905" i="25"/>
  <c r="A906" i="25"/>
  <c r="A907" i="25"/>
  <c r="A908" i="25"/>
  <c r="A909" i="25"/>
  <c r="A910" i="25"/>
  <c r="A911" i="25"/>
  <c r="A912" i="25"/>
  <c r="A913" i="25"/>
  <c r="A914" i="25"/>
  <c r="A915" i="25"/>
  <c r="A916" i="25"/>
  <c r="A917" i="25"/>
  <c r="A918" i="25"/>
  <c r="A919" i="25"/>
  <c r="A920" i="25"/>
  <c r="A921" i="25"/>
  <c r="A922" i="25"/>
  <c r="A923" i="25"/>
  <c r="A924" i="25"/>
  <c r="A925" i="25"/>
  <c r="A926" i="25"/>
  <c r="A927" i="25"/>
  <c r="A928" i="25"/>
  <c r="A929" i="25"/>
  <c r="A930" i="25"/>
  <c r="A931" i="25"/>
  <c r="A932" i="25"/>
  <c r="A933" i="25"/>
  <c r="A934" i="25"/>
  <c r="A935" i="25"/>
  <c r="A936" i="25"/>
  <c r="A937" i="25"/>
  <c r="A938" i="25"/>
  <c r="A939" i="25"/>
  <c r="A940" i="25"/>
  <c r="A941" i="25"/>
  <c r="A942" i="25"/>
  <c r="A943" i="25"/>
  <c r="A944" i="25"/>
  <c r="A945" i="25"/>
  <c r="A946" i="25"/>
  <c r="A947" i="25"/>
  <c r="A948" i="25"/>
  <c r="A949" i="25"/>
  <c r="A950" i="25"/>
  <c r="A951" i="25"/>
  <c r="A952" i="25"/>
  <c r="A953" i="25"/>
  <c r="A954" i="25"/>
  <c r="A955" i="25"/>
  <c r="A956" i="25"/>
  <c r="A957" i="25"/>
  <c r="A958" i="25"/>
  <c r="A959" i="25"/>
  <c r="A960" i="25"/>
  <c r="A961" i="25"/>
  <c r="A962" i="25"/>
  <c r="A963" i="25"/>
  <c r="A964" i="25"/>
  <c r="A965" i="25"/>
  <c r="A966" i="25"/>
  <c r="A967" i="25"/>
  <c r="A968" i="25"/>
  <c r="A969" i="25"/>
  <c r="A970" i="25"/>
  <c r="A971" i="25"/>
  <c r="A972" i="25"/>
  <c r="A973" i="25"/>
  <c r="A974" i="25"/>
  <c r="A975" i="25"/>
  <c r="A976" i="25"/>
  <c r="A977" i="25"/>
  <c r="A978" i="25"/>
  <c r="A979" i="25"/>
  <c r="A980" i="25"/>
  <c r="A981" i="25"/>
  <c r="A982" i="25"/>
  <c r="A983" i="25"/>
  <c r="A984" i="25"/>
  <c r="A985" i="25"/>
  <c r="A986" i="25"/>
  <c r="A987" i="25"/>
  <c r="A988" i="25"/>
  <c r="A989" i="25"/>
  <c r="A990" i="25"/>
  <c r="A991" i="25"/>
  <c r="A992" i="25"/>
  <c r="A993" i="25"/>
  <c r="A994" i="25"/>
  <c r="A995" i="25"/>
  <c r="A996" i="25"/>
  <c r="A997" i="25"/>
  <c r="A998" i="25"/>
  <c r="A999" i="25"/>
  <c r="A1000" i="25"/>
  <c r="A1001" i="25"/>
  <c r="A1002" i="25"/>
  <c r="A1003" i="25"/>
  <c r="A1004" i="25"/>
  <c r="A1005" i="25"/>
  <c r="A1006" i="25"/>
  <c r="A1007" i="25"/>
  <c r="A1008" i="25"/>
  <c r="A1009" i="25"/>
  <c r="A1010" i="25"/>
  <c r="A1011" i="25"/>
  <c r="A1012" i="25"/>
  <c r="A1013" i="25"/>
  <c r="A1014" i="25"/>
  <c r="A1015" i="25"/>
  <c r="A1016" i="25"/>
  <c r="A1017" i="25"/>
  <c r="A1018" i="25"/>
  <c r="A1019" i="25"/>
  <c r="A1020" i="25"/>
  <c r="A1021" i="25"/>
  <c r="A1022" i="25"/>
  <c r="A1023" i="25"/>
  <c r="A1024" i="25"/>
  <c r="A1025" i="25"/>
  <c r="A1026" i="25"/>
  <c r="A1027" i="25"/>
  <c r="A1028" i="25"/>
  <c r="A1029" i="25"/>
  <c r="A1030" i="25"/>
  <c r="A1031" i="25"/>
  <c r="A1032" i="25"/>
  <c r="A1033" i="25"/>
  <c r="A1034" i="25"/>
  <c r="A1035" i="25"/>
  <c r="A1036" i="25"/>
  <c r="A1037" i="25"/>
  <c r="A1038" i="25"/>
  <c r="A1039" i="25"/>
  <c r="A1040" i="25"/>
  <c r="A1041" i="25"/>
  <c r="A1042" i="25"/>
  <c r="A1043" i="25"/>
  <c r="A1044" i="25"/>
  <c r="A1045" i="25"/>
  <c r="A1046" i="25"/>
  <c r="A1047" i="25"/>
  <c r="A1048" i="25"/>
  <c r="A1049" i="25"/>
  <c r="A1050" i="25"/>
  <c r="A1051" i="25"/>
  <c r="A1052" i="25"/>
  <c r="A1053" i="25"/>
  <c r="A1054" i="25"/>
  <c r="A1055" i="25"/>
  <c r="A1056" i="25"/>
  <c r="A1057" i="25"/>
  <c r="A1058" i="25"/>
  <c r="A1059" i="25"/>
  <c r="A1060" i="25"/>
  <c r="A1061" i="25"/>
  <c r="A1062" i="25"/>
  <c r="A1063" i="25"/>
  <c r="A1064" i="25"/>
  <c r="A1065" i="25"/>
  <c r="A1066" i="25"/>
  <c r="A1067" i="25"/>
  <c r="A1068" i="25"/>
  <c r="A1069" i="25"/>
  <c r="A1070" i="25"/>
  <c r="A1071" i="25"/>
  <c r="A1072" i="25"/>
  <c r="A1073" i="25"/>
  <c r="A1074" i="25"/>
  <c r="A1075" i="25"/>
  <c r="A1076" i="25"/>
  <c r="A1077" i="25"/>
  <c r="A1078" i="25"/>
  <c r="A1079" i="25"/>
  <c r="A1080" i="25"/>
  <c r="A1081" i="25"/>
  <c r="A1082" i="25"/>
  <c r="A1083" i="25"/>
  <c r="A1084" i="25"/>
  <c r="A1085" i="25"/>
  <c r="A1086" i="25"/>
  <c r="A1087" i="25"/>
  <c r="A1088" i="25"/>
  <c r="A1089" i="25"/>
  <c r="A1090" i="25"/>
  <c r="A1091" i="25"/>
  <c r="A1092" i="25"/>
  <c r="A1093" i="25"/>
  <c r="A1094" i="25"/>
  <c r="A1095" i="25"/>
  <c r="A1096" i="25"/>
  <c r="A1097" i="25"/>
  <c r="A1098" i="25"/>
  <c r="A1099" i="25"/>
  <c r="A1100" i="25"/>
  <c r="A1101" i="25"/>
  <c r="A1102" i="25"/>
  <c r="A1103" i="25"/>
  <c r="A1104" i="25"/>
  <c r="A1105" i="25"/>
  <c r="A1106" i="25"/>
  <c r="A1107" i="25"/>
  <c r="A1108" i="25"/>
  <c r="A1109" i="25"/>
  <c r="A1110" i="25"/>
  <c r="A1111" i="25"/>
  <c r="A1112" i="25"/>
  <c r="A1113" i="25"/>
  <c r="A1114" i="25"/>
  <c r="A1115" i="25"/>
  <c r="A1116" i="25"/>
  <c r="A1117" i="25"/>
  <c r="A1118" i="25"/>
  <c r="A1119" i="25"/>
  <c r="A1120" i="25"/>
  <c r="A1121" i="25"/>
  <c r="A1122" i="25"/>
  <c r="A1123" i="25"/>
  <c r="A1124" i="25"/>
  <c r="A1125" i="25"/>
  <c r="A1126" i="25"/>
  <c r="A1127" i="25"/>
  <c r="A1128" i="25"/>
  <c r="A1129" i="25"/>
  <c r="A1130" i="25"/>
  <c r="A1131" i="25"/>
  <c r="A1132" i="25"/>
  <c r="A1133" i="25"/>
  <c r="A1134" i="25"/>
  <c r="A1135" i="25"/>
  <c r="A1136" i="25"/>
  <c r="A1137" i="25"/>
  <c r="A1138" i="25"/>
  <c r="A1139" i="25"/>
  <c r="A1140" i="25"/>
  <c r="A1141" i="25"/>
  <c r="A1142" i="25"/>
  <c r="A1143" i="25"/>
  <c r="A1144" i="25"/>
  <c r="A1145" i="25"/>
  <c r="A1146" i="25"/>
  <c r="A1147" i="25"/>
  <c r="A1148" i="25"/>
  <c r="A1149" i="25"/>
  <c r="A1150" i="25"/>
  <c r="A1151" i="25"/>
  <c r="A1152" i="25"/>
  <c r="A1153" i="25"/>
  <c r="A1154" i="25"/>
  <c r="A1155" i="25"/>
  <c r="A1156" i="25"/>
  <c r="A1157" i="25"/>
  <c r="A1158" i="25"/>
  <c r="A1159" i="25"/>
  <c r="A1160" i="25"/>
  <c r="A1161" i="25"/>
  <c r="A1162" i="25"/>
  <c r="A1163" i="25"/>
  <c r="A1164" i="25"/>
  <c r="A1165" i="25"/>
  <c r="A1166" i="25"/>
  <c r="A1167" i="25"/>
  <c r="A1168" i="25"/>
  <c r="A1169" i="25"/>
  <c r="A1170" i="25"/>
  <c r="A1171" i="25"/>
  <c r="A1172" i="25"/>
  <c r="A1173" i="25"/>
  <c r="A1174" i="25"/>
  <c r="A1175" i="25"/>
  <c r="A1176" i="25"/>
  <c r="A1177" i="25"/>
  <c r="A1178" i="25"/>
  <c r="A1179" i="25"/>
  <c r="A1180" i="25"/>
  <c r="A1181" i="25"/>
  <c r="A1182" i="25"/>
  <c r="A1183" i="25"/>
  <c r="A1184" i="25"/>
  <c r="A1185" i="25"/>
  <c r="A1186" i="25"/>
  <c r="A1187" i="25"/>
  <c r="A1188" i="25"/>
  <c r="A1189" i="25"/>
  <c r="A1190" i="25"/>
  <c r="A1191" i="25"/>
  <c r="A1192" i="25"/>
  <c r="A1193" i="25"/>
  <c r="A1194" i="25"/>
  <c r="A1195" i="25"/>
  <c r="A1196" i="25"/>
  <c r="A1197" i="25"/>
  <c r="A1198" i="25"/>
  <c r="A1199" i="25"/>
  <c r="A1200" i="25"/>
  <c r="A4" i="25"/>
  <c r="B48" i="19" s="1" a="1"/>
  <c r="B48" i="19" s="1"/>
  <c r="Q426" i="36"/>
  <c r="O427" i="25" s="1"/>
  <c r="E329" i="36"/>
  <c r="E330" i="25" s="1"/>
  <c r="A329" i="36"/>
  <c r="B330" i="25" s="1"/>
  <c r="E328" i="36"/>
  <c r="E329" i="25" s="1"/>
  <c r="A328" i="36"/>
  <c r="B329" i="25" s="1"/>
  <c r="E327" i="36"/>
  <c r="E328" i="25" s="1"/>
  <c r="A327" i="36"/>
  <c r="B328" i="25" s="1"/>
  <c r="E326" i="36"/>
  <c r="E327" i="25" s="1"/>
  <c r="A326" i="36"/>
  <c r="B327" i="25" s="1"/>
  <c r="E325" i="36"/>
  <c r="E326" i="25" s="1"/>
  <c r="A325" i="36"/>
  <c r="B326" i="25" s="1"/>
  <c r="E324" i="36"/>
  <c r="E325" i="25" s="1"/>
  <c r="A324" i="36"/>
  <c r="B325" i="25" s="1"/>
  <c r="E323" i="36"/>
  <c r="E324" i="25" s="1"/>
  <c r="A323" i="36"/>
  <c r="B324" i="25" s="1"/>
  <c r="E322" i="36"/>
  <c r="E323" i="25" s="1"/>
  <c r="A322" i="36"/>
  <c r="B323" i="25" s="1"/>
  <c r="E321" i="36"/>
  <c r="E322" i="25" s="1"/>
  <c r="A321" i="36"/>
  <c r="B322" i="25" s="1"/>
  <c r="E320" i="36"/>
  <c r="E321" i="25" s="1"/>
  <c r="A320" i="36"/>
  <c r="B321" i="25" s="1"/>
  <c r="E319" i="36"/>
  <c r="E320" i="25" s="1"/>
  <c r="A319" i="36"/>
  <c r="B320" i="25" s="1"/>
  <c r="E318" i="36"/>
  <c r="E319" i="25" s="1"/>
  <c r="A318" i="36"/>
  <c r="B319" i="25" s="1"/>
  <c r="E317" i="36"/>
  <c r="E318" i="25" s="1"/>
  <c r="A317" i="36"/>
  <c r="B318" i="25" s="1"/>
  <c r="E316" i="36"/>
  <c r="E317" i="25" s="1"/>
  <c r="A316" i="36"/>
  <c r="B317" i="25" s="1"/>
  <c r="E315" i="36"/>
  <c r="E316" i="25" s="1"/>
  <c r="A315" i="36"/>
  <c r="B316" i="25" s="1"/>
  <c r="E314" i="36"/>
  <c r="E315" i="25" s="1"/>
  <c r="A314" i="36"/>
  <c r="B315" i="25" s="1"/>
  <c r="E313" i="36"/>
  <c r="E314" i="25" s="1"/>
  <c r="A313" i="36"/>
  <c r="B314" i="25" s="1"/>
  <c r="E312" i="36"/>
  <c r="E313" i="25" s="1"/>
  <c r="A312" i="36"/>
  <c r="B313" i="25" s="1"/>
  <c r="E311" i="36"/>
  <c r="E312" i="25" s="1"/>
  <c r="A311" i="36"/>
  <c r="B312" i="25" s="1"/>
  <c r="E310" i="36"/>
  <c r="E311" i="25" s="1"/>
  <c r="A310" i="36"/>
  <c r="B311" i="25" s="1"/>
  <c r="E309" i="36"/>
  <c r="E310" i="25" s="1"/>
  <c r="A309" i="36"/>
  <c r="B310" i="25" s="1"/>
  <c r="E308" i="36"/>
  <c r="E309" i="25" s="1"/>
  <c r="A308" i="36"/>
  <c r="B309" i="25" s="1"/>
  <c r="E307" i="36"/>
  <c r="E308" i="25" s="1"/>
  <c r="A307" i="36"/>
  <c r="B308" i="25" s="1"/>
  <c r="E306" i="36"/>
  <c r="E307" i="25" s="1"/>
  <c r="A306" i="36"/>
  <c r="B307" i="25" s="1"/>
  <c r="E305" i="36"/>
  <c r="E306" i="25" s="1"/>
  <c r="A305" i="36"/>
  <c r="B306" i="25" s="1"/>
  <c r="E304" i="36"/>
  <c r="E305" i="25" s="1"/>
  <c r="A304" i="36"/>
  <c r="B305" i="25" s="1"/>
  <c r="E303" i="36"/>
  <c r="E304" i="25" s="1"/>
  <c r="A303" i="36"/>
  <c r="B304" i="25" s="1"/>
  <c r="B303" i="25"/>
  <c r="E302" i="36"/>
  <c r="E303" i="25" s="1"/>
  <c r="A302" i="36"/>
  <c r="E301" i="36"/>
  <c r="E302" i="25" s="1"/>
  <c r="A301" i="36"/>
  <c r="B302" i="25" s="1"/>
  <c r="E300" i="36"/>
  <c r="E301" i="25" s="1"/>
  <c r="A300" i="36"/>
  <c r="B301" i="25" s="1"/>
  <c r="E299" i="36"/>
  <c r="E300" i="25" s="1"/>
  <c r="A299" i="36"/>
  <c r="B300" i="25" s="1"/>
  <c r="E298" i="36"/>
  <c r="E299" i="25" s="1"/>
  <c r="A298" i="36"/>
  <c r="B299" i="25" s="1"/>
  <c r="E297" i="36"/>
  <c r="E298" i="25" s="1"/>
  <c r="A297" i="36"/>
  <c r="B298" i="25" s="1"/>
  <c r="E296" i="36"/>
  <c r="E297" i="25" s="1"/>
  <c r="A296" i="36"/>
  <c r="B297" i="25" s="1"/>
  <c r="E295" i="36"/>
  <c r="E296" i="25" s="1"/>
  <c r="A295" i="36"/>
  <c r="B296" i="25" s="1"/>
  <c r="E294" i="36"/>
  <c r="E295" i="25" s="1"/>
  <c r="A294" i="36"/>
  <c r="B295" i="25" s="1"/>
  <c r="E293" i="36"/>
  <c r="E294" i="25" s="1"/>
  <c r="A293" i="36"/>
  <c r="B294" i="25" s="1"/>
  <c r="E292" i="36"/>
  <c r="E293" i="25" s="1"/>
  <c r="A292" i="36"/>
  <c r="B293" i="25" s="1"/>
  <c r="E291" i="36"/>
  <c r="E292" i="25" s="1"/>
  <c r="A291" i="36"/>
  <c r="B292" i="25" s="1"/>
  <c r="E290" i="36"/>
  <c r="E291" i="25" s="1"/>
  <c r="A290" i="36"/>
  <c r="B291" i="25" s="1"/>
  <c r="E289" i="36"/>
  <c r="E290" i="25" s="1"/>
  <c r="A289" i="36"/>
  <c r="B290" i="25" s="1"/>
  <c r="E288" i="36"/>
  <c r="E289" i="25" s="1"/>
  <c r="A288" i="36"/>
  <c r="B289" i="25" s="1"/>
  <c r="E287" i="36"/>
  <c r="E288" i="25" s="1"/>
  <c r="A287" i="36"/>
  <c r="B288" i="25" s="1"/>
  <c r="E286" i="36"/>
  <c r="E287" i="25" s="1"/>
  <c r="A286" i="36"/>
  <c r="B287" i="25" s="1"/>
  <c r="E285" i="36"/>
  <c r="E286" i="25" s="1"/>
  <c r="A285" i="36"/>
  <c r="B286" i="25" s="1"/>
  <c r="E284" i="36"/>
  <c r="E285" i="25" s="1"/>
  <c r="A284" i="36"/>
  <c r="B285" i="25" s="1"/>
  <c r="E283" i="36"/>
  <c r="E284" i="25" s="1"/>
  <c r="A283" i="36"/>
  <c r="B284" i="25" s="1"/>
  <c r="E282" i="36"/>
  <c r="E283" i="25" s="1"/>
  <c r="A282" i="36"/>
  <c r="B283" i="25" s="1"/>
  <c r="E281" i="36"/>
  <c r="E282" i="25" s="1"/>
  <c r="A281" i="36"/>
  <c r="B282" i="25" s="1"/>
  <c r="E280" i="36"/>
  <c r="E281" i="25" s="1"/>
  <c r="A280" i="36"/>
  <c r="B281" i="25" s="1"/>
  <c r="E279" i="36"/>
  <c r="E280" i="25" s="1"/>
  <c r="A279" i="36"/>
  <c r="B280" i="25" s="1"/>
  <c r="E278" i="36"/>
  <c r="E279" i="25" s="1"/>
  <c r="A278" i="36"/>
  <c r="B279" i="25" s="1"/>
  <c r="E277" i="36"/>
  <c r="E278" i="25" s="1"/>
  <c r="A277" i="36"/>
  <c r="B278" i="25" s="1"/>
  <c r="E276" i="36"/>
  <c r="E277" i="25" s="1"/>
  <c r="A276" i="36"/>
  <c r="B277" i="25" s="1"/>
  <c r="E275" i="36"/>
  <c r="E276" i="25" s="1"/>
  <c r="A275" i="36"/>
  <c r="B276" i="25" s="1"/>
  <c r="E274" i="36"/>
  <c r="E275" i="25" s="1"/>
  <c r="A274" i="36"/>
  <c r="B275" i="25" s="1"/>
  <c r="E273" i="36"/>
  <c r="E274" i="25" s="1"/>
  <c r="A273" i="36"/>
  <c r="B274" i="25" s="1"/>
  <c r="E272" i="36"/>
  <c r="E273" i="25" s="1"/>
  <c r="A272" i="36"/>
  <c r="B273" i="25" s="1"/>
  <c r="E271" i="36"/>
  <c r="E272" i="25" s="1"/>
  <c r="A271" i="36"/>
  <c r="B272" i="25" s="1"/>
  <c r="E270" i="36"/>
  <c r="E271" i="25" s="1"/>
  <c r="A270" i="36"/>
  <c r="B271" i="25" s="1"/>
  <c r="E269" i="36"/>
  <c r="E270" i="25" s="1"/>
  <c r="A269" i="36"/>
  <c r="B270" i="25" s="1"/>
  <c r="E268" i="36"/>
  <c r="E269" i="25" s="1"/>
  <c r="A268" i="36"/>
  <c r="B269" i="25" s="1"/>
  <c r="E267" i="36"/>
  <c r="E268" i="25" s="1"/>
  <c r="A267" i="36"/>
  <c r="B268" i="25" s="1"/>
  <c r="E266" i="36"/>
  <c r="E267" i="25" s="1"/>
  <c r="A266" i="36"/>
  <c r="B267" i="25" s="1"/>
  <c r="E265" i="36"/>
  <c r="E266" i="25" s="1"/>
  <c r="A265" i="36"/>
  <c r="B266" i="25" s="1"/>
  <c r="E264" i="36"/>
  <c r="E265" i="25" s="1"/>
  <c r="A264" i="36"/>
  <c r="B265" i="25" s="1"/>
  <c r="E263" i="36"/>
  <c r="E264" i="25" s="1"/>
  <c r="A263" i="36"/>
  <c r="B264" i="25" s="1"/>
  <c r="E262" i="36"/>
  <c r="E263" i="25" s="1"/>
  <c r="A262" i="36"/>
  <c r="B263" i="25" s="1"/>
  <c r="E261" i="36"/>
  <c r="E262" i="25" s="1"/>
  <c r="A261" i="36"/>
  <c r="B262" i="25" s="1"/>
  <c r="E260" i="36"/>
  <c r="E261" i="25" s="1"/>
  <c r="A260" i="36"/>
  <c r="B261" i="25" s="1"/>
  <c r="E259" i="36"/>
  <c r="E260" i="25" s="1"/>
  <c r="A259" i="36"/>
  <c r="B260" i="25" s="1"/>
  <c r="E258" i="36"/>
  <c r="E259" i="25" s="1"/>
  <c r="A258" i="36"/>
  <c r="B259" i="25" s="1"/>
  <c r="E257" i="36"/>
  <c r="E258" i="25" s="1"/>
  <c r="A257" i="36"/>
  <c r="B258" i="25" s="1"/>
  <c r="E256" i="36"/>
  <c r="E257" i="25" s="1"/>
  <c r="A256" i="36"/>
  <c r="B257" i="25" s="1"/>
  <c r="E255" i="36"/>
  <c r="E256" i="25" s="1"/>
  <c r="A255" i="36"/>
  <c r="B256" i="25" s="1"/>
  <c r="E254" i="36"/>
  <c r="E255" i="25" s="1"/>
  <c r="A254" i="36"/>
  <c r="B255" i="25" s="1"/>
  <c r="E253" i="36"/>
  <c r="E254" i="25" s="1"/>
  <c r="A253" i="36"/>
  <c r="B254" i="25" s="1"/>
  <c r="E252" i="36"/>
  <c r="E253" i="25" s="1"/>
  <c r="A252" i="36"/>
  <c r="B253" i="25" s="1"/>
  <c r="E251" i="36"/>
  <c r="E252" i="25" s="1"/>
  <c r="A251" i="36"/>
  <c r="B252" i="25" s="1"/>
  <c r="E250" i="36"/>
  <c r="E251" i="25" s="1"/>
  <c r="A250" i="36"/>
  <c r="B251" i="25" s="1"/>
  <c r="E249" i="36"/>
  <c r="E250" i="25" s="1"/>
  <c r="A249" i="36"/>
  <c r="B250" i="25" s="1"/>
  <c r="E248" i="36"/>
  <c r="E249" i="25" s="1"/>
  <c r="A248" i="36"/>
  <c r="B249" i="25" s="1"/>
  <c r="E247" i="36"/>
  <c r="E248" i="25" s="1"/>
  <c r="A247" i="36"/>
  <c r="B248" i="25" s="1"/>
  <c r="E246" i="36"/>
  <c r="E247" i="25" s="1"/>
  <c r="A246" i="36"/>
  <c r="B247" i="25" s="1"/>
  <c r="E245" i="36"/>
  <c r="E246" i="25" s="1"/>
  <c r="A245" i="36"/>
  <c r="B246" i="25" s="1"/>
  <c r="E244" i="36"/>
  <c r="E245" i="25" s="1"/>
  <c r="A244" i="36"/>
  <c r="B245" i="25" s="1"/>
  <c r="E243" i="36"/>
  <c r="E244" i="25" s="1"/>
  <c r="A243" i="36"/>
  <c r="B244" i="25" s="1"/>
  <c r="E242" i="36"/>
  <c r="E243" i="25" s="1"/>
  <c r="A242" i="36"/>
  <c r="B243" i="25" s="1"/>
  <c r="E241" i="36"/>
  <c r="E242" i="25" s="1"/>
  <c r="A241" i="36"/>
  <c r="B242" i="25" s="1"/>
  <c r="E240" i="36"/>
  <c r="E241" i="25" s="1"/>
  <c r="A240" i="36"/>
  <c r="B241" i="25" s="1"/>
  <c r="E239" i="36"/>
  <c r="E240" i="25" s="1"/>
  <c r="A239" i="36"/>
  <c r="B240" i="25" s="1"/>
  <c r="E238" i="36"/>
  <c r="E239" i="25" s="1"/>
  <c r="A238" i="36"/>
  <c r="B239" i="25" s="1"/>
  <c r="E237" i="36"/>
  <c r="E238" i="25" s="1"/>
  <c r="A237" i="36"/>
  <c r="B238" i="25" s="1"/>
  <c r="E236" i="36"/>
  <c r="E237" i="25" s="1"/>
  <c r="A236" i="36"/>
  <c r="B237" i="25" s="1"/>
  <c r="E235" i="36"/>
  <c r="E236" i="25" s="1"/>
  <c r="A235" i="36"/>
  <c r="B236" i="25" s="1"/>
  <c r="E234" i="36"/>
  <c r="E235" i="25" s="1"/>
  <c r="A234" i="36"/>
  <c r="B235" i="25" s="1"/>
  <c r="B234" i="25"/>
  <c r="E233" i="36"/>
  <c r="E234" i="25" s="1"/>
  <c r="A233" i="36"/>
  <c r="E232" i="36"/>
  <c r="E233" i="25" s="1"/>
  <c r="A232" i="36"/>
  <c r="B233" i="25" s="1"/>
  <c r="E231" i="36"/>
  <c r="E232" i="25" s="1"/>
  <c r="A231" i="36"/>
  <c r="B232" i="25" s="1"/>
  <c r="E230" i="36"/>
  <c r="E231" i="25" s="1"/>
  <c r="A230" i="36"/>
  <c r="B231" i="25" s="1"/>
  <c r="E229" i="36"/>
  <c r="E230" i="25" s="1"/>
  <c r="A229" i="36"/>
  <c r="B230" i="25" s="1"/>
  <c r="A228" i="36"/>
  <c r="B229" i="25" s="1"/>
  <c r="E227" i="36"/>
  <c r="E228" i="25" s="1"/>
  <c r="A227" i="36"/>
  <c r="B228" i="25" s="1"/>
  <c r="E226" i="36"/>
  <c r="E227" i="25" s="1"/>
  <c r="A226" i="36"/>
  <c r="B227" i="25" s="1"/>
  <c r="E225" i="36"/>
  <c r="E226" i="25" s="1"/>
  <c r="A225" i="36"/>
  <c r="B226" i="25" s="1"/>
  <c r="E224" i="36"/>
  <c r="E225" i="25" s="1"/>
  <c r="A224" i="36"/>
  <c r="B225" i="25" s="1"/>
  <c r="E223" i="36"/>
  <c r="E224" i="25" s="1"/>
  <c r="A223" i="36"/>
  <c r="B224" i="25" s="1"/>
  <c r="E222" i="36"/>
  <c r="E223" i="25" s="1"/>
  <c r="A222" i="36"/>
  <c r="B223" i="25" s="1"/>
  <c r="E221" i="36"/>
  <c r="E222" i="25" s="1"/>
  <c r="A221" i="36"/>
  <c r="B222" i="25" s="1"/>
  <c r="E220" i="36"/>
  <c r="E221" i="25" s="1"/>
  <c r="A220" i="36"/>
  <c r="B221" i="25" s="1"/>
  <c r="E219" i="36"/>
  <c r="E220" i="25" s="1"/>
  <c r="A219" i="36"/>
  <c r="B220" i="25" s="1"/>
  <c r="E218" i="36"/>
  <c r="E219" i="25" s="1"/>
  <c r="A218" i="36"/>
  <c r="B219" i="25" s="1"/>
  <c r="E217" i="36"/>
  <c r="E218" i="25" s="1"/>
  <c r="A217" i="36"/>
  <c r="B218" i="25" s="1"/>
  <c r="E216" i="36"/>
  <c r="E217" i="25" s="1"/>
  <c r="A216" i="36"/>
  <c r="B217" i="25" s="1"/>
  <c r="E215" i="36"/>
  <c r="E216" i="25" s="1"/>
  <c r="A215" i="36"/>
  <c r="B216" i="25" s="1"/>
  <c r="E214" i="36"/>
  <c r="E215" i="25" s="1"/>
  <c r="A214" i="36"/>
  <c r="B215" i="25" s="1"/>
  <c r="E213" i="36"/>
  <c r="E214" i="25" s="1"/>
  <c r="A213" i="36"/>
  <c r="B214" i="25" s="1"/>
  <c r="E212" i="36"/>
  <c r="E213" i="25" s="1"/>
  <c r="A212" i="36"/>
  <c r="B213" i="25" s="1"/>
  <c r="E211" i="36"/>
  <c r="E212" i="25" s="1"/>
  <c r="A211" i="36"/>
  <c r="B212" i="25" s="1"/>
  <c r="E210" i="36"/>
  <c r="E211" i="25" s="1"/>
  <c r="A210" i="36"/>
  <c r="B211" i="25" s="1"/>
  <c r="E209" i="36"/>
  <c r="E210" i="25" s="1"/>
  <c r="A209" i="36"/>
  <c r="B210" i="25" s="1"/>
  <c r="E208" i="36"/>
  <c r="E209" i="25" s="1"/>
  <c r="A208" i="36"/>
  <c r="B209" i="25" s="1"/>
  <c r="E207" i="36"/>
  <c r="E208" i="25" s="1"/>
  <c r="A207" i="36"/>
  <c r="B208" i="25" s="1"/>
  <c r="E206" i="36"/>
  <c r="E207" i="25" s="1"/>
  <c r="A206" i="36"/>
  <c r="B207" i="25" s="1"/>
  <c r="E205" i="36"/>
  <c r="E206" i="25" s="1"/>
  <c r="A205" i="36"/>
  <c r="B206" i="25" s="1"/>
  <c r="E204" i="36"/>
  <c r="E205" i="25" s="1"/>
  <c r="A204" i="36"/>
  <c r="B205" i="25" s="1"/>
  <c r="E203" i="36"/>
  <c r="E204" i="25" s="1"/>
  <c r="A203" i="36"/>
  <c r="B204" i="25" s="1"/>
  <c r="E202" i="36"/>
  <c r="E203" i="25" s="1"/>
  <c r="A202" i="36"/>
  <c r="B203" i="25" s="1"/>
  <c r="E201" i="36"/>
  <c r="E202" i="25" s="1"/>
  <c r="A201" i="36"/>
  <c r="B202" i="25" s="1"/>
  <c r="E200" i="36"/>
  <c r="E201" i="25" s="1"/>
  <c r="A200" i="36"/>
  <c r="B201" i="25" s="1"/>
  <c r="E199" i="36"/>
  <c r="E200" i="25" s="1"/>
  <c r="A199" i="36"/>
  <c r="B200" i="25" s="1"/>
  <c r="E198" i="36"/>
  <c r="E199" i="25" s="1"/>
  <c r="A198" i="36"/>
  <c r="B199" i="25" s="1"/>
  <c r="E197" i="36"/>
  <c r="E198" i="25" s="1"/>
  <c r="A197" i="36"/>
  <c r="B198" i="25" s="1"/>
  <c r="E196" i="36"/>
  <c r="E197" i="25" s="1"/>
  <c r="A196" i="36"/>
  <c r="B197" i="25" s="1"/>
  <c r="E195" i="36"/>
  <c r="E196" i="25" s="1"/>
  <c r="A195" i="36"/>
  <c r="B196" i="25" s="1"/>
  <c r="E194" i="36"/>
  <c r="E195" i="25" s="1"/>
  <c r="A194" i="36"/>
  <c r="B195" i="25" s="1"/>
  <c r="E193" i="36"/>
  <c r="E194" i="25" s="1"/>
  <c r="A193" i="36"/>
  <c r="B194" i="25" s="1"/>
  <c r="E192" i="36"/>
  <c r="E193" i="25" s="1"/>
  <c r="A192" i="36"/>
  <c r="B193" i="25" s="1"/>
  <c r="E191" i="36"/>
  <c r="E192" i="25" s="1"/>
  <c r="A191" i="36"/>
  <c r="B192" i="25" s="1"/>
  <c r="E190" i="36"/>
  <c r="E191" i="25" s="1"/>
  <c r="A190" i="36"/>
  <c r="B191" i="25" s="1"/>
  <c r="E189" i="36"/>
  <c r="E190" i="25" s="1"/>
  <c r="A189" i="36"/>
  <c r="B190" i="25" s="1"/>
  <c r="B189" i="25"/>
  <c r="E188" i="36"/>
  <c r="E189" i="25" s="1"/>
  <c r="A188" i="36"/>
  <c r="E187" i="36"/>
  <c r="E188" i="25" s="1"/>
  <c r="A187" i="36"/>
  <c r="B188" i="25" s="1"/>
  <c r="E186" i="36"/>
  <c r="E187" i="25" s="1"/>
  <c r="A186" i="36"/>
  <c r="B187" i="25" s="1"/>
  <c r="E185" i="36"/>
  <c r="E186" i="25" s="1"/>
  <c r="A185" i="36"/>
  <c r="B186" i="25" s="1"/>
  <c r="E184" i="36"/>
  <c r="E185" i="25" s="1"/>
  <c r="A184" i="36"/>
  <c r="B185" i="25" s="1"/>
  <c r="E183" i="36"/>
  <c r="E184" i="25" s="1"/>
  <c r="A183" i="36"/>
  <c r="B184" i="25" s="1"/>
  <c r="E182" i="36"/>
  <c r="E183" i="25" s="1"/>
  <c r="A182" i="36"/>
  <c r="B183" i="25" s="1"/>
  <c r="E181" i="36"/>
  <c r="E182" i="25" s="1"/>
  <c r="A181" i="36"/>
  <c r="B182" i="25" s="1"/>
  <c r="E180" i="36"/>
  <c r="E181" i="25" s="1"/>
  <c r="A180" i="36"/>
  <c r="B181" i="25" s="1"/>
  <c r="E179" i="36"/>
  <c r="E180" i="25" s="1"/>
  <c r="A179" i="36"/>
  <c r="B180" i="25" s="1"/>
  <c r="E178" i="36"/>
  <c r="E179" i="25" s="1"/>
  <c r="A178" i="36"/>
  <c r="B179" i="25" s="1"/>
  <c r="E177" i="36"/>
  <c r="E178" i="25" s="1"/>
  <c r="A177" i="36"/>
  <c r="B178" i="25" s="1"/>
  <c r="E176" i="36"/>
  <c r="E177" i="25" s="1"/>
  <c r="A176" i="36"/>
  <c r="B177" i="25" s="1"/>
  <c r="E175" i="36"/>
  <c r="E176" i="25" s="1"/>
  <c r="A175" i="36"/>
  <c r="B176" i="25" s="1"/>
  <c r="E174" i="36"/>
  <c r="E175" i="25" s="1"/>
  <c r="A174" i="36"/>
  <c r="B175" i="25" s="1"/>
  <c r="E173" i="36"/>
  <c r="E174" i="25" s="1"/>
  <c r="A173" i="36"/>
  <c r="B174" i="25" s="1"/>
  <c r="E172" i="36"/>
  <c r="E173" i="25" s="1"/>
  <c r="A172" i="36"/>
  <c r="B173" i="25" s="1"/>
  <c r="E171" i="36"/>
  <c r="E172" i="25" s="1"/>
  <c r="A171" i="36"/>
  <c r="B172" i="25" s="1"/>
  <c r="E170" i="36"/>
  <c r="E171" i="25" s="1"/>
  <c r="A170" i="36"/>
  <c r="B171" i="25" s="1"/>
  <c r="E169" i="36"/>
  <c r="E170" i="25" s="1"/>
  <c r="A169" i="36"/>
  <c r="B170" i="25" s="1"/>
  <c r="E168" i="36"/>
  <c r="E169" i="25" s="1"/>
  <c r="A168" i="36"/>
  <c r="B169" i="25" s="1"/>
  <c r="E167" i="36"/>
  <c r="E168" i="25" s="1"/>
  <c r="A167" i="36"/>
  <c r="B168" i="25" s="1"/>
  <c r="E166" i="36"/>
  <c r="E167" i="25" s="1"/>
  <c r="A166" i="36"/>
  <c r="B167" i="25" s="1"/>
  <c r="E165" i="36"/>
  <c r="E166" i="25" s="1"/>
  <c r="A165" i="36"/>
  <c r="B166" i="25" s="1"/>
  <c r="E164" i="36"/>
  <c r="E165" i="25" s="1"/>
  <c r="A164" i="36"/>
  <c r="B165" i="25" s="1"/>
  <c r="E163" i="36"/>
  <c r="E164" i="25" s="1"/>
  <c r="A163" i="36"/>
  <c r="B164" i="25" s="1"/>
  <c r="E162" i="36"/>
  <c r="E163" i="25" s="1"/>
  <c r="A162" i="36"/>
  <c r="B163" i="25" s="1"/>
  <c r="E161" i="36"/>
  <c r="E162" i="25" s="1"/>
  <c r="A161" i="36"/>
  <c r="B162" i="25" s="1"/>
  <c r="E160" i="36"/>
  <c r="E161" i="25" s="1"/>
  <c r="A160" i="36"/>
  <c r="B161" i="25" s="1"/>
  <c r="E159" i="36"/>
  <c r="E160" i="25" s="1"/>
  <c r="A159" i="36"/>
  <c r="B160" i="25" s="1"/>
  <c r="E158" i="36"/>
  <c r="E159" i="25" s="1"/>
  <c r="A158" i="36"/>
  <c r="B159" i="25" s="1"/>
  <c r="E157" i="36"/>
  <c r="E158" i="25" s="1"/>
  <c r="A157" i="36"/>
  <c r="B158" i="25" s="1"/>
  <c r="E156" i="36"/>
  <c r="E157" i="25" s="1"/>
  <c r="A156" i="36"/>
  <c r="B157" i="25" s="1"/>
  <c r="E155" i="36"/>
  <c r="E156" i="25" s="1"/>
  <c r="A155" i="36"/>
  <c r="B156" i="25" s="1"/>
  <c r="E154" i="36"/>
  <c r="E155" i="25" s="1"/>
  <c r="A154" i="36"/>
  <c r="B155" i="25" s="1"/>
  <c r="E153" i="36"/>
  <c r="E154" i="25" s="1"/>
  <c r="A153" i="36"/>
  <c r="B154" i="25" s="1"/>
  <c r="E152" i="36"/>
  <c r="E153" i="25" s="1"/>
  <c r="A152" i="36"/>
  <c r="B153" i="25" s="1"/>
  <c r="E151" i="36"/>
  <c r="E152" i="25" s="1"/>
  <c r="A151" i="36"/>
  <c r="B152" i="25" s="1"/>
  <c r="E150" i="36"/>
  <c r="E151" i="25" s="1"/>
  <c r="A150" i="36"/>
  <c r="B151" i="25" s="1"/>
  <c r="E149" i="36"/>
  <c r="E150" i="25" s="1"/>
  <c r="A149" i="36"/>
  <c r="B150" i="25" s="1"/>
  <c r="E148" i="36"/>
  <c r="E149" i="25" s="1"/>
  <c r="A148" i="36"/>
  <c r="B149" i="25" s="1"/>
  <c r="E147" i="36"/>
  <c r="E148" i="25" s="1"/>
  <c r="A147" i="36"/>
  <c r="B148" i="25" s="1"/>
  <c r="E146" i="36"/>
  <c r="E147" i="25" s="1"/>
  <c r="A146" i="36"/>
  <c r="B147" i="25" s="1"/>
  <c r="E145" i="36"/>
  <c r="E146" i="25" s="1"/>
  <c r="A145" i="36"/>
  <c r="B146" i="25" s="1"/>
  <c r="E144" i="36"/>
  <c r="E145" i="25" s="1"/>
  <c r="A144" i="36"/>
  <c r="B145" i="25" s="1"/>
  <c r="E143" i="36"/>
  <c r="E144" i="25" s="1"/>
  <c r="A143" i="36"/>
  <c r="B144" i="25" s="1"/>
  <c r="E142" i="36"/>
  <c r="E143" i="25" s="1"/>
  <c r="A142" i="36"/>
  <c r="B143" i="25" s="1"/>
  <c r="E141" i="36"/>
  <c r="E142" i="25" s="1"/>
  <c r="A141" i="36"/>
  <c r="B142" i="25" s="1"/>
  <c r="E140" i="36"/>
  <c r="E141" i="25" s="1"/>
  <c r="A140" i="36"/>
  <c r="B141" i="25" s="1"/>
  <c r="A139" i="36"/>
  <c r="B140" i="25" s="1"/>
  <c r="E138" i="36"/>
  <c r="E139" i="25" s="1"/>
  <c r="A138" i="36"/>
  <c r="B139" i="25" s="1"/>
  <c r="E137" i="36"/>
  <c r="E138" i="25" s="1"/>
  <c r="A137" i="36"/>
  <c r="B138" i="25" s="1"/>
  <c r="E136" i="36"/>
  <c r="E137" i="25" s="1"/>
  <c r="A136" i="36"/>
  <c r="B137" i="25" s="1"/>
  <c r="E135" i="36"/>
  <c r="E136" i="25" s="1"/>
  <c r="A135" i="36"/>
  <c r="B136" i="25" s="1"/>
  <c r="E134" i="36"/>
  <c r="E135" i="25" s="1"/>
  <c r="A134" i="36"/>
  <c r="B135" i="25" s="1"/>
  <c r="E133" i="36"/>
  <c r="E134" i="25" s="1"/>
  <c r="A133" i="36"/>
  <c r="B134" i="25" s="1"/>
  <c r="A132" i="36"/>
  <c r="B133" i="25" s="1"/>
  <c r="E131" i="36"/>
  <c r="E132" i="25" s="1"/>
  <c r="A131" i="36"/>
  <c r="B132" i="25" s="1"/>
  <c r="E130" i="36"/>
  <c r="E131" i="25" s="1"/>
  <c r="A130" i="36"/>
  <c r="B131" i="25" s="1"/>
  <c r="E129" i="36"/>
  <c r="E130" i="25" s="1"/>
  <c r="A129" i="36"/>
  <c r="B130" i="25" s="1"/>
  <c r="E128" i="36"/>
  <c r="E129" i="25" s="1"/>
  <c r="A128" i="36"/>
  <c r="B129" i="25" s="1"/>
  <c r="E127" i="36"/>
  <c r="E128" i="25" s="1"/>
  <c r="A127" i="36"/>
  <c r="B128" i="25" s="1"/>
  <c r="E126" i="36"/>
  <c r="E127" i="25" s="1"/>
  <c r="A126" i="36"/>
  <c r="B127" i="25" s="1"/>
  <c r="E125" i="36"/>
  <c r="E126" i="25" s="1"/>
  <c r="A125" i="36"/>
  <c r="B126" i="25" s="1"/>
  <c r="E124" i="36"/>
  <c r="E125" i="25" s="1"/>
  <c r="A124" i="36"/>
  <c r="B125" i="25" s="1"/>
  <c r="E123" i="36"/>
  <c r="E124" i="25" s="1"/>
  <c r="A123" i="36"/>
  <c r="B124" i="25" s="1"/>
  <c r="E122" i="36"/>
  <c r="E123" i="25" s="1"/>
  <c r="A122" i="36"/>
  <c r="B123" i="25" s="1"/>
  <c r="E121" i="36"/>
  <c r="E122" i="25" s="1"/>
  <c r="A121" i="36"/>
  <c r="B122" i="25" s="1"/>
  <c r="E120" i="36"/>
  <c r="E121" i="25" s="1"/>
  <c r="A120" i="36"/>
  <c r="B121" i="25" s="1"/>
  <c r="E119" i="36"/>
  <c r="E120" i="25" s="1"/>
  <c r="A119" i="36"/>
  <c r="B120" i="25" s="1"/>
  <c r="E118" i="36"/>
  <c r="E119" i="25" s="1"/>
  <c r="A118" i="36"/>
  <c r="B119" i="25" s="1"/>
  <c r="E117" i="36"/>
  <c r="E118" i="25" s="1"/>
  <c r="A117" i="36"/>
  <c r="B118" i="25" s="1"/>
  <c r="E116" i="36"/>
  <c r="E117" i="25" s="1"/>
  <c r="A116" i="36"/>
  <c r="B117" i="25" s="1"/>
  <c r="E115" i="36"/>
  <c r="E116" i="25" s="1"/>
  <c r="A115" i="36"/>
  <c r="B116" i="25" s="1"/>
  <c r="E114" i="36"/>
  <c r="E115" i="25" s="1"/>
  <c r="A114" i="36"/>
  <c r="B115" i="25" s="1"/>
  <c r="R113" i="36"/>
  <c r="E113" i="36"/>
  <c r="E114" i="25" s="1"/>
  <c r="A113" i="36"/>
  <c r="B114" i="25" s="1"/>
  <c r="R112" i="36"/>
  <c r="E112" i="36"/>
  <c r="E113" i="25" s="1"/>
  <c r="A112" i="36"/>
  <c r="B113" i="25" s="1"/>
  <c r="E111" i="36"/>
  <c r="E112" i="25" s="1"/>
  <c r="A111" i="36"/>
  <c r="B112" i="25" s="1"/>
  <c r="E110" i="36"/>
  <c r="E111" i="25" s="1"/>
  <c r="A110" i="36"/>
  <c r="B111" i="25" s="1"/>
  <c r="R109" i="36"/>
  <c r="E109" i="36"/>
  <c r="E110" i="25" s="1"/>
  <c r="A109" i="36"/>
  <c r="B110" i="25" s="1"/>
  <c r="R108" i="36"/>
  <c r="E108" i="36"/>
  <c r="E109" i="25" s="1"/>
  <c r="A108" i="36"/>
  <c r="B109" i="25" s="1"/>
  <c r="R107" i="36"/>
  <c r="E107" i="36"/>
  <c r="E108" i="25" s="1"/>
  <c r="A107" i="36"/>
  <c r="B108" i="25" s="1"/>
  <c r="R106" i="36"/>
  <c r="E106" i="36"/>
  <c r="E107" i="25" s="1"/>
  <c r="A106" i="36"/>
  <c r="B107" i="25" s="1"/>
  <c r="R105" i="36"/>
  <c r="E105" i="36"/>
  <c r="E106" i="25" s="1"/>
  <c r="A105" i="36"/>
  <c r="B106" i="25" s="1"/>
  <c r="R104" i="36"/>
  <c r="E104" i="36"/>
  <c r="E105" i="25" s="1"/>
  <c r="A104" i="36"/>
  <c r="B105" i="25" s="1"/>
  <c r="R103" i="36"/>
  <c r="A103" i="36"/>
  <c r="B104" i="25" s="1"/>
  <c r="R102" i="36"/>
  <c r="A102" i="36"/>
  <c r="B103" i="25" s="1"/>
  <c r="R101" i="36"/>
  <c r="E101" i="36"/>
  <c r="E102" i="25" s="1"/>
  <c r="A101" i="36"/>
  <c r="B102" i="25" s="1"/>
  <c r="R100" i="36"/>
  <c r="E100" i="36"/>
  <c r="E101" i="25" s="1"/>
  <c r="A100" i="36"/>
  <c r="B101" i="25" s="1"/>
  <c r="R99" i="36"/>
  <c r="E99" i="36"/>
  <c r="E100" i="25" s="1"/>
  <c r="A99" i="36"/>
  <c r="B100" i="25" s="1"/>
  <c r="R98" i="36"/>
  <c r="A98" i="36"/>
  <c r="B99" i="25" s="1"/>
  <c r="R97" i="36"/>
  <c r="A97" i="36"/>
  <c r="B98" i="25" s="1"/>
  <c r="R96" i="36"/>
  <c r="A96" i="36"/>
  <c r="B97" i="25" s="1"/>
  <c r="R95" i="36"/>
  <c r="E95" i="36"/>
  <c r="E96" i="25" s="1"/>
  <c r="A95" i="36"/>
  <c r="B96" i="25" s="1"/>
  <c r="R94" i="36"/>
  <c r="E94" i="36"/>
  <c r="E95" i="25" s="1"/>
  <c r="A94" i="36"/>
  <c r="B95" i="25" s="1"/>
  <c r="R93" i="36"/>
  <c r="E93" i="36"/>
  <c r="E94" i="25" s="1"/>
  <c r="A93" i="36"/>
  <c r="B94" i="25" s="1"/>
  <c r="R92" i="36"/>
  <c r="E92" i="36"/>
  <c r="E93" i="25" s="1"/>
  <c r="A92" i="36"/>
  <c r="B93" i="25" s="1"/>
  <c r="R91" i="36"/>
  <c r="E91" i="36"/>
  <c r="E92" i="25" s="1"/>
  <c r="A91" i="36"/>
  <c r="B92" i="25" s="1"/>
  <c r="R90" i="36"/>
  <c r="E90" i="36"/>
  <c r="E91" i="25" s="1"/>
  <c r="A90" i="36"/>
  <c r="B91" i="25" s="1"/>
  <c r="R89" i="36"/>
  <c r="E89" i="36"/>
  <c r="E90" i="25" s="1"/>
  <c r="A89" i="36"/>
  <c r="B90" i="25" s="1"/>
  <c r="R88" i="36"/>
  <c r="E88" i="36"/>
  <c r="E89" i="25" s="1"/>
  <c r="A88" i="36"/>
  <c r="B89" i="25" s="1"/>
  <c r="R87" i="36"/>
  <c r="E87" i="36"/>
  <c r="E88" i="25" s="1"/>
  <c r="A87" i="36"/>
  <c r="B88" i="25" s="1"/>
  <c r="R86" i="36"/>
  <c r="E86" i="36"/>
  <c r="E87" i="25" s="1"/>
  <c r="A86" i="36"/>
  <c r="B87" i="25" s="1"/>
  <c r="R85" i="36"/>
  <c r="E85" i="36"/>
  <c r="E86" i="25" s="1"/>
  <c r="A85" i="36"/>
  <c r="B86" i="25" s="1"/>
  <c r="R84" i="36"/>
  <c r="E84" i="36"/>
  <c r="E85" i="25" s="1"/>
  <c r="A84" i="36"/>
  <c r="B85" i="25" s="1"/>
  <c r="R83" i="36"/>
  <c r="E83" i="36"/>
  <c r="E84" i="25" s="1"/>
  <c r="A83" i="36"/>
  <c r="B84" i="25" s="1"/>
  <c r="R82" i="36"/>
  <c r="E82" i="36"/>
  <c r="E83" i="25" s="1"/>
  <c r="A82" i="36"/>
  <c r="B83" i="25" s="1"/>
  <c r="R81" i="36"/>
  <c r="E81" i="36"/>
  <c r="E82" i="25" s="1"/>
  <c r="A81" i="36"/>
  <c r="B82" i="25" s="1"/>
  <c r="R80" i="36"/>
  <c r="E80" i="36"/>
  <c r="E81" i="25" s="1"/>
  <c r="A80" i="36"/>
  <c r="B81" i="25" s="1"/>
  <c r="R79" i="36"/>
  <c r="E79" i="36"/>
  <c r="E80" i="25" s="1"/>
  <c r="A79" i="36"/>
  <c r="B80" i="25" s="1"/>
  <c r="R78" i="36"/>
  <c r="E78" i="36"/>
  <c r="E79" i="25" s="1"/>
  <c r="A78" i="36"/>
  <c r="B79" i="25" s="1"/>
  <c r="R77" i="36"/>
  <c r="E77" i="36"/>
  <c r="E78" i="25" s="1"/>
  <c r="A77" i="36"/>
  <c r="B78" i="25" s="1"/>
  <c r="R76" i="36"/>
  <c r="E76" i="36"/>
  <c r="E77" i="25" s="1"/>
  <c r="A76" i="36"/>
  <c r="B77" i="25" s="1"/>
  <c r="R75" i="36"/>
  <c r="E75" i="36"/>
  <c r="E76" i="25" s="1"/>
  <c r="A75" i="36"/>
  <c r="B76" i="25" s="1"/>
  <c r="R74" i="36"/>
  <c r="E74" i="36"/>
  <c r="E75" i="25" s="1"/>
  <c r="A74" i="36"/>
  <c r="B75" i="25" s="1"/>
  <c r="R73" i="36"/>
  <c r="E73" i="36"/>
  <c r="E74" i="25" s="1"/>
  <c r="A73" i="36"/>
  <c r="B74" i="25" s="1"/>
  <c r="R72" i="36"/>
  <c r="E72" i="36"/>
  <c r="E73" i="25" s="1"/>
  <c r="A72" i="36"/>
  <c r="B73" i="25" s="1"/>
  <c r="R71" i="36"/>
  <c r="E71" i="36"/>
  <c r="E72" i="25" s="1"/>
  <c r="A71" i="36"/>
  <c r="B72" i="25" s="1"/>
  <c r="R70" i="36"/>
  <c r="E70" i="36"/>
  <c r="E71" i="25" s="1"/>
  <c r="A70" i="36"/>
  <c r="B71" i="25" s="1"/>
  <c r="R69" i="36"/>
  <c r="E69" i="36"/>
  <c r="E70" i="25" s="1"/>
  <c r="A69" i="36"/>
  <c r="B70" i="25" s="1"/>
  <c r="R68" i="36"/>
  <c r="E68" i="36"/>
  <c r="E69" i="25" s="1"/>
  <c r="A68" i="36"/>
  <c r="B69" i="25" s="1"/>
  <c r="R67" i="36"/>
  <c r="E67" i="36"/>
  <c r="E68" i="25" s="1"/>
  <c r="A67" i="36"/>
  <c r="B68" i="25" s="1"/>
  <c r="R66" i="36"/>
  <c r="E66" i="36"/>
  <c r="E67" i="25" s="1"/>
  <c r="A66" i="36"/>
  <c r="B67" i="25" s="1"/>
  <c r="R65" i="36"/>
  <c r="E65" i="36"/>
  <c r="E66" i="25" s="1"/>
  <c r="A65" i="36"/>
  <c r="B66" i="25" s="1"/>
  <c r="R64" i="36"/>
  <c r="E64" i="36"/>
  <c r="E65" i="25" s="1"/>
  <c r="A64" i="36"/>
  <c r="B65" i="25" s="1"/>
  <c r="R63" i="36"/>
  <c r="E63" i="36"/>
  <c r="E64" i="25" s="1"/>
  <c r="A63" i="36"/>
  <c r="B64" i="25" s="1"/>
  <c r="R62" i="36"/>
  <c r="E62" i="36"/>
  <c r="E63" i="25" s="1"/>
  <c r="A62" i="36"/>
  <c r="B63" i="25" s="1"/>
  <c r="R61" i="36"/>
  <c r="E61" i="36"/>
  <c r="E62" i="25" s="1"/>
  <c r="A61" i="36"/>
  <c r="B62" i="25" s="1"/>
  <c r="R60" i="36"/>
  <c r="E60" i="36"/>
  <c r="E61" i="25" s="1"/>
  <c r="A60" i="36"/>
  <c r="B61" i="25" s="1"/>
  <c r="R59" i="36"/>
  <c r="E59" i="36"/>
  <c r="E60" i="25" s="1"/>
  <c r="A59" i="36"/>
  <c r="B60" i="25" s="1"/>
  <c r="R58" i="36"/>
  <c r="E58" i="36"/>
  <c r="E59" i="25" s="1"/>
  <c r="A58" i="36"/>
  <c r="B59" i="25" s="1"/>
  <c r="R57" i="36"/>
  <c r="E57" i="36"/>
  <c r="E58" i="25" s="1"/>
  <c r="A57" i="36"/>
  <c r="B58" i="25" s="1"/>
  <c r="R56" i="36"/>
  <c r="E56" i="36"/>
  <c r="E57" i="25" s="1"/>
  <c r="A56" i="36"/>
  <c r="B57" i="25" s="1"/>
  <c r="R55" i="36"/>
  <c r="E55" i="36"/>
  <c r="E56" i="25" s="1"/>
  <c r="A55" i="36"/>
  <c r="B56" i="25" s="1"/>
  <c r="R54" i="36"/>
  <c r="E54" i="36"/>
  <c r="E55" i="25" s="1"/>
  <c r="A54" i="36"/>
  <c r="B55" i="25" s="1"/>
  <c r="R53" i="36"/>
  <c r="E53" i="36"/>
  <c r="E54" i="25" s="1"/>
  <c r="A53" i="36"/>
  <c r="B54" i="25" s="1"/>
  <c r="R52" i="36"/>
  <c r="E52" i="36"/>
  <c r="E53" i="25" s="1"/>
  <c r="A52" i="36"/>
  <c r="B53" i="25" s="1"/>
  <c r="R51" i="36"/>
  <c r="E51" i="36"/>
  <c r="E52" i="25" s="1"/>
  <c r="A51" i="36"/>
  <c r="B52" i="25" s="1"/>
  <c r="R50" i="36"/>
  <c r="E50" i="36"/>
  <c r="E51" i="25" s="1"/>
  <c r="A50" i="36"/>
  <c r="B51" i="25" s="1"/>
  <c r="R49" i="36"/>
  <c r="E49" i="36"/>
  <c r="E50" i="25" s="1"/>
  <c r="A49" i="36"/>
  <c r="B50" i="25" s="1"/>
  <c r="R48" i="36"/>
  <c r="E48" i="36"/>
  <c r="E49" i="25" s="1"/>
  <c r="A48" i="36"/>
  <c r="B49" i="25" s="1"/>
  <c r="R47" i="36"/>
  <c r="E47" i="36"/>
  <c r="E48" i="25" s="1"/>
  <c r="A47" i="36"/>
  <c r="B48" i="25" s="1"/>
  <c r="R46" i="36"/>
  <c r="E46" i="36"/>
  <c r="E47" i="25" s="1"/>
  <c r="A46" i="36"/>
  <c r="B47" i="25" s="1"/>
  <c r="R45" i="36"/>
  <c r="E45" i="36"/>
  <c r="E46" i="25" s="1"/>
  <c r="A45" i="36"/>
  <c r="B46" i="25" s="1"/>
  <c r="R44" i="36"/>
  <c r="E44" i="36"/>
  <c r="E45" i="25" s="1"/>
  <c r="A44" i="36"/>
  <c r="B45" i="25" s="1"/>
  <c r="R43" i="36"/>
  <c r="E43" i="36"/>
  <c r="E44" i="25" s="1"/>
  <c r="A43" i="36"/>
  <c r="B44" i="25" s="1"/>
  <c r="R42" i="36"/>
  <c r="E42" i="36"/>
  <c r="E43" i="25" s="1"/>
  <c r="A42" i="36"/>
  <c r="B43" i="25" s="1"/>
  <c r="R41" i="36"/>
  <c r="E41" i="36"/>
  <c r="E42" i="25" s="1"/>
  <c r="A41" i="36"/>
  <c r="B42" i="25" s="1"/>
  <c r="R40" i="36"/>
  <c r="E40" i="36"/>
  <c r="E41" i="25" s="1"/>
  <c r="A40" i="36"/>
  <c r="B41" i="25" s="1"/>
  <c r="R39" i="36"/>
  <c r="E39" i="36"/>
  <c r="E40" i="25" s="1"/>
  <c r="A39" i="36"/>
  <c r="B40" i="25" s="1"/>
  <c r="R38" i="36"/>
  <c r="E38" i="36"/>
  <c r="E39" i="25" s="1"/>
  <c r="A38" i="36"/>
  <c r="B39" i="25" s="1"/>
  <c r="R37" i="36"/>
  <c r="E37" i="36"/>
  <c r="E38" i="25" s="1"/>
  <c r="A37" i="36"/>
  <c r="B38" i="25" s="1"/>
  <c r="R36" i="36"/>
  <c r="E36" i="36"/>
  <c r="E37" i="25" s="1"/>
  <c r="A36" i="36"/>
  <c r="B37" i="25" s="1"/>
  <c r="R35" i="36"/>
  <c r="E35" i="36"/>
  <c r="E36" i="25" s="1"/>
  <c r="A35" i="36"/>
  <c r="B36" i="25" s="1"/>
  <c r="R34" i="36"/>
  <c r="E34" i="36"/>
  <c r="E35" i="25" s="1"/>
  <c r="A34" i="36"/>
  <c r="B35" i="25" s="1"/>
  <c r="R33" i="36"/>
  <c r="E33" i="36"/>
  <c r="E34" i="25" s="1"/>
  <c r="A33" i="36"/>
  <c r="B34" i="25" s="1"/>
  <c r="R32" i="36"/>
  <c r="E32" i="36"/>
  <c r="E33" i="25" s="1"/>
  <c r="A32" i="36"/>
  <c r="B33" i="25" s="1"/>
  <c r="R31" i="36"/>
  <c r="E31" i="36"/>
  <c r="E32" i="25" s="1"/>
  <c r="A31" i="36"/>
  <c r="B32" i="25" s="1"/>
  <c r="R30" i="36"/>
  <c r="E30" i="36"/>
  <c r="E31" i="25" s="1"/>
  <c r="A30" i="36"/>
  <c r="B31" i="25" s="1"/>
  <c r="R29" i="36"/>
  <c r="E29" i="36"/>
  <c r="E30" i="25" s="1"/>
  <c r="A29" i="36"/>
  <c r="B30" i="25" s="1"/>
  <c r="R28" i="36"/>
  <c r="E28" i="36"/>
  <c r="E29" i="25" s="1"/>
  <c r="A28" i="36"/>
  <c r="B29" i="25" s="1"/>
  <c r="R27" i="36"/>
  <c r="E27" i="36"/>
  <c r="E28" i="25" s="1"/>
  <c r="A27" i="36"/>
  <c r="B28" i="25" s="1"/>
  <c r="R26" i="36"/>
  <c r="E26" i="36"/>
  <c r="E27" i="25" s="1"/>
  <c r="A26" i="36"/>
  <c r="B27" i="25" s="1"/>
  <c r="R25" i="36"/>
  <c r="E25" i="36"/>
  <c r="E26" i="25" s="1"/>
  <c r="A25" i="36"/>
  <c r="B26" i="25" s="1"/>
  <c r="R24" i="36"/>
  <c r="E24" i="36"/>
  <c r="E25" i="25" s="1"/>
  <c r="A24" i="36"/>
  <c r="B25" i="25" s="1"/>
  <c r="R23" i="36"/>
  <c r="E23" i="36"/>
  <c r="E24" i="25" s="1"/>
  <c r="A23" i="36"/>
  <c r="B24" i="25" s="1"/>
  <c r="R22" i="36"/>
  <c r="E22" i="36"/>
  <c r="E23" i="25" s="1"/>
  <c r="A22" i="36"/>
  <c r="B23" i="25" s="1"/>
  <c r="R21" i="36"/>
  <c r="E21" i="36"/>
  <c r="E22" i="25" s="1"/>
  <c r="A21" i="36"/>
  <c r="B22" i="25" s="1"/>
  <c r="R20" i="36"/>
  <c r="E20" i="36"/>
  <c r="E21" i="25" s="1"/>
  <c r="A20" i="36"/>
  <c r="B21" i="25" s="1"/>
  <c r="R19" i="36"/>
  <c r="E19" i="36"/>
  <c r="E20" i="25" s="1"/>
  <c r="A19" i="36"/>
  <c r="B20" i="25" s="1"/>
  <c r="R18" i="36"/>
  <c r="E18" i="36"/>
  <c r="E19" i="25" s="1"/>
  <c r="A18" i="36"/>
  <c r="B19" i="25" s="1"/>
  <c r="R17" i="36"/>
  <c r="E17" i="36"/>
  <c r="E18" i="25" s="1"/>
  <c r="A17" i="36"/>
  <c r="B18" i="25" s="1"/>
  <c r="R16" i="36"/>
  <c r="E16" i="36"/>
  <c r="E17" i="25" s="1"/>
  <c r="A16" i="36"/>
  <c r="B17" i="25" s="1"/>
  <c r="R15" i="36"/>
  <c r="E15" i="36"/>
  <c r="E16" i="25" s="1"/>
  <c r="A15" i="36"/>
  <c r="B16" i="25" s="1"/>
  <c r="R14" i="36"/>
  <c r="E14" i="36"/>
  <c r="E15" i="25" s="1"/>
  <c r="A14" i="36"/>
  <c r="B15" i="25" s="1"/>
  <c r="R13" i="36"/>
  <c r="E13" i="36"/>
  <c r="E14" i="25" s="1"/>
  <c r="A13" i="36"/>
  <c r="B14" i="25" s="1"/>
  <c r="R12" i="36"/>
  <c r="E12" i="36"/>
  <c r="E13" i="25" s="1"/>
  <c r="A12" i="36"/>
  <c r="B13" i="25" s="1"/>
  <c r="R11" i="36"/>
  <c r="E11" i="36"/>
  <c r="E12" i="25" s="1"/>
  <c r="A11" i="36"/>
  <c r="B12" i="25" s="1"/>
  <c r="R10" i="36"/>
  <c r="E10" i="36"/>
  <c r="E11" i="25" s="1"/>
  <c r="A10" i="36"/>
  <c r="B11" i="25" s="1"/>
  <c r="R9" i="36"/>
  <c r="E9" i="36"/>
  <c r="E10" i="25" s="1"/>
  <c r="A9" i="36"/>
  <c r="B10" i="25" s="1"/>
  <c r="R8" i="36"/>
  <c r="E8" i="36"/>
  <c r="E9" i="25" s="1"/>
  <c r="A8" i="36"/>
  <c r="B9" i="25" s="1"/>
  <c r="R7" i="36"/>
  <c r="E7" i="36"/>
  <c r="E8" i="25" s="1"/>
  <c r="A7" i="36"/>
  <c r="B8" i="25" s="1"/>
  <c r="R6" i="36"/>
  <c r="E6" i="36"/>
  <c r="E7" i="25" s="1"/>
  <c r="A6" i="36"/>
  <c r="B7" i="25" s="1"/>
  <c r="R5" i="36"/>
  <c r="E5" i="36"/>
  <c r="E6" i="25" s="1"/>
  <c r="A5" i="36"/>
  <c r="B6" i="25" s="1"/>
  <c r="R4" i="36"/>
  <c r="E4" i="36"/>
  <c r="E5" i="25" s="1"/>
  <c r="A4" i="36"/>
  <c r="B5" i="25" s="1"/>
  <c r="R3" i="36"/>
  <c r="E3" i="36"/>
  <c r="E4" i="25" s="1"/>
  <c r="B4" i="25"/>
  <c r="W229" i="36" l="1"/>
  <c r="AH230" i="25" s="1"/>
  <c r="W93" i="36"/>
  <c r="AH94" i="25" s="1"/>
  <c r="W89" i="36"/>
  <c r="AH90" i="25" s="1"/>
  <c r="W85" i="36"/>
  <c r="AH86" i="25" s="1"/>
  <c r="W81" i="36"/>
  <c r="AH82" i="25" s="1"/>
  <c r="W77" i="36"/>
  <c r="AH78" i="25" s="1"/>
  <c r="W73" i="36"/>
  <c r="AH74" i="25" s="1"/>
  <c r="W69" i="36"/>
  <c r="AH70" i="25" s="1"/>
  <c r="W65" i="36"/>
  <c r="AH66" i="25" s="1"/>
  <c r="W61" i="36"/>
  <c r="AH62" i="25" s="1"/>
  <c r="W57" i="36"/>
  <c r="AH58" i="25" s="1"/>
  <c r="W53" i="36"/>
  <c r="AH54" i="25" s="1"/>
  <c r="W49" i="36"/>
  <c r="AH50" i="25" s="1"/>
  <c r="W45" i="36"/>
  <c r="AH46" i="25" s="1"/>
  <c r="W41" i="36"/>
  <c r="AH42" i="25" s="1"/>
  <c r="W37" i="36"/>
  <c r="AH38" i="25" s="1"/>
  <c r="W33" i="36"/>
  <c r="AH34" i="25" s="1"/>
  <c r="W29" i="36"/>
  <c r="AH30" i="25" s="1"/>
  <c r="W25" i="36"/>
  <c r="AH26" i="25" s="1"/>
  <c r="W21" i="36"/>
  <c r="AH22" i="25" s="1"/>
  <c r="W17" i="36"/>
  <c r="AH18" i="25" s="1"/>
  <c r="W13" i="36"/>
  <c r="AH14" i="25" s="1"/>
  <c r="W9" i="36"/>
  <c r="AH10" i="25" s="1"/>
  <c r="C88" i="21" a="1"/>
  <c r="C88" i="21" s="1"/>
  <c r="H19" i="19" a="1"/>
  <c r="H19" i="19" s="1"/>
  <c r="G24" i="19" a="1"/>
  <c r="G24" i="19" s="1"/>
  <c r="H22" i="19" a="1"/>
  <c r="H22" i="19" s="1"/>
  <c r="B122" i="19" a="1"/>
  <c r="B122" i="19" s="1"/>
  <c r="E14" i="21" a="1"/>
  <c r="E14" i="21" s="1"/>
  <c r="B40" i="19" a="1"/>
  <c r="B40" i="19" s="1"/>
  <c r="L40" i="19" s="1"/>
  <c r="F39" i="19" a="1"/>
  <c r="F39" i="19" s="1"/>
  <c r="G34" i="19" a="1"/>
  <c r="G34" i="19" s="1"/>
  <c r="H33" i="19" a="1"/>
  <c r="H33" i="19" s="1"/>
  <c r="B48" i="20" a="1"/>
  <c r="B48" i="20" s="1"/>
  <c r="G47" i="20" a="1"/>
  <c r="G47" i="20" s="1"/>
  <c r="H42" i="20" a="1"/>
  <c r="H42" i="20" s="1"/>
  <c r="C49" i="18" a="1"/>
  <c r="C49" i="18" s="1"/>
  <c r="H49" i="18" s="1" a="1"/>
  <c r="H49" i="18" s="1"/>
  <c r="F42" i="18" a="1"/>
  <c r="F42" i="18" s="1"/>
  <c r="G42" i="18" s="1"/>
  <c r="B77" i="19" a="1"/>
  <c r="B77" i="19" s="1"/>
  <c r="L77" i="19" s="1"/>
  <c r="B60" i="19" a="1"/>
  <c r="B60" i="19" s="1"/>
  <c r="L60" i="19" s="1"/>
  <c r="W101" i="36"/>
  <c r="AH102" i="25" s="1"/>
  <c r="E13" i="21" a="1"/>
  <c r="E13" i="21" s="1"/>
  <c r="B27" i="19" a="1"/>
  <c r="B27" i="19" s="1"/>
  <c r="F24" i="19" a="1"/>
  <c r="F24" i="19" s="1"/>
  <c r="H21" i="19" a="1"/>
  <c r="H21" i="19" s="1"/>
  <c r="M19" i="19" a="1"/>
  <c r="M19" i="19" s="1"/>
  <c r="J97" i="21" a="1"/>
  <c r="J97" i="21" s="1"/>
  <c r="B39" i="19" a="1"/>
  <c r="B39" i="19" s="1"/>
  <c r="F38" i="19" a="1"/>
  <c r="F38" i="19" s="1"/>
  <c r="G33" i="19" a="1"/>
  <c r="G33" i="19" s="1"/>
  <c r="H32" i="19" a="1"/>
  <c r="H32" i="19" s="1"/>
  <c r="B47" i="20" a="1"/>
  <c r="B47" i="20" s="1"/>
  <c r="G46" i="20" a="1"/>
  <c r="G46" i="20" s="1"/>
  <c r="H41" i="20" a="1"/>
  <c r="H41" i="20" s="1"/>
  <c r="C48" i="18" a="1"/>
  <c r="C48" i="18" s="1"/>
  <c r="I48" i="18" s="1"/>
  <c r="B98" i="19" a="1"/>
  <c r="B98" i="19" s="1"/>
  <c r="A98" i="19" s="1"/>
  <c r="B76" i="19" a="1"/>
  <c r="B76" i="19" s="1"/>
  <c r="L76" i="19" s="1"/>
  <c r="B54" i="19" a="1"/>
  <c r="B54" i="19" s="1"/>
  <c r="L54" i="19" s="1"/>
  <c r="W335" i="36"/>
  <c r="AH336" i="25" s="1"/>
  <c r="W199" i="36"/>
  <c r="AH200" i="25" s="1"/>
  <c r="W195" i="36"/>
  <c r="AH196" i="25" s="1"/>
  <c r="W191" i="36"/>
  <c r="AH192" i="25" s="1"/>
  <c r="W187" i="36"/>
  <c r="AH188" i="25" s="1"/>
  <c r="W183" i="36"/>
  <c r="AH184" i="25" s="1"/>
  <c r="W179" i="36"/>
  <c r="AH180" i="25" s="1"/>
  <c r="W175" i="36"/>
  <c r="AH176" i="25" s="1"/>
  <c r="W171" i="36"/>
  <c r="AH172" i="25" s="1"/>
  <c r="W167" i="36"/>
  <c r="AH168" i="25" s="1"/>
  <c r="W163" i="36"/>
  <c r="AH164" i="25" s="1"/>
  <c r="W159" i="36"/>
  <c r="AH160" i="25" s="1"/>
  <c r="W155" i="36"/>
  <c r="AH156" i="25" s="1"/>
  <c r="W151" i="36"/>
  <c r="AH152" i="25" s="1"/>
  <c r="W147" i="36"/>
  <c r="AH148" i="25" s="1"/>
  <c r="W143" i="36"/>
  <c r="AH144" i="25" s="1"/>
  <c r="E12" i="21" a="1"/>
  <c r="E12" i="21" s="1"/>
  <c r="B26" i="19" a="1"/>
  <c r="B26" i="19" s="1"/>
  <c r="G23" i="19" a="1"/>
  <c r="G23" i="19" s="1"/>
  <c r="J27" i="19" a="1"/>
  <c r="J27" i="19" s="1"/>
  <c r="M28" i="19" a="1"/>
  <c r="M28" i="19" s="1"/>
  <c r="E30" i="21" a="1"/>
  <c r="E30" i="21" s="1"/>
  <c r="B38" i="19" a="1"/>
  <c r="B38" i="19" s="1"/>
  <c r="F35" i="19" a="1"/>
  <c r="F35" i="19" s="1"/>
  <c r="G32" i="19" a="1"/>
  <c r="G32" i="19" s="1"/>
  <c r="H29" i="19" a="1"/>
  <c r="H29" i="19" s="1"/>
  <c r="B46" i="20" a="1"/>
  <c r="B46" i="20" s="1"/>
  <c r="J46" i="20" s="1"/>
  <c r="G43" i="20" a="1"/>
  <c r="G43" i="20" s="1"/>
  <c r="H40" i="20" a="1"/>
  <c r="H40" i="20" s="1"/>
  <c r="C42" i="18" a="1"/>
  <c r="C42" i="18" s="1"/>
  <c r="B97" i="19" a="1"/>
  <c r="B97" i="19" s="1"/>
  <c r="A97" i="19" s="1"/>
  <c r="B75" i="19" a="1"/>
  <c r="B75" i="19" s="1"/>
  <c r="L75" i="19" s="1"/>
  <c r="B53" i="19" a="1"/>
  <c r="B53" i="19" s="1"/>
  <c r="L53" i="19" s="1"/>
  <c r="E8" i="21" a="1"/>
  <c r="E8" i="21" s="1"/>
  <c r="W233" i="36"/>
  <c r="AH234" i="25" s="1"/>
  <c r="W105" i="36"/>
  <c r="AH106" i="25" s="1"/>
  <c r="E11" i="21" a="1"/>
  <c r="E11" i="21" s="1"/>
  <c r="B24" i="19" a="1"/>
  <c r="B24" i="19" s="1"/>
  <c r="F23" i="19" a="1"/>
  <c r="F23" i="19" s="1"/>
  <c r="J24" i="19" a="1"/>
  <c r="J24" i="19" s="1"/>
  <c r="M27" i="19" a="1"/>
  <c r="M27" i="19" s="1"/>
  <c r="E27" i="21" a="1"/>
  <c r="E27" i="21" s="1"/>
  <c r="B37" i="19" a="1"/>
  <c r="B37" i="19" s="1"/>
  <c r="F32" i="19" a="1"/>
  <c r="F32" i="19" s="1"/>
  <c r="G31" i="19" a="1"/>
  <c r="G31" i="19" s="1"/>
  <c r="J41" i="19" a="1"/>
  <c r="J41" i="19" s="1"/>
  <c r="B45" i="20" a="1"/>
  <c r="B45" i="20" s="1"/>
  <c r="J45" i="20" s="1"/>
  <c r="G40" i="20" a="1"/>
  <c r="G40" i="20" s="1"/>
  <c r="H39" i="20" a="1"/>
  <c r="H39" i="20" s="1"/>
  <c r="F56" i="18" a="1"/>
  <c r="F56" i="18" s="1"/>
  <c r="G56" i="18" s="1"/>
  <c r="B96" i="19" a="1"/>
  <c r="B96" i="19" s="1"/>
  <c r="A96" i="19" s="1"/>
  <c r="B74" i="19" a="1"/>
  <c r="B74" i="19" s="1"/>
  <c r="B51" i="19" a="1"/>
  <c r="B51" i="19" s="1"/>
  <c r="L51" i="19" s="1"/>
  <c r="W339" i="36"/>
  <c r="AH340" i="25" s="1"/>
  <c r="W100" i="36"/>
  <c r="AH101" i="25" s="1"/>
  <c r="E9" i="21" a="1"/>
  <c r="E9" i="21" s="1"/>
  <c r="B23" i="19" a="1"/>
  <c r="B23" i="19" s="1"/>
  <c r="G22" i="19" a="1"/>
  <c r="G22" i="19" s="1"/>
  <c r="J23" i="19" a="1"/>
  <c r="J23" i="19" s="1"/>
  <c r="M26" i="19" a="1"/>
  <c r="M26" i="19" s="1"/>
  <c r="E26" i="21" a="1"/>
  <c r="E26" i="21" s="1"/>
  <c r="B36" i="19" a="1"/>
  <c r="B36" i="19" s="1"/>
  <c r="F31" i="19" a="1"/>
  <c r="F31" i="19" s="1"/>
  <c r="G30" i="19" a="1"/>
  <c r="G30" i="19" s="1"/>
  <c r="J40" i="19" a="1"/>
  <c r="J40" i="19" s="1"/>
  <c r="B44" i="20" a="1"/>
  <c r="B44" i="20" s="1"/>
  <c r="J44" i="20" s="1"/>
  <c r="G39" i="20" a="1"/>
  <c r="G39" i="20" s="1"/>
  <c r="H38" i="20" a="1"/>
  <c r="H38" i="20" s="1"/>
  <c r="F55" i="18" a="1"/>
  <c r="F55" i="18" s="1"/>
  <c r="G55" i="18" s="1"/>
  <c r="B90" i="19" a="1"/>
  <c r="B90" i="19" s="1"/>
  <c r="A90" i="19" s="1"/>
  <c r="B73" i="19" a="1"/>
  <c r="B73" i="19" s="1"/>
  <c r="L73" i="19" s="1"/>
  <c r="B50" i="19" a="1"/>
  <c r="B50" i="19" s="1"/>
  <c r="W198" i="36"/>
  <c r="AH199" i="25" s="1"/>
  <c r="W194" i="36"/>
  <c r="AH195" i="25" s="1"/>
  <c r="W190" i="36"/>
  <c r="AH191" i="25" s="1"/>
  <c r="W186" i="36"/>
  <c r="AH187" i="25" s="1"/>
  <c r="W182" i="36"/>
  <c r="AH183" i="25" s="1"/>
  <c r="W178" i="36"/>
  <c r="AH179" i="25" s="1"/>
  <c r="W174" i="36"/>
  <c r="AH175" i="25" s="1"/>
  <c r="W170" i="36"/>
  <c r="AH171" i="25" s="1"/>
  <c r="W166" i="36"/>
  <c r="AH167" i="25" s="1"/>
  <c r="W162" i="36"/>
  <c r="AH163" i="25" s="1"/>
  <c r="W158" i="36"/>
  <c r="AH159" i="25" s="1"/>
  <c r="W154" i="36"/>
  <c r="AH155" i="25" s="1"/>
  <c r="W150" i="36"/>
  <c r="AH151" i="25" s="1"/>
  <c r="W146" i="36"/>
  <c r="AH147" i="25" s="1"/>
  <c r="W142" i="36"/>
  <c r="AH143" i="25" s="1"/>
  <c r="N8" i="19" a="1"/>
  <c r="N8" i="19" s="1"/>
  <c r="B22" i="19" a="1"/>
  <c r="B22" i="19" s="1"/>
  <c r="F22" i="19" a="1"/>
  <c r="F22" i="19" s="1"/>
  <c r="J22" i="19" a="1"/>
  <c r="J22" i="19" s="1"/>
  <c r="M25" i="19" a="1"/>
  <c r="M25" i="19" s="1"/>
  <c r="E25" i="21" a="1"/>
  <c r="E25" i="21" s="1"/>
  <c r="B35" i="19" a="1"/>
  <c r="B35" i="19" s="1"/>
  <c r="F30" i="19" a="1"/>
  <c r="F30" i="19" s="1"/>
  <c r="G29" i="19" a="1"/>
  <c r="G29" i="19" s="1"/>
  <c r="J39" i="19" a="1"/>
  <c r="J39" i="19" s="1"/>
  <c r="B43" i="20" a="1"/>
  <c r="B43" i="20" s="1"/>
  <c r="J43" i="20" s="1"/>
  <c r="G38" i="20" a="1"/>
  <c r="G38" i="20" s="1"/>
  <c r="H37" i="20" a="1"/>
  <c r="H37" i="20" s="1"/>
  <c r="F54" i="18" a="1"/>
  <c r="F54" i="18" s="1"/>
  <c r="G54" i="18" s="1"/>
  <c r="B89" i="19" a="1"/>
  <c r="B89" i="19" s="1"/>
  <c r="A89" i="19" s="1"/>
  <c r="B72" i="19" a="1"/>
  <c r="B72" i="19" s="1"/>
  <c r="L72" i="19" s="1"/>
  <c r="B49" i="19" a="1"/>
  <c r="B49" i="19" s="1"/>
  <c r="W241" i="36"/>
  <c r="AH242" i="25" s="1"/>
  <c r="W109" i="36"/>
  <c r="AH110" i="25" s="1"/>
  <c r="N10" i="19" a="1"/>
  <c r="N10" i="19" s="1"/>
  <c r="B21" i="19" a="1"/>
  <c r="B21" i="19" s="1"/>
  <c r="G20" i="19" a="1"/>
  <c r="G20" i="19" s="1"/>
  <c r="J21" i="19" a="1"/>
  <c r="J21" i="19" s="1"/>
  <c r="M22" i="19" a="1"/>
  <c r="M22" i="19" s="1"/>
  <c r="E24" i="21" a="1"/>
  <c r="E24" i="21" s="1"/>
  <c r="B32" i="19" a="1"/>
  <c r="B32" i="19" s="1"/>
  <c r="L32" i="19" s="1"/>
  <c r="F29" i="19" a="1"/>
  <c r="F29" i="19" s="1"/>
  <c r="H41" i="19" a="1"/>
  <c r="H41" i="19" s="1"/>
  <c r="J38" i="19" a="1"/>
  <c r="J38" i="19" s="1"/>
  <c r="B40" i="20" a="1"/>
  <c r="B40" i="20" s="1"/>
  <c r="J40" i="20" s="1"/>
  <c r="G37" i="20" a="1"/>
  <c r="G37" i="20" s="1"/>
  <c r="H34" i="20" a="1"/>
  <c r="H34" i="20" s="1"/>
  <c r="F53" i="18" a="1"/>
  <c r="F53" i="18" s="1"/>
  <c r="G53" i="18" s="1"/>
  <c r="B88" i="19" a="1"/>
  <c r="B88" i="19" s="1"/>
  <c r="A88" i="19" s="1"/>
  <c r="B66" i="19" a="1"/>
  <c r="B66" i="19" s="1"/>
  <c r="B96" i="34" a="1"/>
  <c r="B96" i="34" s="1"/>
  <c r="A15" i="19" a="1"/>
  <c r="A15" i="19" s="1"/>
  <c r="F68" i="18" a="1"/>
  <c r="F68" i="18" s="1"/>
  <c r="G68" i="18" s="1"/>
  <c r="F80" i="18" a="1"/>
  <c r="F80" i="18" s="1"/>
  <c r="G80" i="18" s="1"/>
  <c r="F92" i="18" a="1"/>
  <c r="F92" i="18" s="1"/>
  <c r="G92" i="18" s="1"/>
  <c r="F104" i="18" a="1"/>
  <c r="F104" i="18" s="1"/>
  <c r="G104" i="18" s="1"/>
  <c r="C61" i="18" a="1"/>
  <c r="C61" i="18" s="1"/>
  <c r="H61" i="18" s="1" a="1"/>
  <c r="H61" i="18" s="1"/>
  <c r="C73" i="18" a="1"/>
  <c r="C73" i="18" s="1"/>
  <c r="I73" i="18" s="1"/>
  <c r="C85" i="18" a="1"/>
  <c r="C85" i="18" s="1"/>
  <c r="H85" i="18" s="1" a="1"/>
  <c r="H85" i="18" s="1"/>
  <c r="C97" i="18" a="1"/>
  <c r="C97" i="18" s="1"/>
  <c r="B97" i="18" s="1"/>
  <c r="C109" i="18" a="1"/>
  <c r="C109" i="18" s="1"/>
  <c r="B109" i="18" s="1"/>
  <c r="H58" i="20" a="1"/>
  <c r="H58" i="20" s="1"/>
  <c r="H70" i="20" a="1"/>
  <c r="H70" i="20" s="1"/>
  <c r="H82" i="20" a="1"/>
  <c r="H82" i="20" s="1"/>
  <c r="H94" i="20" a="1"/>
  <c r="H94" i="20" s="1"/>
  <c r="G51" i="20" a="1"/>
  <c r="G51" i="20" s="1"/>
  <c r="G63" i="20" a="1"/>
  <c r="G63" i="20" s="1"/>
  <c r="G75" i="20" a="1"/>
  <c r="G75" i="20" s="1"/>
  <c r="G87" i="20" a="1"/>
  <c r="G87" i="20" s="1"/>
  <c r="G99" i="20" a="1"/>
  <c r="G99" i="20" s="1"/>
  <c r="B56" i="20" a="1"/>
  <c r="B56" i="20" s="1"/>
  <c r="J56" i="20" s="1"/>
  <c r="B68" i="20" a="1"/>
  <c r="B68" i="20" s="1"/>
  <c r="B80" i="20" a="1"/>
  <c r="B80" i="20" s="1"/>
  <c r="J80" i="20" s="1"/>
  <c r="B92" i="20" a="1"/>
  <c r="B92" i="20" s="1"/>
  <c r="A92" i="20" s="1"/>
  <c r="E35" i="21" a="1"/>
  <c r="E35" i="21" s="1"/>
  <c r="E47" i="21" a="1"/>
  <c r="E47" i="21" s="1"/>
  <c r="O47" i="21" s="1"/>
  <c r="E59" i="21" a="1"/>
  <c r="E59" i="21" s="1"/>
  <c r="E71" i="21" a="1"/>
  <c r="E71" i="21" s="1"/>
  <c r="O71" i="21" s="1"/>
  <c r="E83" i="21" a="1"/>
  <c r="E83" i="21" s="1"/>
  <c r="D83" i="21" s="1"/>
  <c r="B110" i="34" a="1"/>
  <c r="B110" i="34" s="1"/>
  <c r="A110" i="34" s="1"/>
  <c r="K110" i="34" s="1"/>
  <c r="F106" i="34" a="1"/>
  <c r="F106" i="34" s="1"/>
  <c r="F110" i="34" a="1"/>
  <c r="F110" i="34" s="1"/>
  <c r="F114" i="34" a="1"/>
  <c r="F114" i="34" s="1"/>
  <c r="F118" i="34" a="1"/>
  <c r="F118" i="34" s="1"/>
  <c r="M38" i="19" a="1"/>
  <c r="M38" i="19" s="1"/>
  <c r="M50" i="19" a="1"/>
  <c r="M50" i="19" s="1"/>
  <c r="M62" i="19" a="1"/>
  <c r="M62" i="19" s="1"/>
  <c r="M74" i="19" a="1"/>
  <c r="M74" i="19" s="1"/>
  <c r="M86" i="19" a="1"/>
  <c r="M86" i="19" s="1"/>
  <c r="M98" i="19" a="1"/>
  <c r="M98" i="19" s="1"/>
  <c r="J55" i="19" a="1"/>
  <c r="J55" i="19" s="1"/>
  <c r="J67" i="19" a="1"/>
  <c r="J67" i="19" s="1"/>
  <c r="J79" i="19" a="1"/>
  <c r="J79" i="19" s="1"/>
  <c r="J91" i="19" a="1"/>
  <c r="J91" i="19" s="1"/>
  <c r="H48" i="19" a="1"/>
  <c r="H48" i="19" s="1"/>
  <c r="H60" i="19" a="1"/>
  <c r="H60" i="19" s="1"/>
  <c r="H72" i="19" a="1"/>
  <c r="H72" i="19" s="1"/>
  <c r="H84" i="19" a="1"/>
  <c r="H84" i="19" s="1"/>
  <c r="H96" i="19" a="1"/>
  <c r="H96" i="19" s="1"/>
  <c r="G48" i="19" a="1"/>
  <c r="G48" i="19" s="1"/>
  <c r="G54" i="19" a="1"/>
  <c r="G54" i="19" s="1"/>
  <c r="G60" i="19" a="1"/>
  <c r="G60" i="19" s="1"/>
  <c r="G66" i="19" a="1"/>
  <c r="G66" i="19" s="1"/>
  <c r="G72" i="19" a="1"/>
  <c r="G72" i="19" s="1"/>
  <c r="G78" i="19" a="1"/>
  <c r="G78" i="19" s="1"/>
  <c r="G84" i="19" a="1"/>
  <c r="G84" i="19" s="1"/>
  <c r="F57" i="18" a="1"/>
  <c r="F57" i="18" s="1"/>
  <c r="G57" i="18" s="1"/>
  <c r="F69" i="18" a="1"/>
  <c r="F69" i="18" s="1"/>
  <c r="G69" i="18" s="1"/>
  <c r="F81" i="18" a="1"/>
  <c r="F81" i="18" s="1"/>
  <c r="G81" i="18" s="1"/>
  <c r="F93" i="18" a="1"/>
  <c r="F93" i="18" s="1"/>
  <c r="G93" i="18" s="1"/>
  <c r="F105" i="18" a="1"/>
  <c r="F105" i="18" s="1"/>
  <c r="G105" i="18" s="1"/>
  <c r="C62" i="18" a="1"/>
  <c r="C62" i="18" s="1"/>
  <c r="C74" i="18" a="1"/>
  <c r="C74" i="18" s="1"/>
  <c r="I74" i="18" s="1"/>
  <c r="C86" i="18" a="1"/>
  <c r="C86" i="18" s="1"/>
  <c r="C98" i="18" a="1"/>
  <c r="C98" i="18" s="1"/>
  <c r="B98" i="18" s="1"/>
  <c r="C110" i="18" a="1"/>
  <c r="C110" i="18" s="1"/>
  <c r="B110" i="18" s="1"/>
  <c r="H59" i="20" a="1"/>
  <c r="H59" i="20" s="1"/>
  <c r="H71" i="20" a="1"/>
  <c r="H71" i="20" s="1"/>
  <c r="H83" i="20" a="1"/>
  <c r="H83" i="20" s="1"/>
  <c r="H95" i="20" a="1"/>
  <c r="H95" i="20" s="1"/>
  <c r="G52" i="20" a="1"/>
  <c r="G52" i="20" s="1"/>
  <c r="G64" i="20" a="1"/>
  <c r="G64" i="20" s="1"/>
  <c r="G76" i="20" a="1"/>
  <c r="G76" i="20" s="1"/>
  <c r="G88" i="20" a="1"/>
  <c r="G88" i="20" s="1"/>
  <c r="G100" i="20" a="1"/>
  <c r="G100" i="20" s="1"/>
  <c r="B57" i="20" a="1"/>
  <c r="B57" i="20" s="1"/>
  <c r="B69" i="20" a="1"/>
  <c r="B69" i="20" s="1"/>
  <c r="K69" i="20" s="1"/>
  <c r="B81" i="20" a="1"/>
  <c r="B81" i="20" s="1"/>
  <c r="B93" i="20" a="1"/>
  <c r="B93" i="20" s="1"/>
  <c r="A93" i="20" s="1"/>
  <c r="E36" i="21" a="1"/>
  <c r="E36" i="21" s="1"/>
  <c r="O36" i="21" s="1"/>
  <c r="E48" i="21" a="1"/>
  <c r="E48" i="21" s="1"/>
  <c r="O48" i="21" s="1"/>
  <c r="E60" i="21" a="1"/>
  <c r="E60" i="21" s="1"/>
  <c r="O60" i="21" s="1"/>
  <c r="E72" i="21" a="1"/>
  <c r="E72" i="21" s="1"/>
  <c r="O72" i="21" s="1"/>
  <c r="E84" i="21" a="1"/>
  <c r="E84" i="21" s="1"/>
  <c r="D84" i="21" s="1"/>
  <c r="B111" i="34" a="1"/>
  <c r="B111" i="34" s="1"/>
  <c r="A111" i="34" s="1"/>
  <c r="K111" i="34" s="1"/>
  <c r="G106" i="34" a="1"/>
  <c r="G106" i="34" s="1"/>
  <c r="G110" i="34" a="1"/>
  <c r="G110" i="34" s="1"/>
  <c r="G114" i="34" a="1"/>
  <c r="G114" i="34" s="1"/>
  <c r="G118" i="34" a="1"/>
  <c r="G118" i="34" s="1"/>
  <c r="M39" i="19" a="1"/>
  <c r="M39" i="19" s="1"/>
  <c r="M51" i="19" a="1"/>
  <c r="M51" i="19" s="1"/>
  <c r="M63" i="19" a="1"/>
  <c r="M63" i="19" s="1"/>
  <c r="M75" i="19" a="1"/>
  <c r="M75" i="19" s="1"/>
  <c r="M87" i="19" a="1"/>
  <c r="M87" i="19" s="1"/>
  <c r="J44" i="19" a="1"/>
  <c r="J44" i="19" s="1"/>
  <c r="J56" i="19" a="1"/>
  <c r="J56" i="19" s="1"/>
  <c r="J68" i="19" a="1"/>
  <c r="J68" i="19" s="1"/>
  <c r="J80" i="19" a="1"/>
  <c r="J80" i="19" s="1"/>
  <c r="J92" i="19" a="1"/>
  <c r="J92" i="19" s="1"/>
  <c r="H49" i="19" a="1"/>
  <c r="H49" i="19" s="1"/>
  <c r="H61" i="19" a="1"/>
  <c r="H61" i="19" s="1"/>
  <c r="H73" i="19" a="1"/>
  <c r="H73" i="19" s="1"/>
  <c r="H85" i="19" a="1"/>
  <c r="H85" i="19" s="1"/>
  <c r="H97" i="19" a="1"/>
  <c r="H97" i="19" s="1"/>
  <c r="F49" i="19" a="1"/>
  <c r="F49" i="19" s="1"/>
  <c r="F55" i="19" a="1"/>
  <c r="F55" i="19" s="1"/>
  <c r="F61" i="19" a="1"/>
  <c r="F61" i="19" s="1"/>
  <c r="F67" i="19" a="1"/>
  <c r="F67" i="19" s="1"/>
  <c r="F73" i="19" a="1"/>
  <c r="F73" i="19" s="1"/>
  <c r="F79" i="19" a="1"/>
  <c r="F79" i="19" s="1"/>
  <c r="F85" i="19" a="1"/>
  <c r="F85" i="19" s="1"/>
  <c r="F91" i="19" a="1"/>
  <c r="F91" i="19" s="1"/>
  <c r="F97" i="19" a="1"/>
  <c r="F97" i="19" s="1"/>
  <c r="B52" i="19" a="1"/>
  <c r="B52" i="19" s="1"/>
  <c r="L52" i="19" s="1"/>
  <c r="F58" i="18" a="1"/>
  <c r="F58" i="18" s="1"/>
  <c r="G58" i="18" s="1"/>
  <c r="F70" i="18" a="1"/>
  <c r="F70" i="18" s="1"/>
  <c r="G70" i="18" s="1"/>
  <c r="F82" i="18" a="1"/>
  <c r="F82" i="18" s="1"/>
  <c r="G82" i="18" s="1"/>
  <c r="F94" i="18" a="1"/>
  <c r="F94" i="18" s="1"/>
  <c r="G94" i="18" s="1"/>
  <c r="F106" i="18" a="1"/>
  <c r="F106" i="18" s="1"/>
  <c r="G106" i="18" s="1"/>
  <c r="C63" i="18" a="1"/>
  <c r="C63" i="18" s="1"/>
  <c r="I63" i="18" s="1"/>
  <c r="C75" i="18" a="1"/>
  <c r="C75" i="18" s="1"/>
  <c r="H75" i="18" s="1" a="1"/>
  <c r="H75" i="18" s="1"/>
  <c r="C87" i="18" a="1"/>
  <c r="C87" i="18" s="1"/>
  <c r="I87" i="18" s="1"/>
  <c r="C99" i="18" a="1"/>
  <c r="C99" i="18" s="1"/>
  <c r="B99" i="18" s="1"/>
  <c r="C111" i="18" a="1"/>
  <c r="C111" i="18" s="1"/>
  <c r="B111" i="18" s="1"/>
  <c r="H60" i="20" a="1"/>
  <c r="H60" i="20" s="1"/>
  <c r="H72" i="20" a="1"/>
  <c r="H72" i="20" s="1"/>
  <c r="H84" i="20" a="1"/>
  <c r="H84" i="20" s="1"/>
  <c r="H96" i="20" a="1"/>
  <c r="H96" i="20" s="1"/>
  <c r="G53" i="20" a="1"/>
  <c r="G53" i="20" s="1"/>
  <c r="G65" i="20" a="1"/>
  <c r="G65" i="20" s="1"/>
  <c r="G77" i="20" a="1"/>
  <c r="G77" i="20" s="1"/>
  <c r="G89" i="20" a="1"/>
  <c r="G89" i="20" s="1"/>
  <c r="G101" i="20" a="1"/>
  <c r="G101" i="20" s="1"/>
  <c r="B58" i="20" a="1"/>
  <c r="B58" i="20" s="1"/>
  <c r="B70" i="20" a="1"/>
  <c r="B70" i="20" s="1"/>
  <c r="J70" i="20" s="1"/>
  <c r="B82" i="20" a="1"/>
  <c r="B82" i="20" s="1"/>
  <c r="B94" i="20" a="1"/>
  <c r="B94" i="20" s="1"/>
  <c r="A94" i="20" s="1"/>
  <c r="E37" i="21" a="1"/>
  <c r="E37" i="21" s="1"/>
  <c r="O37" i="21" s="1"/>
  <c r="E49" i="21" a="1"/>
  <c r="E49" i="21" s="1"/>
  <c r="E61" i="21" a="1"/>
  <c r="E61" i="21" s="1"/>
  <c r="O61" i="21" s="1"/>
  <c r="E73" i="21" a="1"/>
  <c r="E73" i="21" s="1"/>
  <c r="E85" i="21" a="1"/>
  <c r="E85" i="21" s="1"/>
  <c r="D85" i="21" s="1"/>
  <c r="B112" i="34" a="1"/>
  <c r="B112" i="34" s="1"/>
  <c r="A112" i="34" s="1"/>
  <c r="K112" i="34" s="1"/>
  <c r="H106" i="34" a="1"/>
  <c r="H106" i="34" s="1"/>
  <c r="H110" i="34" a="1"/>
  <c r="H110" i="34" s="1"/>
  <c r="H114" i="34" a="1"/>
  <c r="H114" i="34" s="1"/>
  <c r="H118" i="34" a="1"/>
  <c r="H118" i="34" s="1"/>
  <c r="M40" i="19" a="1"/>
  <c r="M40" i="19" s="1"/>
  <c r="M52" i="19" a="1"/>
  <c r="M52" i="19" s="1"/>
  <c r="M64" i="19" a="1"/>
  <c r="M64" i="19" s="1"/>
  <c r="M76" i="19" a="1"/>
  <c r="M76" i="19" s="1"/>
  <c r="M88" i="19" a="1"/>
  <c r="M88" i="19" s="1"/>
  <c r="J45" i="19" a="1"/>
  <c r="J45" i="19" s="1"/>
  <c r="J57" i="19" a="1"/>
  <c r="J57" i="19" s="1"/>
  <c r="J69" i="19" a="1"/>
  <c r="J69" i="19" s="1"/>
  <c r="J81" i="19" a="1"/>
  <c r="J81" i="19" s="1"/>
  <c r="J93" i="19" a="1"/>
  <c r="J93" i="19" s="1"/>
  <c r="H50" i="19" a="1"/>
  <c r="H50" i="19" s="1"/>
  <c r="H62" i="19" a="1"/>
  <c r="H62" i="19" s="1"/>
  <c r="H74" i="19" a="1"/>
  <c r="H74" i="19" s="1"/>
  <c r="H86" i="19" a="1"/>
  <c r="H86" i="19" s="1"/>
  <c r="H98" i="19" a="1"/>
  <c r="H98" i="19" s="1"/>
  <c r="G49" i="19" a="1"/>
  <c r="G49" i="19" s="1"/>
  <c r="G55" i="19" a="1"/>
  <c r="G55" i="19" s="1"/>
  <c r="G61" i="19" a="1"/>
  <c r="G61" i="19" s="1"/>
  <c r="G67" i="19" a="1"/>
  <c r="G67" i="19" s="1"/>
  <c r="G73" i="19" a="1"/>
  <c r="G73" i="19" s="1"/>
  <c r="G79" i="19" a="1"/>
  <c r="G79" i="19" s="1"/>
  <c r="G85" i="19" a="1"/>
  <c r="G85" i="19" s="1"/>
  <c r="G91" i="19" a="1"/>
  <c r="G91" i="19" s="1"/>
  <c r="G97" i="19" a="1"/>
  <c r="G97" i="19" s="1"/>
  <c r="F59" i="18" a="1"/>
  <c r="F59" i="18" s="1"/>
  <c r="G59" i="18" s="1"/>
  <c r="F71" i="18" a="1"/>
  <c r="F71" i="18" s="1"/>
  <c r="G71" i="18" s="1"/>
  <c r="F83" i="18" a="1"/>
  <c r="F83" i="18" s="1"/>
  <c r="G83" i="18" s="1"/>
  <c r="F95" i="18" a="1"/>
  <c r="F95" i="18" s="1"/>
  <c r="G95" i="18" s="1"/>
  <c r="F107" i="18" a="1"/>
  <c r="F107" i="18" s="1"/>
  <c r="G107" i="18" s="1"/>
  <c r="C64" i="18" a="1"/>
  <c r="C64" i="18" s="1"/>
  <c r="I64" i="18" s="1"/>
  <c r="C76" i="18" a="1"/>
  <c r="C76" i="18" s="1"/>
  <c r="C88" i="18" a="1"/>
  <c r="C88" i="18" s="1"/>
  <c r="H88" i="18" s="1" a="1"/>
  <c r="H88" i="18" s="1"/>
  <c r="C100" i="18" a="1"/>
  <c r="C100" i="18" s="1"/>
  <c r="B100" i="18" s="1"/>
  <c r="H49" i="20" a="1"/>
  <c r="H49" i="20" s="1"/>
  <c r="H61" i="20" a="1"/>
  <c r="H61" i="20" s="1"/>
  <c r="H73" i="20" a="1"/>
  <c r="H73" i="20" s="1"/>
  <c r="H85" i="20" a="1"/>
  <c r="H85" i="20" s="1"/>
  <c r="H97" i="20" a="1"/>
  <c r="H97" i="20" s="1"/>
  <c r="G54" i="20" a="1"/>
  <c r="G54" i="20" s="1"/>
  <c r="G66" i="20" a="1"/>
  <c r="G66" i="20" s="1"/>
  <c r="G78" i="20" a="1"/>
  <c r="G78" i="20" s="1"/>
  <c r="G90" i="20" a="1"/>
  <c r="G90" i="20" s="1"/>
  <c r="G102" i="20" a="1"/>
  <c r="G102" i="20" s="1"/>
  <c r="B59" i="20" a="1"/>
  <c r="B59" i="20" s="1"/>
  <c r="B71" i="20" a="1"/>
  <c r="B71" i="20" s="1"/>
  <c r="J71" i="20" s="1"/>
  <c r="B83" i="20" a="1"/>
  <c r="B83" i="20" s="1"/>
  <c r="B95" i="20" a="1"/>
  <c r="B95" i="20" s="1"/>
  <c r="A95" i="20" s="1"/>
  <c r="E38" i="21" a="1"/>
  <c r="E38" i="21" s="1"/>
  <c r="O38" i="21" s="1"/>
  <c r="E50" i="21" a="1"/>
  <c r="E50" i="21" s="1"/>
  <c r="E62" i="21" a="1"/>
  <c r="E62" i="21" s="1"/>
  <c r="O62" i="21" s="1"/>
  <c r="E74" i="21" a="1"/>
  <c r="E74" i="21" s="1"/>
  <c r="D74" i="21" s="1"/>
  <c r="E86" i="21" a="1"/>
  <c r="E86" i="21" s="1"/>
  <c r="D86" i="21" s="1"/>
  <c r="B113" i="34" a="1"/>
  <c r="B113" i="34" s="1"/>
  <c r="A113" i="34" s="1"/>
  <c r="K113" i="34" s="1"/>
  <c r="F107" i="34" a="1"/>
  <c r="F107" i="34" s="1"/>
  <c r="F111" i="34" a="1"/>
  <c r="F111" i="34" s="1"/>
  <c r="F115" i="34" a="1"/>
  <c r="F115" i="34" s="1"/>
  <c r="M29" i="19" a="1"/>
  <c r="M29" i="19" s="1"/>
  <c r="M41" i="19" a="1"/>
  <c r="M41" i="19" s="1"/>
  <c r="M53" i="19" a="1"/>
  <c r="M53" i="19" s="1"/>
  <c r="M65" i="19" a="1"/>
  <c r="M65" i="19" s="1"/>
  <c r="M77" i="19" a="1"/>
  <c r="M77" i="19" s="1"/>
  <c r="M89" i="19" a="1"/>
  <c r="M89" i="19" s="1"/>
  <c r="J46" i="19" a="1"/>
  <c r="J46" i="19" s="1"/>
  <c r="J58" i="19" a="1"/>
  <c r="J58" i="19" s="1"/>
  <c r="J70" i="19" a="1"/>
  <c r="J70" i="19" s="1"/>
  <c r="J82" i="19" a="1"/>
  <c r="J82" i="19" s="1"/>
  <c r="J94" i="19" a="1"/>
  <c r="J94" i="19" s="1"/>
  <c r="H51" i="19" a="1"/>
  <c r="H51" i="19" s="1"/>
  <c r="H63" i="19" a="1"/>
  <c r="H63" i="19" s="1"/>
  <c r="H75" i="19" a="1"/>
  <c r="H75" i="19" s="1"/>
  <c r="H87" i="19" a="1"/>
  <c r="H87" i="19" s="1"/>
  <c r="F44" i="19" a="1"/>
  <c r="F44" i="19" s="1"/>
  <c r="F50" i="19" a="1"/>
  <c r="F50" i="19" s="1"/>
  <c r="F56" i="19" a="1"/>
  <c r="F56" i="19" s="1"/>
  <c r="F62" i="19" a="1"/>
  <c r="F62" i="19" s="1"/>
  <c r="F68" i="19" a="1"/>
  <c r="F68" i="19" s="1"/>
  <c r="F74" i="19" a="1"/>
  <c r="F74" i="19" s="1"/>
  <c r="F80" i="19" a="1"/>
  <c r="F80" i="19" s="1"/>
  <c r="F86" i="19" a="1"/>
  <c r="F86" i="19" s="1"/>
  <c r="F60" i="18" a="1"/>
  <c r="F60" i="18" s="1"/>
  <c r="G60" i="18" s="1"/>
  <c r="F72" i="18" a="1"/>
  <c r="F72" i="18" s="1"/>
  <c r="G72" i="18" s="1"/>
  <c r="F84" i="18" a="1"/>
  <c r="F84" i="18" s="1"/>
  <c r="G84" i="18" s="1"/>
  <c r="F96" i="18" a="1"/>
  <c r="F96" i="18" s="1"/>
  <c r="G96" i="18" s="1"/>
  <c r="F108" i="18" a="1"/>
  <c r="F108" i="18" s="1"/>
  <c r="G108" i="18" s="1"/>
  <c r="C65" i="18" a="1"/>
  <c r="C65" i="18" s="1"/>
  <c r="H65" i="18" s="1" a="1"/>
  <c r="H65" i="18" s="1"/>
  <c r="C77" i="18" a="1"/>
  <c r="C77" i="18" s="1"/>
  <c r="H77" i="18" s="1" a="1"/>
  <c r="H77" i="18" s="1"/>
  <c r="C89" i="18" a="1"/>
  <c r="C89" i="18" s="1"/>
  <c r="H89" i="18" s="1" a="1"/>
  <c r="H89" i="18" s="1"/>
  <c r="C101" i="18" a="1"/>
  <c r="C101" i="18" s="1"/>
  <c r="B101" i="18" s="1"/>
  <c r="H50" i="20" a="1"/>
  <c r="H50" i="20" s="1"/>
  <c r="H62" i="20" a="1"/>
  <c r="H62" i="20" s="1"/>
  <c r="H74" i="20" a="1"/>
  <c r="H74" i="20" s="1"/>
  <c r="H86" i="20" a="1"/>
  <c r="H86" i="20" s="1"/>
  <c r="H98" i="20" a="1"/>
  <c r="H98" i="20" s="1"/>
  <c r="G55" i="20" a="1"/>
  <c r="G55" i="20" s="1"/>
  <c r="G67" i="20" a="1"/>
  <c r="G67" i="20" s="1"/>
  <c r="G79" i="20" a="1"/>
  <c r="G79" i="20" s="1"/>
  <c r="G91" i="20" a="1"/>
  <c r="G91" i="20" s="1"/>
  <c r="G103" i="20" a="1"/>
  <c r="G103" i="20" s="1"/>
  <c r="B60" i="20" a="1"/>
  <c r="B60" i="20" s="1"/>
  <c r="B72" i="20" a="1"/>
  <c r="B72" i="20" s="1"/>
  <c r="J72" i="20" s="1"/>
  <c r="B84" i="20" a="1"/>
  <c r="B84" i="20" s="1"/>
  <c r="B96" i="20" a="1"/>
  <c r="B96" i="20" s="1"/>
  <c r="A96" i="20" s="1"/>
  <c r="E39" i="21" a="1"/>
  <c r="E39" i="21" s="1"/>
  <c r="O39" i="21" s="1"/>
  <c r="E51" i="21" a="1"/>
  <c r="E51" i="21" s="1"/>
  <c r="E63" i="21" a="1"/>
  <c r="E63" i="21" s="1"/>
  <c r="O63" i="21" s="1"/>
  <c r="E75" i="21" a="1"/>
  <c r="E75" i="21" s="1"/>
  <c r="D75" i="21" s="1"/>
  <c r="E87" i="21" a="1"/>
  <c r="E87" i="21" s="1"/>
  <c r="D87" i="21" s="1"/>
  <c r="B114" i="34" a="1"/>
  <c r="B114" i="34" s="1"/>
  <c r="A114" i="34" s="1"/>
  <c r="K114" i="34" s="1"/>
  <c r="G107" i="34" a="1"/>
  <c r="G107" i="34" s="1"/>
  <c r="G111" i="34" a="1"/>
  <c r="G111" i="34" s="1"/>
  <c r="G115" i="34" a="1"/>
  <c r="G115" i="34" s="1"/>
  <c r="M30" i="19" a="1"/>
  <c r="M30" i="19" s="1"/>
  <c r="M42" i="19" a="1"/>
  <c r="M42" i="19" s="1"/>
  <c r="M54" i="19" a="1"/>
  <c r="M54" i="19" s="1"/>
  <c r="M66" i="19" a="1"/>
  <c r="M66" i="19" s="1"/>
  <c r="M78" i="19" a="1"/>
  <c r="M78" i="19" s="1"/>
  <c r="M90" i="19" a="1"/>
  <c r="M90" i="19" s="1"/>
  <c r="J47" i="19" a="1"/>
  <c r="J47" i="19" s="1"/>
  <c r="J59" i="19" a="1"/>
  <c r="J59" i="19" s="1"/>
  <c r="J71" i="19" a="1"/>
  <c r="J71" i="19" s="1"/>
  <c r="J83" i="19" a="1"/>
  <c r="J83" i="19" s="1"/>
  <c r="J95" i="19" a="1"/>
  <c r="J95" i="19" s="1"/>
  <c r="H52" i="19" a="1"/>
  <c r="H52" i="19" s="1"/>
  <c r="H64" i="19" a="1"/>
  <c r="H64" i="19" s="1"/>
  <c r="H76" i="19" a="1"/>
  <c r="H76" i="19" s="1"/>
  <c r="H88" i="19" a="1"/>
  <c r="H88" i="19" s="1"/>
  <c r="G44" i="19" a="1"/>
  <c r="G44" i="19" s="1"/>
  <c r="G50" i="19" a="1"/>
  <c r="G50" i="19" s="1"/>
  <c r="G56" i="19" a="1"/>
  <c r="G56" i="19" s="1"/>
  <c r="G62" i="19" a="1"/>
  <c r="G62" i="19" s="1"/>
  <c r="G68" i="19" a="1"/>
  <c r="G68" i="19" s="1"/>
  <c r="G74" i="19" a="1"/>
  <c r="G74" i="19" s="1"/>
  <c r="G80" i="19" a="1"/>
  <c r="G80" i="19" s="1"/>
  <c r="G86" i="19" a="1"/>
  <c r="G86" i="19" s="1"/>
  <c r="G92" i="19" a="1"/>
  <c r="G92" i="19" s="1"/>
  <c r="G98" i="19" a="1"/>
  <c r="G98" i="19" s="1"/>
  <c r="B55" i="19" a="1"/>
  <c r="B55" i="19" s="1"/>
  <c r="L55" i="19" s="1"/>
  <c r="B67" i="19" a="1"/>
  <c r="B67" i="19" s="1"/>
  <c r="L67" i="19" s="1"/>
  <c r="B79" i="19" a="1"/>
  <c r="B79" i="19" s="1"/>
  <c r="L79" i="19" s="1"/>
  <c r="B91" i="19" a="1"/>
  <c r="B91" i="19" s="1"/>
  <c r="A91" i="19" s="1"/>
  <c r="F46" i="18" a="1"/>
  <c r="F46" i="18" s="1"/>
  <c r="G46" i="18" s="1"/>
  <c r="C43" i="18" a="1"/>
  <c r="C43" i="18" s="1"/>
  <c r="C55" i="18" a="1"/>
  <c r="C55" i="18" s="1"/>
  <c r="H44" i="20" a="1"/>
  <c r="H44" i="20" s="1"/>
  <c r="G41" i="20" a="1"/>
  <c r="G41" i="20" s="1"/>
  <c r="B38" i="20" a="1"/>
  <c r="B38" i="20" s="1"/>
  <c r="J30" i="19" a="1"/>
  <c r="J30" i="19" s="1"/>
  <c r="J42" i="19" a="1"/>
  <c r="J42" i="19" s="1"/>
  <c r="H39" i="19" a="1"/>
  <c r="H39" i="19" s="1"/>
  <c r="G36" i="19" a="1"/>
  <c r="G36" i="19" s="1"/>
  <c r="F33" i="19" a="1"/>
  <c r="F33" i="19" s="1"/>
  <c r="B30" i="19" a="1"/>
  <c r="B30" i="19" s="1"/>
  <c r="B42" i="19" a="1"/>
  <c r="B42" i="19" s="1"/>
  <c r="L42" i="19" s="1"/>
  <c r="E28" i="21" a="1"/>
  <c r="E28" i="21" s="1"/>
  <c r="M20" i="19" a="1"/>
  <c r="M20" i="19" s="1"/>
  <c r="I155" i="19" a="1"/>
  <c r="I155" i="19" s="1"/>
  <c r="J25" i="19" a="1"/>
  <c r="J25" i="19" s="1"/>
  <c r="H28" i="19" a="1"/>
  <c r="H28" i="19" s="1"/>
  <c r="G25" i="19" a="1"/>
  <c r="G25" i="19" s="1"/>
  <c r="B25" i="19" a="1"/>
  <c r="B25" i="19" s="1"/>
  <c r="N9" i="19" a="1"/>
  <c r="N9" i="19" s="1"/>
  <c r="F61" i="18" a="1"/>
  <c r="F61" i="18" s="1"/>
  <c r="G61" i="18" s="1"/>
  <c r="F73" i="18" a="1"/>
  <c r="F73" i="18" s="1"/>
  <c r="G73" i="18" s="1"/>
  <c r="F85" i="18" a="1"/>
  <c r="F85" i="18" s="1"/>
  <c r="G85" i="18" s="1"/>
  <c r="F97" i="18" a="1"/>
  <c r="F97" i="18" s="1"/>
  <c r="G97" i="18" s="1"/>
  <c r="F109" i="18" a="1"/>
  <c r="F109" i="18" s="1"/>
  <c r="G109" i="18" s="1"/>
  <c r="C66" i="18" a="1"/>
  <c r="C66" i="18" s="1"/>
  <c r="I66" i="18" s="1"/>
  <c r="C78" i="18" a="1"/>
  <c r="C78" i="18" s="1"/>
  <c r="C90" i="18" a="1"/>
  <c r="C90" i="18" s="1"/>
  <c r="I90" i="18" s="1"/>
  <c r="C102" i="18" a="1"/>
  <c r="C102" i="18" s="1"/>
  <c r="B102" i="18" s="1"/>
  <c r="H51" i="20" a="1"/>
  <c r="H51" i="20" s="1"/>
  <c r="H63" i="20" a="1"/>
  <c r="H63" i="20" s="1"/>
  <c r="H75" i="20" a="1"/>
  <c r="H75" i="20" s="1"/>
  <c r="H87" i="20" a="1"/>
  <c r="H87" i="20" s="1"/>
  <c r="H99" i="20" a="1"/>
  <c r="H99" i="20" s="1"/>
  <c r="G56" i="20" a="1"/>
  <c r="G56" i="20" s="1"/>
  <c r="G68" i="20" a="1"/>
  <c r="G68" i="20" s="1"/>
  <c r="G80" i="20" a="1"/>
  <c r="G80" i="20" s="1"/>
  <c r="G92" i="20" a="1"/>
  <c r="G92" i="20" s="1"/>
  <c r="B49" i="20" a="1"/>
  <c r="B49" i="20" s="1"/>
  <c r="B61" i="20" a="1"/>
  <c r="B61" i="20" s="1"/>
  <c r="K61" i="20" s="1"/>
  <c r="B73" i="20" a="1"/>
  <c r="B73" i="20" s="1"/>
  <c r="B85" i="20" a="1"/>
  <c r="B85" i="20" s="1"/>
  <c r="K85" i="20" s="1"/>
  <c r="B97" i="20" a="1"/>
  <c r="B97" i="20" s="1"/>
  <c r="A97" i="20" s="1"/>
  <c r="E40" i="21" a="1"/>
  <c r="E40" i="21" s="1"/>
  <c r="O40" i="21" s="1"/>
  <c r="E52" i="21" a="1"/>
  <c r="E52" i="21" s="1"/>
  <c r="O52" i="21" s="1"/>
  <c r="E64" i="21" a="1"/>
  <c r="E64" i="21" s="1"/>
  <c r="O64" i="21" s="1"/>
  <c r="E76" i="21" a="1"/>
  <c r="E76" i="21" s="1"/>
  <c r="D76" i="21" s="1"/>
  <c r="E33" i="21" a="1"/>
  <c r="E33" i="21" s="1"/>
  <c r="B115" i="34" a="1"/>
  <c r="B115" i="34" s="1"/>
  <c r="A115" i="34" s="1"/>
  <c r="K115" i="34" s="1"/>
  <c r="H107" i="34" a="1"/>
  <c r="H107" i="34" s="1"/>
  <c r="H111" i="34" a="1"/>
  <c r="H111" i="34" s="1"/>
  <c r="H115" i="34" a="1"/>
  <c r="H115" i="34" s="1"/>
  <c r="M31" i="19" a="1"/>
  <c r="M31" i="19" s="1"/>
  <c r="M43" i="19" a="1"/>
  <c r="M43" i="19" s="1"/>
  <c r="M55" i="19" a="1"/>
  <c r="M55" i="19" s="1"/>
  <c r="M67" i="19" a="1"/>
  <c r="M67" i="19" s="1"/>
  <c r="M79" i="19" a="1"/>
  <c r="M79" i="19" s="1"/>
  <c r="M91" i="19" a="1"/>
  <c r="M91" i="19" s="1"/>
  <c r="J48" i="19" a="1"/>
  <c r="J48" i="19" s="1"/>
  <c r="J60" i="19" a="1"/>
  <c r="J60" i="19" s="1"/>
  <c r="J72" i="19" a="1"/>
  <c r="J72" i="19" s="1"/>
  <c r="J84" i="19" a="1"/>
  <c r="J84" i="19" s="1"/>
  <c r="J96" i="19" a="1"/>
  <c r="J96" i="19" s="1"/>
  <c r="H53" i="19" a="1"/>
  <c r="H53" i="19" s="1"/>
  <c r="H65" i="19" a="1"/>
  <c r="H65" i="19" s="1"/>
  <c r="H77" i="19" a="1"/>
  <c r="H77" i="19" s="1"/>
  <c r="H89" i="19" a="1"/>
  <c r="H89" i="19" s="1"/>
  <c r="F45" i="19" a="1"/>
  <c r="F45" i="19" s="1"/>
  <c r="F51" i="19" a="1"/>
  <c r="F51" i="19" s="1"/>
  <c r="F57" i="19" a="1"/>
  <c r="F57" i="19" s="1"/>
  <c r="F63" i="19" a="1"/>
  <c r="F63" i="19" s="1"/>
  <c r="F69" i="19" a="1"/>
  <c r="F69" i="19" s="1"/>
  <c r="F75" i="19" a="1"/>
  <c r="F75" i="19" s="1"/>
  <c r="F81" i="19" a="1"/>
  <c r="F81" i="19" s="1"/>
  <c r="F87" i="19" a="1"/>
  <c r="F87" i="19" s="1"/>
  <c r="F93" i="19" a="1"/>
  <c r="F93" i="19" s="1"/>
  <c r="B44" i="19" a="1"/>
  <c r="B44" i="19" s="1"/>
  <c r="L44" i="19" s="1"/>
  <c r="B56" i="19" a="1"/>
  <c r="B56" i="19" s="1"/>
  <c r="L56" i="19" s="1"/>
  <c r="B68" i="19" a="1"/>
  <c r="B68" i="19" s="1"/>
  <c r="L68" i="19" s="1"/>
  <c r="B80" i="19" a="1"/>
  <c r="B80" i="19" s="1"/>
  <c r="L80" i="19" s="1"/>
  <c r="B92" i="19" a="1"/>
  <c r="B92" i="19" s="1"/>
  <c r="A92" i="19" s="1"/>
  <c r="F47" i="18" a="1"/>
  <c r="F47" i="18" s="1"/>
  <c r="G47" i="18" s="1"/>
  <c r="C44" i="18" a="1"/>
  <c r="C44" i="18" s="1"/>
  <c r="H44" i="18" s="1" a="1"/>
  <c r="H44" i="18" s="1"/>
  <c r="C56" i="18" a="1"/>
  <c r="C56" i="18" s="1"/>
  <c r="H45" i="20" a="1"/>
  <c r="H45" i="20" s="1"/>
  <c r="G42" i="20" a="1"/>
  <c r="G42" i="20" s="1"/>
  <c r="B39" i="20" a="1"/>
  <c r="B39" i="20" s="1"/>
  <c r="K39" i="20" s="1"/>
  <c r="J31" i="19" a="1"/>
  <c r="J31" i="19" s="1"/>
  <c r="J43" i="19" a="1"/>
  <c r="J43" i="19" s="1"/>
  <c r="H40" i="19" a="1"/>
  <c r="H40" i="19" s="1"/>
  <c r="G37" i="19" a="1"/>
  <c r="G37" i="19" s="1"/>
  <c r="F34" i="19" a="1"/>
  <c r="F34" i="19" s="1"/>
  <c r="B31" i="19" a="1"/>
  <c r="B31" i="19" s="1"/>
  <c r="L31" i="19" s="1"/>
  <c r="B43" i="19" a="1"/>
  <c r="B43" i="19" s="1"/>
  <c r="L43" i="19" s="1"/>
  <c r="E29" i="21" a="1"/>
  <c r="E29" i="21" s="1"/>
  <c r="M21" i="19" a="1"/>
  <c r="M21" i="19" s="1"/>
  <c r="I148" i="19" a="1"/>
  <c r="I148" i="19" s="1"/>
  <c r="J26" i="19" a="1"/>
  <c r="J26" i="19" s="1"/>
  <c r="F20" i="19" a="1"/>
  <c r="F20" i="19" s="1"/>
  <c r="F26" i="19" a="1"/>
  <c r="F26" i="19" s="1"/>
  <c r="F62" i="18" a="1"/>
  <c r="F62" i="18" s="1"/>
  <c r="G62" i="18" s="1"/>
  <c r="F74" i="18" a="1"/>
  <c r="F74" i="18" s="1"/>
  <c r="G74" i="18" s="1"/>
  <c r="F86" i="18" a="1"/>
  <c r="F86" i="18" s="1"/>
  <c r="G86" i="18" s="1"/>
  <c r="F98" i="18" a="1"/>
  <c r="F98" i="18" s="1"/>
  <c r="G98" i="18" s="1"/>
  <c r="F110" i="18" a="1"/>
  <c r="F110" i="18" s="1"/>
  <c r="G110" i="18" s="1"/>
  <c r="C67" i="18" a="1"/>
  <c r="C67" i="18" s="1"/>
  <c r="H67" i="18" s="1" a="1"/>
  <c r="H67" i="18" s="1"/>
  <c r="C79" i="18" a="1"/>
  <c r="C79" i="18" s="1"/>
  <c r="I79" i="18" s="1"/>
  <c r="C91" i="18" a="1"/>
  <c r="C91" i="18" s="1"/>
  <c r="H91" i="18" s="1" a="1"/>
  <c r="H91" i="18" s="1"/>
  <c r="C103" i="18" a="1"/>
  <c r="C103" i="18" s="1"/>
  <c r="B103" i="18" s="1"/>
  <c r="H52" i="20" a="1"/>
  <c r="H52" i="20" s="1"/>
  <c r="H64" i="20" a="1"/>
  <c r="H64" i="20" s="1"/>
  <c r="H76" i="20" a="1"/>
  <c r="H76" i="20" s="1"/>
  <c r="H88" i="20" a="1"/>
  <c r="H88" i="20" s="1"/>
  <c r="H100" i="20" a="1"/>
  <c r="H100" i="20" s="1"/>
  <c r="G57" i="20" a="1"/>
  <c r="G57" i="20" s="1"/>
  <c r="G69" i="20" a="1"/>
  <c r="G69" i="20" s="1"/>
  <c r="G81" i="20" a="1"/>
  <c r="G81" i="20" s="1"/>
  <c r="G93" i="20" a="1"/>
  <c r="G93" i="20" s="1"/>
  <c r="B50" i="20" a="1"/>
  <c r="B50" i="20" s="1"/>
  <c r="B62" i="20" a="1"/>
  <c r="B62" i="20" s="1"/>
  <c r="J62" i="20" s="1"/>
  <c r="B74" i="20" a="1"/>
  <c r="B74" i="20" s="1"/>
  <c r="B86" i="20" a="1"/>
  <c r="B86" i="20" s="1"/>
  <c r="J86" i="20" s="1"/>
  <c r="B98" i="20" a="1"/>
  <c r="B98" i="20" s="1"/>
  <c r="A98" i="20" s="1"/>
  <c r="E41" i="21" a="1"/>
  <c r="E41" i="21" s="1"/>
  <c r="E53" i="21" a="1"/>
  <c r="E53" i="21" s="1"/>
  <c r="O53" i="21" s="1"/>
  <c r="E65" i="21" a="1"/>
  <c r="E65" i="21" s="1"/>
  <c r="E77" i="21" a="1"/>
  <c r="E77" i="21" s="1"/>
  <c r="D77" i="21" s="1"/>
  <c r="E34" i="21" a="1"/>
  <c r="E34" i="21" s="1"/>
  <c r="B116" i="34" a="1"/>
  <c r="B116" i="34" s="1"/>
  <c r="A116" i="34" s="1"/>
  <c r="K116" i="34" s="1"/>
  <c r="F108" i="34" a="1"/>
  <c r="F108" i="34" s="1"/>
  <c r="F112" i="34" a="1"/>
  <c r="F112" i="34" s="1"/>
  <c r="F116" i="34" a="1"/>
  <c r="F116" i="34" s="1"/>
  <c r="M32" i="19" a="1"/>
  <c r="M32" i="19" s="1"/>
  <c r="M44" i="19" a="1"/>
  <c r="M44" i="19" s="1"/>
  <c r="M56" i="19" a="1"/>
  <c r="M56" i="19" s="1"/>
  <c r="M68" i="19" a="1"/>
  <c r="M68" i="19" s="1"/>
  <c r="M80" i="19" a="1"/>
  <c r="M80" i="19" s="1"/>
  <c r="M92" i="19" a="1"/>
  <c r="M92" i="19" s="1"/>
  <c r="J49" i="19" a="1"/>
  <c r="J49" i="19" s="1"/>
  <c r="J61" i="19" a="1"/>
  <c r="J61" i="19" s="1"/>
  <c r="J73" i="19" a="1"/>
  <c r="J73" i="19" s="1"/>
  <c r="J85" i="19" a="1"/>
  <c r="J85" i="19" s="1"/>
  <c r="J97" i="19" a="1"/>
  <c r="J97" i="19" s="1"/>
  <c r="H54" i="19" a="1"/>
  <c r="H54" i="19" s="1"/>
  <c r="H66" i="19" a="1"/>
  <c r="H66" i="19" s="1"/>
  <c r="H78" i="19" a="1"/>
  <c r="H78" i="19" s="1"/>
  <c r="H90" i="19" a="1"/>
  <c r="H90" i="19" s="1"/>
  <c r="G45" i="19" a="1"/>
  <c r="G45" i="19" s="1"/>
  <c r="G51" i="19" a="1"/>
  <c r="G51" i="19" s="1"/>
  <c r="G57" i="19" a="1"/>
  <c r="G57" i="19" s="1"/>
  <c r="G63" i="19" a="1"/>
  <c r="G63" i="19" s="1"/>
  <c r="G69" i="19" a="1"/>
  <c r="G69" i="19" s="1"/>
  <c r="G75" i="19" a="1"/>
  <c r="G75" i="19" s="1"/>
  <c r="G81" i="19" a="1"/>
  <c r="G81" i="19" s="1"/>
  <c r="G87" i="19" a="1"/>
  <c r="G87" i="19" s="1"/>
  <c r="G93" i="19" a="1"/>
  <c r="G93" i="19" s="1"/>
  <c r="B45" i="19" a="1"/>
  <c r="B45" i="19" s="1"/>
  <c r="L45" i="19" s="1"/>
  <c r="B57" i="19" a="1"/>
  <c r="B57" i="19" s="1"/>
  <c r="L57" i="19" s="1"/>
  <c r="B69" i="19" a="1"/>
  <c r="B69" i="19" s="1"/>
  <c r="L69" i="19" s="1"/>
  <c r="B81" i="19" a="1"/>
  <c r="B81" i="19" s="1"/>
  <c r="L81" i="19" s="1"/>
  <c r="B93" i="19" a="1"/>
  <c r="B93" i="19" s="1"/>
  <c r="A93" i="19" s="1"/>
  <c r="F48" i="18" a="1"/>
  <c r="F48" i="18" s="1"/>
  <c r="G48" i="18" s="1"/>
  <c r="C45" i="18" a="1"/>
  <c r="C45" i="18" s="1"/>
  <c r="I45" i="18" s="1"/>
  <c r="F63" i="18" a="1"/>
  <c r="F63" i="18" s="1"/>
  <c r="G63" i="18" s="1"/>
  <c r="F75" i="18" a="1"/>
  <c r="F75" i="18" s="1"/>
  <c r="G75" i="18" s="1"/>
  <c r="F87" i="18" a="1"/>
  <c r="F87" i="18" s="1"/>
  <c r="G87" i="18" s="1"/>
  <c r="F99" i="18" a="1"/>
  <c r="F99" i="18" s="1"/>
  <c r="G99" i="18" s="1"/>
  <c r="F111" i="18" a="1"/>
  <c r="F111" i="18" s="1"/>
  <c r="G111" i="18" s="1"/>
  <c r="C68" i="18" a="1"/>
  <c r="C68" i="18" s="1"/>
  <c r="H68" i="18" s="1" a="1"/>
  <c r="H68" i="18" s="1"/>
  <c r="C80" i="18" a="1"/>
  <c r="C80" i="18" s="1"/>
  <c r="H80" i="18" s="1" a="1"/>
  <c r="H80" i="18" s="1"/>
  <c r="C92" i="18" a="1"/>
  <c r="C92" i="18" s="1"/>
  <c r="C104" i="18" a="1"/>
  <c r="C104" i="18" s="1"/>
  <c r="B104" i="18" s="1"/>
  <c r="H53" i="20" a="1"/>
  <c r="H53" i="20" s="1"/>
  <c r="H65" i="20" a="1"/>
  <c r="H65" i="20" s="1"/>
  <c r="H77" i="20" a="1"/>
  <c r="H77" i="20" s="1"/>
  <c r="H89" i="20" a="1"/>
  <c r="H89" i="20" s="1"/>
  <c r="H101" i="20" a="1"/>
  <c r="H101" i="20" s="1"/>
  <c r="G58" i="20" a="1"/>
  <c r="G58" i="20" s="1"/>
  <c r="G70" i="20" a="1"/>
  <c r="G70" i="20" s="1"/>
  <c r="G82" i="20" a="1"/>
  <c r="G82" i="20" s="1"/>
  <c r="G94" i="20" a="1"/>
  <c r="G94" i="20" s="1"/>
  <c r="B51" i="20" a="1"/>
  <c r="B51" i="20" s="1"/>
  <c r="J51" i="20" s="1"/>
  <c r="B63" i="20" a="1"/>
  <c r="B63" i="20" s="1"/>
  <c r="J63" i="20" s="1"/>
  <c r="B75" i="20" a="1"/>
  <c r="B75" i="20" s="1"/>
  <c r="B87" i="20" a="1"/>
  <c r="B87" i="20" s="1"/>
  <c r="J87" i="20" s="1"/>
  <c r="B99" i="20" a="1"/>
  <c r="B99" i="20" s="1"/>
  <c r="A99" i="20" s="1"/>
  <c r="E42" i="21" a="1"/>
  <c r="E42" i="21" s="1"/>
  <c r="D42" i="21" s="1"/>
  <c r="E54" i="21" a="1"/>
  <c r="E54" i="21" s="1"/>
  <c r="O54" i="21" s="1"/>
  <c r="E66" i="21" a="1"/>
  <c r="E66" i="21" s="1"/>
  <c r="E78" i="21" a="1"/>
  <c r="E78" i="21" s="1"/>
  <c r="D78" i="21" s="1"/>
  <c r="B105" i="34" a="1"/>
  <c r="B105" i="34" s="1"/>
  <c r="A105" i="34" s="1"/>
  <c r="K105" i="34" s="1"/>
  <c r="B117" i="34" a="1"/>
  <c r="B117" i="34" s="1"/>
  <c r="A117" i="34" s="1"/>
  <c r="K117" i="34" s="1"/>
  <c r="G108" i="34" a="1"/>
  <c r="G108" i="34" s="1"/>
  <c r="G112" i="34" a="1"/>
  <c r="G112" i="34" s="1"/>
  <c r="G116" i="34" a="1"/>
  <c r="G116" i="34" s="1"/>
  <c r="M33" i="19" a="1"/>
  <c r="M33" i="19" s="1"/>
  <c r="M45" i="19" a="1"/>
  <c r="M45" i="19" s="1"/>
  <c r="M57" i="19" a="1"/>
  <c r="M57" i="19" s="1"/>
  <c r="M69" i="19" a="1"/>
  <c r="M69" i="19" s="1"/>
  <c r="M81" i="19" a="1"/>
  <c r="M81" i="19" s="1"/>
  <c r="M93" i="19" a="1"/>
  <c r="M93" i="19" s="1"/>
  <c r="J50" i="19" a="1"/>
  <c r="J50" i="19" s="1"/>
  <c r="J62" i="19" a="1"/>
  <c r="J62" i="19" s="1"/>
  <c r="J74" i="19" a="1"/>
  <c r="J74" i="19" s="1"/>
  <c r="J86" i="19" a="1"/>
  <c r="J86" i="19" s="1"/>
  <c r="J98" i="19" a="1"/>
  <c r="J98" i="19" s="1"/>
  <c r="H55" i="19" a="1"/>
  <c r="H55" i="19" s="1"/>
  <c r="H67" i="19" a="1"/>
  <c r="H67" i="19" s="1"/>
  <c r="H79" i="19" a="1"/>
  <c r="H79" i="19" s="1"/>
  <c r="H91" i="19" a="1"/>
  <c r="H91" i="19" s="1"/>
  <c r="F46" i="19" a="1"/>
  <c r="F46" i="19" s="1"/>
  <c r="F52" i="19" a="1"/>
  <c r="F52" i="19" s="1"/>
  <c r="F58" i="19" a="1"/>
  <c r="F58" i="19" s="1"/>
  <c r="F64" i="19" a="1"/>
  <c r="F64" i="19" s="1"/>
  <c r="F70" i="19" a="1"/>
  <c r="F70" i="19" s="1"/>
  <c r="F76" i="19" a="1"/>
  <c r="F76" i="19" s="1"/>
  <c r="F82" i="19" a="1"/>
  <c r="F82" i="19" s="1"/>
  <c r="F88" i="19" a="1"/>
  <c r="F88" i="19" s="1"/>
  <c r="F94" i="19" a="1"/>
  <c r="F94" i="19" s="1"/>
  <c r="B46" i="19" a="1"/>
  <c r="B46" i="19" s="1"/>
  <c r="B58" i="19" a="1"/>
  <c r="B58" i="19" s="1"/>
  <c r="B70" i="19" a="1"/>
  <c r="B70" i="19" s="1"/>
  <c r="L70" i="19" s="1"/>
  <c r="B82" i="19" a="1"/>
  <c r="B82" i="19" s="1"/>
  <c r="L82" i="19" s="1"/>
  <c r="B94" i="19" a="1"/>
  <c r="B94" i="19" s="1"/>
  <c r="A94" i="19" s="1"/>
  <c r="F49" i="18" a="1"/>
  <c r="F49" i="18" s="1"/>
  <c r="G49" i="18" s="1"/>
  <c r="C46" i="18" a="1"/>
  <c r="C46" i="18" s="1"/>
  <c r="H46" i="18" s="1" a="1"/>
  <c r="H46" i="18" s="1"/>
  <c r="H35" i="20" a="1"/>
  <c r="H35" i="20" s="1"/>
  <c r="H47" i="20" a="1"/>
  <c r="H47" i="20" s="1"/>
  <c r="G44" i="20" a="1"/>
  <c r="G44" i="20" s="1"/>
  <c r="B41" i="20" a="1"/>
  <c r="B41" i="20" s="1"/>
  <c r="J33" i="19" a="1"/>
  <c r="J33" i="19" s="1"/>
  <c r="H30" i="19" a="1"/>
  <c r="H30" i="19" s="1"/>
  <c r="H42" i="19" a="1"/>
  <c r="H42" i="19" s="1"/>
  <c r="G39" i="19" a="1"/>
  <c r="G39" i="19" s="1"/>
  <c r="F36" i="19" a="1"/>
  <c r="F36" i="19" s="1"/>
  <c r="B33" i="19" a="1"/>
  <c r="B33" i="19" s="1"/>
  <c r="E19" i="21" a="1"/>
  <c r="E19" i="21" s="1"/>
  <c r="E31" i="21" a="1"/>
  <c r="E31" i="21" s="1"/>
  <c r="D31" i="21" s="1"/>
  <c r="M23" i="19" a="1"/>
  <c r="M23" i="19" s="1"/>
  <c r="I130" i="19" a="1"/>
  <c r="I130" i="19" s="1"/>
  <c r="J28" i="19" a="1"/>
  <c r="J28" i="19" s="1"/>
  <c r="F21" i="19" a="1"/>
  <c r="F21" i="19" s="1"/>
  <c r="F27" i="19" a="1"/>
  <c r="F27" i="19" s="1"/>
  <c r="B28" i="19" a="1"/>
  <c r="B28" i="19" s="1"/>
  <c r="E10" i="21" a="1"/>
  <c r="E10" i="21" s="1"/>
  <c r="D47" i="21" s="1"/>
  <c r="F64" i="18" a="1"/>
  <c r="F64" i="18" s="1"/>
  <c r="G64" i="18" s="1"/>
  <c r="F76" i="18" a="1"/>
  <c r="F76" i="18" s="1"/>
  <c r="G76" i="18" s="1"/>
  <c r="F88" i="18" a="1"/>
  <c r="F88" i="18" s="1"/>
  <c r="G88" i="18" s="1"/>
  <c r="F100" i="18" a="1"/>
  <c r="F100" i="18" s="1"/>
  <c r="G100" i="18" s="1"/>
  <c r="C57" i="18" a="1"/>
  <c r="C57" i="18" s="1"/>
  <c r="C69" i="18" a="1"/>
  <c r="C69" i="18" s="1"/>
  <c r="H69" i="18" s="1" a="1"/>
  <c r="H69" i="18" s="1"/>
  <c r="C81" i="18" a="1"/>
  <c r="C81" i="18" s="1"/>
  <c r="C93" i="18" a="1"/>
  <c r="C93" i="18" s="1"/>
  <c r="H93" i="18" s="1" a="1"/>
  <c r="H93" i="18" s="1"/>
  <c r="C105" i="18" a="1"/>
  <c r="C105" i="18" s="1"/>
  <c r="B105" i="18" s="1"/>
  <c r="H54" i="20" a="1"/>
  <c r="H54" i="20" s="1"/>
  <c r="H66" i="20" a="1"/>
  <c r="H66" i="20" s="1"/>
  <c r="H78" i="20" a="1"/>
  <c r="H78" i="20" s="1"/>
  <c r="H90" i="20" a="1"/>
  <c r="H90" i="20" s="1"/>
  <c r="H102" i="20" a="1"/>
  <c r="H102" i="20" s="1"/>
  <c r="G59" i="20" a="1"/>
  <c r="G59" i="20" s="1"/>
  <c r="G71" i="20" a="1"/>
  <c r="G71" i="20" s="1"/>
  <c r="G83" i="20" a="1"/>
  <c r="G83" i="20" s="1"/>
  <c r="G95" i="20" a="1"/>
  <c r="G95" i="20" s="1"/>
  <c r="B52" i="20" a="1"/>
  <c r="B52" i="20" s="1"/>
  <c r="B64" i="20" a="1"/>
  <c r="B64" i="20" s="1"/>
  <c r="J64" i="20" s="1"/>
  <c r="B76" i="20" a="1"/>
  <c r="B76" i="20" s="1"/>
  <c r="K76" i="20" s="1"/>
  <c r="B88" i="20" a="1"/>
  <c r="B88" i="20" s="1"/>
  <c r="J88" i="20" s="1"/>
  <c r="B100" i="20" a="1"/>
  <c r="B100" i="20" s="1"/>
  <c r="A100" i="20" s="1"/>
  <c r="E43" i="21" a="1"/>
  <c r="E43" i="21" s="1"/>
  <c r="O43" i="21" s="1"/>
  <c r="E55" i="21" a="1"/>
  <c r="E55" i="21" s="1"/>
  <c r="O55" i="21" s="1"/>
  <c r="E67" i="21" a="1"/>
  <c r="E67" i="21" s="1"/>
  <c r="D67" i="21" s="1"/>
  <c r="E79" i="21" a="1"/>
  <c r="E79" i="21" s="1"/>
  <c r="D79" i="21" s="1"/>
  <c r="B106" i="34" a="1"/>
  <c r="B106" i="34" s="1"/>
  <c r="A106" i="34" s="1"/>
  <c r="K106" i="34" s="1"/>
  <c r="B118" i="34" a="1"/>
  <c r="B118" i="34" s="1"/>
  <c r="A118" i="34" s="1"/>
  <c r="K118" i="34" s="1"/>
  <c r="H108" i="34" a="1"/>
  <c r="H108" i="34" s="1"/>
  <c r="H112" i="34" a="1"/>
  <c r="H112" i="34" s="1"/>
  <c r="H116" i="34" a="1"/>
  <c r="H116" i="34" s="1"/>
  <c r="M34" i="19" a="1"/>
  <c r="M34" i="19" s="1"/>
  <c r="M46" i="19" a="1"/>
  <c r="M46" i="19" s="1"/>
  <c r="M58" i="19" a="1"/>
  <c r="M58" i="19" s="1"/>
  <c r="M70" i="19" a="1"/>
  <c r="M70" i="19" s="1"/>
  <c r="M82" i="19" a="1"/>
  <c r="M82" i="19" s="1"/>
  <c r="M94" i="19" a="1"/>
  <c r="M94" i="19" s="1"/>
  <c r="J51" i="19" a="1"/>
  <c r="J51" i="19" s="1"/>
  <c r="J63" i="19" a="1"/>
  <c r="J63" i="19" s="1"/>
  <c r="J75" i="19" a="1"/>
  <c r="J75" i="19" s="1"/>
  <c r="J87" i="19" a="1"/>
  <c r="J87" i="19" s="1"/>
  <c r="H44" i="19" a="1"/>
  <c r="H44" i="19" s="1"/>
  <c r="H56" i="19" a="1"/>
  <c r="H56" i="19" s="1"/>
  <c r="H68" i="19" a="1"/>
  <c r="H68" i="19" s="1"/>
  <c r="H80" i="19" a="1"/>
  <c r="H80" i="19" s="1"/>
  <c r="H92" i="19" a="1"/>
  <c r="H92" i="19" s="1"/>
  <c r="G46" i="19" a="1"/>
  <c r="G46" i="19" s="1"/>
  <c r="G52" i="19" a="1"/>
  <c r="G52" i="19" s="1"/>
  <c r="G58" i="19" a="1"/>
  <c r="G58" i="19" s="1"/>
  <c r="G64" i="19" a="1"/>
  <c r="G64" i="19" s="1"/>
  <c r="G70" i="19" a="1"/>
  <c r="G70" i="19" s="1"/>
  <c r="G76" i="19" a="1"/>
  <c r="G76" i="19" s="1"/>
  <c r="G82" i="19" a="1"/>
  <c r="G82" i="19" s="1"/>
  <c r="G88" i="19" a="1"/>
  <c r="G88" i="19" s="1"/>
  <c r="G94" i="19" a="1"/>
  <c r="G94" i="19" s="1"/>
  <c r="B47" i="19" a="1"/>
  <c r="B47" i="19" s="1"/>
  <c r="A47" i="19" s="1"/>
  <c r="B59" i="19" a="1"/>
  <c r="B59" i="19" s="1"/>
  <c r="L59" i="19" s="1"/>
  <c r="B71" i="19" a="1"/>
  <c r="B71" i="19" s="1"/>
  <c r="L71" i="19" s="1"/>
  <c r="B83" i="19" a="1"/>
  <c r="B83" i="19" s="1"/>
  <c r="L83" i="19" s="1"/>
  <c r="B95" i="19" a="1"/>
  <c r="B95" i="19" s="1"/>
  <c r="A95" i="19" s="1"/>
  <c r="F50" i="18" a="1"/>
  <c r="F50" i="18" s="1"/>
  <c r="G50" i="18" s="1"/>
  <c r="C47" i="18" a="1"/>
  <c r="C47" i="18" s="1"/>
  <c r="H47" i="18" s="1" a="1"/>
  <c r="H47" i="18" s="1"/>
  <c r="H36" i="20" a="1"/>
  <c r="H36" i="20" s="1"/>
  <c r="H48" i="20" a="1"/>
  <c r="H48" i="20" s="1"/>
  <c r="G45" i="20" a="1"/>
  <c r="G45" i="20" s="1"/>
  <c r="B42" i="20" a="1"/>
  <c r="B42" i="20" s="1"/>
  <c r="K42" i="20" s="1"/>
  <c r="J34" i="19" a="1"/>
  <c r="J34" i="19" s="1"/>
  <c r="H31" i="19" a="1"/>
  <c r="H31" i="19" s="1"/>
  <c r="H43" i="19" a="1"/>
  <c r="H43" i="19" s="1"/>
  <c r="G40" i="19" a="1"/>
  <c r="G40" i="19" s="1"/>
  <c r="F37" i="19" a="1"/>
  <c r="F37" i="19" s="1"/>
  <c r="B34" i="19" a="1"/>
  <c r="B34" i="19" s="1"/>
  <c r="E20" i="21" a="1"/>
  <c r="E20" i="21" s="1"/>
  <c r="E32" i="21" a="1"/>
  <c r="E32" i="21" s="1"/>
  <c r="M24" i="19" a="1"/>
  <c r="M24" i="19" s="1"/>
  <c r="I129" i="19" a="1"/>
  <c r="I129" i="19" s="1"/>
  <c r="H20" i="19" a="1"/>
  <c r="H20" i="19" s="1"/>
  <c r="G21" i="19" a="1"/>
  <c r="G21" i="19" s="1"/>
  <c r="G27" i="19" a="1"/>
  <c r="G27" i="19" s="1"/>
  <c r="J19" i="19" a="1"/>
  <c r="J19" i="19" s="1"/>
  <c r="F65" i="18" a="1"/>
  <c r="F65" i="18" s="1"/>
  <c r="G65" i="18" s="1"/>
  <c r="F77" i="18" a="1"/>
  <c r="F77" i="18" s="1"/>
  <c r="G77" i="18" s="1"/>
  <c r="F89" i="18" a="1"/>
  <c r="F89" i="18" s="1"/>
  <c r="G89" i="18" s="1"/>
  <c r="F101" i="18" a="1"/>
  <c r="F101" i="18" s="1"/>
  <c r="G101" i="18" s="1"/>
  <c r="C58" i="18" a="1"/>
  <c r="C58" i="18" s="1"/>
  <c r="H58" i="18" s="1" a="1"/>
  <c r="H58" i="18" s="1"/>
  <c r="C70" i="18" a="1"/>
  <c r="C70" i="18" s="1"/>
  <c r="C82" i="18" a="1"/>
  <c r="C82" i="18" s="1"/>
  <c r="I82" i="18" s="1"/>
  <c r="C94" i="18" a="1"/>
  <c r="C94" i="18" s="1"/>
  <c r="C106" i="18" a="1"/>
  <c r="C106" i="18" s="1"/>
  <c r="B106" i="18" s="1"/>
  <c r="H55" i="20" a="1"/>
  <c r="H55" i="20" s="1"/>
  <c r="H67" i="20" a="1"/>
  <c r="H67" i="20" s="1"/>
  <c r="H79" i="20" a="1"/>
  <c r="H79" i="20" s="1"/>
  <c r="H91" i="20" a="1"/>
  <c r="H91" i="20" s="1"/>
  <c r="H103" i="20" a="1"/>
  <c r="H103" i="20" s="1"/>
  <c r="G60" i="20" a="1"/>
  <c r="G60" i="20" s="1"/>
  <c r="G72" i="20" a="1"/>
  <c r="G72" i="20" s="1"/>
  <c r="G84" i="20" a="1"/>
  <c r="G84" i="20" s="1"/>
  <c r="G96" i="20" a="1"/>
  <c r="G96" i="20" s="1"/>
  <c r="B53" i="20" a="1"/>
  <c r="B53" i="20" s="1"/>
  <c r="K53" i="20" s="1"/>
  <c r="B65" i="20" a="1"/>
  <c r="B65" i="20" s="1"/>
  <c r="B77" i="20" a="1"/>
  <c r="B77" i="20" s="1"/>
  <c r="K77" i="20" s="1"/>
  <c r="B89" i="20" a="1"/>
  <c r="B89" i="20" s="1"/>
  <c r="J89" i="20" s="1"/>
  <c r="B101" i="20" a="1"/>
  <c r="B101" i="20" s="1"/>
  <c r="A101" i="20" s="1"/>
  <c r="E44" i="21" a="1"/>
  <c r="E44" i="21" s="1"/>
  <c r="O44" i="21" s="1"/>
  <c r="E56" i="21" a="1"/>
  <c r="E56" i="21" s="1"/>
  <c r="O56" i="21" s="1"/>
  <c r="E68" i="21" a="1"/>
  <c r="E68" i="21" s="1"/>
  <c r="O68" i="21" s="1"/>
  <c r="E80" i="21" a="1"/>
  <c r="E80" i="21" s="1"/>
  <c r="D80" i="21" s="1"/>
  <c r="B107" i="34" a="1"/>
  <c r="B107" i="34" s="1"/>
  <c r="A107" i="34" s="1"/>
  <c r="K107" i="34" s="1"/>
  <c r="F105" i="34" a="1"/>
  <c r="F105" i="34" s="1"/>
  <c r="F109" i="34" a="1"/>
  <c r="F109" i="34" s="1"/>
  <c r="F113" i="34" a="1"/>
  <c r="F113" i="34" s="1"/>
  <c r="F117" i="34" a="1"/>
  <c r="F117" i="34" s="1"/>
  <c r="M35" i="19" a="1"/>
  <c r="M35" i="19" s="1"/>
  <c r="M47" i="19" a="1"/>
  <c r="M47" i="19" s="1"/>
  <c r="M59" i="19" a="1"/>
  <c r="M59" i="19" s="1"/>
  <c r="M71" i="19" a="1"/>
  <c r="M71" i="19" s="1"/>
  <c r="M83" i="19" a="1"/>
  <c r="M83" i="19" s="1"/>
  <c r="M95" i="19" a="1"/>
  <c r="M95" i="19" s="1"/>
  <c r="J52" i="19" a="1"/>
  <c r="J52" i="19" s="1"/>
  <c r="J64" i="19" a="1"/>
  <c r="J64" i="19" s="1"/>
  <c r="J76" i="19" a="1"/>
  <c r="J76" i="19" s="1"/>
  <c r="J88" i="19" a="1"/>
  <c r="J88" i="19" s="1"/>
  <c r="H45" i="19" a="1"/>
  <c r="H45" i="19" s="1"/>
  <c r="H57" i="19" a="1"/>
  <c r="H57" i="19" s="1"/>
  <c r="H69" i="19" a="1"/>
  <c r="H69" i="19" s="1"/>
  <c r="H81" i="19" a="1"/>
  <c r="H81" i="19" s="1"/>
  <c r="H93" i="19" a="1"/>
  <c r="H93" i="19" s="1"/>
  <c r="F47" i="19" a="1"/>
  <c r="F47" i="19" s="1"/>
  <c r="F53" i="19" a="1"/>
  <c r="F53" i="19" s="1"/>
  <c r="F59" i="19" a="1"/>
  <c r="F59" i="19" s="1"/>
  <c r="F65" i="19" a="1"/>
  <c r="F65" i="19" s="1"/>
  <c r="F71" i="19" a="1"/>
  <c r="F71" i="19" s="1"/>
  <c r="F77" i="19" a="1"/>
  <c r="F77" i="19" s="1"/>
  <c r="F83" i="19" a="1"/>
  <c r="F83" i="19" s="1"/>
  <c r="F89" i="19" a="1"/>
  <c r="F89" i="19" s="1"/>
  <c r="F66" i="18" a="1"/>
  <c r="F66" i="18" s="1"/>
  <c r="G66" i="18" s="1"/>
  <c r="F78" i="18" a="1"/>
  <c r="F78" i="18" s="1"/>
  <c r="G78" i="18" s="1"/>
  <c r="F90" i="18" a="1"/>
  <c r="F90" i="18" s="1"/>
  <c r="G90" i="18" s="1"/>
  <c r="F102" i="18" a="1"/>
  <c r="F102" i="18" s="1"/>
  <c r="G102" i="18" s="1"/>
  <c r="C59" i="18" a="1"/>
  <c r="C59" i="18" s="1"/>
  <c r="H59" i="18" s="1" a="1"/>
  <c r="H59" i="18" s="1"/>
  <c r="C71" i="18" a="1"/>
  <c r="C71" i="18" s="1"/>
  <c r="I71" i="18" s="1"/>
  <c r="C83" i="18" a="1"/>
  <c r="C83" i="18" s="1"/>
  <c r="H83" i="18" s="1" a="1"/>
  <c r="H83" i="18" s="1"/>
  <c r="C95" i="18" a="1"/>
  <c r="C95" i="18" s="1"/>
  <c r="I95" i="18" s="1"/>
  <c r="C107" i="18" a="1"/>
  <c r="C107" i="18" s="1"/>
  <c r="B107" i="18" s="1"/>
  <c r="H56" i="20" a="1"/>
  <c r="H56" i="20" s="1"/>
  <c r="H68" i="20" a="1"/>
  <c r="H68" i="20" s="1"/>
  <c r="H80" i="20" a="1"/>
  <c r="H80" i="20" s="1"/>
  <c r="H92" i="20" a="1"/>
  <c r="H92" i="20" s="1"/>
  <c r="G49" i="20" a="1"/>
  <c r="G49" i="20" s="1"/>
  <c r="G61" i="20" a="1"/>
  <c r="G61" i="20" s="1"/>
  <c r="G73" i="20" a="1"/>
  <c r="G73" i="20" s="1"/>
  <c r="G85" i="20" a="1"/>
  <c r="G85" i="20" s="1"/>
  <c r="G97" i="20" a="1"/>
  <c r="G97" i="20" s="1"/>
  <c r="B54" i="20" a="1"/>
  <c r="B54" i="20" s="1"/>
  <c r="J54" i="20" s="1"/>
  <c r="B66" i="20" a="1"/>
  <c r="B66" i="20" s="1"/>
  <c r="J66" i="20" s="1"/>
  <c r="B78" i="20" a="1"/>
  <c r="B78" i="20" s="1"/>
  <c r="J78" i="20" s="1"/>
  <c r="B90" i="20" a="1"/>
  <c r="B90" i="20" s="1"/>
  <c r="A90" i="20" s="1"/>
  <c r="B102" i="20" a="1"/>
  <c r="B102" i="20" s="1"/>
  <c r="A102" i="20" s="1"/>
  <c r="E45" i="21" a="1"/>
  <c r="E45" i="21" s="1"/>
  <c r="O45" i="21" s="1"/>
  <c r="E57" i="21" a="1"/>
  <c r="E57" i="21" s="1"/>
  <c r="O57" i="21" s="1"/>
  <c r="E69" i="21" a="1"/>
  <c r="E69" i="21" s="1"/>
  <c r="O69" i="21" s="1"/>
  <c r="E81" i="21" a="1"/>
  <c r="E81" i="21" s="1"/>
  <c r="D81" i="21" s="1"/>
  <c r="B108" i="34" a="1"/>
  <c r="B108" i="34" s="1"/>
  <c r="A108" i="34" s="1"/>
  <c r="K108" i="34" s="1"/>
  <c r="G105" i="34" a="1"/>
  <c r="G105" i="34" s="1"/>
  <c r="G109" i="34" a="1"/>
  <c r="G109" i="34" s="1"/>
  <c r="G113" i="34" a="1"/>
  <c r="G113" i="34" s="1"/>
  <c r="G117" i="34" a="1"/>
  <c r="G117" i="34" s="1"/>
  <c r="M36" i="19" a="1"/>
  <c r="M36" i="19" s="1"/>
  <c r="M48" i="19" a="1"/>
  <c r="M48" i="19" s="1"/>
  <c r="M60" i="19" a="1"/>
  <c r="M60" i="19" s="1"/>
  <c r="M72" i="19" a="1"/>
  <c r="M72" i="19" s="1"/>
  <c r="M84" i="19" a="1"/>
  <c r="M84" i="19" s="1"/>
  <c r="M96" i="19" a="1"/>
  <c r="M96" i="19" s="1"/>
  <c r="J53" i="19" a="1"/>
  <c r="J53" i="19" s="1"/>
  <c r="J65" i="19" a="1"/>
  <c r="J65" i="19" s="1"/>
  <c r="J77" i="19" a="1"/>
  <c r="J77" i="19" s="1"/>
  <c r="J89" i="19" a="1"/>
  <c r="J89" i="19" s="1"/>
  <c r="H46" i="19" a="1"/>
  <c r="H46" i="19" s="1"/>
  <c r="H58" i="19" a="1"/>
  <c r="H58" i="19" s="1"/>
  <c r="H70" i="19" a="1"/>
  <c r="H70" i="19" s="1"/>
  <c r="H82" i="19" a="1"/>
  <c r="H82" i="19" s="1"/>
  <c r="H94" i="19" a="1"/>
  <c r="H94" i="19" s="1"/>
  <c r="G47" i="19" a="1"/>
  <c r="G47" i="19" s="1"/>
  <c r="G53" i="19" a="1"/>
  <c r="G53" i="19" s="1"/>
  <c r="G59" i="19" a="1"/>
  <c r="G59" i="19" s="1"/>
  <c r="G65" i="19" a="1"/>
  <c r="G65" i="19" s="1"/>
  <c r="G71" i="19" a="1"/>
  <c r="G71" i="19" s="1"/>
  <c r="G77" i="19" a="1"/>
  <c r="G77" i="19" s="1"/>
  <c r="G83" i="19" a="1"/>
  <c r="G83" i="19" s="1"/>
  <c r="G89" i="19" a="1"/>
  <c r="G89" i="19" s="1"/>
  <c r="G95" i="19" a="1"/>
  <c r="G95" i="19" s="1"/>
  <c r="F67" i="18" a="1"/>
  <c r="F67" i="18" s="1"/>
  <c r="G67" i="18" s="1"/>
  <c r="F79" i="18" a="1"/>
  <c r="F79" i="18" s="1"/>
  <c r="G79" i="18" s="1"/>
  <c r="F91" i="18" a="1"/>
  <c r="F91" i="18" s="1"/>
  <c r="G91" i="18" s="1"/>
  <c r="F103" i="18" a="1"/>
  <c r="F103" i="18" s="1"/>
  <c r="G103" i="18" s="1"/>
  <c r="C60" i="18" a="1"/>
  <c r="C60" i="18" s="1"/>
  <c r="C72" i="18" a="1"/>
  <c r="C72" i="18" s="1"/>
  <c r="H72" i="18" s="1" a="1"/>
  <c r="H72" i="18" s="1"/>
  <c r="C84" i="18" a="1"/>
  <c r="C84" i="18" s="1"/>
  <c r="I84" i="18" s="1"/>
  <c r="C96" i="18" a="1"/>
  <c r="C96" i="18" s="1"/>
  <c r="H96" i="18" s="1" a="1"/>
  <c r="H96" i="18" s="1"/>
  <c r="C108" i="18" a="1"/>
  <c r="C108" i="18" s="1"/>
  <c r="B108" i="18" s="1"/>
  <c r="H57" i="20" a="1"/>
  <c r="H57" i="20" s="1"/>
  <c r="H69" i="20" a="1"/>
  <c r="H69" i="20" s="1"/>
  <c r="H81" i="20" a="1"/>
  <c r="H81" i="20" s="1"/>
  <c r="H93" i="20" a="1"/>
  <c r="H93" i="20" s="1"/>
  <c r="G50" i="20" a="1"/>
  <c r="G50" i="20" s="1"/>
  <c r="G62" i="20" a="1"/>
  <c r="G62" i="20" s="1"/>
  <c r="G74" i="20" a="1"/>
  <c r="G74" i="20" s="1"/>
  <c r="G86" i="20" a="1"/>
  <c r="G86" i="20" s="1"/>
  <c r="G98" i="20" a="1"/>
  <c r="G98" i="20" s="1"/>
  <c r="B55" i="20" a="1"/>
  <c r="B55" i="20" s="1"/>
  <c r="J55" i="20" s="1"/>
  <c r="B67" i="20" a="1"/>
  <c r="B67" i="20" s="1"/>
  <c r="J67" i="20" s="1"/>
  <c r="B79" i="20" a="1"/>
  <c r="B79" i="20" s="1"/>
  <c r="J79" i="20" s="1"/>
  <c r="B91" i="20" a="1"/>
  <c r="B91" i="20" s="1"/>
  <c r="A91" i="20" s="1"/>
  <c r="B103" i="20" a="1"/>
  <c r="B103" i="20" s="1"/>
  <c r="A103" i="20" s="1"/>
  <c r="E46" i="21" a="1"/>
  <c r="E46" i="21" s="1"/>
  <c r="O46" i="21" s="1"/>
  <c r="E58" i="21" a="1"/>
  <c r="E58" i="21" s="1"/>
  <c r="E70" i="21" a="1"/>
  <c r="E70" i="21" s="1"/>
  <c r="O70" i="21" s="1"/>
  <c r="E82" i="21" a="1"/>
  <c r="E82" i="21" s="1"/>
  <c r="D82" i="21" s="1"/>
  <c r="B109" i="34" a="1"/>
  <c r="B109" i="34" s="1"/>
  <c r="A109" i="34" s="1"/>
  <c r="K109" i="34" s="1"/>
  <c r="H105" i="34" a="1"/>
  <c r="H105" i="34" s="1"/>
  <c r="H109" i="34" a="1"/>
  <c r="H109" i="34" s="1"/>
  <c r="H113" i="34" a="1"/>
  <c r="H113" i="34" s="1"/>
  <c r="H117" i="34" a="1"/>
  <c r="H117" i="34" s="1"/>
  <c r="M37" i="19" a="1"/>
  <c r="M37" i="19" s="1"/>
  <c r="M49" i="19" a="1"/>
  <c r="M49" i="19" s="1"/>
  <c r="M61" i="19" a="1"/>
  <c r="M61" i="19" s="1"/>
  <c r="M73" i="19" a="1"/>
  <c r="M73" i="19" s="1"/>
  <c r="M85" i="19" a="1"/>
  <c r="M85" i="19" s="1"/>
  <c r="M97" i="19" a="1"/>
  <c r="M97" i="19" s="1"/>
  <c r="J54" i="19" a="1"/>
  <c r="J54" i="19" s="1"/>
  <c r="J66" i="19" a="1"/>
  <c r="J66" i="19" s="1"/>
  <c r="J78" i="19" a="1"/>
  <c r="J78" i="19" s="1"/>
  <c r="J90" i="19" a="1"/>
  <c r="J90" i="19" s="1"/>
  <c r="H47" i="19" a="1"/>
  <c r="H47" i="19" s="1"/>
  <c r="H59" i="19" a="1"/>
  <c r="H59" i="19" s="1"/>
  <c r="H71" i="19" a="1"/>
  <c r="H71" i="19" s="1"/>
  <c r="H83" i="19" a="1"/>
  <c r="H83" i="19" s="1"/>
  <c r="H95" i="19" a="1"/>
  <c r="H95" i="19" s="1"/>
  <c r="F48" i="19" a="1"/>
  <c r="F48" i="19" s="1"/>
  <c r="F54" i="19" a="1"/>
  <c r="F54" i="19" s="1"/>
  <c r="F60" i="19" a="1"/>
  <c r="F60" i="19" s="1"/>
  <c r="F66" i="19" a="1"/>
  <c r="F66" i="19" s="1"/>
  <c r="F72" i="19" a="1"/>
  <c r="F72" i="19" s="1"/>
  <c r="F78" i="19" a="1"/>
  <c r="F78" i="19" s="1"/>
  <c r="F84" i="19" a="1"/>
  <c r="F84" i="19" s="1"/>
  <c r="F90" i="19" a="1"/>
  <c r="F90" i="19" s="1"/>
  <c r="F96" i="19" a="1"/>
  <c r="F96" i="19" s="1"/>
  <c r="W402" i="36"/>
  <c r="AH403" i="25" s="1"/>
  <c r="W398" i="36"/>
  <c r="AH399" i="25" s="1"/>
  <c r="W394" i="36"/>
  <c r="AH395" i="25" s="1"/>
  <c r="W390" i="36"/>
  <c r="AH391" i="25" s="1"/>
  <c r="W386" i="36"/>
  <c r="AH387" i="25" s="1"/>
  <c r="W382" i="36"/>
  <c r="AH383" i="25" s="1"/>
  <c r="W378" i="36"/>
  <c r="AH379" i="25" s="1"/>
  <c r="W374" i="36"/>
  <c r="AH375" i="25" s="1"/>
  <c r="W370" i="36"/>
  <c r="AH371" i="25" s="1"/>
  <c r="W366" i="36"/>
  <c r="AH367" i="25" s="1"/>
  <c r="W362" i="36"/>
  <c r="AH363" i="25" s="1"/>
  <c r="W358" i="36"/>
  <c r="AH359" i="25" s="1"/>
  <c r="W354" i="36"/>
  <c r="AH355" i="25" s="1"/>
  <c r="W350" i="36"/>
  <c r="AH351" i="25" s="1"/>
  <c r="W346" i="36"/>
  <c r="AH347" i="25" s="1"/>
  <c r="W333" i="36"/>
  <c r="AH334" i="25" s="1"/>
  <c r="W113" i="36"/>
  <c r="AH114" i="25" s="1"/>
  <c r="W95" i="36"/>
  <c r="AH96" i="25" s="1"/>
  <c r="M11" i="19" a="1"/>
  <c r="M11" i="19" s="1"/>
  <c r="B20" i="19" a="1"/>
  <c r="B20" i="19" s="1"/>
  <c r="H27" i="19" a="1"/>
  <c r="H27" i="19" s="1"/>
  <c r="J20" i="19" a="1"/>
  <c r="J20" i="19" s="1"/>
  <c r="E23" i="21" a="1"/>
  <c r="E23" i="21" s="1"/>
  <c r="O23" i="21" s="1"/>
  <c r="B29" i="19" a="1"/>
  <c r="B29" i="19" s="1"/>
  <c r="L29" i="19" s="1"/>
  <c r="G43" i="19" a="1"/>
  <c r="G43" i="19" s="1"/>
  <c r="H38" i="19" a="1"/>
  <c r="H38" i="19" s="1"/>
  <c r="J37" i="19" a="1"/>
  <c r="J37" i="19" s="1"/>
  <c r="B37" i="20" a="1"/>
  <c r="B37" i="20" s="1"/>
  <c r="J37" i="20" s="1"/>
  <c r="G36" i="20" a="1"/>
  <c r="G36" i="20" s="1"/>
  <c r="C54" i="18" a="1"/>
  <c r="C54" i="18" s="1"/>
  <c r="H54" i="18" s="1" a="1"/>
  <c r="H54" i="18" s="1"/>
  <c r="F52" i="18" a="1"/>
  <c r="F52" i="18" s="1"/>
  <c r="G52" i="18" s="1"/>
  <c r="B87" i="19" a="1"/>
  <c r="B87" i="19" s="1"/>
  <c r="A87" i="19" s="1"/>
  <c r="B65" i="19" a="1"/>
  <c r="B65" i="19" s="1"/>
  <c r="L65" i="19" s="1"/>
  <c r="F98" i="19" a="1"/>
  <c r="F98" i="19" s="1"/>
  <c r="W103" i="36"/>
  <c r="AH104" i="25" s="1"/>
  <c r="E5" i="21" a="1"/>
  <c r="E5" i="21" s="1"/>
  <c r="H11" i="19" a="1"/>
  <c r="H11" i="19" s="1"/>
  <c r="G28" i="19" a="1"/>
  <c r="G28" i="19" s="1"/>
  <c r="H26" i="19" a="1"/>
  <c r="H26" i="19" s="1"/>
  <c r="C129" i="19" a="1"/>
  <c r="C129" i="19" s="1"/>
  <c r="B39" i="34" a="1"/>
  <c r="B39" i="34" s="1"/>
  <c r="E22" i="21" a="1"/>
  <c r="E22" i="21" s="1"/>
  <c r="F43" i="19" a="1"/>
  <c r="F43" i="19" s="1"/>
  <c r="G42" i="19" a="1"/>
  <c r="G42" i="19" s="1"/>
  <c r="H37" i="19" a="1"/>
  <c r="H37" i="19" s="1"/>
  <c r="J36" i="19" a="1"/>
  <c r="J36" i="19" s="1"/>
  <c r="B36" i="20" a="1"/>
  <c r="B36" i="20" s="1"/>
  <c r="K36" i="20" s="1"/>
  <c r="G35" i="20" a="1"/>
  <c r="G35" i="20" s="1"/>
  <c r="C53" i="18" a="1"/>
  <c r="C53" i="18" s="1"/>
  <c r="H53" i="18" s="1" a="1"/>
  <c r="H53" i="18" s="1"/>
  <c r="F51" i="18" a="1"/>
  <c r="F51" i="18" s="1"/>
  <c r="G51" i="18" s="1"/>
  <c r="B86" i="19" a="1"/>
  <c r="B86" i="19" s="1"/>
  <c r="A86" i="19" s="1"/>
  <c r="B64" i="19" a="1"/>
  <c r="B64" i="19" s="1"/>
  <c r="L64" i="19" s="1"/>
  <c r="G96" i="19" a="1"/>
  <c r="G96" i="19" s="1"/>
  <c r="W337" i="36"/>
  <c r="AH338" i="25" s="1"/>
  <c r="W201" i="36"/>
  <c r="AH202" i="25" s="1"/>
  <c r="B19" i="19" a="1"/>
  <c r="B19" i="19" s="1"/>
  <c r="F28" i="19" a="1"/>
  <c r="F28" i="19" s="1"/>
  <c r="H25" i="19" a="1"/>
  <c r="H25" i="19" s="1"/>
  <c r="C130" i="19" a="1"/>
  <c r="C130" i="19" s="1"/>
  <c r="E17" i="21" a="1"/>
  <c r="E17" i="21" s="1"/>
  <c r="O17" i="21" s="1"/>
  <c r="E21" i="21" a="1"/>
  <c r="E21" i="21" s="1"/>
  <c r="O21" i="21" s="1"/>
  <c r="F42" i="19" a="1"/>
  <c r="F42" i="19" s="1"/>
  <c r="G41" i="19" a="1"/>
  <c r="G41" i="19" s="1"/>
  <c r="H36" i="19" a="1"/>
  <c r="H36" i="19" s="1"/>
  <c r="J35" i="19" a="1"/>
  <c r="J35" i="19" s="1"/>
  <c r="B35" i="20" a="1"/>
  <c r="B35" i="20" s="1"/>
  <c r="G34" i="20" a="1"/>
  <c r="G34" i="20" s="1"/>
  <c r="C52" i="18" a="1"/>
  <c r="C52" i="18" s="1"/>
  <c r="F45" i="18" a="1"/>
  <c r="F45" i="18" s="1"/>
  <c r="G45" i="18" s="1"/>
  <c r="B85" i="19" a="1"/>
  <c r="B85" i="19" s="1"/>
  <c r="A85" i="19" s="1"/>
  <c r="B63" i="19" a="1"/>
  <c r="B63" i="19" s="1"/>
  <c r="L63" i="19" s="1"/>
  <c r="F95" i="19" a="1"/>
  <c r="F95" i="19" s="1"/>
  <c r="W341" i="36"/>
  <c r="AH342" i="25" s="1"/>
  <c r="F19" i="19" a="1"/>
  <c r="F19" i="19" s="1"/>
  <c r="G26" i="19" a="1"/>
  <c r="G26" i="19" s="1"/>
  <c r="H24" i="19" a="1"/>
  <c r="H24" i="19" s="1"/>
  <c r="E142" i="19" a="1"/>
  <c r="E142" i="19" s="1"/>
  <c r="E16" i="21" a="1"/>
  <c r="E16" i="21" s="1"/>
  <c r="O16" i="21" s="1"/>
  <c r="E18" i="21" a="1"/>
  <c r="E18" i="21" s="1"/>
  <c r="F41" i="19" a="1"/>
  <c r="F41" i="19" s="1"/>
  <c r="G38" i="19" a="1"/>
  <c r="G38" i="19" s="1"/>
  <c r="H35" i="19" a="1"/>
  <c r="H35" i="19" s="1"/>
  <c r="J32" i="19" a="1"/>
  <c r="J32" i="19" s="1"/>
  <c r="B34" i="20" a="1"/>
  <c r="B34" i="20" s="1"/>
  <c r="K34" i="20" s="1"/>
  <c r="H46" i="20" a="1"/>
  <c r="H46" i="20" s="1"/>
  <c r="C51" i="18" a="1"/>
  <c r="C51" i="18" s="1"/>
  <c r="H51" i="18" s="1" a="1"/>
  <c r="H51" i="18" s="1"/>
  <c r="F44" i="18" a="1"/>
  <c r="F44" i="18" s="1"/>
  <c r="G44" i="18" s="1"/>
  <c r="B84" i="19" a="1"/>
  <c r="B84" i="19" s="1"/>
  <c r="L84" i="19" s="1"/>
  <c r="B62" i="19" a="1"/>
  <c r="B62" i="19" s="1"/>
  <c r="L62" i="19" s="1"/>
  <c r="F92" i="19" a="1"/>
  <c r="F92" i="19" s="1"/>
  <c r="W196" i="36"/>
  <c r="AH197" i="25" s="1"/>
  <c r="W192" i="36"/>
  <c r="AH193" i="25" s="1"/>
  <c r="W188" i="36"/>
  <c r="AH189" i="25" s="1"/>
  <c r="W184" i="36"/>
  <c r="AH185" i="25" s="1"/>
  <c r="W180" i="36"/>
  <c r="AH181" i="25" s="1"/>
  <c r="W176" i="36"/>
  <c r="AH177" i="25" s="1"/>
  <c r="W172" i="36"/>
  <c r="AH173" i="25" s="1"/>
  <c r="W168" i="36"/>
  <c r="AH169" i="25" s="1"/>
  <c r="W164" i="36"/>
  <c r="AH165" i="25" s="1"/>
  <c r="W160" i="36"/>
  <c r="AH161" i="25" s="1"/>
  <c r="W156" i="36"/>
  <c r="AH157" i="25" s="1"/>
  <c r="W152" i="36"/>
  <c r="AH153" i="25" s="1"/>
  <c r="W148" i="36"/>
  <c r="AH149" i="25" s="1"/>
  <c r="G19" i="19" a="1"/>
  <c r="G19" i="19" s="1"/>
  <c r="F25" i="19" a="1"/>
  <c r="F25" i="19" s="1"/>
  <c r="H23" i="19" a="1"/>
  <c r="H23" i="19" s="1"/>
  <c r="B117" i="19" a="1"/>
  <c r="B117" i="19" s="1"/>
  <c r="E15" i="21" a="1"/>
  <c r="E15" i="21" s="1"/>
  <c r="O15" i="21" s="1"/>
  <c r="B41" i="19" a="1"/>
  <c r="B41" i="19" s="1"/>
  <c r="A50" i="19" s="1"/>
  <c r="F40" i="19" a="1"/>
  <c r="F40" i="19" s="1"/>
  <c r="G35" i="19" a="1"/>
  <c r="G35" i="19" s="1"/>
  <c r="H34" i="19" a="1"/>
  <c r="H34" i="19" s="1"/>
  <c r="J29" i="19" a="1"/>
  <c r="J29" i="19" s="1"/>
  <c r="G48" i="20" a="1"/>
  <c r="G48" i="20" s="1"/>
  <c r="H43" i="20" a="1"/>
  <c r="H43" i="20" s="1"/>
  <c r="C50" i="18" a="1"/>
  <c r="C50" i="18" s="1"/>
  <c r="H50" i="18" s="1" a="1"/>
  <c r="H50" i="18" s="1"/>
  <c r="F43" i="18" a="1"/>
  <c r="F43" i="18" s="1"/>
  <c r="G43" i="18" s="1"/>
  <c r="B78" i="19" a="1"/>
  <c r="B78" i="19" s="1"/>
  <c r="L78" i="19" s="1"/>
  <c r="B61" i="19" a="1"/>
  <c r="B61" i="19" s="1"/>
  <c r="L61" i="19" s="1"/>
  <c r="G90" i="19" a="1"/>
  <c r="G90" i="19" s="1"/>
  <c r="H64" i="18" a="1"/>
  <c r="H64" i="18" s="1"/>
  <c r="H111" i="18" a="1"/>
  <c r="H111" i="18" s="1"/>
  <c r="H109" i="18" a="1"/>
  <c r="H109" i="18" s="1"/>
  <c r="H107" i="18" a="1"/>
  <c r="H107" i="18" s="1"/>
  <c r="H103" i="18" a="1"/>
  <c r="H103" i="18" s="1"/>
  <c r="H101" i="18" a="1"/>
  <c r="H101" i="18" s="1"/>
  <c r="H99" i="18" a="1"/>
  <c r="H99" i="18" s="1"/>
  <c r="H97" i="18" a="1"/>
  <c r="H97" i="18" s="1"/>
  <c r="H95" i="18" a="1"/>
  <c r="H95" i="18" s="1"/>
  <c r="H87" i="18" a="1"/>
  <c r="H87" i="18" s="1"/>
  <c r="H81" i="18" a="1"/>
  <c r="H81" i="18" s="1"/>
  <c r="H79" i="18" a="1"/>
  <c r="H79" i="18" s="1"/>
  <c r="H73" i="18" a="1"/>
  <c r="H73" i="18" s="1"/>
  <c r="H63" i="18" a="1"/>
  <c r="H63" i="18" s="1"/>
  <c r="I110" i="18"/>
  <c r="I104" i="18"/>
  <c r="I102" i="18"/>
  <c r="I100" i="18"/>
  <c r="I98" i="18"/>
  <c r="I96" i="18"/>
  <c r="I94" i="18"/>
  <c r="I92" i="18"/>
  <c r="I88" i="18"/>
  <c r="I86" i="18"/>
  <c r="I80" i="18"/>
  <c r="I78" i="18"/>
  <c r="I76" i="18"/>
  <c r="I70" i="18"/>
  <c r="I68" i="18"/>
  <c r="I62" i="18"/>
  <c r="I60" i="18"/>
  <c r="I58" i="18"/>
  <c r="H110" i="18" a="1"/>
  <c r="H110" i="18" s="1"/>
  <c r="H104" i="18" a="1"/>
  <c r="H104" i="18" s="1"/>
  <c r="H102" i="18" a="1"/>
  <c r="H102" i="18" s="1"/>
  <c r="H100" i="18" a="1"/>
  <c r="H100" i="18" s="1"/>
  <c r="H98" i="18" a="1"/>
  <c r="H98" i="18" s="1"/>
  <c r="H94" i="18" a="1"/>
  <c r="H94" i="18" s="1"/>
  <c r="H92" i="18" a="1"/>
  <c r="H92" i="18" s="1"/>
  <c r="H90" i="18" a="1"/>
  <c r="H90" i="18" s="1"/>
  <c r="H86" i="18" a="1"/>
  <c r="H86" i="18" s="1"/>
  <c r="H84" i="18" a="1"/>
  <c r="H84" i="18" s="1"/>
  <c r="H82" i="18" a="1"/>
  <c r="H82" i="18" s="1"/>
  <c r="H78" i="18" a="1"/>
  <c r="H78" i="18" s="1"/>
  <c r="H76" i="18" a="1"/>
  <c r="H76" i="18" s="1"/>
  <c r="H74" i="18" a="1"/>
  <c r="H74" i="18" s="1"/>
  <c r="H70" i="18" a="1"/>
  <c r="H70" i="18" s="1"/>
  <c r="H66" i="18" a="1"/>
  <c r="H66" i="18" s="1"/>
  <c r="H62" i="18" a="1"/>
  <c r="H62" i="18" s="1"/>
  <c r="H60" i="18" a="1"/>
  <c r="H60" i="18" s="1"/>
  <c r="I57" i="18"/>
  <c r="I111" i="18"/>
  <c r="I109" i="18"/>
  <c r="I107" i="18"/>
  <c r="I105" i="18"/>
  <c r="I103" i="18"/>
  <c r="I101" i="18"/>
  <c r="I99" i="18"/>
  <c r="I97" i="18"/>
  <c r="I93" i="18"/>
  <c r="I91" i="18"/>
  <c r="I89" i="18"/>
  <c r="I85" i="18"/>
  <c r="I83" i="18"/>
  <c r="I81" i="18"/>
  <c r="I77" i="18"/>
  <c r="I75" i="18"/>
  <c r="I67" i="18"/>
  <c r="I65" i="18"/>
  <c r="I61" i="18"/>
  <c r="H57" i="18" a="1"/>
  <c r="H57" i="18" s="1"/>
  <c r="I47" i="18"/>
  <c r="I46" i="18"/>
  <c r="K100" i="20"/>
  <c r="K96" i="20"/>
  <c r="K92" i="20"/>
  <c r="K88" i="20"/>
  <c r="K84" i="20"/>
  <c r="K80" i="20"/>
  <c r="K72" i="20"/>
  <c r="K68" i="20"/>
  <c r="K64" i="20"/>
  <c r="K60" i="20"/>
  <c r="K56" i="20"/>
  <c r="K52" i="20"/>
  <c r="J100" i="20"/>
  <c r="J96" i="20"/>
  <c r="J92" i="20"/>
  <c r="J84" i="20"/>
  <c r="J76" i="20"/>
  <c r="J68" i="20"/>
  <c r="J60" i="20"/>
  <c r="J52" i="20"/>
  <c r="K103" i="20"/>
  <c r="K99" i="20"/>
  <c r="K95" i="20"/>
  <c r="K91" i="20"/>
  <c r="K87" i="20"/>
  <c r="K83" i="20"/>
  <c r="K75" i="20"/>
  <c r="K71" i="20"/>
  <c r="K59" i="20"/>
  <c r="K55" i="20"/>
  <c r="K51" i="20"/>
  <c r="J103" i="20"/>
  <c r="J99" i="20"/>
  <c r="J95" i="20"/>
  <c r="J83" i="20"/>
  <c r="J75" i="20"/>
  <c r="J59" i="20"/>
  <c r="K102" i="20"/>
  <c r="K98" i="20"/>
  <c r="K94" i="20"/>
  <c r="K90" i="20"/>
  <c r="K86" i="20"/>
  <c r="K82" i="20"/>
  <c r="K78" i="20"/>
  <c r="K74" i="20"/>
  <c r="K70" i="20"/>
  <c r="K66" i="20"/>
  <c r="K58" i="20"/>
  <c r="K54" i="20"/>
  <c r="K50" i="20"/>
  <c r="J102" i="20"/>
  <c r="J98" i="20"/>
  <c r="J94" i="20"/>
  <c r="J90" i="20"/>
  <c r="J82" i="20"/>
  <c r="J74" i="20"/>
  <c r="J58" i="20"/>
  <c r="J50" i="20"/>
  <c r="K97" i="20"/>
  <c r="K93" i="20"/>
  <c r="K89" i="20"/>
  <c r="K81" i="20"/>
  <c r="K73" i="20"/>
  <c r="K65" i="20"/>
  <c r="K57" i="20"/>
  <c r="K49" i="20"/>
  <c r="J97" i="20"/>
  <c r="J93" i="20"/>
  <c r="J85" i="20"/>
  <c r="J81" i="20"/>
  <c r="J77" i="20"/>
  <c r="J73" i="20"/>
  <c r="J69" i="20"/>
  <c r="J65" i="20"/>
  <c r="J61" i="20"/>
  <c r="J57" i="20"/>
  <c r="J53" i="20"/>
  <c r="J49" i="20"/>
  <c r="D59" i="21"/>
  <c r="D43" i="21"/>
  <c r="D35" i="21"/>
  <c r="O80" i="21"/>
  <c r="D66" i="21"/>
  <c r="D58" i="21"/>
  <c r="O87" i="21"/>
  <c r="O79" i="21"/>
  <c r="D73" i="21"/>
  <c r="D65" i="21"/>
  <c r="D57" i="21"/>
  <c r="D49" i="21"/>
  <c r="D41" i="21"/>
  <c r="O86" i="21"/>
  <c r="D72" i="21"/>
  <c r="D64" i="21"/>
  <c r="O85" i="21"/>
  <c r="O77" i="21"/>
  <c r="D71" i="21"/>
  <c r="D63" i="21"/>
  <c r="D55" i="21"/>
  <c r="O84" i="21"/>
  <c r="O76" i="21"/>
  <c r="D62" i="21"/>
  <c r="D38" i="21"/>
  <c r="O83" i="21"/>
  <c r="O75" i="21"/>
  <c r="O67" i="21"/>
  <c r="O59" i="21"/>
  <c r="O51" i="21"/>
  <c r="O35" i="21"/>
  <c r="D61" i="21"/>
  <c r="D37" i="21"/>
  <c r="O82" i="21"/>
  <c r="O74" i="21"/>
  <c r="O66" i="21"/>
  <c r="O58" i="21"/>
  <c r="O50" i="21"/>
  <c r="O34" i="21"/>
  <c r="D68" i="21"/>
  <c r="D60" i="21"/>
  <c r="D36" i="21"/>
  <c r="O81" i="21"/>
  <c r="O73" i="21"/>
  <c r="O65" i="21"/>
  <c r="O49" i="21"/>
  <c r="O41" i="21"/>
  <c r="O33" i="21"/>
  <c r="A74" i="19"/>
  <c r="L93" i="19"/>
  <c r="L85" i="19"/>
  <c r="A49" i="19"/>
  <c r="L92" i="19"/>
  <c r="L91" i="19"/>
  <c r="L98" i="19"/>
  <c r="L90" i="19"/>
  <c r="L74" i="19"/>
  <c r="L66" i="19"/>
  <c r="L58" i="19"/>
  <c r="L50" i="19"/>
  <c r="A46" i="19"/>
  <c r="L97" i="19"/>
  <c r="L89" i="19"/>
  <c r="L49" i="19"/>
  <c r="L96" i="19"/>
  <c r="L88" i="19"/>
  <c r="L48" i="19"/>
  <c r="L95" i="19"/>
  <c r="L87" i="19"/>
  <c r="L47" i="19"/>
  <c r="L94" i="19"/>
  <c r="L86" i="19"/>
  <c r="L46" i="19"/>
  <c r="A75" i="19"/>
  <c r="A81" i="19"/>
  <c r="A73" i="19"/>
  <c r="A57" i="19"/>
  <c r="A80" i="19"/>
  <c r="A72" i="19"/>
  <c r="A64" i="19"/>
  <c r="A79" i="19"/>
  <c r="A71" i="19"/>
  <c r="A70" i="19"/>
  <c r="A54" i="19"/>
  <c r="A82" i="19"/>
  <c r="A77" i="19"/>
  <c r="A69" i="19"/>
  <c r="A76" i="19"/>
  <c r="A68" i="19"/>
  <c r="A32" i="19"/>
  <c r="A41" i="19"/>
  <c r="A30" i="19"/>
  <c r="L30" i="19"/>
  <c r="L41" i="19"/>
  <c r="L39" i="19"/>
  <c r="L38" i="19"/>
  <c r="A35" i="19"/>
  <c r="L37" i="19"/>
  <c r="A40" i="19"/>
  <c r="A34" i="19"/>
  <c r="L36" i="19"/>
  <c r="L35" i="19"/>
  <c r="L34" i="19"/>
  <c r="L33" i="19"/>
  <c r="D25" i="21"/>
  <c r="D24" i="21"/>
  <c r="D23" i="21"/>
  <c r="D22" i="21"/>
  <c r="D12" i="21"/>
  <c r="D28" i="21"/>
  <c r="D20" i="21"/>
  <c r="D27" i="21"/>
  <c r="O26" i="21"/>
  <c r="O25" i="21"/>
  <c r="O24" i="21"/>
  <c r="O32" i="21"/>
  <c r="O20" i="21"/>
  <c r="O22" i="21"/>
  <c r="O31" i="21"/>
  <c r="O19" i="21"/>
  <c r="O30" i="21"/>
  <c r="O18" i="21"/>
  <c r="O29" i="21"/>
  <c r="O28" i="21"/>
  <c r="O27" i="21"/>
  <c r="J39" i="20"/>
  <c r="K45" i="20"/>
  <c r="K46" i="20"/>
  <c r="K40" i="20"/>
  <c r="K44" i="20"/>
  <c r="K38" i="20"/>
  <c r="J38" i="20"/>
  <c r="K43" i="20"/>
  <c r="K37" i="20"/>
  <c r="K48" i="20"/>
  <c r="J48" i="20"/>
  <c r="J42" i="20"/>
  <c r="K47" i="20"/>
  <c r="K41" i="20"/>
  <c r="K35" i="20"/>
  <c r="J47" i="20"/>
  <c r="J41" i="20"/>
  <c r="J35" i="20"/>
  <c r="H45" i="18" a="1"/>
  <c r="H45" i="18" s="1"/>
  <c r="I56" i="18"/>
  <c r="I49" i="18"/>
  <c r="I43" i="18"/>
  <c r="H56" i="18" a="1"/>
  <c r="H56" i="18" s="1"/>
  <c r="I52" i="18"/>
  <c r="H43" i="18" a="1"/>
  <c r="H43" i="18" s="1"/>
  <c r="I50" i="18"/>
  <c r="I44" i="18"/>
  <c r="H55" i="18" a="1"/>
  <c r="H55" i="18" s="1"/>
  <c r="I51" i="18"/>
  <c r="I42" i="18"/>
  <c r="I55" i="18"/>
  <c r="H52" i="18" a="1"/>
  <c r="H52" i="18" s="1"/>
  <c r="H48" i="18" a="1"/>
  <c r="H48" i="18" s="1"/>
  <c r="H42" i="18" a="1"/>
  <c r="H42" i="18" s="1"/>
  <c r="O14" i="21"/>
  <c r="D17" i="21"/>
  <c r="D16" i="21"/>
  <c r="D15" i="21"/>
  <c r="D13" i="21"/>
  <c r="D9" i="21"/>
  <c r="W107" i="36"/>
  <c r="AH108" i="25" s="1"/>
  <c r="B102" i="34" a="1"/>
  <c r="B102" i="34" s="1"/>
  <c r="B98" i="34" a="1"/>
  <c r="B98" i="34" s="1"/>
  <c r="W336" i="36"/>
  <c r="AH337" i="25" s="1"/>
  <c r="W231" i="36"/>
  <c r="AH232" i="25" s="1"/>
  <c r="L10" i="18" a="1"/>
  <c r="L10" i="18" s="1"/>
  <c r="I48" i="34" a="1"/>
  <c r="I48" i="34" s="1"/>
  <c r="I60" i="34" a="1"/>
  <c r="I60" i="34" s="1"/>
  <c r="I72" i="34" a="1"/>
  <c r="I72" i="34" s="1"/>
  <c r="I84" i="34" a="1"/>
  <c r="I84" i="34" s="1"/>
  <c r="I96" i="34" a="1"/>
  <c r="I96" i="34" s="1"/>
  <c r="I108" i="34" a="1"/>
  <c r="I108" i="34" s="1"/>
  <c r="H51" i="34" a="1"/>
  <c r="H51" i="34" s="1"/>
  <c r="H63" i="34" a="1"/>
  <c r="H63" i="34" s="1"/>
  <c r="H75" i="34" a="1"/>
  <c r="H75" i="34" s="1"/>
  <c r="K12" i="18" a="1"/>
  <c r="K12" i="18" s="1"/>
  <c r="I49" i="34" a="1"/>
  <c r="I49" i="34" s="1"/>
  <c r="I61" i="34" a="1"/>
  <c r="I61" i="34" s="1"/>
  <c r="I73" i="34" a="1"/>
  <c r="I73" i="34" s="1"/>
  <c r="I85" i="34" a="1"/>
  <c r="I85" i="34" s="1"/>
  <c r="I97" i="34" a="1"/>
  <c r="I97" i="34" s="1"/>
  <c r="H40" i="34" a="1"/>
  <c r="H40" i="34" s="1"/>
  <c r="H52" i="34" a="1"/>
  <c r="H52" i="34" s="1"/>
  <c r="I50" i="34" a="1"/>
  <c r="I50" i="34" s="1"/>
  <c r="I62" i="34" a="1"/>
  <c r="I62" i="34" s="1"/>
  <c r="I74" i="34" a="1"/>
  <c r="I74" i="34" s="1"/>
  <c r="I86" i="34" a="1"/>
  <c r="I86" i="34" s="1"/>
  <c r="I98" i="34" a="1"/>
  <c r="I98" i="34" s="1"/>
  <c r="H41" i="34" a="1"/>
  <c r="H41" i="34" s="1"/>
  <c r="H53" i="34" a="1"/>
  <c r="H53" i="34" s="1"/>
  <c r="H65" i="34" a="1"/>
  <c r="H65" i="34" s="1"/>
  <c r="H77" i="34" a="1"/>
  <c r="H77" i="34" s="1"/>
  <c r="H89" i="34" a="1"/>
  <c r="H89" i="34" s="1"/>
  <c r="D15" i="18" a="1"/>
  <c r="D15" i="18" s="1"/>
  <c r="I51" i="34" a="1"/>
  <c r="I51" i="34" s="1"/>
  <c r="I63" i="34" a="1"/>
  <c r="I63" i="34" s="1"/>
  <c r="I75" i="34" a="1"/>
  <c r="I75" i="34" s="1"/>
  <c r="I87" i="34" a="1"/>
  <c r="I87" i="34" s="1"/>
  <c r="I99" i="34" a="1"/>
  <c r="I99" i="34" s="1"/>
  <c r="H42" i="34" a="1"/>
  <c r="H42" i="34" s="1"/>
  <c r="H54" i="34" a="1"/>
  <c r="H54" i="34" s="1"/>
  <c r="I40" i="34" a="1"/>
  <c r="I40" i="34" s="1"/>
  <c r="I52" i="34" a="1"/>
  <c r="I52" i="34" s="1"/>
  <c r="I64" i="34" a="1"/>
  <c r="I64" i="34" s="1"/>
  <c r="I76" i="34" a="1"/>
  <c r="I76" i="34" s="1"/>
  <c r="I88" i="34" a="1"/>
  <c r="I88" i="34" s="1"/>
  <c r="I100" i="34" a="1"/>
  <c r="I100" i="34" s="1"/>
  <c r="H43" i="34" a="1"/>
  <c r="H43" i="34" s="1"/>
  <c r="H55" i="34" a="1"/>
  <c r="H55" i="34" s="1"/>
  <c r="H67" i="34" a="1"/>
  <c r="H67" i="34" s="1"/>
  <c r="H79" i="34" a="1"/>
  <c r="H79" i="34" s="1"/>
  <c r="H91" i="34" a="1"/>
  <c r="H91" i="34" s="1"/>
  <c r="H103" i="34" a="1"/>
  <c r="H103" i="34" s="1"/>
  <c r="F43" i="34" a="1"/>
  <c r="F43" i="34" s="1"/>
  <c r="I41" i="34" a="1"/>
  <c r="I41" i="34" s="1"/>
  <c r="I53" i="34" a="1"/>
  <c r="I53" i="34" s="1"/>
  <c r="I65" i="34" a="1"/>
  <c r="I65" i="34" s="1"/>
  <c r="I77" i="34" a="1"/>
  <c r="I77" i="34" s="1"/>
  <c r="I89" i="34" a="1"/>
  <c r="I89" i="34" s="1"/>
  <c r="I101" i="34" a="1"/>
  <c r="I101" i="34" s="1"/>
  <c r="H44" i="34" a="1"/>
  <c r="H44" i="34" s="1"/>
  <c r="H56" i="34" a="1"/>
  <c r="H56" i="34" s="1"/>
  <c r="H68" i="34" a="1"/>
  <c r="H68" i="34" s="1"/>
  <c r="H80" i="34" a="1"/>
  <c r="H80" i="34" s="1"/>
  <c r="I42" i="34" a="1"/>
  <c r="I42" i="34" s="1"/>
  <c r="I54" i="34" a="1"/>
  <c r="I54" i="34" s="1"/>
  <c r="I66" i="34" a="1"/>
  <c r="I66" i="34" s="1"/>
  <c r="I78" i="34" a="1"/>
  <c r="I78" i="34" s="1"/>
  <c r="I90" i="34" a="1"/>
  <c r="I90" i="34" s="1"/>
  <c r="I102" i="34" a="1"/>
  <c r="I102" i="34" s="1"/>
  <c r="H45" i="34" a="1"/>
  <c r="H45" i="34" s="1"/>
  <c r="H57" i="34" a="1"/>
  <c r="H57" i="34" s="1"/>
  <c r="H69" i="34" a="1"/>
  <c r="H69" i="34" s="1"/>
  <c r="H81" i="34" a="1"/>
  <c r="H81" i="34" s="1"/>
  <c r="H93" i="34" a="1"/>
  <c r="H93" i="34" s="1"/>
  <c r="F44" i="34" a="1"/>
  <c r="F44" i="34" s="1"/>
  <c r="I43" i="34" a="1"/>
  <c r="I43" i="34" s="1"/>
  <c r="I55" i="34" a="1"/>
  <c r="I55" i="34" s="1"/>
  <c r="I67" i="34" a="1"/>
  <c r="I67" i="34" s="1"/>
  <c r="I79" i="34" a="1"/>
  <c r="I79" i="34" s="1"/>
  <c r="I91" i="34" a="1"/>
  <c r="I91" i="34" s="1"/>
  <c r="I103" i="34" a="1"/>
  <c r="I103" i="34" s="1"/>
  <c r="H46" i="34" a="1"/>
  <c r="H46" i="34" s="1"/>
  <c r="H58" i="34" a="1"/>
  <c r="H58" i="34" s="1"/>
  <c r="H70" i="34" a="1"/>
  <c r="H70" i="34" s="1"/>
  <c r="H82" i="34" a="1"/>
  <c r="H82" i="34" s="1"/>
  <c r="H94" i="34" a="1"/>
  <c r="H94" i="34" s="1"/>
  <c r="G44" i="34" a="1"/>
  <c r="G44" i="34" s="1"/>
  <c r="G50" i="34" a="1"/>
  <c r="G50" i="34" s="1"/>
  <c r="I44" i="34" a="1"/>
  <c r="I44" i="34" s="1"/>
  <c r="I56" i="34" a="1"/>
  <c r="I56" i="34" s="1"/>
  <c r="I68" i="34" a="1"/>
  <c r="I68" i="34" s="1"/>
  <c r="I80" i="34" a="1"/>
  <c r="I80" i="34" s="1"/>
  <c r="I92" i="34" a="1"/>
  <c r="I92" i="34" s="1"/>
  <c r="I104" i="34" a="1"/>
  <c r="I104" i="34" s="1"/>
  <c r="H47" i="34" a="1"/>
  <c r="H47" i="34" s="1"/>
  <c r="H59" i="34" a="1"/>
  <c r="H59" i="34" s="1"/>
  <c r="I45" i="34" a="1"/>
  <c r="I45" i="34" s="1"/>
  <c r="I57" i="34" a="1"/>
  <c r="I57" i="34" s="1"/>
  <c r="I69" i="34" a="1"/>
  <c r="I69" i="34" s="1"/>
  <c r="I81" i="34" a="1"/>
  <c r="I81" i="34" s="1"/>
  <c r="I93" i="34" a="1"/>
  <c r="I93" i="34" s="1"/>
  <c r="I105" i="34" a="1"/>
  <c r="I105" i="34" s="1"/>
  <c r="H48" i="34" a="1"/>
  <c r="H48" i="34" s="1"/>
  <c r="H60" i="34" a="1"/>
  <c r="H60" i="34" s="1"/>
  <c r="I46" i="34" a="1"/>
  <c r="I46" i="34" s="1"/>
  <c r="I58" i="34" a="1"/>
  <c r="I58" i="34" s="1"/>
  <c r="I70" i="34" a="1"/>
  <c r="I70" i="34" s="1"/>
  <c r="I82" i="34" a="1"/>
  <c r="I82" i="34" s="1"/>
  <c r="I94" i="34" a="1"/>
  <c r="I94" i="34" s="1"/>
  <c r="I106" i="34" a="1"/>
  <c r="I106" i="34" s="1"/>
  <c r="H49" i="34" a="1"/>
  <c r="H49" i="34" s="1"/>
  <c r="H61" i="34" a="1"/>
  <c r="H61" i="34" s="1"/>
  <c r="H73" i="34" a="1"/>
  <c r="H73" i="34" s="1"/>
  <c r="H85" i="34" a="1"/>
  <c r="H85" i="34" s="1"/>
  <c r="H97" i="34" a="1"/>
  <c r="H97" i="34" s="1"/>
  <c r="F40" i="34" a="1"/>
  <c r="F40" i="34" s="1"/>
  <c r="F46" i="34" a="1"/>
  <c r="F46" i="34" s="1"/>
  <c r="F52" i="34" a="1"/>
  <c r="F52" i="34" s="1"/>
  <c r="L12" i="18" a="1"/>
  <c r="L12" i="18" s="1"/>
  <c r="I47" i="34" a="1"/>
  <c r="I47" i="34" s="1"/>
  <c r="I59" i="34" a="1"/>
  <c r="I59" i="34" s="1"/>
  <c r="I71" i="34" a="1"/>
  <c r="I71" i="34" s="1"/>
  <c r="I83" i="34" a="1"/>
  <c r="I83" i="34" s="1"/>
  <c r="I95" i="34" a="1"/>
  <c r="I95" i="34" s="1"/>
  <c r="I107" i="34" a="1"/>
  <c r="I107" i="34" s="1"/>
  <c r="H78" i="34" a="1"/>
  <c r="H78" i="34" s="1"/>
  <c r="H100" i="34" a="1"/>
  <c r="H100" i="34" s="1"/>
  <c r="F45" i="34" a="1"/>
  <c r="F45" i="34" s="1"/>
  <c r="G52" i="34" a="1"/>
  <c r="G52" i="34" s="1"/>
  <c r="G58" i="34" a="1"/>
  <c r="G58" i="34" s="1"/>
  <c r="G64" i="34" a="1"/>
  <c r="G64" i="34" s="1"/>
  <c r="G70" i="34" a="1"/>
  <c r="G70" i="34" s="1"/>
  <c r="G76" i="34" a="1"/>
  <c r="G76" i="34" s="1"/>
  <c r="G82" i="34" a="1"/>
  <c r="G82" i="34" s="1"/>
  <c r="G88" i="34" a="1"/>
  <c r="G88" i="34" s="1"/>
  <c r="G94" i="34" a="1"/>
  <c r="G94" i="34" s="1"/>
  <c r="G100" i="34" a="1"/>
  <c r="G100" i="34" s="1"/>
  <c r="H83" i="34" a="1"/>
  <c r="H83" i="34" s="1"/>
  <c r="H101" i="34" a="1"/>
  <c r="H101" i="34" s="1"/>
  <c r="G45" i="34" a="1"/>
  <c r="G45" i="34" s="1"/>
  <c r="F53" i="34" a="1"/>
  <c r="F53" i="34" s="1"/>
  <c r="F59" i="34" a="1"/>
  <c r="F59" i="34" s="1"/>
  <c r="F65" i="34" a="1"/>
  <c r="F65" i="34" s="1"/>
  <c r="F71" i="34" a="1"/>
  <c r="F71" i="34" s="1"/>
  <c r="F77" i="34" a="1"/>
  <c r="F77" i="34" s="1"/>
  <c r="F83" i="34" a="1"/>
  <c r="F83" i="34" s="1"/>
  <c r="F89" i="34" a="1"/>
  <c r="F89" i="34" s="1"/>
  <c r="F95" i="34" a="1"/>
  <c r="F95" i="34" s="1"/>
  <c r="F101" i="34" a="1"/>
  <c r="F101" i="34" s="1"/>
  <c r="H84" i="34" a="1"/>
  <c r="H84" i="34" s="1"/>
  <c r="H102" i="34" a="1"/>
  <c r="H102" i="34" s="1"/>
  <c r="G46" i="34" a="1"/>
  <c r="G46" i="34" s="1"/>
  <c r="G53" i="34" a="1"/>
  <c r="G53" i="34" s="1"/>
  <c r="G59" i="34" a="1"/>
  <c r="G59" i="34" s="1"/>
  <c r="G65" i="34" a="1"/>
  <c r="G65" i="34" s="1"/>
  <c r="G71" i="34" a="1"/>
  <c r="G71" i="34" s="1"/>
  <c r="G77" i="34" a="1"/>
  <c r="G77" i="34" s="1"/>
  <c r="G83" i="34" a="1"/>
  <c r="G83" i="34" s="1"/>
  <c r="G89" i="34" a="1"/>
  <c r="G89" i="34" s="1"/>
  <c r="G95" i="34" a="1"/>
  <c r="G95" i="34" s="1"/>
  <c r="G101" i="34" a="1"/>
  <c r="G101" i="34" s="1"/>
  <c r="B49" i="34" a="1"/>
  <c r="B49" i="34" s="1"/>
  <c r="B61" i="34" a="1"/>
  <c r="B61" i="34" s="1"/>
  <c r="B73" i="34" a="1"/>
  <c r="B73" i="34" s="1"/>
  <c r="B85" i="34" a="1"/>
  <c r="B85" i="34" s="1"/>
  <c r="B97" i="34" a="1"/>
  <c r="B97" i="34" s="1"/>
  <c r="H86" i="34" a="1"/>
  <c r="H86" i="34" s="1"/>
  <c r="H104" i="34" a="1"/>
  <c r="H104" i="34" s="1"/>
  <c r="F47" i="34" a="1"/>
  <c r="F47" i="34" s="1"/>
  <c r="F54" i="34" a="1"/>
  <c r="F54" i="34" s="1"/>
  <c r="F60" i="34" a="1"/>
  <c r="F60" i="34" s="1"/>
  <c r="F66" i="34" a="1"/>
  <c r="F66" i="34" s="1"/>
  <c r="F72" i="34" a="1"/>
  <c r="F72" i="34" s="1"/>
  <c r="F78" i="34" a="1"/>
  <c r="F78" i="34" s="1"/>
  <c r="F84" i="34" a="1"/>
  <c r="F84" i="34" s="1"/>
  <c r="F90" i="34" a="1"/>
  <c r="F90" i="34" s="1"/>
  <c r="F96" i="34" a="1"/>
  <c r="F96" i="34" s="1"/>
  <c r="H50" i="34" a="1"/>
  <c r="H50" i="34" s="1"/>
  <c r="H87" i="34" a="1"/>
  <c r="H87" i="34" s="1"/>
  <c r="G47" i="34" a="1"/>
  <c r="G47" i="34" s="1"/>
  <c r="G54" i="34" a="1"/>
  <c r="G54" i="34" s="1"/>
  <c r="G60" i="34" a="1"/>
  <c r="G60" i="34" s="1"/>
  <c r="G66" i="34" a="1"/>
  <c r="G66" i="34" s="1"/>
  <c r="G72" i="34" a="1"/>
  <c r="G72" i="34" s="1"/>
  <c r="G78" i="34" a="1"/>
  <c r="G78" i="34" s="1"/>
  <c r="G84" i="34" a="1"/>
  <c r="G84" i="34" s="1"/>
  <c r="G90" i="34" a="1"/>
  <c r="G90" i="34" s="1"/>
  <c r="G96" i="34" a="1"/>
  <c r="G96" i="34" s="1"/>
  <c r="G102" i="34" a="1"/>
  <c r="G102" i="34" s="1"/>
  <c r="B51" i="34" a="1"/>
  <c r="B51" i="34" s="1"/>
  <c r="B63" i="34" a="1"/>
  <c r="B63" i="34" s="1"/>
  <c r="B75" i="34" a="1"/>
  <c r="B75" i="34" s="1"/>
  <c r="B87" i="34" a="1"/>
  <c r="B87" i="34" s="1"/>
  <c r="B99" i="34" a="1"/>
  <c r="B99" i="34" s="1"/>
  <c r="K9" i="18" a="1"/>
  <c r="K9" i="18" s="1"/>
  <c r="H62" i="34" a="1"/>
  <c r="H62" i="34" s="1"/>
  <c r="H88" i="34" a="1"/>
  <c r="H88" i="34" s="1"/>
  <c r="F48" i="34" a="1"/>
  <c r="F48" i="34" s="1"/>
  <c r="F55" i="34" a="1"/>
  <c r="F55" i="34" s="1"/>
  <c r="F61" i="34" a="1"/>
  <c r="F61" i="34" s="1"/>
  <c r="F67" i="34" a="1"/>
  <c r="F67" i="34" s="1"/>
  <c r="F73" i="34" a="1"/>
  <c r="F73" i="34" s="1"/>
  <c r="F79" i="34" a="1"/>
  <c r="F79" i="34" s="1"/>
  <c r="F85" i="34" a="1"/>
  <c r="F85" i="34" s="1"/>
  <c r="F91" i="34" a="1"/>
  <c r="F91" i="34" s="1"/>
  <c r="F97" i="34" a="1"/>
  <c r="F97" i="34" s="1"/>
  <c r="F103" i="34" a="1"/>
  <c r="F103" i="34" s="1"/>
  <c r="B40" i="34" a="1"/>
  <c r="B40" i="34" s="1"/>
  <c r="B52" i="34" a="1"/>
  <c r="B52" i="34" s="1"/>
  <c r="B64" i="34" a="1"/>
  <c r="B64" i="34" s="1"/>
  <c r="B76" i="34" a="1"/>
  <c r="B76" i="34" s="1"/>
  <c r="B88" i="34" a="1"/>
  <c r="B88" i="34" s="1"/>
  <c r="B100" i="34" a="1"/>
  <c r="B100" i="34" s="1"/>
  <c r="L9" i="18" a="1"/>
  <c r="L9" i="18" s="1"/>
  <c r="H64" i="34" a="1"/>
  <c r="H64" i="34" s="1"/>
  <c r="H90" i="34" a="1"/>
  <c r="H90" i="34" s="1"/>
  <c r="G40" i="34" a="1"/>
  <c r="G40" i="34" s="1"/>
  <c r="G48" i="34" a="1"/>
  <c r="G48" i="34" s="1"/>
  <c r="G55" i="34" a="1"/>
  <c r="G55" i="34" s="1"/>
  <c r="G61" i="34" a="1"/>
  <c r="G61" i="34" s="1"/>
  <c r="G67" i="34" a="1"/>
  <c r="G67" i="34" s="1"/>
  <c r="G73" i="34" a="1"/>
  <c r="G73" i="34" s="1"/>
  <c r="G79" i="34" a="1"/>
  <c r="G79" i="34" s="1"/>
  <c r="G85" i="34" a="1"/>
  <c r="G85" i="34" s="1"/>
  <c r="G91" i="34" a="1"/>
  <c r="G91" i="34" s="1"/>
  <c r="G97" i="34" a="1"/>
  <c r="G97" i="34" s="1"/>
  <c r="G103" i="34" a="1"/>
  <c r="G103" i="34" s="1"/>
  <c r="B41" i="34" a="1"/>
  <c r="B41" i="34" s="1"/>
  <c r="B53" i="34" a="1"/>
  <c r="B53" i="34" s="1"/>
  <c r="B65" i="34" a="1"/>
  <c r="B65" i="34" s="1"/>
  <c r="B77" i="34" a="1"/>
  <c r="B77" i="34" s="1"/>
  <c r="B89" i="34" a="1"/>
  <c r="B89" i="34" s="1"/>
  <c r="B101" i="34" a="1"/>
  <c r="B101" i="34" s="1"/>
  <c r="H66" i="34" a="1"/>
  <c r="H66" i="34" s="1"/>
  <c r="H92" i="34" a="1"/>
  <c r="H92" i="34" s="1"/>
  <c r="F41" i="34" a="1"/>
  <c r="F41" i="34" s="1"/>
  <c r="F49" i="34" a="1"/>
  <c r="F49" i="34" s="1"/>
  <c r="F56" i="34" a="1"/>
  <c r="F56" i="34" s="1"/>
  <c r="F62" i="34" a="1"/>
  <c r="F62" i="34" s="1"/>
  <c r="F68" i="34" a="1"/>
  <c r="F68" i="34" s="1"/>
  <c r="F74" i="34" a="1"/>
  <c r="F74" i="34" s="1"/>
  <c r="F80" i="34" a="1"/>
  <c r="F80" i="34" s="1"/>
  <c r="F86" i="34" a="1"/>
  <c r="F86" i="34" s="1"/>
  <c r="F92" i="34" a="1"/>
  <c r="F92" i="34" s="1"/>
  <c r="F98" i="34" a="1"/>
  <c r="F98" i="34" s="1"/>
  <c r="H71" i="34" a="1"/>
  <c r="H71" i="34" s="1"/>
  <c r="H95" i="34" a="1"/>
  <c r="H95" i="34" s="1"/>
  <c r="G41" i="34" a="1"/>
  <c r="G41" i="34" s="1"/>
  <c r="G49" i="34" a="1"/>
  <c r="G49" i="34" s="1"/>
  <c r="G56" i="34" a="1"/>
  <c r="G56" i="34" s="1"/>
  <c r="G62" i="34" a="1"/>
  <c r="G62" i="34" s="1"/>
  <c r="G68" i="34" a="1"/>
  <c r="G68" i="34" s="1"/>
  <c r="G74" i="34" a="1"/>
  <c r="G74" i="34" s="1"/>
  <c r="G80" i="34" a="1"/>
  <c r="G80" i="34" s="1"/>
  <c r="G86" i="34" a="1"/>
  <c r="G86" i="34" s="1"/>
  <c r="G92" i="34" a="1"/>
  <c r="G92" i="34" s="1"/>
  <c r="G98" i="34" a="1"/>
  <c r="G98" i="34" s="1"/>
  <c r="G104" i="34" a="1"/>
  <c r="G104" i="34" s="1"/>
  <c r="H72" i="34" a="1"/>
  <c r="H72" i="34" s="1"/>
  <c r="H96" i="34" a="1"/>
  <c r="H96" i="34" s="1"/>
  <c r="F42" i="34" a="1"/>
  <c r="F42" i="34" s="1"/>
  <c r="F50" i="34" a="1"/>
  <c r="F50" i="34" s="1"/>
  <c r="F57" i="34" a="1"/>
  <c r="F57" i="34" s="1"/>
  <c r="F63" i="34" a="1"/>
  <c r="F63" i="34" s="1"/>
  <c r="F69" i="34" a="1"/>
  <c r="F69" i="34" s="1"/>
  <c r="F75" i="34" a="1"/>
  <c r="F75" i="34" s="1"/>
  <c r="F81" i="34" a="1"/>
  <c r="F81" i="34" s="1"/>
  <c r="F87" i="34" a="1"/>
  <c r="F87" i="34" s="1"/>
  <c r="F93" i="34" a="1"/>
  <c r="F93" i="34" s="1"/>
  <c r="F99" i="34" a="1"/>
  <c r="F99" i="34" s="1"/>
  <c r="H74" i="34" a="1"/>
  <c r="H74" i="34" s="1"/>
  <c r="H98" i="34" a="1"/>
  <c r="H98" i="34" s="1"/>
  <c r="G42" i="34" a="1"/>
  <c r="G42" i="34" s="1"/>
  <c r="F51" i="34" a="1"/>
  <c r="F51" i="34" s="1"/>
  <c r="G57" i="34" a="1"/>
  <c r="G57" i="34" s="1"/>
  <c r="G63" i="34" a="1"/>
  <c r="G63" i="34" s="1"/>
  <c r="G69" i="34" a="1"/>
  <c r="G69" i="34" s="1"/>
  <c r="G75" i="34" a="1"/>
  <c r="G75" i="34" s="1"/>
  <c r="G81" i="34" a="1"/>
  <c r="G81" i="34" s="1"/>
  <c r="G87" i="34" a="1"/>
  <c r="G87" i="34" s="1"/>
  <c r="G93" i="34" a="1"/>
  <c r="G93" i="34" s="1"/>
  <c r="G99" i="34" a="1"/>
  <c r="G99" i="34" s="1"/>
  <c r="H76" i="34" a="1"/>
  <c r="H76" i="34" s="1"/>
  <c r="H99" i="34" a="1"/>
  <c r="H99" i="34" s="1"/>
  <c r="G43" i="34" a="1"/>
  <c r="G43" i="34" s="1"/>
  <c r="G51" i="34" a="1"/>
  <c r="G51" i="34" s="1"/>
  <c r="F58" i="34" a="1"/>
  <c r="F58" i="34" s="1"/>
  <c r="F64" i="34" a="1"/>
  <c r="F64" i="34" s="1"/>
  <c r="F70" i="34" a="1"/>
  <c r="F70" i="34" s="1"/>
  <c r="F76" i="34" a="1"/>
  <c r="F76" i="34" s="1"/>
  <c r="F82" i="34" a="1"/>
  <c r="F82" i="34" s="1"/>
  <c r="F88" i="34" a="1"/>
  <c r="F88" i="34" s="1"/>
  <c r="F94" i="34" a="1"/>
  <c r="F94" i="34" s="1"/>
  <c r="F100" i="34" a="1"/>
  <c r="F100" i="34" s="1"/>
  <c r="B43" i="34" a="1"/>
  <c r="B43" i="34" s="1"/>
  <c r="B59" i="34" a="1"/>
  <c r="B59" i="34" s="1"/>
  <c r="B79" i="34" a="1"/>
  <c r="B79" i="34" s="1"/>
  <c r="B95" i="34" a="1"/>
  <c r="B95" i="34" s="1"/>
  <c r="B44" i="34" a="1"/>
  <c r="B44" i="34" s="1"/>
  <c r="B60" i="34" a="1"/>
  <c r="B60" i="34" s="1"/>
  <c r="B80" i="34" a="1"/>
  <c r="B80" i="34" s="1"/>
  <c r="B45" i="34" a="1"/>
  <c r="B45" i="34" s="1"/>
  <c r="B62" i="34" a="1"/>
  <c r="B62" i="34" s="1"/>
  <c r="B81" i="34" a="1"/>
  <c r="B81" i="34" s="1"/>
  <c r="B46" i="34" a="1"/>
  <c r="B46" i="34" s="1"/>
  <c r="B66" i="34" a="1"/>
  <c r="B66" i="34" s="1"/>
  <c r="B82" i="34" a="1"/>
  <c r="B82" i="34" s="1"/>
  <c r="F102" i="34" a="1"/>
  <c r="F102" i="34" s="1"/>
  <c r="B47" i="34" a="1"/>
  <c r="B47" i="34" s="1"/>
  <c r="B67" i="34" a="1"/>
  <c r="B67" i="34" s="1"/>
  <c r="F104" i="34" a="1"/>
  <c r="F104" i="34" s="1"/>
  <c r="B48" i="34" a="1"/>
  <c r="B48" i="34" s="1"/>
  <c r="B68" i="34" a="1"/>
  <c r="B68" i="34" s="1"/>
  <c r="B50" i="34" a="1"/>
  <c r="B50" i="34" s="1"/>
  <c r="B69" i="34" a="1"/>
  <c r="B69" i="34" s="1"/>
  <c r="B54" i="34" a="1"/>
  <c r="B54" i="34" s="1"/>
  <c r="B70" i="34" a="1"/>
  <c r="B70" i="34" s="1"/>
  <c r="B55" i="34" a="1"/>
  <c r="B55" i="34" s="1"/>
  <c r="B71" i="34" a="1"/>
  <c r="B71" i="34" s="1"/>
  <c r="B91" i="34" a="1"/>
  <c r="B91" i="34" s="1"/>
  <c r="B56" i="34" a="1"/>
  <c r="B56" i="34" s="1"/>
  <c r="B72" i="34" a="1"/>
  <c r="B72" i="34" s="1"/>
  <c r="B92" i="34" a="1"/>
  <c r="B92" i="34" s="1"/>
  <c r="B57" i="34" a="1"/>
  <c r="B57" i="34" s="1"/>
  <c r="B74" i="34" a="1"/>
  <c r="B74" i="34" s="1"/>
  <c r="B42" i="34" a="1"/>
  <c r="B42" i="34" s="1"/>
  <c r="B58" i="34" a="1"/>
  <c r="B58" i="34" s="1"/>
  <c r="B78" i="34" a="1"/>
  <c r="B78" i="34" s="1"/>
  <c r="B94" i="34" a="1"/>
  <c r="B94" i="34" s="1"/>
  <c r="W235" i="36"/>
  <c r="AH236" i="25" s="1"/>
  <c r="W5" i="36"/>
  <c r="AH6" i="25" s="1"/>
  <c r="B93" i="34" a="1"/>
  <c r="B93" i="34" s="1"/>
  <c r="B90" i="34" a="1"/>
  <c r="B90" i="34" s="1"/>
  <c r="B86" i="34" a="1"/>
  <c r="B86" i="34" s="1"/>
  <c r="W205" i="36"/>
  <c r="AH206" i="25" s="1"/>
  <c r="B84" i="34" a="1"/>
  <c r="B84" i="34" s="1"/>
  <c r="G22" i="34" a="1"/>
  <c r="G22" i="34" s="1"/>
  <c r="B83" i="34" a="1"/>
  <c r="B83" i="34" s="1"/>
  <c r="W104" i="36"/>
  <c r="AH105" i="25" s="1"/>
  <c r="W204" i="36"/>
  <c r="AH205" i="25" s="1"/>
  <c r="W200" i="36"/>
  <c r="AH201" i="25" s="1"/>
  <c r="W140" i="36"/>
  <c r="AH141" i="25" s="1"/>
  <c r="W112" i="36"/>
  <c r="AH113" i="25" s="1"/>
  <c r="W94" i="36"/>
  <c r="AH95" i="25" s="1"/>
  <c r="W102" i="36"/>
  <c r="AH103" i="25" s="1"/>
  <c r="W206" i="36"/>
  <c r="AH207" i="25" s="1"/>
  <c r="W234" i="36"/>
  <c r="AH235" i="25" s="1"/>
  <c r="W338" i="36"/>
  <c r="AH339" i="25" s="1"/>
  <c r="W3" i="36"/>
  <c r="AH4" i="25" s="1"/>
  <c r="B104" i="34" a="1"/>
  <c r="B104" i="34" s="1"/>
  <c r="B103" i="34" a="1"/>
  <c r="B103" i="34" s="1"/>
  <c r="W334" i="36"/>
  <c r="AH335" i="25" s="1"/>
  <c r="W242" i="36"/>
  <c r="AH243" i="25" s="1"/>
  <c r="W230" i="36"/>
  <c r="AH231" i="25" s="1"/>
  <c r="M10" i="20" a="1"/>
  <c r="M10" i="20" s="1"/>
  <c r="M11" i="20" a="1"/>
  <c r="M11" i="20" s="1"/>
  <c r="M12" i="20" a="1"/>
  <c r="M12" i="20" s="1"/>
  <c r="D14" i="20" a="1"/>
  <c r="D14" i="20" s="1"/>
  <c r="K10" i="18" a="1"/>
  <c r="K10" i="18" s="1"/>
  <c r="Q91" i="25"/>
  <c r="H113" i="20" a="1"/>
  <c r="H113" i="20" s="1"/>
  <c r="G25" i="20" a="1"/>
  <c r="G25" i="20" s="1"/>
  <c r="G26" i="20" a="1"/>
  <c r="G26" i="20" s="1"/>
  <c r="G27" i="20" a="1"/>
  <c r="G27" i="20" s="1"/>
  <c r="G28" i="20" a="1"/>
  <c r="G28" i="20" s="1"/>
  <c r="G29" i="20" a="1"/>
  <c r="G29" i="20" s="1"/>
  <c r="G30" i="20" a="1"/>
  <c r="G30" i="20" s="1"/>
  <c r="G31" i="20" a="1"/>
  <c r="G31" i="20" s="1"/>
  <c r="G32" i="20" a="1"/>
  <c r="G32" i="20" s="1"/>
  <c r="G33" i="20" a="1"/>
  <c r="G33" i="20" s="1"/>
  <c r="H25" i="20" a="1"/>
  <c r="H25" i="20" s="1"/>
  <c r="H26" i="20" a="1"/>
  <c r="H26" i="20" s="1"/>
  <c r="H27" i="20" a="1"/>
  <c r="H27" i="20" s="1"/>
  <c r="H28" i="20" a="1"/>
  <c r="H28" i="20" s="1"/>
  <c r="H29" i="20" a="1"/>
  <c r="H29" i="20" s="1"/>
  <c r="H30" i="20" a="1"/>
  <c r="H30" i="20" s="1"/>
  <c r="H31" i="20" a="1"/>
  <c r="H31" i="20" s="1"/>
  <c r="H32" i="20" a="1"/>
  <c r="H32" i="20" s="1"/>
  <c r="H33" i="20" a="1"/>
  <c r="H33" i="20" s="1"/>
  <c r="H24" i="20" a="1"/>
  <c r="H24" i="20" s="1"/>
  <c r="G24" i="20" a="1"/>
  <c r="G24" i="20" s="1"/>
  <c r="B25" i="20" a="1"/>
  <c r="B25" i="20" s="1"/>
  <c r="B26" i="20" a="1"/>
  <c r="B26" i="20" s="1"/>
  <c r="B27" i="20" a="1"/>
  <c r="B27" i="20" s="1"/>
  <c r="B28" i="20" a="1"/>
  <c r="B28" i="20" s="1"/>
  <c r="B29" i="20" a="1"/>
  <c r="B29" i="20" s="1"/>
  <c r="B30" i="20" a="1"/>
  <c r="B30" i="20" s="1"/>
  <c r="K30" i="20" s="1"/>
  <c r="B31" i="20" a="1"/>
  <c r="B31" i="20" s="1"/>
  <c r="K31" i="20" s="1"/>
  <c r="B32" i="20" a="1"/>
  <c r="B32" i="20" s="1"/>
  <c r="K32" i="20" s="1"/>
  <c r="B33" i="20" a="1"/>
  <c r="B33" i="20" s="1"/>
  <c r="K33" i="20" s="1"/>
  <c r="B24" i="20" a="1"/>
  <c r="B24" i="20" s="1"/>
  <c r="A68" i="20" s="1"/>
  <c r="K8" i="20" a="1"/>
  <c r="K8" i="20" s="1"/>
  <c r="L8" i="20" a="1"/>
  <c r="L8" i="20" s="1"/>
  <c r="Q3" i="34"/>
  <c r="G123" i="18" a="1"/>
  <c r="G123" i="18" s="1"/>
  <c r="F38" i="18" a="1"/>
  <c r="F38" i="18" s="1"/>
  <c r="G38" i="18" s="1"/>
  <c r="F39" i="18" a="1"/>
  <c r="F39" i="18" s="1"/>
  <c r="G39" i="18" s="1"/>
  <c r="F40" i="18" a="1"/>
  <c r="F40" i="18" s="1"/>
  <c r="G40" i="18" s="1"/>
  <c r="F41" i="18" a="1"/>
  <c r="F41" i="18" s="1"/>
  <c r="G41" i="18" s="1"/>
  <c r="C38" i="18" a="1"/>
  <c r="C38" i="18" s="1"/>
  <c r="H38" i="18" s="1" a="1"/>
  <c r="H38" i="18" s="1"/>
  <c r="C39" i="18" a="1"/>
  <c r="C39" i="18" s="1"/>
  <c r="H39" i="18" s="1" a="1"/>
  <c r="H39" i="18" s="1"/>
  <c r="C40" i="18" a="1"/>
  <c r="C40" i="18" s="1"/>
  <c r="C41" i="18" a="1"/>
  <c r="C41" i="18" s="1"/>
  <c r="F33" i="18" a="1"/>
  <c r="F33" i="18" s="1"/>
  <c r="G33" i="18" s="1"/>
  <c r="F34" i="18" a="1"/>
  <c r="F34" i="18" s="1"/>
  <c r="G34" i="18" s="1"/>
  <c r="F35" i="18" a="1"/>
  <c r="F35" i="18" s="1"/>
  <c r="G35" i="18" s="1"/>
  <c r="F36" i="18" a="1"/>
  <c r="F36" i="18" s="1"/>
  <c r="G36" i="18" s="1"/>
  <c r="F37" i="18" a="1"/>
  <c r="F37" i="18" s="1"/>
  <c r="G37" i="18" s="1"/>
  <c r="A39" i="34"/>
  <c r="K39" i="34" s="1"/>
  <c r="M101" i="19"/>
  <c r="C33" i="18" a="1"/>
  <c r="C33" i="18" s="1"/>
  <c r="C34" i="18" a="1"/>
  <c r="C34" i="18" s="1"/>
  <c r="C35" i="18" a="1"/>
  <c r="C35" i="18" s="1"/>
  <c r="C36" i="18" a="1"/>
  <c r="C36" i="18" s="1"/>
  <c r="C37" i="18" a="1"/>
  <c r="C37" i="18" s="1"/>
  <c r="F32" i="18" a="1"/>
  <c r="F32" i="18" s="1"/>
  <c r="C32" i="18" a="1"/>
  <c r="C32" i="18" s="1"/>
  <c r="D22" i="18" a="1"/>
  <c r="D22" i="18" s="1"/>
  <c r="D21" i="18" a="1"/>
  <c r="D21" i="18" s="1"/>
  <c r="D20" i="18" a="1"/>
  <c r="D20" i="18" s="1"/>
  <c r="D18" i="18" a="1"/>
  <c r="D18" i="18" s="1"/>
  <c r="I39" i="34" a="1"/>
  <c r="I39" i="34" s="1"/>
  <c r="H39" i="34" a="1"/>
  <c r="H39" i="34" s="1"/>
  <c r="G39" i="34" a="1"/>
  <c r="G39" i="34" s="1"/>
  <c r="F39" i="34" a="1"/>
  <c r="F39" i="34" s="1"/>
  <c r="G26" i="34" a="1"/>
  <c r="G26" i="34" s="1"/>
  <c r="G130" i="34" s="1"/>
  <c r="A2" i="34" a="1"/>
  <c r="A2" i="34" s="1"/>
  <c r="A32" i="34" s="1"/>
  <c r="A1" i="34" a="1"/>
  <c r="A1" i="34" s="1"/>
  <c r="A31" i="34" s="1"/>
  <c r="N1" i="34" a="1"/>
  <c r="N1" i="34" s="1"/>
  <c r="G131" i="34"/>
  <c r="B11" i="34"/>
  <c r="I54" i="18" l="1"/>
  <c r="D18" i="21"/>
  <c r="A42" i="19"/>
  <c r="A60" i="19"/>
  <c r="A78" i="19"/>
  <c r="A44" i="19"/>
  <c r="A66" i="19"/>
  <c r="D48" i="21"/>
  <c r="D34" i="21"/>
  <c r="K101" i="20"/>
  <c r="K63" i="20"/>
  <c r="D26" i="21"/>
  <c r="A62" i="19"/>
  <c r="A65" i="19"/>
  <c r="D44" i="21"/>
  <c r="D45" i="21"/>
  <c r="D46" i="21"/>
  <c r="D51" i="21"/>
  <c r="D29" i="21"/>
  <c r="A31" i="19"/>
  <c r="A29" i="19"/>
  <c r="A52" i="19"/>
  <c r="A58" i="19"/>
  <c r="D52" i="21"/>
  <c r="D53" i="21"/>
  <c r="D54" i="21"/>
  <c r="D40" i="21"/>
  <c r="I59" i="18"/>
  <c r="I72" i="18"/>
  <c r="I119" i="34"/>
  <c r="J36" i="20"/>
  <c r="D30" i="21"/>
  <c r="A36" i="19"/>
  <c r="A55" i="19"/>
  <c r="A51" i="19"/>
  <c r="D69" i="21"/>
  <c r="D70" i="21"/>
  <c r="D56" i="21"/>
  <c r="J34" i="20"/>
  <c r="K62" i="20"/>
  <c r="K67" i="20"/>
  <c r="I106" i="18"/>
  <c r="D21" i="21"/>
  <c r="D19" i="21"/>
  <c r="A43" i="19"/>
  <c r="A63" i="19"/>
  <c r="A59" i="19"/>
  <c r="I108" i="18"/>
  <c r="D10" i="21"/>
  <c r="A37" i="19"/>
  <c r="A84" i="19"/>
  <c r="A67" i="19"/>
  <c r="O42" i="21"/>
  <c r="J101" i="20"/>
  <c r="I69" i="18"/>
  <c r="H106" i="18" a="1"/>
  <c r="H106" i="18" s="1"/>
  <c r="H105" i="18" a="1"/>
  <c r="H105" i="18" s="1"/>
  <c r="I53" i="18"/>
  <c r="D32" i="21"/>
  <c r="A39" i="19"/>
  <c r="A53" i="19"/>
  <c r="A45" i="19"/>
  <c r="D39" i="21"/>
  <c r="D33" i="21"/>
  <c r="D50" i="21"/>
  <c r="K79" i="20"/>
  <c r="H108" i="18" a="1"/>
  <c r="H108" i="18" s="1"/>
  <c r="D11" i="21"/>
  <c r="D14" i="21"/>
  <c r="A33" i="19"/>
  <c r="A38" i="19"/>
  <c r="A61" i="19"/>
  <c r="A56" i="19"/>
  <c r="A83" i="19"/>
  <c r="A48" i="19"/>
  <c r="O78" i="21"/>
  <c r="J91" i="20"/>
  <c r="H71" i="18" a="1"/>
  <c r="H71" i="18" s="1"/>
  <c r="J102" i="19"/>
  <c r="B93" i="18"/>
  <c r="B71" i="18"/>
  <c r="B65" i="18"/>
  <c r="B67" i="18"/>
  <c r="B61" i="18"/>
  <c r="B79" i="18"/>
  <c r="B58" i="18"/>
  <c r="B75" i="18"/>
  <c r="B45" i="18"/>
  <c r="B87" i="18"/>
  <c r="B57" i="18"/>
  <c r="B66" i="18"/>
  <c r="B83" i="18"/>
  <c r="B69" i="18"/>
  <c r="B62" i="18"/>
  <c r="B95" i="18"/>
  <c r="B64" i="18"/>
  <c r="B89" i="18"/>
  <c r="B74" i="18"/>
  <c r="B91" i="18"/>
  <c r="B60" i="18"/>
  <c r="B70" i="18"/>
  <c r="B73" i="18"/>
  <c r="B72" i="18"/>
  <c r="B82" i="18"/>
  <c r="B85" i="18"/>
  <c r="B68" i="18"/>
  <c r="B78" i="18"/>
  <c r="B80" i="18"/>
  <c r="B90" i="18"/>
  <c r="B76" i="18"/>
  <c r="B86" i="18"/>
  <c r="B88" i="18"/>
  <c r="B77" i="18"/>
  <c r="B84" i="18"/>
  <c r="B94" i="18"/>
  <c r="B63" i="18"/>
  <c r="B96" i="18"/>
  <c r="B59" i="18"/>
  <c r="B92" i="18"/>
  <c r="B81" i="18"/>
  <c r="A63" i="20"/>
  <c r="A49" i="20"/>
  <c r="A82" i="20"/>
  <c r="A54" i="20"/>
  <c r="A71" i="20"/>
  <c r="A57" i="20"/>
  <c r="A51" i="20"/>
  <c r="A62" i="20"/>
  <c r="A79" i="20"/>
  <c r="A56" i="20"/>
  <c r="A65" i="20"/>
  <c r="A59" i="20"/>
  <c r="A53" i="20"/>
  <c r="A70" i="20"/>
  <c r="A87" i="20"/>
  <c r="A64" i="20"/>
  <c r="A73" i="20"/>
  <c r="A67" i="20"/>
  <c r="A52" i="20"/>
  <c r="A61" i="20"/>
  <c r="A78" i="20"/>
  <c r="A72" i="20"/>
  <c r="A81" i="20"/>
  <c r="A50" i="20"/>
  <c r="A75" i="20"/>
  <c r="A60" i="20"/>
  <c r="A69" i="20"/>
  <c r="A86" i="20"/>
  <c r="A80" i="20"/>
  <c r="A89" i="20"/>
  <c r="A58" i="20"/>
  <c r="A83" i="20"/>
  <c r="A37" i="20"/>
  <c r="A77" i="20"/>
  <c r="A88" i="20"/>
  <c r="A66" i="20"/>
  <c r="A76" i="20"/>
  <c r="A85" i="20"/>
  <c r="A55" i="20"/>
  <c r="A74" i="20"/>
  <c r="A84" i="20"/>
  <c r="A45" i="20"/>
  <c r="A40" i="20"/>
  <c r="A42" i="20"/>
  <c r="A43" i="20"/>
  <c r="A36" i="20"/>
  <c r="A46" i="20"/>
  <c r="A47" i="20"/>
  <c r="A44" i="20"/>
  <c r="A48" i="20"/>
  <c r="A35" i="20"/>
  <c r="A38" i="20"/>
  <c r="A41" i="20"/>
  <c r="A34" i="20"/>
  <c r="A39" i="20"/>
  <c r="B53" i="18"/>
  <c r="B47" i="18"/>
  <c r="B44" i="18"/>
  <c r="B50" i="18"/>
  <c r="B46" i="18"/>
  <c r="B55" i="18"/>
  <c r="B52" i="18"/>
  <c r="B48" i="18"/>
  <c r="B43" i="18"/>
  <c r="B42" i="18"/>
  <c r="B56" i="18"/>
  <c r="B49" i="18"/>
  <c r="B54" i="18"/>
  <c r="B51" i="18"/>
  <c r="A104" i="34"/>
  <c r="K104" i="34" s="1"/>
  <c r="B41" i="18"/>
  <c r="B34" i="18"/>
  <c r="D120" i="34"/>
  <c r="M8" i="20"/>
  <c r="D12" i="20" s="1"/>
  <c r="A11" i="20"/>
  <c r="G4" i="34" a="1"/>
  <c r="G4" i="34" s="1"/>
  <c r="G124" i="34" s="1"/>
  <c r="A48" i="34"/>
  <c r="K48" i="34" s="1"/>
  <c r="A81" i="34"/>
  <c r="K81" i="34" s="1"/>
  <c r="A90" i="34"/>
  <c r="K90" i="34" s="1"/>
  <c r="A99" i="34"/>
  <c r="K99" i="34" s="1"/>
  <c r="A53" i="34"/>
  <c r="K53" i="34" s="1"/>
  <c r="A55" i="34"/>
  <c r="K55" i="34" s="1"/>
  <c r="A46" i="34"/>
  <c r="K46" i="34" s="1"/>
  <c r="A103" i="34"/>
  <c r="K103" i="34" s="1"/>
  <c r="A56" i="34"/>
  <c r="K56" i="34" s="1"/>
  <c r="A89" i="34"/>
  <c r="K89" i="34" s="1"/>
  <c r="A98" i="34"/>
  <c r="K98" i="34" s="1"/>
  <c r="A52" i="34"/>
  <c r="K52" i="34" s="1"/>
  <c r="A61" i="34"/>
  <c r="K61" i="34" s="1"/>
  <c r="A63" i="34"/>
  <c r="K63" i="34" s="1"/>
  <c r="A54" i="34"/>
  <c r="K54" i="34" s="1"/>
  <c r="A40" i="34"/>
  <c r="K40" i="34" s="1"/>
  <c r="A64" i="34"/>
  <c r="K64" i="34" s="1"/>
  <c r="A97" i="34"/>
  <c r="K97" i="34" s="1"/>
  <c r="A51" i="34"/>
  <c r="K51" i="34" s="1"/>
  <c r="A60" i="34"/>
  <c r="K60" i="34" s="1"/>
  <c r="A69" i="34"/>
  <c r="K69" i="34" s="1"/>
  <c r="A71" i="34"/>
  <c r="K71" i="34" s="1"/>
  <c r="A62" i="34"/>
  <c r="K62" i="34" s="1"/>
  <c r="A80" i="34"/>
  <c r="K80" i="34" s="1"/>
  <c r="A72" i="34"/>
  <c r="K72" i="34" s="1"/>
  <c r="A50" i="34"/>
  <c r="K50" i="34" s="1"/>
  <c r="A59" i="34"/>
  <c r="K59" i="34" s="1"/>
  <c r="A68" i="34"/>
  <c r="K68" i="34" s="1"/>
  <c r="A77" i="34"/>
  <c r="K77" i="34" s="1"/>
  <c r="A79" i="34"/>
  <c r="K79" i="34" s="1"/>
  <c r="A70" i="34"/>
  <c r="K70" i="34" s="1"/>
  <c r="A88" i="34"/>
  <c r="K88" i="34" s="1"/>
  <c r="A49" i="34"/>
  <c r="K49" i="34" s="1"/>
  <c r="A58" i="34"/>
  <c r="K58" i="34" s="1"/>
  <c r="A67" i="34"/>
  <c r="K67" i="34" s="1"/>
  <c r="A76" i="34"/>
  <c r="K76" i="34" s="1"/>
  <c r="A85" i="34"/>
  <c r="K85" i="34" s="1"/>
  <c r="A87" i="34"/>
  <c r="K87" i="34" s="1"/>
  <c r="A78" i="34"/>
  <c r="K78" i="34" s="1"/>
  <c r="A96" i="34"/>
  <c r="K96" i="34" s="1"/>
  <c r="A57" i="34"/>
  <c r="K57" i="34" s="1"/>
  <c r="A66" i="34"/>
  <c r="K66" i="34" s="1"/>
  <c r="A75" i="34"/>
  <c r="K75" i="34" s="1"/>
  <c r="A84" i="34"/>
  <c r="K84" i="34" s="1"/>
  <c r="A93" i="34"/>
  <c r="K93" i="34" s="1"/>
  <c r="A95" i="34"/>
  <c r="K95" i="34" s="1"/>
  <c r="A86" i="34"/>
  <c r="K86" i="34" s="1"/>
  <c r="A41" i="34"/>
  <c r="K41" i="34" s="1"/>
  <c r="A65" i="34"/>
  <c r="K65" i="34" s="1"/>
  <c r="A74" i="34"/>
  <c r="K74" i="34" s="1"/>
  <c r="A83" i="34"/>
  <c r="K83" i="34" s="1"/>
  <c r="A92" i="34"/>
  <c r="K92" i="34" s="1"/>
  <c r="A101" i="34"/>
  <c r="K101" i="34" s="1"/>
  <c r="A44" i="34"/>
  <c r="K44" i="34" s="1"/>
  <c r="A94" i="34"/>
  <c r="K94" i="34" s="1"/>
  <c r="A42" i="34"/>
  <c r="K42" i="34" s="1"/>
  <c r="A73" i="34"/>
  <c r="K73" i="34" s="1"/>
  <c r="A82" i="34"/>
  <c r="K82" i="34" s="1"/>
  <c r="A91" i="34"/>
  <c r="K91" i="34" s="1"/>
  <c r="A100" i="34"/>
  <c r="K100" i="34" s="1"/>
  <c r="A47" i="34"/>
  <c r="K47" i="34" s="1"/>
  <c r="A45" i="34"/>
  <c r="K45" i="34" s="1"/>
  <c r="A102" i="34"/>
  <c r="K102" i="34" s="1"/>
  <c r="A43" i="34"/>
  <c r="K43" i="34" s="1"/>
  <c r="D13" i="20"/>
  <c r="A26" i="19"/>
  <c r="L26" i="19"/>
  <c r="A27" i="19"/>
  <c r="L27" i="19"/>
  <c r="A28" i="19"/>
  <c r="L28" i="19"/>
  <c r="A25" i="19"/>
  <c r="L25" i="19"/>
  <c r="A32" i="20"/>
  <c r="J32" i="20"/>
  <c r="A31" i="20"/>
  <c r="J31" i="20"/>
  <c r="A33" i="20"/>
  <c r="J33" i="20"/>
  <c r="A30" i="20"/>
  <c r="J30" i="20"/>
  <c r="B40" i="18"/>
  <c r="B39" i="18"/>
  <c r="B38" i="18"/>
  <c r="B33" i="18"/>
  <c r="H41" i="18" a="1"/>
  <c r="H41" i="18" s="1"/>
  <c r="I41" i="18"/>
  <c r="I40" i="18"/>
  <c r="H40" i="18" a="1"/>
  <c r="H40" i="18" s="1"/>
  <c r="I39" i="18"/>
  <c r="I38" i="18"/>
  <c r="B36" i="18"/>
  <c r="B35" i="18"/>
  <c r="B37" i="18"/>
  <c r="G125" i="34"/>
  <c r="A9" i="20" l="1"/>
  <c r="Q5" i="18"/>
  <c r="Q3" i="18"/>
  <c r="Q5" i="20"/>
  <c r="Q3" i="20"/>
  <c r="Q6" i="21"/>
  <c r="Q4" i="21"/>
  <c r="J14" i="19"/>
  <c r="K14" i="19"/>
  <c r="I13" i="19"/>
  <c r="H14" i="19"/>
  <c r="I14" i="19"/>
  <c r="Q5" i="19"/>
  <c r="Q3" i="19"/>
  <c r="P1198" i="32" l="1"/>
  <c r="P1197" i="32"/>
  <c r="P1196" i="32"/>
  <c r="P1195" i="32"/>
  <c r="P1194" i="32"/>
  <c r="P1193" i="32"/>
  <c r="P1192" i="32"/>
  <c r="P1191" i="32"/>
  <c r="P1190" i="32"/>
  <c r="P1189" i="32"/>
  <c r="P1188" i="32"/>
  <c r="P1187" i="32"/>
  <c r="P1186" i="32"/>
  <c r="P1185" i="32"/>
  <c r="P1184" i="32"/>
  <c r="P1183" i="32"/>
  <c r="P1182" i="32"/>
  <c r="P1181" i="32"/>
  <c r="P1180" i="32"/>
  <c r="P1176" i="32"/>
  <c r="P1171" i="32"/>
  <c r="P1166" i="32"/>
  <c r="P1165" i="32"/>
  <c r="P1164" i="32"/>
  <c r="P1163" i="32"/>
  <c r="P1162" i="32"/>
  <c r="P1161" i="32"/>
  <c r="P1160" i="32"/>
  <c r="P1159" i="32"/>
  <c r="P1158" i="32"/>
  <c r="P1157" i="32"/>
  <c r="P1156" i="32"/>
  <c r="P1155" i="32"/>
  <c r="P1154" i="32"/>
  <c r="P1153" i="32"/>
  <c r="P1152" i="32"/>
  <c r="P1151" i="32"/>
  <c r="P1150" i="32"/>
  <c r="P1149" i="32"/>
  <c r="P1148" i="32"/>
  <c r="P1147" i="32"/>
  <c r="P1146" i="32"/>
  <c r="P1145" i="32"/>
  <c r="P1144" i="32"/>
  <c r="P1143" i="32"/>
  <c r="P1142" i="32"/>
  <c r="P1141" i="32"/>
  <c r="P1140" i="32"/>
  <c r="P1139" i="32"/>
  <c r="P1138" i="32"/>
  <c r="P1137" i="32"/>
  <c r="P1136" i="32"/>
  <c r="P1135" i="32"/>
  <c r="P1134" i="32"/>
  <c r="P1133" i="32"/>
  <c r="P1132" i="32"/>
  <c r="P1131" i="32"/>
  <c r="P1130" i="32"/>
  <c r="P1129" i="32"/>
  <c r="P1128" i="32"/>
  <c r="P1126" i="32"/>
  <c r="P1125" i="32"/>
  <c r="P1124" i="32"/>
  <c r="P1123" i="32"/>
  <c r="P1122" i="32"/>
  <c r="P1121" i="32"/>
  <c r="P1120" i="32"/>
  <c r="P1119" i="32"/>
  <c r="P1118" i="32"/>
  <c r="P1117" i="32"/>
  <c r="P1116" i="32"/>
  <c r="P1115" i="32"/>
  <c r="P1114" i="32"/>
  <c r="P1113" i="32"/>
  <c r="P1111" i="32"/>
  <c r="P1110" i="32"/>
  <c r="P1109" i="32"/>
  <c r="P1108" i="32"/>
  <c r="P1103" i="32"/>
  <c r="P1102" i="32"/>
  <c r="P1101" i="32"/>
  <c r="P1100" i="32"/>
  <c r="P1099" i="32"/>
  <c r="P1098" i="32"/>
  <c r="P1097" i="32"/>
  <c r="P1096" i="32"/>
  <c r="P1095" i="32"/>
  <c r="P1094" i="32"/>
  <c r="P1093" i="32"/>
  <c r="P1092" i="32"/>
  <c r="P1091" i="32"/>
  <c r="P1090" i="32"/>
  <c r="P1089" i="32"/>
  <c r="P1088" i="32"/>
  <c r="P1087" i="32"/>
  <c r="P1086" i="32"/>
  <c r="P1085" i="32"/>
  <c r="P1084" i="32"/>
  <c r="P1079" i="32"/>
  <c r="P1078" i="32"/>
  <c r="P1077" i="32"/>
  <c r="P1076" i="32"/>
  <c r="P1075" i="32"/>
  <c r="P1074" i="32"/>
  <c r="P1073" i="32"/>
  <c r="P1072" i="32"/>
  <c r="P1071" i="32"/>
  <c r="P1070" i="32"/>
  <c r="P1069" i="32"/>
  <c r="P1068" i="32"/>
  <c r="P1067" i="32"/>
  <c r="P1066" i="32"/>
  <c r="P1065" i="32"/>
  <c r="P1064" i="32"/>
  <c r="P1063" i="32"/>
  <c r="P1062" i="32"/>
  <c r="P1061" i="32"/>
  <c r="P1060" i="32"/>
  <c r="P1059" i="32"/>
  <c r="P1058" i="32"/>
  <c r="P1057" i="32"/>
  <c r="P1056" i="32"/>
  <c r="P1055" i="32"/>
  <c r="P1054" i="32"/>
  <c r="P1053" i="32"/>
  <c r="P1052" i="32"/>
  <c r="P1051" i="32"/>
  <c r="P1050" i="32"/>
  <c r="P1049" i="32"/>
  <c r="P1048" i="32"/>
  <c r="P1047" i="32"/>
  <c r="P1046" i="32"/>
  <c r="P1045" i="32"/>
  <c r="P1044" i="32"/>
  <c r="P1043" i="32"/>
  <c r="P1042" i="32"/>
  <c r="P1041" i="32"/>
  <c r="P1040" i="32"/>
  <c r="P1039" i="32"/>
  <c r="P1038" i="32"/>
  <c r="P1036" i="32"/>
  <c r="P1035" i="32"/>
  <c r="P1034" i="32"/>
  <c r="P1033" i="32"/>
  <c r="P1032" i="32"/>
  <c r="P1031" i="32"/>
  <c r="P1030" i="32"/>
  <c r="P1029" i="32"/>
  <c r="P1028" i="32"/>
  <c r="P1027" i="32"/>
  <c r="P1026" i="32"/>
  <c r="P1025" i="32"/>
  <c r="P1024" i="32"/>
  <c r="P1022" i="32"/>
  <c r="P1021" i="32"/>
  <c r="P1020" i="32"/>
  <c r="P1019" i="32"/>
  <c r="P1017" i="32"/>
  <c r="P1016" i="32"/>
  <c r="P1015" i="32"/>
  <c r="P1014" i="32"/>
  <c r="P1013" i="32"/>
  <c r="P1012" i="32"/>
  <c r="P1011" i="32"/>
  <c r="P1010" i="32"/>
  <c r="P1009" i="32"/>
  <c r="P1008" i="32"/>
  <c r="P1007" i="32"/>
  <c r="P1006" i="32"/>
  <c r="P1005" i="32"/>
  <c r="P1004" i="32"/>
  <c r="P1003" i="32"/>
  <c r="P1002" i="32"/>
  <c r="P1001" i="32"/>
  <c r="P997" i="32"/>
  <c r="P996" i="32"/>
  <c r="P995" i="32"/>
  <c r="P992" i="32"/>
  <c r="P991" i="32"/>
  <c r="P990" i="32"/>
  <c r="P989" i="32"/>
  <c r="P988" i="32"/>
  <c r="P987" i="32"/>
  <c r="P986" i="32"/>
  <c r="P985" i="32"/>
  <c r="P984" i="32"/>
  <c r="P983" i="32"/>
  <c r="P982" i="32"/>
  <c r="P981" i="32"/>
  <c r="P980" i="32"/>
  <c r="P979" i="32"/>
  <c r="P978" i="32"/>
  <c r="P977" i="32"/>
  <c r="P976" i="32"/>
  <c r="P975" i="32"/>
  <c r="P974" i="32"/>
  <c r="P973" i="32"/>
  <c r="P972" i="32"/>
  <c r="P971" i="32"/>
  <c r="P970" i="32"/>
  <c r="P969" i="32"/>
  <c r="P968" i="32"/>
  <c r="P967" i="32"/>
  <c r="P966" i="32"/>
  <c r="P965" i="32"/>
  <c r="P964" i="32"/>
  <c r="P963" i="32"/>
  <c r="P962" i="32"/>
  <c r="P960" i="32"/>
  <c r="P959" i="32"/>
  <c r="P958" i="32"/>
  <c r="P957" i="32"/>
  <c r="P956" i="32"/>
  <c r="P955" i="32"/>
  <c r="P954" i="32"/>
  <c r="P953" i="32"/>
  <c r="P952" i="32"/>
  <c r="P951" i="32"/>
  <c r="P950" i="32"/>
  <c r="P949" i="32"/>
  <c r="P948" i="32"/>
  <c r="P947" i="32"/>
  <c r="P945" i="32"/>
  <c r="P944" i="32"/>
  <c r="P943" i="32"/>
  <c r="P942" i="32"/>
  <c r="P941" i="32"/>
  <c r="P940" i="32"/>
  <c r="P939" i="32"/>
  <c r="P938" i="32"/>
  <c r="P937" i="32"/>
  <c r="P936" i="32"/>
  <c r="P935" i="32"/>
  <c r="P934" i="32"/>
  <c r="P933" i="32"/>
  <c r="P932" i="32"/>
  <c r="P931" i="32"/>
  <c r="P929" i="32"/>
  <c r="P928" i="32"/>
  <c r="P927" i="32"/>
  <c r="P926" i="32"/>
  <c r="P925" i="32"/>
  <c r="P924" i="32"/>
  <c r="P923" i="32"/>
  <c r="P922" i="32"/>
  <c r="P921" i="32"/>
  <c r="P920" i="32"/>
  <c r="P919" i="32"/>
  <c r="P918" i="32"/>
  <c r="P917" i="32"/>
  <c r="P916" i="32"/>
  <c r="P915" i="32"/>
  <c r="P914" i="32"/>
  <c r="P913" i="32"/>
  <c r="P912" i="32"/>
  <c r="P911" i="32"/>
  <c r="P910" i="32"/>
  <c r="P909" i="32"/>
  <c r="P908" i="32"/>
  <c r="P907" i="32"/>
  <c r="P906" i="32"/>
  <c r="P905" i="32"/>
  <c r="P904" i="32"/>
  <c r="P903" i="32"/>
  <c r="P902" i="32"/>
  <c r="P901" i="32"/>
  <c r="P900" i="32"/>
  <c r="P899" i="32"/>
  <c r="P898" i="32"/>
  <c r="P897" i="32"/>
  <c r="P896" i="32"/>
  <c r="P895" i="32"/>
  <c r="P894" i="32"/>
  <c r="P893" i="32"/>
  <c r="P892" i="32"/>
  <c r="P891" i="32"/>
  <c r="P890" i="32"/>
  <c r="P889" i="32"/>
  <c r="P888" i="32"/>
  <c r="P887" i="32"/>
  <c r="P886" i="32"/>
  <c r="P885" i="32"/>
  <c r="P884" i="32"/>
  <c r="P883" i="32"/>
  <c r="P882" i="32"/>
  <c r="P881" i="32"/>
  <c r="P880" i="32"/>
  <c r="P879" i="32"/>
  <c r="P874" i="32"/>
  <c r="P873" i="32"/>
  <c r="P872" i="32"/>
  <c r="P871" i="32"/>
  <c r="P870" i="32"/>
  <c r="P869" i="32"/>
  <c r="P868" i="32"/>
  <c r="P867" i="32"/>
  <c r="P866" i="32"/>
  <c r="P865" i="32"/>
  <c r="P864" i="32"/>
  <c r="P863" i="32"/>
  <c r="P862" i="32"/>
  <c r="P861" i="32"/>
  <c r="P860" i="32"/>
  <c r="P859" i="32"/>
  <c r="P858" i="32"/>
  <c r="P857" i="32"/>
  <c r="P856" i="32"/>
  <c r="P855" i="32"/>
  <c r="P854" i="32"/>
  <c r="P853" i="32"/>
  <c r="P852" i="32"/>
  <c r="P851" i="32"/>
  <c r="P850" i="32"/>
  <c r="P849" i="32"/>
  <c r="P848" i="32"/>
  <c r="P847" i="32"/>
  <c r="P846" i="32"/>
  <c r="P845" i="32"/>
  <c r="P844" i="32"/>
  <c r="P843" i="32"/>
  <c r="P842" i="32"/>
  <c r="P841" i="32"/>
  <c r="P840" i="32"/>
  <c r="P839" i="32"/>
  <c r="P838" i="32"/>
  <c r="P837" i="32"/>
  <c r="P836" i="32"/>
  <c r="P835" i="32"/>
  <c r="P834" i="32"/>
  <c r="P833" i="32"/>
  <c r="P832" i="32"/>
  <c r="P831" i="32"/>
  <c r="P829" i="32"/>
  <c r="P828" i="32"/>
  <c r="P827" i="32"/>
  <c r="P826" i="32"/>
  <c r="P825" i="32"/>
  <c r="P824" i="32"/>
  <c r="P823" i="32"/>
  <c r="P822" i="32"/>
  <c r="P821" i="32"/>
  <c r="P820" i="32"/>
  <c r="P819" i="32"/>
  <c r="P818" i="32"/>
  <c r="P817" i="32"/>
  <c r="P816" i="32"/>
  <c r="P815" i="32"/>
  <c r="P813" i="32"/>
  <c r="P812" i="32"/>
  <c r="P811" i="32"/>
  <c r="P810" i="32"/>
  <c r="P807" i="32"/>
  <c r="P805" i="32"/>
  <c r="P804" i="32"/>
  <c r="P803" i="32"/>
  <c r="P802" i="32"/>
  <c r="P801" i="32"/>
  <c r="P800" i="32"/>
  <c r="P799" i="32"/>
  <c r="P798" i="32"/>
  <c r="P797" i="32"/>
  <c r="P796" i="32"/>
  <c r="P795" i="32"/>
  <c r="P794" i="32"/>
  <c r="P793" i="32"/>
  <c r="P792" i="32"/>
  <c r="P791" i="32"/>
  <c r="P790" i="32"/>
  <c r="P789" i="32"/>
  <c r="P788" i="32"/>
  <c r="P787" i="32"/>
  <c r="P786" i="32"/>
  <c r="P785" i="32"/>
  <c r="P784" i="32"/>
  <c r="P783" i="32"/>
  <c r="P782" i="32"/>
  <c r="P781" i="32"/>
  <c r="P780" i="32"/>
  <c r="P779" i="32"/>
  <c r="P778" i="32"/>
  <c r="P777" i="32"/>
  <c r="P776" i="32"/>
  <c r="P775" i="32"/>
  <c r="P774" i="32"/>
  <c r="P773" i="32"/>
  <c r="P772" i="32"/>
  <c r="P771" i="32"/>
  <c r="P770" i="32"/>
  <c r="P769" i="32"/>
  <c r="P768" i="32"/>
  <c r="P767" i="32"/>
  <c r="P766" i="32"/>
  <c r="P765" i="32"/>
  <c r="P763" i="32"/>
  <c r="P762" i="32"/>
  <c r="P761" i="32"/>
  <c r="P758" i="32"/>
  <c r="P753" i="32"/>
  <c r="P752" i="32"/>
  <c r="P751" i="32"/>
  <c r="P750" i="32"/>
  <c r="P749" i="32"/>
  <c r="P748" i="32"/>
  <c r="P747" i="32"/>
  <c r="P746" i="32"/>
  <c r="P745" i="32"/>
  <c r="P744" i="32"/>
  <c r="P743" i="32"/>
  <c r="P742" i="32"/>
  <c r="P741" i="32"/>
  <c r="P740" i="32"/>
  <c r="P739" i="32"/>
  <c r="P738" i="32"/>
  <c r="P737" i="32"/>
  <c r="P736" i="32"/>
  <c r="P735" i="32"/>
  <c r="P734" i="32"/>
  <c r="P733" i="32"/>
  <c r="P732" i="32"/>
  <c r="P731" i="32"/>
  <c r="P730" i="32"/>
  <c r="P729" i="32"/>
  <c r="P728" i="32"/>
  <c r="P727" i="32"/>
  <c r="P725" i="32"/>
  <c r="P724" i="32"/>
  <c r="P723" i="32"/>
  <c r="P722" i="32"/>
  <c r="P721" i="32"/>
  <c r="P720" i="32"/>
  <c r="P719" i="32"/>
  <c r="P718" i="32"/>
  <c r="P717" i="32"/>
  <c r="P716" i="32"/>
  <c r="P715" i="32"/>
  <c r="P714" i="32"/>
  <c r="P713" i="32"/>
  <c r="P712" i="32"/>
  <c r="P711" i="32"/>
  <c r="P710" i="32"/>
  <c r="P709" i="32"/>
  <c r="P708" i="32"/>
  <c r="P707" i="32"/>
  <c r="P706" i="32"/>
  <c r="P705" i="32"/>
  <c r="P704" i="32"/>
  <c r="P703" i="32"/>
  <c r="P702" i="32"/>
  <c r="P701" i="32"/>
  <c r="P699" i="32"/>
  <c r="P698" i="32"/>
  <c r="P697" i="32"/>
  <c r="P696" i="32"/>
  <c r="P695" i="32"/>
  <c r="P694" i="32"/>
  <c r="P693" i="32"/>
  <c r="P692" i="32"/>
  <c r="P691" i="32"/>
  <c r="P690" i="32"/>
  <c r="P688" i="32"/>
  <c r="P686" i="32"/>
  <c r="P685" i="32"/>
  <c r="P684" i="32"/>
  <c r="P683" i="32"/>
  <c r="P682" i="32"/>
  <c r="P681" i="32"/>
  <c r="P680" i="32"/>
  <c r="P678" i="32"/>
  <c r="P677" i="32"/>
  <c r="P676" i="32"/>
  <c r="P675" i="32"/>
  <c r="P674" i="32"/>
  <c r="P673" i="32"/>
  <c r="P672" i="32"/>
  <c r="P671" i="32"/>
  <c r="P670" i="32"/>
  <c r="P669" i="32"/>
  <c r="P668" i="32"/>
  <c r="P667" i="32"/>
  <c r="P666" i="32"/>
  <c r="P664" i="32"/>
  <c r="P663" i="32"/>
  <c r="P662" i="32"/>
  <c r="P661" i="32"/>
  <c r="P660" i="32"/>
  <c r="P659" i="32"/>
  <c r="P658" i="32"/>
  <c r="P657" i="32"/>
  <c r="P656" i="32"/>
  <c r="P655" i="32"/>
  <c r="P654" i="32"/>
  <c r="P653" i="32"/>
  <c r="P652" i="32"/>
  <c r="P651" i="32"/>
  <c r="P648" i="32"/>
  <c r="P647" i="32"/>
  <c r="P646" i="32"/>
  <c r="P645" i="32"/>
  <c r="P644" i="32"/>
  <c r="P643" i="32"/>
  <c r="P642" i="32"/>
  <c r="P641" i="32"/>
  <c r="P640" i="32"/>
  <c r="P639" i="32"/>
  <c r="P638" i="32"/>
  <c r="P637" i="32"/>
  <c r="P636" i="32"/>
  <c r="P635" i="32"/>
  <c r="P634" i="32"/>
  <c r="P633" i="32"/>
  <c r="P632" i="32"/>
  <c r="P631" i="32"/>
  <c r="P630" i="32"/>
  <c r="P629" i="32"/>
  <c r="P628" i="32"/>
  <c r="P627" i="32"/>
  <c r="P626" i="32"/>
  <c r="P625" i="32"/>
  <c r="P624" i="32"/>
  <c r="P623" i="32"/>
  <c r="P622" i="32"/>
  <c r="P621" i="32"/>
  <c r="P620" i="32"/>
  <c r="P619" i="32"/>
  <c r="P618" i="32"/>
  <c r="P617" i="32"/>
  <c r="P616" i="32"/>
  <c r="P615" i="32"/>
  <c r="P614" i="32"/>
  <c r="P613" i="32"/>
  <c r="P612" i="32"/>
  <c r="P611" i="32"/>
  <c r="P610" i="32"/>
  <c r="P609" i="32"/>
  <c r="P608" i="32"/>
  <c r="P607" i="32"/>
  <c r="P606" i="32"/>
  <c r="P605" i="32"/>
  <c r="P604" i="32"/>
  <c r="P603" i="32"/>
  <c r="P602" i="32"/>
  <c r="P601" i="32"/>
  <c r="P600" i="32"/>
  <c r="P599" i="32"/>
  <c r="P598" i="32"/>
  <c r="P597" i="32"/>
  <c r="P591" i="32"/>
  <c r="P590" i="32"/>
  <c r="P589" i="32"/>
  <c r="P588" i="32"/>
  <c r="P587" i="32"/>
  <c r="P585" i="32"/>
  <c r="P584" i="32"/>
  <c r="P583" i="32"/>
  <c r="P582" i="32"/>
  <c r="P581" i="32"/>
  <c r="P580" i="32"/>
  <c r="P579" i="32"/>
  <c r="P578" i="32"/>
  <c r="P577" i="32"/>
  <c r="P576" i="32"/>
  <c r="P575" i="32"/>
  <c r="P574" i="32"/>
  <c r="P573" i="32"/>
  <c r="P572" i="32"/>
  <c r="P571" i="32"/>
  <c r="P570" i="32"/>
  <c r="P560" i="32"/>
  <c r="P559" i="32"/>
  <c r="P558" i="32"/>
  <c r="P557" i="32"/>
  <c r="P556" i="32"/>
  <c r="P555" i="32"/>
  <c r="P554" i="32"/>
  <c r="P553" i="32"/>
  <c r="P552" i="32"/>
  <c r="P551" i="32"/>
  <c r="P550" i="32"/>
  <c r="P549" i="32"/>
  <c r="P548" i="32"/>
  <c r="P547" i="32"/>
  <c r="P546" i="32"/>
  <c r="P545" i="32"/>
  <c r="P544" i="32"/>
  <c r="P543" i="32"/>
  <c r="P542" i="32"/>
  <c r="P541" i="32"/>
  <c r="P540" i="32"/>
  <c r="P539" i="32"/>
  <c r="P538" i="32"/>
  <c r="P537" i="32"/>
  <c r="P536" i="32"/>
  <c r="P535" i="32"/>
  <c r="P534" i="32"/>
  <c r="P532" i="32"/>
  <c r="P531" i="32"/>
  <c r="P530" i="32"/>
  <c r="P529" i="32"/>
  <c r="P528" i="32"/>
  <c r="P527" i="32"/>
  <c r="P526" i="32"/>
  <c r="P525" i="32"/>
  <c r="P524" i="32"/>
  <c r="P523" i="32"/>
  <c r="P522" i="32"/>
  <c r="P521" i="32"/>
  <c r="P520" i="32"/>
  <c r="P519" i="32"/>
  <c r="P518" i="32"/>
  <c r="P517" i="32"/>
  <c r="P516" i="32"/>
  <c r="P515" i="32"/>
  <c r="P514" i="32"/>
  <c r="P513" i="32"/>
  <c r="P512" i="32"/>
  <c r="P511" i="32"/>
  <c r="P510" i="32"/>
  <c r="P509" i="32"/>
  <c r="P507" i="32"/>
  <c r="P506" i="32"/>
  <c r="P505" i="32"/>
  <c r="P504" i="32"/>
  <c r="P503" i="32"/>
  <c r="P502" i="32"/>
  <c r="P501" i="32"/>
  <c r="P500" i="32"/>
  <c r="P499" i="32"/>
  <c r="P497" i="32"/>
  <c r="P496" i="32"/>
  <c r="P495" i="32"/>
  <c r="P494" i="32"/>
  <c r="P493" i="32"/>
  <c r="P492" i="32"/>
  <c r="P491" i="32"/>
  <c r="P490" i="32"/>
  <c r="P489" i="32"/>
  <c r="P488" i="32"/>
  <c r="P487" i="32"/>
  <c r="P486" i="32"/>
  <c r="P485" i="32"/>
  <c r="P484" i="32"/>
  <c r="P483" i="32"/>
  <c r="P478" i="32"/>
  <c r="P477" i="32"/>
  <c r="P476" i="32"/>
  <c r="P475" i="32"/>
  <c r="P470" i="32"/>
  <c r="P469" i="32"/>
  <c r="P468" i="32"/>
  <c r="P467" i="32"/>
  <c r="P466" i="32"/>
  <c r="P465" i="32"/>
  <c r="P464" i="32"/>
  <c r="P463" i="32"/>
  <c r="P462" i="32"/>
  <c r="P461" i="32"/>
  <c r="P460" i="32"/>
  <c r="P459" i="32"/>
  <c r="P458" i="32"/>
  <c r="P457" i="32"/>
  <c r="P456" i="32"/>
  <c r="P455" i="32"/>
  <c r="P454" i="32"/>
  <c r="P453" i="32"/>
  <c r="P452" i="32"/>
  <c r="P451" i="32"/>
  <c r="P450" i="32"/>
  <c r="P449" i="32"/>
  <c r="P448" i="32"/>
  <c r="P447" i="32"/>
  <c r="P446" i="32"/>
  <c r="P444" i="32"/>
  <c r="P443" i="32"/>
  <c r="P442" i="32"/>
  <c r="P441" i="32"/>
  <c r="P440" i="32"/>
  <c r="P439" i="32"/>
  <c r="P438" i="32"/>
  <c r="P437" i="32"/>
  <c r="P436" i="32"/>
  <c r="P435" i="32"/>
  <c r="P434" i="32"/>
  <c r="P433" i="32"/>
  <c r="P432" i="32"/>
  <c r="P431" i="32"/>
  <c r="P430" i="32"/>
  <c r="P429" i="32"/>
  <c r="P428" i="32"/>
  <c r="P427" i="32"/>
  <c r="P426" i="32"/>
  <c r="P425" i="32"/>
  <c r="P424" i="32"/>
  <c r="P423" i="32"/>
  <c r="P422" i="32"/>
  <c r="P421" i="32"/>
  <c r="P420" i="32"/>
  <c r="P418" i="32"/>
  <c r="P417" i="32"/>
  <c r="P416" i="32"/>
  <c r="P415" i="32"/>
  <c r="P414" i="32"/>
  <c r="P413" i="32"/>
  <c r="P412" i="32"/>
  <c r="P411" i="32"/>
  <c r="P409" i="32"/>
  <c r="P408" i="32"/>
  <c r="P406" i="32"/>
  <c r="P405" i="32"/>
  <c r="P404" i="32"/>
  <c r="P403" i="32"/>
  <c r="P402" i="32"/>
  <c r="P401" i="32"/>
  <c r="P400" i="32"/>
  <c r="P399" i="32"/>
  <c r="P398" i="32"/>
  <c r="P397" i="32"/>
  <c r="P396" i="32"/>
  <c r="P395" i="32"/>
  <c r="P394" i="32"/>
  <c r="P391" i="32"/>
  <c r="P390" i="32"/>
  <c r="P382" i="32"/>
  <c r="P380" i="32"/>
  <c r="P379" i="32"/>
  <c r="P378" i="32"/>
  <c r="P377" i="32"/>
  <c r="P376" i="32"/>
  <c r="P375" i="32"/>
  <c r="P374" i="32"/>
  <c r="P373" i="32"/>
  <c r="P372" i="32"/>
  <c r="P371" i="32"/>
  <c r="P370" i="32"/>
  <c r="P369" i="32"/>
  <c r="P368" i="32"/>
  <c r="P367" i="32"/>
  <c r="P366" i="32"/>
  <c r="P365" i="32"/>
  <c r="P364" i="32"/>
  <c r="P363" i="32"/>
  <c r="P362" i="32"/>
  <c r="P361" i="32"/>
  <c r="P360" i="32"/>
  <c r="P359" i="32"/>
  <c r="P358" i="32"/>
  <c r="P357" i="32"/>
  <c r="P356" i="32"/>
  <c r="P355" i="32"/>
  <c r="P353" i="32"/>
  <c r="P352" i="32"/>
  <c r="P351" i="32"/>
  <c r="P350" i="32"/>
  <c r="P349" i="32"/>
  <c r="P348" i="32"/>
  <c r="P347" i="32"/>
  <c r="P346" i="32"/>
  <c r="P345" i="32"/>
  <c r="P344" i="32"/>
  <c r="P343" i="32"/>
  <c r="P342" i="32"/>
  <c r="P341" i="32"/>
  <c r="P340" i="32"/>
  <c r="P339" i="32"/>
  <c r="P338" i="32"/>
  <c r="P337" i="32"/>
  <c r="P336" i="32"/>
  <c r="P335" i="32"/>
  <c r="P334" i="32"/>
  <c r="P333" i="32"/>
  <c r="P332" i="32"/>
  <c r="P331" i="32"/>
  <c r="P330" i="32"/>
  <c r="P329" i="32"/>
  <c r="P327" i="32"/>
  <c r="P326" i="32"/>
  <c r="P325" i="32"/>
  <c r="P324" i="32"/>
  <c r="P323" i="32"/>
  <c r="P322" i="32"/>
  <c r="P321" i="32"/>
  <c r="P320" i="32"/>
  <c r="P318" i="32"/>
  <c r="P317" i="32"/>
  <c r="P316" i="32"/>
  <c r="P315" i="32"/>
  <c r="P314" i="32"/>
  <c r="P313" i="32"/>
  <c r="P310" i="32"/>
  <c r="P308" i="32"/>
  <c r="P307" i="32"/>
  <c r="P306" i="32"/>
  <c r="P305" i="32"/>
  <c r="P304" i="32"/>
  <c r="P303" i="32"/>
  <c r="P302" i="32"/>
  <c r="P301" i="32"/>
  <c r="P300" i="32"/>
  <c r="P299" i="32"/>
  <c r="P298" i="32"/>
  <c r="P297" i="32"/>
  <c r="P296" i="32"/>
  <c r="P295" i="32"/>
  <c r="P294" i="32"/>
  <c r="P293" i="32"/>
  <c r="P292" i="32"/>
  <c r="P291" i="32"/>
  <c r="P290" i="32"/>
  <c r="P289" i="32"/>
  <c r="P288" i="32"/>
  <c r="P287" i="32"/>
  <c r="P286" i="32"/>
  <c r="P285" i="32"/>
  <c r="P284" i="32"/>
  <c r="P283" i="32"/>
  <c r="P282" i="32"/>
  <c r="P281" i="32"/>
  <c r="P280" i="32"/>
  <c r="P279" i="32"/>
  <c r="P278" i="32"/>
  <c r="P277" i="32"/>
  <c r="P276" i="32"/>
  <c r="P275" i="32"/>
  <c r="P274" i="32"/>
  <c r="P273" i="32"/>
  <c r="P272" i="32"/>
  <c r="P271" i="32"/>
  <c r="P270" i="32"/>
  <c r="P269" i="32"/>
  <c r="P268" i="32"/>
  <c r="P267" i="32"/>
  <c r="P265" i="32"/>
  <c r="P264" i="32"/>
  <c r="P263" i="32"/>
  <c r="P262" i="32"/>
  <c r="P261" i="32"/>
  <c r="P260" i="32"/>
  <c r="P259" i="32"/>
  <c r="P258" i="32"/>
  <c r="P257" i="32"/>
  <c r="P256" i="32"/>
  <c r="P255" i="32"/>
  <c r="P254" i="32"/>
  <c r="P253" i="32"/>
  <c r="P252" i="32"/>
  <c r="P251" i="32"/>
  <c r="P250" i="32"/>
  <c r="P249" i="32"/>
  <c r="P248" i="32"/>
  <c r="P247" i="32"/>
  <c r="P246" i="32"/>
  <c r="P245" i="32"/>
  <c r="P244" i="32"/>
  <c r="P243" i="32"/>
  <c r="P242" i="32"/>
  <c r="P241" i="32"/>
  <c r="P240" i="32"/>
  <c r="P238" i="32"/>
  <c r="P237" i="32"/>
  <c r="P236" i="32"/>
  <c r="P235" i="32"/>
  <c r="P234" i="32"/>
  <c r="P233" i="32"/>
  <c r="P232" i="32"/>
  <c r="P231" i="32"/>
  <c r="P228" i="32"/>
  <c r="P227" i="32"/>
  <c r="P226" i="32"/>
  <c r="P225" i="32"/>
  <c r="P224" i="32"/>
  <c r="P223" i="32"/>
  <c r="P222" i="32"/>
  <c r="P221" i="32"/>
  <c r="P220" i="32"/>
  <c r="P219" i="32"/>
  <c r="P218" i="32"/>
  <c r="P216" i="32"/>
  <c r="P215" i="32"/>
  <c r="P214" i="32"/>
  <c r="P213" i="32"/>
  <c r="P212" i="32"/>
  <c r="P211" i="32"/>
  <c r="P210" i="32"/>
  <c r="P209" i="32"/>
  <c r="P208" i="32"/>
  <c r="P207" i="32"/>
  <c r="P206" i="32"/>
  <c r="P205" i="32"/>
  <c r="P204" i="32"/>
  <c r="P203" i="32"/>
  <c r="P201" i="32"/>
  <c r="P200" i="32"/>
  <c r="P199" i="32"/>
  <c r="P196" i="32"/>
  <c r="P193" i="32"/>
  <c r="P192" i="32"/>
  <c r="P191" i="32"/>
  <c r="P190" i="32"/>
  <c r="P189" i="32"/>
  <c r="P188" i="32"/>
  <c r="P187" i="32"/>
  <c r="P186" i="32"/>
  <c r="P185" i="32"/>
  <c r="P184" i="32"/>
  <c r="P183" i="32"/>
  <c r="P182" i="32"/>
  <c r="P181" i="32"/>
  <c r="P180" i="32"/>
  <c r="P179" i="32"/>
  <c r="P178" i="32"/>
  <c r="P177" i="32"/>
  <c r="P176" i="32"/>
  <c r="P175" i="32"/>
  <c r="P174" i="32"/>
  <c r="P173" i="32"/>
  <c r="P172" i="32"/>
  <c r="P171" i="32"/>
  <c r="P170" i="32"/>
  <c r="P169" i="32"/>
  <c r="P168" i="32"/>
  <c r="P167" i="32"/>
  <c r="P166" i="32"/>
  <c r="P164" i="32"/>
  <c r="P163" i="32"/>
  <c r="P162" i="32"/>
  <c r="P161" i="32"/>
  <c r="P160" i="32"/>
  <c r="P159" i="32"/>
  <c r="P158" i="32"/>
  <c r="P157" i="32"/>
  <c r="P156" i="32"/>
  <c r="P155" i="32"/>
  <c r="P154" i="32"/>
  <c r="P153" i="32"/>
  <c r="P152" i="32"/>
  <c r="P151" i="32"/>
  <c r="P150" i="32"/>
  <c r="P149" i="32"/>
  <c r="P148" i="32"/>
  <c r="P147" i="32"/>
  <c r="P146" i="32"/>
  <c r="P145" i="32"/>
  <c r="P144" i="32"/>
  <c r="P143" i="32"/>
  <c r="P142" i="32"/>
  <c r="P141" i="32"/>
  <c r="P139" i="32"/>
  <c r="P138" i="32"/>
  <c r="P137" i="32"/>
  <c r="P136" i="32"/>
  <c r="P135" i="32"/>
  <c r="P134" i="32"/>
  <c r="P133" i="32"/>
  <c r="P132" i="32"/>
  <c r="P131" i="32"/>
  <c r="P130" i="32"/>
  <c r="P126" i="32"/>
  <c r="P125" i="32"/>
  <c r="P124" i="32"/>
  <c r="P123" i="32"/>
  <c r="P122" i="32"/>
  <c r="P121" i="32"/>
  <c r="P120" i="32"/>
  <c r="P119" i="32"/>
  <c r="P118" i="32"/>
  <c r="P117" i="32"/>
  <c r="P116" i="32"/>
  <c r="P115" i="32"/>
  <c r="P114" i="32"/>
  <c r="P113" i="32"/>
  <c r="P111" i="32"/>
  <c r="P110" i="32"/>
  <c r="P109" i="32"/>
  <c r="P106" i="32"/>
  <c r="P105" i="32"/>
  <c r="P94" i="32"/>
  <c r="P93" i="32"/>
  <c r="P92" i="32"/>
  <c r="P91" i="32"/>
  <c r="P90" i="32"/>
  <c r="P89" i="32"/>
  <c r="P88" i="32"/>
  <c r="P87" i="32"/>
  <c r="P86" i="32"/>
  <c r="P85" i="32"/>
  <c r="P84" i="32"/>
  <c r="P83" i="32"/>
  <c r="P82" i="32"/>
  <c r="P81" i="32"/>
  <c r="P80" i="32"/>
  <c r="P79" i="32"/>
  <c r="P78" i="32"/>
  <c r="P77" i="32"/>
  <c r="P76" i="32"/>
  <c r="P75" i="32"/>
  <c r="P74" i="32"/>
  <c r="P73" i="32"/>
  <c r="P72" i="32"/>
  <c r="P71" i="32"/>
  <c r="P70" i="32"/>
  <c r="P69" i="32"/>
  <c r="P68" i="32"/>
  <c r="P67" i="32"/>
  <c r="P66" i="32"/>
  <c r="P65" i="32"/>
  <c r="P64" i="32"/>
  <c r="P63" i="32"/>
  <c r="P62" i="32"/>
  <c r="P61" i="32"/>
  <c r="P60" i="32"/>
  <c r="P59" i="32"/>
  <c r="P58" i="32"/>
  <c r="P57" i="32"/>
  <c r="P56" i="32"/>
  <c r="P55" i="32"/>
  <c r="P54" i="32"/>
  <c r="P53" i="32"/>
  <c r="P52" i="32"/>
  <c r="P51" i="32"/>
  <c r="P50" i="32"/>
  <c r="P49" i="32"/>
  <c r="P48" i="32"/>
  <c r="P46" i="32"/>
  <c r="P45" i="32"/>
  <c r="P44" i="32"/>
  <c r="P43" i="32"/>
  <c r="P42" i="32"/>
  <c r="P41" i="32"/>
  <c r="P40" i="32"/>
  <c r="P39" i="32"/>
  <c r="P38" i="32"/>
  <c r="P37" i="32"/>
  <c r="P36" i="32"/>
  <c r="P35" i="32"/>
  <c r="P34" i="32"/>
  <c r="P33" i="32"/>
  <c r="P32" i="32"/>
  <c r="P31" i="32"/>
  <c r="P30" i="32"/>
  <c r="P29" i="32"/>
  <c r="P28" i="32"/>
  <c r="P27" i="32"/>
  <c r="P26" i="32"/>
  <c r="P25" i="32"/>
  <c r="P24" i="32"/>
  <c r="P23" i="32"/>
  <c r="P22" i="32"/>
  <c r="P21" i="32"/>
  <c r="P20" i="32"/>
  <c r="P19" i="32"/>
  <c r="P18" i="32"/>
  <c r="P17" i="32"/>
  <c r="P16" i="32"/>
  <c r="P15" i="32"/>
  <c r="P13" i="32"/>
  <c r="P12" i="32"/>
  <c r="P11" i="32"/>
  <c r="P10" i="32"/>
  <c r="P9" i="32"/>
  <c r="P8" i="32"/>
  <c r="P7" i="32"/>
  <c r="P6" i="32"/>
  <c r="P5" i="32"/>
  <c r="P4" i="32"/>
  <c r="P3" i="32"/>
  <c r="I147" i="19" l="1"/>
  <c r="D112" i="22" a="1"/>
  <c r="D112" i="22" s="1"/>
  <c r="J99" i="19" l="1"/>
  <c r="H3" i="29"/>
  <c r="J101" i="19" l="1"/>
  <c r="J103" i="19"/>
  <c r="B2" i="27"/>
  <c r="B3" i="27"/>
  <c r="B4" i="27"/>
  <c r="B5" i="27"/>
  <c r="B6" i="27"/>
  <c r="B7" i="27"/>
  <c r="B8" i="27"/>
  <c r="B9" i="27"/>
  <c r="B10" i="27"/>
  <c r="B11" i="27"/>
  <c r="B12" i="27"/>
  <c r="B13" i="27"/>
  <c r="B14" i="27"/>
  <c r="B15" i="27"/>
  <c r="B16" i="27"/>
  <c r="B17" i="27"/>
  <c r="B18" i="27"/>
  <c r="B19" i="27"/>
  <c r="B20" i="27"/>
  <c r="B21" i="27"/>
  <c r="B22" i="27"/>
  <c r="B23" i="27"/>
  <c r="B24" i="27"/>
  <c r="B25" i="27"/>
  <c r="B26" i="27"/>
  <c r="B27" i="27"/>
  <c r="B28" i="27"/>
  <c r="B29" i="27"/>
  <c r="B30" i="27"/>
  <c r="B31" i="27"/>
  <c r="B32" i="27"/>
  <c r="B33" i="27"/>
  <c r="B34" i="27"/>
  <c r="B35" i="27"/>
  <c r="B36" i="27"/>
  <c r="B37" i="27"/>
  <c r="B38" i="27"/>
  <c r="B39" i="27"/>
  <c r="B40" i="27"/>
  <c r="B41" i="27"/>
  <c r="B42" i="27"/>
  <c r="B43" i="27"/>
  <c r="B44" i="27"/>
  <c r="B45" i="27"/>
  <c r="B46" i="27"/>
  <c r="B47" i="27"/>
  <c r="B48" i="27"/>
  <c r="B49" i="27"/>
  <c r="B50" i="27"/>
  <c r="B51" i="27"/>
  <c r="B52" i="27"/>
  <c r="B53" i="27"/>
  <c r="B54" i="27"/>
  <c r="B55" i="27"/>
  <c r="B56" i="27"/>
  <c r="B57" i="27"/>
  <c r="B58" i="27"/>
  <c r="B59" i="27"/>
  <c r="B60" i="27"/>
  <c r="B61" i="27"/>
  <c r="B62" i="27"/>
  <c r="B63" i="27"/>
  <c r="B64" i="27"/>
  <c r="B65" i="27"/>
  <c r="B66" i="27"/>
  <c r="B67" i="27"/>
  <c r="B1" i="27"/>
  <c r="C7" i="21" l="1" a="1"/>
  <c r="C7" i="21" s="1"/>
  <c r="AK245" i="25"/>
  <c r="U956" i="26"/>
  <c r="S956" i="26"/>
  <c r="U955" i="26"/>
  <c r="S955" i="26"/>
  <c r="U954" i="26"/>
  <c r="S954" i="26"/>
  <c r="U953" i="26"/>
  <c r="S953" i="26"/>
  <c r="U952" i="26"/>
  <c r="S952" i="26"/>
  <c r="AB951" i="26"/>
  <c r="AC951" i="26" s="1"/>
  <c r="Y951" i="26"/>
  <c r="U951" i="26"/>
  <c r="S951" i="26"/>
  <c r="AB950" i="26"/>
  <c r="AC950" i="26" s="1"/>
  <c r="Y950" i="26"/>
  <c r="U950" i="26"/>
  <c r="S950" i="26"/>
  <c r="AB949" i="26"/>
  <c r="AC949" i="26" s="1"/>
  <c r="Y949" i="26"/>
  <c r="U949" i="26"/>
  <c r="S949" i="26"/>
  <c r="AB948" i="26"/>
  <c r="AC948" i="26" s="1"/>
  <c r="Y948" i="26"/>
  <c r="U948" i="26"/>
  <c r="S948" i="26"/>
  <c r="AB947" i="26"/>
  <c r="AC947" i="26" s="1"/>
  <c r="Y947" i="26"/>
  <c r="U947" i="26"/>
  <c r="S947" i="26"/>
  <c r="AB946" i="26"/>
  <c r="AC946" i="26" s="1"/>
  <c r="Y946" i="26"/>
  <c r="U946" i="26"/>
  <c r="S946" i="26"/>
  <c r="AB945" i="26"/>
  <c r="AC945" i="26" s="1"/>
  <c r="Y945" i="26"/>
  <c r="U945" i="26"/>
  <c r="S945" i="26"/>
  <c r="AB944" i="26"/>
  <c r="AC944" i="26" s="1"/>
  <c r="Y944" i="26"/>
  <c r="U944" i="26"/>
  <c r="S944" i="26"/>
  <c r="AB943" i="26"/>
  <c r="AC943" i="26" s="1"/>
  <c r="Y943" i="26"/>
  <c r="U943" i="26"/>
  <c r="S943" i="26"/>
  <c r="AB942" i="26"/>
  <c r="AC942" i="26" s="1"/>
  <c r="Y942" i="26"/>
  <c r="U942" i="26"/>
  <c r="S942" i="26"/>
  <c r="AB941" i="26"/>
  <c r="AC941" i="26" s="1"/>
  <c r="Y941" i="26"/>
  <c r="U941" i="26"/>
  <c r="S941" i="26"/>
  <c r="AB940" i="26"/>
  <c r="AC940" i="26" s="1"/>
  <c r="Y940" i="26"/>
  <c r="U940" i="26"/>
  <c r="S940" i="26"/>
  <c r="AB939" i="26"/>
  <c r="AC939" i="26" s="1"/>
  <c r="Y939" i="26"/>
  <c r="U939" i="26"/>
  <c r="S939" i="26"/>
  <c r="AB938" i="26"/>
  <c r="AC938" i="26" s="1"/>
  <c r="Y938" i="26"/>
  <c r="U938" i="26"/>
  <c r="S938" i="26"/>
  <c r="AB937" i="26"/>
  <c r="AC937" i="26" s="1"/>
  <c r="Y937" i="26"/>
  <c r="U937" i="26"/>
  <c r="S937" i="26"/>
  <c r="AB936" i="26"/>
  <c r="AC936" i="26" s="1"/>
  <c r="U936" i="26"/>
  <c r="S936" i="26"/>
  <c r="AB935" i="26"/>
  <c r="AC935" i="26" s="1"/>
  <c r="Y935" i="26"/>
  <c r="U935" i="26"/>
  <c r="S935" i="26"/>
  <c r="AB934" i="26"/>
  <c r="AC934" i="26" s="1"/>
  <c r="Y934" i="26"/>
  <c r="U934" i="26"/>
  <c r="S934" i="26"/>
  <c r="AB933" i="26"/>
  <c r="AC933" i="26" s="1"/>
  <c r="Y933" i="26"/>
  <c r="U933" i="26"/>
  <c r="S933" i="26"/>
  <c r="G933" i="26"/>
  <c r="H933" i="26" s="1"/>
  <c r="AB932" i="26"/>
  <c r="AC932" i="26" s="1"/>
  <c r="Y932" i="26"/>
  <c r="S932" i="26"/>
  <c r="AB931" i="26"/>
  <c r="AC931" i="26" s="1"/>
  <c r="Y931" i="26"/>
  <c r="S931" i="26"/>
  <c r="AB930" i="26"/>
  <c r="AC930" i="26" s="1"/>
  <c r="Y930" i="26"/>
  <c r="U930" i="26"/>
  <c r="S930" i="26"/>
  <c r="AB929" i="26"/>
  <c r="AC929" i="26" s="1"/>
  <c r="Y929" i="26"/>
  <c r="U929" i="26"/>
  <c r="S929" i="26"/>
  <c r="AB928" i="26"/>
  <c r="AC928" i="26" s="1"/>
  <c r="Y928" i="26"/>
  <c r="S928" i="26"/>
  <c r="AB927" i="26"/>
  <c r="AC927" i="26" s="1"/>
  <c r="Y927" i="26"/>
  <c r="S927" i="26"/>
  <c r="AB926" i="26"/>
  <c r="AC926" i="26" s="1"/>
  <c r="Y926" i="26"/>
  <c r="S926" i="26"/>
  <c r="AB925" i="26"/>
  <c r="AC925" i="26" s="1"/>
  <c r="Y925" i="26"/>
  <c r="U925" i="26"/>
  <c r="S925" i="26"/>
  <c r="AB924" i="26"/>
  <c r="AC924" i="26" s="1"/>
  <c r="Y924" i="26"/>
  <c r="U924" i="26"/>
  <c r="S924" i="26"/>
  <c r="AB923" i="26"/>
  <c r="AC923" i="26" s="1"/>
  <c r="Y923" i="26"/>
  <c r="U923" i="26"/>
  <c r="S923" i="26"/>
  <c r="AB922" i="26"/>
  <c r="AC922" i="26" s="1"/>
  <c r="Y922" i="26"/>
  <c r="U922" i="26"/>
  <c r="S922" i="26"/>
  <c r="AB921" i="26"/>
  <c r="AC921" i="26" s="1"/>
  <c r="Y921" i="26"/>
  <c r="U921" i="26"/>
  <c r="S921" i="26"/>
  <c r="AB920" i="26"/>
  <c r="AC920" i="26" s="1"/>
  <c r="Y920" i="26"/>
  <c r="U920" i="26"/>
  <c r="S920" i="26"/>
  <c r="AB919" i="26"/>
  <c r="AC919" i="26" s="1"/>
  <c r="Y919" i="26"/>
  <c r="U919" i="26"/>
  <c r="S919" i="26"/>
  <c r="AB918" i="26"/>
  <c r="AC918" i="26" s="1"/>
  <c r="Y918" i="26"/>
  <c r="S918" i="26"/>
  <c r="AB917" i="26"/>
  <c r="AC917" i="26" s="1"/>
  <c r="Y917" i="26"/>
  <c r="S917" i="26"/>
  <c r="AB916" i="26"/>
  <c r="AC916" i="26" s="1"/>
  <c r="Y916" i="26"/>
  <c r="S916" i="26"/>
  <c r="AB915" i="26"/>
  <c r="AC915" i="26" s="1"/>
  <c r="Y915" i="26"/>
  <c r="S915" i="26"/>
  <c r="AB914" i="26"/>
  <c r="AC914" i="26" s="1"/>
  <c r="Y914" i="26"/>
  <c r="S914" i="26"/>
  <c r="AB913" i="26"/>
  <c r="AC913" i="26" s="1"/>
  <c r="Y913" i="26"/>
  <c r="U913" i="26"/>
  <c r="S913" i="26"/>
  <c r="AB912" i="26"/>
  <c r="AC912" i="26" s="1"/>
  <c r="Y912" i="26"/>
  <c r="U912" i="26"/>
  <c r="S912" i="26"/>
  <c r="AB911" i="26"/>
  <c r="AC911" i="26" s="1"/>
  <c r="Y911" i="26"/>
  <c r="S911" i="26"/>
  <c r="AB910" i="26"/>
  <c r="AC910" i="26" s="1"/>
  <c r="S910" i="26"/>
  <c r="AB909" i="26"/>
  <c r="AC909" i="26" s="1"/>
  <c r="Y909" i="26"/>
  <c r="U909" i="26"/>
  <c r="S909" i="26"/>
  <c r="AB908" i="26"/>
  <c r="AC908" i="26" s="1"/>
  <c r="Y908" i="26"/>
  <c r="S908" i="26"/>
  <c r="AB907" i="26"/>
  <c r="AC907" i="26" s="1"/>
  <c r="Y907" i="26"/>
  <c r="S907" i="26"/>
  <c r="AB906" i="26"/>
  <c r="AC906" i="26" s="1"/>
  <c r="Y906" i="26"/>
  <c r="AB905" i="26"/>
  <c r="AC905" i="26" s="1"/>
  <c r="Y905" i="26"/>
  <c r="U905" i="26"/>
  <c r="S905" i="26"/>
  <c r="AB904" i="26"/>
  <c r="AC904" i="26" s="1"/>
  <c r="Y904" i="26"/>
  <c r="U904" i="26"/>
  <c r="S904" i="26"/>
  <c r="AB903" i="26"/>
  <c r="AC903" i="26" s="1"/>
  <c r="Y903" i="26"/>
  <c r="U903" i="26"/>
  <c r="S903" i="26"/>
  <c r="AB902" i="26"/>
  <c r="AC902" i="26" s="1"/>
  <c r="Y902" i="26"/>
  <c r="U902" i="26"/>
  <c r="S902" i="26"/>
  <c r="AB901" i="26"/>
  <c r="AC901" i="26" s="1"/>
  <c r="U901" i="26"/>
  <c r="S901" i="26"/>
  <c r="AB900" i="26"/>
  <c r="AC900" i="26" s="1"/>
  <c r="Y900" i="26"/>
  <c r="U900" i="26"/>
  <c r="S900" i="26"/>
  <c r="AB899" i="26"/>
  <c r="AC899" i="26" s="1"/>
  <c r="Y899" i="26"/>
  <c r="U899" i="26"/>
  <c r="S899" i="26"/>
  <c r="AB898" i="26"/>
  <c r="AC898" i="26" s="1"/>
  <c r="Y898" i="26"/>
  <c r="U898" i="26"/>
  <c r="S898" i="26"/>
  <c r="AB897" i="26"/>
  <c r="AC897" i="26" s="1"/>
  <c r="Y897" i="26"/>
  <c r="U897" i="26"/>
  <c r="S897" i="26"/>
  <c r="AB896" i="26"/>
  <c r="AC896" i="26" s="1"/>
  <c r="Y896" i="26"/>
  <c r="U896" i="26"/>
  <c r="S896" i="26"/>
  <c r="AB895" i="26"/>
  <c r="AC895" i="26" s="1"/>
  <c r="Y895" i="26"/>
  <c r="U895" i="26"/>
  <c r="S895" i="26"/>
  <c r="AB894" i="26"/>
  <c r="AC894" i="26" s="1"/>
  <c r="Y894" i="26"/>
  <c r="U894" i="26"/>
  <c r="S894" i="26"/>
  <c r="AB893" i="26"/>
  <c r="AC893" i="26" s="1"/>
  <c r="Y893" i="26"/>
  <c r="U893" i="26"/>
  <c r="S893" i="26"/>
  <c r="AB892" i="26"/>
  <c r="AC892" i="26" s="1"/>
  <c r="Y892" i="26"/>
  <c r="U892" i="26"/>
  <c r="S892" i="26"/>
  <c r="AB891" i="26"/>
  <c r="AC891" i="26" s="1"/>
  <c r="Y891" i="26"/>
  <c r="U891" i="26"/>
  <c r="S891" i="26"/>
  <c r="AB890" i="26"/>
  <c r="AC890" i="26" s="1"/>
  <c r="Y890" i="26"/>
  <c r="U890" i="26"/>
  <c r="S890" i="26"/>
  <c r="AB889" i="26"/>
  <c r="AC889" i="26" s="1"/>
  <c r="Y889" i="26"/>
  <c r="U889" i="26"/>
  <c r="S889" i="26"/>
  <c r="AB888" i="26"/>
  <c r="AC888" i="26" s="1"/>
  <c r="U888" i="26"/>
  <c r="S888" i="26"/>
  <c r="AB887" i="26"/>
  <c r="AC887" i="26" s="1"/>
  <c r="Y887" i="26"/>
  <c r="U887" i="26"/>
  <c r="S887" i="26"/>
  <c r="AB886" i="26"/>
  <c r="AC886" i="26" s="1"/>
  <c r="Y886" i="26"/>
  <c r="U886" i="26"/>
  <c r="S886" i="26"/>
  <c r="AB885" i="26"/>
  <c r="AC885" i="26" s="1"/>
  <c r="Y885" i="26"/>
  <c r="U885" i="26"/>
  <c r="S885" i="26"/>
  <c r="AB884" i="26"/>
  <c r="AC884" i="26" s="1"/>
  <c r="Y884" i="26"/>
  <c r="U884" i="26"/>
  <c r="S884" i="26"/>
  <c r="AB883" i="26"/>
  <c r="AC883" i="26" s="1"/>
  <c r="Y883" i="26"/>
  <c r="U883" i="26"/>
  <c r="S883" i="26"/>
  <c r="AB882" i="26"/>
  <c r="AC882" i="26" s="1"/>
  <c r="Y882" i="26"/>
  <c r="U882" i="26"/>
  <c r="S882" i="26"/>
  <c r="AB881" i="26"/>
  <c r="AC881" i="26" s="1"/>
  <c r="Y881" i="26"/>
  <c r="U881" i="26"/>
  <c r="S881" i="26"/>
  <c r="AB880" i="26"/>
  <c r="AC880" i="26" s="1"/>
  <c r="Y880" i="26"/>
  <c r="U880" i="26"/>
  <c r="S880" i="26"/>
  <c r="AB879" i="26"/>
  <c r="AC879" i="26" s="1"/>
  <c r="Y879" i="26"/>
  <c r="U879" i="26"/>
  <c r="S879" i="26"/>
  <c r="AB878" i="26"/>
  <c r="AC878" i="26" s="1"/>
  <c r="U878" i="26"/>
  <c r="S878" i="26"/>
  <c r="AB877" i="26"/>
  <c r="AC877" i="26" s="1"/>
  <c r="Y877" i="26"/>
  <c r="U877" i="26"/>
  <c r="S877" i="26"/>
  <c r="AB876" i="26"/>
  <c r="AC876" i="26" s="1"/>
  <c r="Y876" i="26"/>
  <c r="U876" i="26"/>
  <c r="S876" i="26"/>
  <c r="AB875" i="26"/>
  <c r="AC875" i="26" s="1"/>
  <c r="Y875" i="26"/>
  <c r="U875" i="26"/>
  <c r="S875" i="26"/>
  <c r="AB874" i="26"/>
  <c r="AC874" i="26" s="1"/>
  <c r="Y874" i="26"/>
  <c r="U874" i="26"/>
  <c r="S874" i="26"/>
  <c r="AB873" i="26"/>
  <c r="AC873" i="26" s="1"/>
  <c r="Y873" i="26"/>
  <c r="U873" i="26"/>
  <c r="S873" i="26"/>
  <c r="AB872" i="26"/>
  <c r="AC872" i="26" s="1"/>
  <c r="Y872" i="26"/>
  <c r="U872" i="26"/>
  <c r="S872" i="26"/>
  <c r="AB871" i="26"/>
  <c r="AC871" i="26" s="1"/>
  <c r="Y871" i="26"/>
  <c r="U871" i="26"/>
  <c r="S871" i="26"/>
  <c r="AB870" i="26"/>
  <c r="AC870" i="26" s="1"/>
  <c r="Y870" i="26"/>
  <c r="U870" i="26"/>
  <c r="S870" i="26"/>
  <c r="AB869" i="26"/>
  <c r="AC869" i="26" s="1"/>
  <c r="Y869" i="26"/>
  <c r="U869" i="26"/>
  <c r="S869" i="26"/>
  <c r="AB868" i="26"/>
  <c r="AC868" i="26" s="1"/>
  <c r="Y868" i="26"/>
  <c r="U868" i="26"/>
  <c r="S868" i="26"/>
  <c r="AB867" i="26"/>
  <c r="AC867" i="26" s="1"/>
  <c r="Y867" i="26"/>
  <c r="U867" i="26"/>
  <c r="S867" i="26"/>
  <c r="AB866" i="26"/>
  <c r="AC866" i="26" s="1"/>
  <c r="Y866" i="26"/>
  <c r="U866" i="26"/>
  <c r="S866" i="26"/>
  <c r="AB865" i="26"/>
  <c r="AC865" i="26" s="1"/>
  <c r="Y865" i="26"/>
  <c r="U865" i="26"/>
  <c r="S865" i="26"/>
  <c r="AB864" i="26"/>
  <c r="AC864" i="26" s="1"/>
  <c r="Y864" i="26"/>
  <c r="U864" i="26"/>
  <c r="S864" i="26"/>
  <c r="AB863" i="26"/>
  <c r="AC863" i="26" s="1"/>
  <c r="Y863" i="26"/>
  <c r="U863" i="26"/>
  <c r="S863" i="26"/>
  <c r="AB862" i="26"/>
  <c r="AC862" i="26" s="1"/>
  <c r="Y862" i="26"/>
  <c r="U862" i="26"/>
  <c r="S862" i="26"/>
  <c r="AB861" i="26"/>
  <c r="AC861" i="26" s="1"/>
  <c r="Y861" i="26"/>
  <c r="U861" i="26"/>
  <c r="S861" i="26"/>
  <c r="AB860" i="26"/>
  <c r="AC860" i="26" s="1"/>
  <c r="Y860" i="26"/>
  <c r="U860" i="26"/>
  <c r="S860" i="26"/>
  <c r="AB859" i="26"/>
  <c r="AC859" i="26" s="1"/>
  <c r="Y859" i="26"/>
  <c r="U859" i="26"/>
  <c r="S859" i="26"/>
  <c r="AB858" i="26"/>
  <c r="AC858" i="26" s="1"/>
  <c r="Y858" i="26"/>
  <c r="U858" i="26"/>
  <c r="S858" i="26"/>
  <c r="AB857" i="26"/>
  <c r="AC857" i="26" s="1"/>
  <c r="Y857" i="26"/>
  <c r="U857" i="26"/>
  <c r="S857" i="26"/>
  <c r="AB856" i="26"/>
  <c r="AC856" i="26" s="1"/>
  <c r="Y856" i="26"/>
  <c r="U856" i="26"/>
  <c r="S856" i="26"/>
  <c r="AB855" i="26"/>
  <c r="AC855" i="26" s="1"/>
  <c r="Y855" i="26"/>
  <c r="S855" i="26"/>
  <c r="AB854" i="26"/>
  <c r="AC854" i="26" s="1"/>
  <c r="Y854" i="26"/>
  <c r="U854" i="26"/>
  <c r="S854" i="26"/>
  <c r="AB853" i="26"/>
  <c r="AC853" i="26" s="1"/>
  <c r="Y853" i="26"/>
  <c r="U853" i="26"/>
  <c r="S853" i="26"/>
  <c r="AB852" i="26"/>
  <c r="AC852" i="26" s="1"/>
  <c r="Y852" i="26"/>
  <c r="U852" i="26"/>
  <c r="S852" i="26"/>
  <c r="AB851" i="26"/>
  <c r="AC851" i="26" s="1"/>
  <c r="Y851" i="26"/>
  <c r="U851" i="26"/>
  <c r="S851" i="26"/>
  <c r="AJ850" i="26"/>
  <c r="AB850" i="26"/>
  <c r="AC850" i="26" s="1"/>
  <c r="Y850" i="26"/>
  <c r="U850" i="26"/>
  <c r="S850" i="26"/>
  <c r="AB849" i="26"/>
  <c r="AC849" i="26" s="1"/>
  <c r="Y849" i="26"/>
  <c r="U849" i="26"/>
  <c r="S849" i="26"/>
  <c r="AB848" i="26"/>
  <c r="AC848" i="26" s="1"/>
  <c r="Y848" i="26"/>
  <c r="U848" i="26"/>
  <c r="S848" i="26"/>
  <c r="AB847" i="26"/>
  <c r="AC847" i="26" s="1"/>
  <c r="Z847" i="26"/>
  <c r="Y847" i="26"/>
  <c r="U847" i="26"/>
  <c r="S847" i="26"/>
  <c r="AB846" i="26"/>
  <c r="AC846" i="26" s="1"/>
  <c r="Y846" i="26"/>
  <c r="U846" i="26"/>
  <c r="S846" i="26"/>
  <c r="AB845" i="26"/>
  <c r="AC845" i="26" s="1"/>
  <c r="Y845" i="26"/>
  <c r="U845" i="26"/>
  <c r="S845" i="26"/>
  <c r="AB844" i="26"/>
  <c r="AC844" i="26" s="1"/>
  <c r="Y844" i="26"/>
  <c r="U844" i="26"/>
  <c r="S844" i="26"/>
  <c r="AJ843" i="26"/>
  <c r="AB843" i="26"/>
  <c r="AC843" i="26" s="1"/>
  <c r="Y843" i="26"/>
  <c r="U843" i="26"/>
  <c r="S843" i="26"/>
  <c r="AB842" i="26"/>
  <c r="AC842" i="26" s="1"/>
  <c r="Y842" i="26"/>
  <c r="U842" i="26"/>
  <c r="S842" i="26"/>
  <c r="AJ841" i="26"/>
  <c r="AB841" i="26"/>
  <c r="AC841" i="26" s="1"/>
  <c r="Y841" i="26"/>
  <c r="U841" i="26"/>
  <c r="S841" i="26"/>
  <c r="AB840" i="26"/>
  <c r="AC840" i="26" s="1"/>
  <c r="Y840" i="26"/>
  <c r="U840" i="26"/>
  <c r="S840" i="26"/>
  <c r="AB839" i="26"/>
  <c r="AC839" i="26" s="1"/>
  <c r="Y839" i="26"/>
  <c r="U839" i="26"/>
  <c r="S839" i="26"/>
  <c r="AJ838" i="26"/>
  <c r="AB838" i="26"/>
  <c r="AC838" i="26" s="1"/>
  <c r="Y838" i="26"/>
  <c r="U838" i="26"/>
  <c r="S838" i="26"/>
  <c r="AB837" i="26"/>
  <c r="AC837" i="26" s="1"/>
  <c r="Y837" i="26"/>
  <c r="U837" i="26"/>
  <c r="S837" i="26"/>
  <c r="AB836" i="26"/>
  <c r="AC836" i="26" s="1"/>
  <c r="Y836" i="26"/>
  <c r="U836" i="26"/>
  <c r="S836" i="26"/>
  <c r="AB835" i="26"/>
  <c r="AC835" i="26" s="1"/>
  <c r="Y835" i="26"/>
  <c r="U835" i="26"/>
  <c r="S835" i="26"/>
  <c r="AB834" i="26"/>
  <c r="AC834" i="26" s="1"/>
  <c r="Y834" i="26"/>
  <c r="U834" i="26"/>
  <c r="S834" i="26"/>
  <c r="AB833" i="26"/>
  <c r="AC833" i="26" s="1"/>
  <c r="Y833" i="26"/>
  <c r="U833" i="26"/>
  <c r="S833" i="26"/>
  <c r="AB832" i="26"/>
  <c r="AC832" i="26" s="1"/>
  <c r="Y832" i="26"/>
  <c r="U832" i="26"/>
  <c r="S832" i="26"/>
  <c r="AB831" i="26"/>
  <c r="AC831" i="26" s="1"/>
  <c r="U831" i="26"/>
  <c r="S831" i="26"/>
  <c r="AB830" i="26"/>
  <c r="AC830" i="26" s="1"/>
  <c r="Y830" i="26"/>
  <c r="U830" i="26"/>
  <c r="S830" i="26"/>
  <c r="AB829" i="26"/>
  <c r="AC829" i="26" s="1"/>
  <c r="U829" i="26"/>
  <c r="S829" i="26"/>
  <c r="AJ828" i="26"/>
  <c r="AB828" i="26"/>
  <c r="AC828" i="26" s="1"/>
  <c r="AI828" i="26" s="1"/>
  <c r="U828" i="26"/>
  <c r="S828" i="26"/>
  <c r="AB827" i="26"/>
  <c r="AC827" i="26" s="1"/>
  <c r="Z827" i="26"/>
  <c r="Y827" i="26"/>
  <c r="U827" i="26"/>
  <c r="S827" i="26"/>
  <c r="AB826" i="26"/>
  <c r="AC826" i="26" s="1"/>
  <c r="U826" i="26"/>
  <c r="S826" i="26"/>
  <c r="AB825" i="26"/>
  <c r="AC825" i="26" s="1"/>
  <c r="U825" i="26"/>
  <c r="S825" i="26"/>
  <c r="AB824" i="26"/>
  <c r="AC824" i="26" s="1"/>
  <c r="U824" i="26"/>
  <c r="S824" i="26"/>
  <c r="AB823" i="26"/>
  <c r="AC823" i="26" s="1"/>
  <c r="U823" i="26"/>
  <c r="S823" i="26"/>
  <c r="AB822" i="26"/>
  <c r="AC822" i="26" s="1"/>
  <c r="U822" i="26"/>
  <c r="S822" i="26"/>
  <c r="AB821" i="26"/>
  <c r="AC821" i="26" s="1"/>
  <c r="U821" i="26"/>
  <c r="S821" i="26"/>
  <c r="AB820" i="26"/>
  <c r="AC820" i="26" s="1"/>
  <c r="U820" i="26"/>
  <c r="S820" i="26"/>
  <c r="AB819" i="26"/>
  <c r="AC819" i="26" s="1"/>
  <c r="U819" i="26"/>
  <c r="S819" i="26"/>
  <c r="AB818" i="26"/>
  <c r="AC818" i="26" s="1"/>
  <c r="U818" i="26"/>
  <c r="S818" i="26"/>
  <c r="AB817" i="26"/>
  <c r="AC817" i="26" s="1"/>
  <c r="U817" i="26"/>
  <c r="S817" i="26"/>
  <c r="AB816" i="26"/>
  <c r="AC816" i="26" s="1"/>
  <c r="U816" i="26"/>
  <c r="S816" i="26"/>
  <c r="AB815" i="26"/>
  <c r="AC815" i="26" s="1"/>
  <c r="U815" i="26"/>
  <c r="S815" i="26"/>
  <c r="AB814" i="26"/>
  <c r="AC814" i="26" s="1"/>
  <c r="U814" i="26"/>
  <c r="S814" i="26"/>
  <c r="AB813" i="26"/>
  <c r="AC813" i="26" s="1"/>
  <c r="U813" i="26"/>
  <c r="S813" i="26"/>
  <c r="AB812" i="26"/>
  <c r="AC812" i="26" s="1"/>
  <c r="U812" i="26"/>
  <c r="S812" i="26"/>
  <c r="AB811" i="26"/>
  <c r="AC811" i="26" s="1"/>
  <c r="U811" i="26"/>
  <c r="S811" i="26"/>
  <c r="AB810" i="26"/>
  <c r="AC810" i="26" s="1"/>
  <c r="U810" i="26"/>
  <c r="S810" i="26"/>
  <c r="AB809" i="26"/>
  <c r="AC809" i="26" s="1"/>
  <c r="U809" i="26"/>
  <c r="S809" i="26"/>
  <c r="AB808" i="26"/>
  <c r="AC808" i="26" s="1"/>
  <c r="U808" i="26"/>
  <c r="S808" i="26"/>
  <c r="AB807" i="26"/>
  <c r="AC807" i="26" s="1"/>
  <c r="U807" i="26"/>
  <c r="S807" i="26"/>
  <c r="AB806" i="26"/>
  <c r="AC806" i="26" s="1"/>
  <c r="U806" i="26"/>
  <c r="S806" i="26"/>
  <c r="AB805" i="26"/>
  <c r="AC805" i="26" s="1"/>
  <c r="U805" i="26"/>
  <c r="S805" i="26"/>
  <c r="AB804" i="26"/>
  <c r="AC804" i="26" s="1"/>
  <c r="U804" i="26"/>
  <c r="S804" i="26"/>
  <c r="AB803" i="26"/>
  <c r="AC803" i="26" s="1"/>
  <c r="U803" i="26"/>
  <c r="S803" i="26"/>
  <c r="AB802" i="26"/>
  <c r="AC802" i="26" s="1"/>
  <c r="U802" i="26"/>
  <c r="S802" i="26"/>
  <c r="AB801" i="26"/>
  <c r="AC801" i="26" s="1"/>
  <c r="U801" i="26"/>
  <c r="S801" i="26"/>
  <c r="AB800" i="26"/>
  <c r="AC800" i="26" s="1"/>
  <c r="U800" i="26"/>
  <c r="S800" i="26"/>
  <c r="AB799" i="26"/>
  <c r="AC799" i="26" s="1"/>
  <c r="U799" i="26"/>
  <c r="S799" i="26"/>
  <c r="AB798" i="26"/>
  <c r="AC798" i="26" s="1"/>
  <c r="U798" i="26"/>
  <c r="S798" i="26"/>
  <c r="AB797" i="26"/>
  <c r="AC797" i="26" s="1"/>
  <c r="U797" i="26"/>
  <c r="S797" i="26"/>
  <c r="AB796" i="26"/>
  <c r="AC796" i="26" s="1"/>
  <c r="U796" i="26"/>
  <c r="S796" i="26"/>
  <c r="AB795" i="26"/>
  <c r="AC795" i="26" s="1"/>
  <c r="U795" i="26"/>
  <c r="S795" i="26"/>
  <c r="AB794" i="26"/>
  <c r="AC794" i="26" s="1"/>
  <c r="U794" i="26"/>
  <c r="S794" i="26"/>
  <c r="AB793" i="26"/>
  <c r="AC793" i="26" s="1"/>
  <c r="U793" i="26"/>
  <c r="S793" i="26"/>
  <c r="AB792" i="26"/>
  <c r="AC792" i="26" s="1"/>
  <c r="U792" i="26"/>
  <c r="S792" i="26"/>
  <c r="AB791" i="26"/>
  <c r="AC791" i="26" s="1"/>
  <c r="U791" i="26"/>
  <c r="S791" i="26"/>
  <c r="AB790" i="26"/>
  <c r="AC790" i="26" s="1"/>
  <c r="U790" i="26"/>
  <c r="S790" i="26"/>
  <c r="AB789" i="26"/>
  <c r="AC789" i="26" s="1"/>
  <c r="U789" i="26"/>
  <c r="S789" i="26"/>
  <c r="AJ788" i="26"/>
  <c r="AB788" i="26"/>
  <c r="AC788" i="26" s="1"/>
  <c r="U788" i="26"/>
  <c r="S788" i="26"/>
  <c r="AB787" i="26"/>
  <c r="AC787" i="26" s="1"/>
  <c r="Y787" i="26"/>
  <c r="U787" i="26"/>
  <c r="S787" i="26"/>
  <c r="AJ786" i="26"/>
  <c r="AB786" i="26"/>
  <c r="AC786" i="26" s="1"/>
  <c r="Y786" i="26"/>
  <c r="U786" i="26"/>
  <c r="S786" i="26"/>
  <c r="AB785" i="26"/>
  <c r="AC785" i="26" s="1"/>
  <c r="Y785" i="26"/>
  <c r="U785" i="26"/>
  <c r="S785" i="26"/>
  <c r="AB784" i="26"/>
  <c r="AC784" i="26" s="1"/>
  <c r="Z784" i="26"/>
  <c r="Y784" i="26"/>
  <c r="U784" i="26"/>
  <c r="S784" i="26"/>
  <c r="AB783" i="26"/>
  <c r="AC783" i="26" s="1"/>
  <c r="Y783" i="26"/>
  <c r="U783" i="26"/>
  <c r="S783" i="26"/>
  <c r="AB782" i="26"/>
  <c r="AC782" i="26" s="1"/>
  <c r="Y782" i="26"/>
  <c r="U782" i="26"/>
  <c r="S782" i="26"/>
  <c r="AB781" i="26"/>
  <c r="AC781" i="26" s="1"/>
  <c r="Y781" i="26"/>
  <c r="U781" i="26"/>
  <c r="S781" i="26"/>
  <c r="AB780" i="26"/>
  <c r="AC780" i="26" s="1"/>
  <c r="Y780" i="26"/>
  <c r="U780" i="26"/>
  <c r="S780" i="26"/>
  <c r="AB779" i="26"/>
  <c r="AC779" i="26" s="1"/>
  <c r="Y779" i="26"/>
  <c r="U779" i="26"/>
  <c r="S779" i="26"/>
  <c r="AB778" i="26"/>
  <c r="Y778" i="26"/>
  <c r="U778" i="26"/>
  <c r="L778" i="26"/>
  <c r="S778" i="26" s="1"/>
  <c r="AB777" i="26"/>
  <c r="AC777" i="26" s="1"/>
  <c r="Y777" i="26"/>
  <c r="U777" i="26"/>
  <c r="S777" i="26"/>
  <c r="AB776" i="26"/>
  <c r="AC776" i="26" s="1"/>
  <c r="Y776" i="26"/>
  <c r="U776" i="26"/>
  <c r="S776" i="26"/>
  <c r="AJ775" i="26"/>
  <c r="AB775" i="26"/>
  <c r="AC775" i="26" s="1"/>
  <c r="Y775" i="26"/>
  <c r="U775" i="26"/>
  <c r="S775" i="26"/>
  <c r="AB774" i="26"/>
  <c r="AC774" i="26" s="1"/>
  <c r="Y774" i="26"/>
  <c r="U774" i="26"/>
  <c r="S774" i="26"/>
  <c r="AB773" i="26"/>
  <c r="AC773" i="26" s="1"/>
  <c r="Y773" i="26"/>
  <c r="U773" i="26"/>
  <c r="S773" i="26"/>
  <c r="AB772" i="26"/>
  <c r="AC772" i="26" s="1"/>
  <c r="Y772" i="26"/>
  <c r="U772" i="26"/>
  <c r="S772" i="26"/>
  <c r="AB771" i="26"/>
  <c r="AC771" i="26" s="1"/>
  <c r="Z771" i="26"/>
  <c r="Y771" i="26"/>
  <c r="U771" i="26"/>
  <c r="S771" i="26"/>
  <c r="AB770" i="26"/>
  <c r="AC770" i="26" s="1"/>
  <c r="U770" i="26"/>
  <c r="S770" i="26"/>
  <c r="AB769" i="26"/>
  <c r="AC769" i="26" s="1"/>
  <c r="U769" i="26"/>
  <c r="S769" i="26"/>
  <c r="AJ768" i="26"/>
  <c r="AB768" i="26"/>
  <c r="AC768" i="26" s="1"/>
  <c r="U768" i="26"/>
  <c r="S768" i="26"/>
  <c r="AB767" i="26"/>
  <c r="AC767" i="26" s="1"/>
  <c r="U767" i="26"/>
  <c r="S767" i="26"/>
  <c r="AB766" i="26"/>
  <c r="AC766" i="26" s="1"/>
  <c r="U766" i="26"/>
  <c r="S766" i="26"/>
  <c r="AB765" i="26"/>
  <c r="AC765" i="26" s="1"/>
  <c r="U765" i="26"/>
  <c r="S765" i="26"/>
  <c r="AB764" i="26"/>
  <c r="AC764" i="26" s="1"/>
  <c r="U764" i="26"/>
  <c r="S764" i="26"/>
  <c r="AB763" i="26"/>
  <c r="AC763" i="26" s="1"/>
  <c r="U763" i="26"/>
  <c r="S763" i="26"/>
  <c r="AB762" i="26"/>
  <c r="AC762" i="26" s="1"/>
  <c r="U762" i="26"/>
  <c r="S762" i="26"/>
  <c r="AB761" i="26"/>
  <c r="AC761" i="26" s="1"/>
  <c r="U761" i="26"/>
  <c r="S761" i="26"/>
  <c r="AB760" i="26"/>
  <c r="AC760" i="26" s="1"/>
  <c r="U760" i="26"/>
  <c r="S760" i="26"/>
  <c r="AB759" i="26"/>
  <c r="AC759" i="26" s="1"/>
  <c r="U759" i="26"/>
  <c r="S759" i="26"/>
  <c r="AB758" i="26"/>
  <c r="AC758" i="26" s="1"/>
  <c r="U758" i="26"/>
  <c r="S758" i="26"/>
  <c r="AB757" i="26"/>
  <c r="AC757" i="26" s="1"/>
  <c r="U757" i="26"/>
  <c r="S757" i="26"/>
  <c r="AB756" i="26"/>
  <c r="AC756" i="26" s="1"/>
  <c r="U756" i="26"/>
  <c r="S756" i="26"/>
  <c r="AB755" i="26"/>
  <c r="AC755" i="26" s="1"/>
  <c r="U755" i="26"/>
  <c r="S755" i="26"/>
  <c r="AB754" i="26"/>
  <c r="AC754" i="26" s="1"/>
  <c r="U754" i="26"/>
  <c r="S754" i="26"/>
  <c r="AB753" i="26"/>
  <c r="AC753" i="26" s="1"/>
  <c r="U753" i="26"/>
  <c r="S753" i="26"/>
  <c r="AB752" i="26"/>
  <c r="AC752" i="26" s="1"/>
  <c r="U752" i="26"/>
  <c r="S752" i="26"/>
  <c r="AB751" i="26"/>
  <c r="AC751" i="26" s="1"/>
  <c r="U751" i="26"/>
  <c r="S751" i="26"/>
  <c r="AB750" i="26"/>
  <c r="AC750" i="26" s="1"/>
  <c r="U750" i="26"/>
  <c r="S750" i="26"/>
  <c r="AB749" i="26"/>
  <c r="AC749" i="26" s="1"/>
  <c r="U749" i="26"/>
  <c r="S749" i="26"/>
  <c r="AB748" i="26"/>
  <c r="AC748" i="26" s="1"/>
  <c r="U748" i="26"/>
  <c r="S748" i="26"/>
  <c r="AB747" i="26"/>
  <c r="AC747" i="26" s="1"/>
  <c r="U747" i="26"/>
  <c r="S747" i="26"/>
  <c r="AB746" i="26"/>
  <c r="AC746" i="26" s="1"/>
  <c r="U746" i="26"/>
  <c r="S746" i="26"/>
  <c r="AB745" i="26"/>
  <c r="AC745" i="26" s="1"/>
  <c r="U745" i="26"/>
  <c r="S745" i="26"/>
  <c r="AB744" i="26"/>
  <c r="AC744" i="26" s="1"/>
  <c r="U744" i="26"/>
  <c r="S744" i="26"/>
  <c r="AB743" i="26"/>
  <c r="AC743" i="26" s="1"/>
  <c r="U743" i="26"/>
  <c r="S743" i="26"/>
  <c r="AB742" i="26"/>
  <c r="AC742" i="26" s="1"/>
  <c r="U742" i="26"/>
  <c r="S742" i="26"/>
  <c r="AB741" i="26"/>
  <c r="AC741" i="26" s="1"/>
  <c r="U741" i="26"/>
  <c r="S741" i="26"/>
  <c r="AB740" i="26"/>
  <c r="AC740" i="26" s="1"/>
  <c r="U740" i="26"/>
  <c r="S740" i="26"/>
  <c r="AB739" i="26"/>
  <c r="AC739" i="26" s="1"/>
  <c r="U739" i="26"/>
  <c r="S739" i="26"/>
  <c r="AB738" i="26"/>
  <c r="AC738" i="26" s="1"/>
  <c r="U738" i="26"/>
  <c r="S738" i="26"/>
  <c r="AB737" i="26"/>
  <c r="AC737" i="26" s="1"/>
  <c r="U737" i="26"/>
  <c r="S737" i="26"/>
  <c r="AB736" i="26"/>
  <c r="AC736" i="26" s="1"/>
  <c r="U736" i="26"/>
  <c r="S736" i="26"/>
  <c r="AB735" i="26"/>
  <c r="AC735" i="26" s="1"/>
  <c r="U735" i="26"/>
  <c r="S735" i="26"/>
  <c r="AB734" i="26"/>
  <c r="AC734" i="26" s="1"/>
  <c r="U734" i="26"/>
  <c r="S734" i="26"/>
  <c r="AB733" i="26"/>
  <c r="AC733" i="26" s="1"/>
  <c r="U733" i="26"/>
  <c r="S733" i="26"/>
  <c r="AB732" i="26"/>
  <c r="AC732" i="26" s="1"/>
  <c r="U732" i="26"/>
  <c r="S732" i="26"/>
  <c r="AJ731" i="26"/>
  <c r="AB731" i="26"/>
  <c r="AC731" i="26" s="1"/>
  <c r="U731" i="26"/>
  <c r="S731" i="26"/>
  <c r="AB730" i="26"/>
  <c r="AC730" i="26" s="1"/>
  <c r="U730" i="26"/>
  <c r="S730" i="26"/>
  <c r="AJ729" i="26"/>
  <c r="AB729" i="26"/>
  <c r="AC729" i="26" s="1"/>
  <c r="U729" i="26"/>
  <c r="S729" i="26"/>
  <c r="AB728" i="26"/>
  <c r="AC728" i="26" s="1"/>
  <c r="U728" i="26"/>
  <c r="S728" i="26"/>
  <c r="AB727" i="26"/>
  <c r="AC727" i="26" s="1"/>
  <c r="U727" i="26"/>
  <c r="S727" i="26"/>
  <c r="AJ726" i="26"/>
  <c r="AB726" i="26"/>
  <c r="AC726" i="26" s="1"/>
  <c r="Y726" i="26"/>
  <c r="U726" i="26"/>
  <c r="S726" i="26"/>
  <c r="AB725" i="26"/>
  <c r="AC725" i="26" s="1"/>
  <c r="Z725" i="26"/>
  <c r="Y725" i="26"/>
  <c r="U725" i="26"/>
  <c r="S725" i="26"/>
  <c r="AB724" i="26"/>
  <c r="AC724" i="26" s="1"/>
  <c r="Y724" i="26"/>
  <c r="U724" i="26"/>
  <c r="S724" i="26"/>
  <c r="AB723" i="26"/>
  <c r="AC723" i="26" s="1"/>
  <c r="Z723" i="26"/>
  <c r="Y723" i="26"/>
  <c r="U723" i="26"/>
  <c r="S723" i="26"/>
  <c r="AB722" i="26"/>
  <c r="AC722" i="26" s="1"/>
  <c r="Y722" i="26"/>
  <c r="U722" i="26"/>
  <c r="S722" i="26"/>
  <c r="AB721" i="26"/>
  <c r="AC721" i="26" s="1"/>
  <c r="Y721" i="26"/>
  <c r="U721" i="26"/>
  <c r="S721" i="26"/>
  <c r="AB720" i="26"/>
  <c r="AC720" i="26" s="1"/>
  <c r="Y720" i="26"/>
  <c r="U720" i="26"/>
  <c r="S720" i="26"/>
  <c r="AJ719" i="26"/>
  <c r="AB719" i="26"/>
  <c r="AC719" i="26" s="1"/>
  <c r="Y719" i="26"/>
  <c r="U719" i="26"/>
  <c r="S719" i="26"/>
  <c r="AB718" i="26"/>
  <c r="AC718" i="26" s="1"/>
  <c r="Y718" i="26"/>
  <c r="U718" i="26"/>
  <c r="S718" i="26"/>
  <c r="AB717" i="26"/>
  <c r="AC717" i="26" s="1"/>
  <c r="Y717" i="26"/>
  <c r="U717" i="26"/>
  <c r="S717" i="26"/>
  <c r="AB716" i="26"/>
  <c r="AC716" i="26" s="1"/>
  <c r="Y716" i="26"/>
  <c r="U716" i="26"/>
  <c r="S716" i="26"/>
  <c r="AJ715" i="26"/>
  <c r="AB715" i="26"/>
  <c r="AC715" i="26" s="1"/>
  <c r="Y715" i="26"/>
  <c r="U715" i="26"/>
  <c r="S715" i="26"/>
  <c r="AB714" i="26"/>
  <c r="AC714" i="26" s="1"/>
  <c r="Y714" i="26"/>
  <c r="U714" i="26"/>
  <c r="S714" i="26"/>
  <c r="AB713" i="26"/>
  <c r="AC713" i="26" s="1"/>
  <c r="Y713" i="26"/>
  <c r="U713" i="26"/>
  <c r="S713" i="26"/>
  <c r="AJ712" i="26"/>
  <c r="AB712" i="26"/>
  <c r="AC712" i="26" s="1"/>
  <c r="Y712" i="26"/>
  <c r="U712" i="26"/>
  <c r="S712" i="26"/>
  <c r="AB711" i="26"/>
  <c r="AC711" i="26" s="1"/>
  <c r="Y711" i="26"/>
  <c r="U711" i="26"/>
  <c r="S711" i="26"/>
  <c r="AB710" i="26"/>
  <c r="AC710" i="26" s="1"/>
  <c r="Y710" i="26"/>
  <c r="U710" i="26"/>
  <c r="S710" i="26"/>
  <c r="AJ709" i="26"/>
  <c r="AB709" i="26"/>
  <c r="AC709" i="26" s="1"/>
  <c r="Y709" i="26"/>
  <c r="U709" i="26"/>
  <c r="S709" i="26"/>
  <c r="AB708" i="26"/>
  <c r="AC708" i="26" s="1"/>
  <c r="Y708" i="26"/>
  <c r="U708" i="26"/>
  <c r="S708" i="26"/>
  <c r="AB707" i="26"/>
  <c r="AC707" i="26" s="1"/>
  <c r="Y707" i="26"/>
  <c r="U707" i="26"/>
  <c r="S707" i="26"/>
  <c r="AJ706" i="26"/>
  <c r="AB706" i="26"/>
  <c r="AC706" i="26" s="1"/>
  <c r="Y706" i="26"/>
  <c r="U706" i="26"/>
  <c r="S706" i="26"/>
  <c r="AB705" i="26"/>
  <c r="AC705" i="26" s="1"/>
  <c r="Y705" i="26"/>
  <c r="U705" i="26"/>
  <c r="S705" i="26"/>
  <c r="AB704" i="26"/>
  <c r="AC704" i="26" s="1"/>
  <c r="Y704" i="26"/>
  <c r="U704" i="26"/>
  <c r="S704" i="26"/>
  <c r="AB703" i="26"/>
  <c r="AC703" i="26" s="1"/>
  <c r="Y703" i="26"/>
  <c r="U703" i="26"/>
  <c r="S703" i="26"/>
  <c r="AB702" i="26"/>
  <c r="AC702" i="26" s="1"/>
  <c r="Y702" i="26"/>
  <c r="U702" i="26"/>
  <c r="S702" i="26"/>
  <c r="AB701" i="26"/>
  <c r="AC701" i="26" s="1"/>
  <c r="Y701" i="26"/>
  <c r="U701" i="26"/>
  <c r="S701" i="26"/>
  <c r="AJ700" i="26"/>
  <c r="AB700" i="26"/>
  <c r="AC700" i="26" s="1"/>
  <c r="Y700" i="26"/>
  <c r="U700" i="26"/>
  <c r="S700" i="26"/>
  <c r="AB699" i="26"/>
  <c r="AC699" i="26" s="1"/>
  <c r="Y699" i="26"/>
  <c r="U699" i="26"/>
  <c r="S699" i="26"/>
  <c r="AB698" i="26"/>
  <c r="AC698" i="26" s="1"/>
  <c r="Y698" i="26"/>
  <c r="U698" i="26"/>
  <c r="S698" i="26"/>
  <c r="AB697" i="26"/>
  <c r="AC697" i="26" s="1"/>
  <c r="U697" i="26"/>
  <c r="S697" i="26"/>
  <c r="AB696" i="26"/>
  <c r="AC696" i="26" s="1"/>
  <c r="U696" i="26"/>
  <c r="S696" i="26"/>
  <c r="AB695" i="26"/>
  <c r="AC695" i="26" s="1"/>
  <c r="U695" i="26"/>
  <c r="S695" i="26"/>
  <c r="AJ694" i="26"/>
  <c r="AB694" i="26"/>
  <c r="AC694" i="26" s="1"/>
  <c r="U694" i="26"/>
  <c r="S694" i="26"/>
  <c r="AB693" i="26"/>
  <c r="AC693" i="26" s="1"/>
  <c r="U693" i="26"/>
  <c r="S693" i="26"/>
  <c r="AB692" i="26"/>
  <c r="AC692" i="26" s="1"/>
  <c r="U692" i="26"/>
  <c r="S692" i="26"/>
  <c r="AB691" i="26"/>
  <c r="AC691" i="26" s="1"/>
  <c r="U691" i="26"/>
  <c r="S691" i="26"/>
  <c r="AB690" i="26"/>
  <c r="AC690" i="26" s="1"/>
  <c r="U690" i="26"/>
  <c r="S690" i="26"/>
  <c r="AB689" i="26"/>
  <c r="AC689" i="26" s="1"/>
  <c r="U689" i="26"/>
  <c r="S689" i="26"/>
  <c r="AB688" i="26"/>
  <c r="AC688" i="26" s="1"/>
  <c r="U688" i="26"/>
  <c r="S688" i="26"/>
  <c r="AB687" i="26"/>
  <c r="AC687" i="26" s="1"/>
  <c r="U687" i="26"/>
  <c r="S687" i="26"/>
  <c r="AB686" i="26"/>
  <c r="AC686" i="26" s="1"/>
  <c r="U686" i="26"/>
  <c r="S686" i="26"/>
  <c r="AB685" i="26"/>
  <c r="AC685" i="26" s="1"/>
  <c r="U685" i="26"/>
  <c r="S685" i="26"/>
  <c r="AB684" i="26"/>
  <c r="AC684" i="26" s="1"/>
  <c r="U684" i="26"/>
  <c r="S684" i="26"/>
  <c r="AB683" i="26"/>
  <c r="AC683" i="26" s="1"/>
  <c r="U683" i="26"/>
  <c r="S683" i="26"/>
  <c r="AB682" i="26"/>
  <c r="AC682" i="26" s="1"/>
  <c r="U682" i="26"/>
  <c r="S682" i="26"/>
  <c r="AB681" i="26"/>
  <c r="AC681" i="26" s="1"/>
  <c r="U681" i="26"/>
  <c r="S681" i="26"/>
  <c r="AB680" i="26"/>
  <c r="AC680" i="26" s="1"/>
  <c r="U680" i="26"/>
  <c r="S680" i="26"/>
  <c r="AB679" i="26"/>
  <c r="AC679" i="26" s="1"/>
  <c r="U679" i="26"/>
  <c r="S679" i="26"/>
  <c r="AB678" i="26"/>
  <c r="AC678" i="26" s="1"/>
  <c r="U678" i="26"/>
  <c r="S678" i="26"/>
  <c r="AB677" i="26"/>
  <c r="AC677" i="26" s="1"/>
  <c r="U677" i="26"/>
  <c r="S677" i="26"/>
  <c r="AB676" i="26"/>
  <c r="AC676" i="26" s="1"/>
  <c r="U676" i="26"/>
  <c r="S676" i="26"/>
  <c r="AB675" i="26"/>
  <c r="AC675" i="26" s="1"/>
  <c r="U675" i="26"/>
  <c r="S675" i="26"/>
  <c r="AB674" i="26"/>
  <c r="AC674" i="26" s="1"/>
  <c r="U674" i="26"/>
  <c r="S674" i="26"/>
  <c r="AB673" i="26"/>
  <c r="AC673" i="26" s="1"/>
  <c r="U673" i="26"/>
  <c r="S673" i="26"/>
  <c r="AB672" i="26"/>
  <c r="AC672" i="26" s="1"/>
  <c r="U672" i="26"/>
  <c r="S672" i="26"/>
  <c r="AB671" i="26"/>
  <c r="AC671" i="26" s="1"/>
  <c r="U671" i="26"/>
  <c r="S671" i="26"/>
  <c r="AB670" i="26"/>
  <c r="AC670" i="26" s="1"/>
  <c r="U670" i="26"/>
  <c r="S670" i="26"/>
  <c r="AB669" i="26"/>
  <c r="AC669" i="26" s="1"/>
  <c r="U669" i="26"/>
  <c r="S669" i="26"/>
  <c r="AB668" i="26"/>
  <c r="AC668" i="26" s="1"/>
  <c r="U668" i="26"/>
  <c r="S668" i="26"/>
  <c r="AB667" i="26"/>
  <c r="AC667" i="26" s="1"/>
  <c r="U667" i="26"/>
  <c r="S667" i="26"/>
  <c r="AB666" i="26"/>
  <c r="AC666" i="26" s="1"/>
  <c r="U666" i="26"/>
  <c r="S666" i="26"/>
  <c r="AB665" i="26"/>
  <c r="AC665" i="26" s="1"/>
  <c r="U665" i="26"/>
  <c r="S665" i="26"/>
  <c r="AB664" i="26"/>
  <c r="AC664" i="26" s="1"/>
  <c r="U664" i="26"/>
  <c r="S664" i="26"/>
  <c r="AB663" i="26"/>
  <c r="AC663" i="26" s="1"/>
  <c r="U663" i="26"/>
  <c r="S663" i="26"/>
  <c r="AB662" i="26"/>
  <c r="AC662" i="26" s="1"/>
  <c r="U662" i="26"/>
  <c r="S662" i="26"/>
  <c r="AB661" i="26"/>
  <c r="AC661" i="26" s="1"/>
  <c r="U661" i="26"/>
  <c r="S661" i="26"/>
  <c r="AB660" i="26"/>
  <c r="AC660" i="26" s="1"/>
  <c r="U660" i="26"/>
  <c r="S660" i="26"/>
  <c r="AB659" i="26"/>
  <c r="AC659" i="26" s="1"/>
  <c r="U659" i="26"/>
  <c r="S659" i="26"/>
  <c r="AB658" i="26"/>
  <c r="AC658" i="26" s="1"/>
  <c r="U658" i="26"/>
  <c r="S658" i="26"/>
  <c r="AB657" i="26"/>
  <c r="AC657" i="26" s="1"/>
  <c r="U657" i="26"/>
  <c r="S657" i="26"/>
  <c r="AB656" i="26"/>
  <c r="AC656" i="26" s="1"/>
  <c r="U656" i="26"/>
  <c r="S656" i="26"/>
  <c r="AB655" i="26"/>
  <c r="AC655" i="26" s="1"/>
  <c r="U655" i="26"/>
  <c r="S655" i="26"/>
  <c r="AB654" i="26"/>
  <c r="AC654" i="26" s="1"/>
  <c r="U654" i="26"/>
  <c r="S654" i="26"/>
  <c r="AB653" i="26"/>
  <c r="AC653" i="26" s="1"/>
  <c r="U653" i="26"/>
  <c r="S653" i="26"/>
  <c r="AB652" i="26"/>
  <c r="AC652" i="26" s="1"/>
  <c r="U652" i="26"/>
  <c r="S652" i="26"/>
  <c r="AB651" i="26"/>
  <c r="AC651" i="26" s="1"/>
  <c r="U651" i="26"/>
  <c r="S651" i="26"/>
  <c r="AJ650" i="26"/>
  <c r="AB650" i="26"/>
  <c r="AC650" i="26" s="1"/>
  <c r="U650" i="26"/>
  <c r="S650" i="26"/>
  <c r="AB649" i="26"/>
  <c r="AC649" i="26" s="1"/>
  <c r="Y649" i="26"/>
  <c r="U649" i="26"/>
  <c r="S649" i="26"/>
  <c r="AB648" i="26"/>
  <c r="AC648" i="26" s="1"/>
  <c r="Y648" i="26"/>
  <c r="U648" i="26"/>
  <c r="S648" i="26"/>
  <c r="AB647" i="26"/>
  <c r="AC647" i="26" s="1"/>
  <c r="Y647" i="26"/>
  <c r="U647" i="26"/>
  <c r="S647" i="26"/>
  <c r="AJ646" i="26"/>
  <c r="AB646" i="26"/>
  <c r="AC646" i="26" s="1"/>
  <c r="Y646" i="26"/>
  <c r="U646" i="26"/>
  <c r="S646" i="26"/>
  <c r="AB645" i="26"/>
  <c r="AC645" i="26" s="1"/>
  <c r="Y645" i="26"/>
  <c r="U645" i="26"/>
  <c r="S645" i="26"/>
  <c r="AB644" i="26"/>
  <c r="AC644" i="26" s="1"/>
  <c r="Y644" i="26"/>
  <c r="U644" i="26"/>
  <c r="S644" i="26"/>
  <c r="AB643" i="26"/>
  <c r="AC643" i="26" s="1"/>
  <c r="Y643" i="26"/>
  <c r="U643" i="26"/>
  <c r="S643" i="26"/>
  <c r="AJ642" i="26"/>
  <c r="AB642" i="26"/>
  <c r="AC642" i="26" s="1"/>
  <c r="Y642" i="26"/>
  <c r="U642" i="26"/>
  <c r="S642" i="26"/>
  <c r="AB641" i="26"/>
  <c r="AC641" i="26" s="1"/>
  <c r="Y641" i="26"/>
  <c r="U641" i="26"/>
  <c r="S641" i="26"/>
  <c r="AB640" i="26"/>
  <c r="AC640" i="26" s="1"/>
  <c r="Y640" i="26"/>
  <c r="U640" i="26"/>
  <c r="S640" i="26"/>
  <c r="AJ639" i="26"/>
  <c r="AB639" i="26"/>
  <c r="AC639" i="26" s="1"/>
  <c r="Y639" i="26"/>
  <c r="U639" i="26"/>
  <c r="S639" i="26"/>
  <c r="AB638" i="26"/>
  <c r="AC638" i="26" s="1"/>
  <c r="Z638" i="26"/>
  <c r="Y638" i="26"/>
  <c r="U638" i="26"/>
  <c r="S638" i="26"/>
  <c r="AB637" i="26"/>
  <c r="AC637" i="26" s="1"/>
  <c r="Y637" i="26"/>
  <c r="U637" i="26"/>
  <c r="S637" i="26"/>
  <c r="AB636" i="26"/>
  <c r="AC636" i="26" s="1"/>
  <c r="Y636" i="26"/>
  <c r="U636" i="26"/>
  <c r="S636" i="26"/>
  <c r="AB635" i="26"/>
  <c r="AC635" i="26" s="1"/>
  <c r="Y635" i="26"/>
  <c r="U635" i="26"/>
  <c r="S635" i="26"/>
  <c r="AB634" i="26"/>
  <c r="AC634" i="26" s="1"/>
  <c r="Y634" i="26"/>
  <c r="U634" i="26"/>
  <c r="S634" i="26"/>
  <c r="AB633" i="26"/>
  <c r="AC633" i="26" s="1"/>
  <c r="Y633" i="26"/>
  <c r="U633" i="26"/>
  <c r="S633" i="26"/>
  <c r="AB632" i="26"/>
  <c r="AC632" i="26" s="1"/>
  <c r="Y632" i="26"/>
  <c r="U632" i="26"/>
  <c r="S632" i="26"/>
  <c r="AB631" i="26"/>
  <c r="AC631" i="26" s="1"/>
  <c r="Y631" i="26"/>
  <c r="U631" i="26"/>
  <c r="S631" i="26"/>
  <c r="AB630" i="26"/>
  <c r="AC630" i="26" s="1"/>
  <c r="Y630" i="26"/>
  <c r="U630" i="26"/>
  <c r="S630" i="26"/>
  <c r="AJ629" i="26"/>
  <c r="AB629" i="26"/>
  <c r="AC629" i="26" s="1"/>
  <c r="Y629" i="26"/>
  <c r="U629" i="26"/>
  <c r="S629" i="26"/>
  <c r="AB628" i="26"/>
  <c r="AC628" i="26" s="1"/>
  <c r="Y628" i="26"/>
  <c r="U628" i="26"/>
  <c r="S628" i="26"/>
  <c r="AJ627" i="26"/>
  <c r="AB627" i="26"/>
  <c r="AC627" i="26" s="1"/>
  <c r="Y627" i="26"/>
  <c r="U627" i="26"/>
  <c r="S627" i="26"/>
  <c r="AB626" i="26"/>
  <c r="AC626" i="26" s="1"/>
  <c r="Y626" i="26"/>
  <c r="U626" i="26"/>
  <c r="S626" i="26"/>
  <c r="AB625" i="26"/>
  <c r="AC625" i="26" s="1"/>
  <c r="U625" i="26"/>
  <c r="S625" i="26"/>
  <c r="AJ624" i="26"/>
  <c r="AB624" i="26"/>
  <c r="AC624" i="26" s="1"/>
  <c r="U624" i="26"/>
  <c r="S624" i="26"/>
  <c r="AB623" i="26"/>
  <c r="AC623" i="26" s="1"/>
  <c r="U623" i="26"/>
  <c r="S623" i="26"/>
  <c r="AB622" i="26"/>
  <c r="AC622" i="26" s="1"/>
  <c r="U622" i="26"/>
  <c r="S622" i="26"/>
  <c r="AB621" i="26"/>
  <c r="AC621" i="26" s="1"/>
  <c r="U621" i="26"/>
  <c r="S621" i="26"/>
  <c r="AB620" i="26"/>
  <c r="AC620" i="26" s="1"/>
  <c r="U620" i="26"/>
  <c r="S620" i="26"/>
  <c r="AB619" i="26"/>
  <c r="AC619" i="26" s="1"/>
  <c r="U619" i="26"/>
  <c r="S619" i="26"/>
  <c r="AB618" i="26"/>
  <c r="AC618" i="26" s="1"/>
  <c r="U618" i="26"/>
  <c r="S618" i="26"/>
  <c r="AB617" i="26"/>
  <c r="AC617" i="26" s="1"/>
  <c r="U617" i="26"/>
  <c r="S617" i="26"/>
  <c r="AB616" i="26"/>
  <c r="AC616" i="26" s="1"/>
  <c r="U616" i="26"/>
  <c r="S616" i="26"/>
  <c r="AB615" i="26"/>
  <c r="AC615" i="26" s="1"/>
  <c r="U615" i="26"/>
  <c r="S615" i="26"/>
  <c r="AB614" i="26"/>
  <c r="AC614" i="26" s="1"/>
  <c r="U614" i="26"/>
  <c r="S614" i="26"/>
  <c r="AB613" i="26"/>
  <c r="AC613" i="26" s="1"/>
  <c r="U613" i="26"/>
  <c r="S613" i="26"/>
  <c r="AB612" i="26"/>
  <c r="AC612" i="26" s="1"/>
  <c r="U612" i="26"/>
  <c r="S612" i="26"/>
  <c r="AB611" i="26"/>
  <c r="AC611" i="26" s="1"/>
  <c r="U611" i="26"/>
  <c r="S611" i="26"/>
  <c r="AB610" i="26"/>
  <c r="AC610" i="26" s="1"/>
  <c r="U610" i="26"/>
  <c r="S610" i="26"/>
  <c r="AB609" i="26"/>
  <c r="AC609" i="26" s="1"/>
  <c r="U609" i="26"/>
  <c r="S609" i="26"/>
  <c r="AB608" i="26"/>
  <c r="AC608" i="26" s="1"/>
  <c r="U608" i="26"/>
  <c r="S608" i="26"/>
  <c r="AB607" i="26"/>
  <c r="AC607" i="26" s="1"/>
  <c r="U607" i="26"/>
  <c r="S607" i="26"/>
  <c r="AB606" i="26"/>
  <c r="AC606" i="26" s="1"/>
  <c r="U606" i="26"/>
  <c r="S606" i="26"/>
  <c r="AB605" i="26"/>
  <c r="AC605" i="26" s="1"/>
  <c r="U605" i="26"/>
  <c r="S605" i="26"/>
  <c r="AB604" i="26"/>
  <c r="AC604" i="26" s="1"/>
  <c r="U604" i="26"/>
  <c r="S604" i="26"/>
  <c r="AB603" i="26"/>
  <c r="AC603" i="26" s="1"/>
  <c r="U603" i="26"/>
  <c r="S603" i="26"/>
  <c r="AB602" i="26"/>
  <c r="AC602" i="26" s="1"/>
  <c r="U602" i="26"/>
  <c r="S602" i="26"/>
  <c r="AB601" i="26"/>
  <c r="AC601" i="26" s="1"/>
  <c r="U601" i="26"/>
  <c r="S601" i="26"/>
  <c r="AB600" i="26"/>
  <c r="AC600" i="26" s="1"/>
  <c r="U600" i="26"/>
  <c r="S600" i="26"/>
  <c r="AB599" i="26"/>
  <c r="AC599" i="26" s="1"/>
  <c r="U599" i="26"/>
  <c r="S599" i="26"/>
  <c r="AB598" i="26"/>
  <c r="AC598" i="26" s="1"/>
  <c r="U598" i="26"/>
  <c r="S598" i="26"/>
  <c r="AB597" i="26"/>
  <c r="AC597" i="26" s="1"/>
  <c r="U597" i="26"/>
  <c r="S597" i="26"/>
  <c r="AB596" i="26"/>
  <c r="AC596" i="26" s="1"/>
  <c r="U596" i="26"/>
  <c r="S596" i="26"/>
  <c r="AB595" i="26"/>
  <c r="AC595" i="26" s="1"/>
  <c r="U595" i="26"/>
  <c r="S595" i="26"/>
  <c r="AB594" i="26"/>
  <c r="AC594" i="26" s="1"/>
  <c r="U594" i="26"/>
  <c r="S594" i="26"/>
  <c r="AB593" i="26"/>
  <c r="AC593" i="26" s="1"/>
  <c r="U593" i="26"/>
  <c r="S593" i="26"/>
  <c r="AB592" i="26"/>
  <c r="AC592" i="26" s="1"/>
  <c r="U592" i="26"/>
  <c r="S592" i="26"/>
  <c r="AB591" i="26"/>
  <c r="AC591" i="26" s="1"/>
  <c r="U591" i="26"/>
  <c r="S591" i="26"/>
  <c r="AB590" i="26"/>
  <c r="AC590" i="26" s="1"/>
  <c r="U590" i="26"/>
  <c r="S590" i="26"/>
  <c r="AB589" i="26"/>
  <c r="AC589" i="26" s="1"/>
  <c r="U589" i="26"/>
  <c r="S589" i="26"/>
  <c r="AB588" i="26"/>
  <c r="AC588" i="26" s="1"/>
  <c r="U588" i="26"/>
  <c r="S588" i="26"/>
  <c r="AB587" i="26"/>
  <c r="AC587" i="26" s="1"/>
  <c r="U587" i="26"/>
  <c r="S587" i="26"/>
  <c r="AJ586" i="26"/>
  <c r="AB586" i="26"/>
  <c r="AC586" i="26" s="1"/>
  <c r="U586" i="26"/>
  <c r="S586" i="26"/>
  <c r="AB585" i="26"/>
  <c r="AC585" i="26" s="1"/>
  <c r="Y585" i="26"/>
  <c r="U585" i="26"/>
  <c r="S585" i="26"/>
  <c r="AB584" i="26"/>
  <c r="AC584" i="26" s="1"/>
  <c r="Y584" i="26"/>
  <c r="U584" i="26"/>
  <c r="S584" i="26"/>
  <c r="AB583" i="26"/>
  <c r="AC583" i="26" s="1"/>
  <c r="Y583" i="26"/>
  <c r="U583" i="26"/>
  <c r="S583" i="26"/>
  <c r="AJ582" i="26"/>
  <c r="AB582" i="26"/>
  <c r="AC582" i="26" s="1"/>
  <c r="Y582" i="26"/>
  <c r="U582" i="26"/>
  <c r="S582" i="26"/>
  <c r="AB581" i="26"/>
  <c r="AC581" i="26" s="1"/>
  <c r="Z581" i="26"/>
  <c r="Y581" i="26"/>
  <c r="U581" i="26"/>
  <c r="S581" i="26"/>
  <c r="AB580" i="26"/>
  <c r="AC580" i="26" s="1"/>
  <c r="Y580" i="26"/>
  <c r="U580" i="26"/>
  <c r="S580" i="26"/>
  <c r="AJ579" i="26"/>
  <c r="AB579" i="26"/>
  <c r="AC579" i="26" s="1"/>
  <c r="Y579" i="26"/>
  <c r="U579" i="26"/>
  <c r="S579" i="26"/>
  <c r="AB578" i="26"/>
  <c r="AC578" i="26" s="1"/>
  <c r="Y578" i="26"/>
  <c r="U578" i="26"/>
  <c r="S578" i="26"/>
  <c r="AB577" i="26"/>
  <c r="AC577" i="26" s="1"/>
  <c r="Z577" i="26"/>
  <c r="Y577" i="26"/>
  <c r="U577" i="26"/>
  <c r="S577" i="26"/>
  <c r="AB576" i="26"/>
  <c r="AC576" i="26" s="1"/>
  <c r="Y576" i="26"/>
  <c r="U576" i="26"/>
  <c r="S576" i="26"/>
  <c r="AJ575" i="26"/>
  <c r="AB575" i="26"/>
  <c r="AC575" i="26" s="1"/>
  <c r="Y575" i="26"/>
  <c r="U575" i="26"/>
  <c r="S575" i="26"/>
  <c r="AB574" i="26"/>
  <c r="AC574" i="26" s="1"/>
  <c r="Y574" i="26"/>
  <c r="U574" i="26"/>
  <c r="S574" i="26"/>
  <c r="AB573" i="26"/>
  <c r="AC573" i="26" s="1"/>
  <c r="Y573" i="26"/>
  <c r="U573" i="26"/>
  <c r="S573" i="26"/>
  <c r="AB572" i="26"/>
  <c r="AC572" i="26" s="1"/>
  <c r="Y572" i="26"/>
  <c r="U572" i="26"/>
  <c r="S572" i="26"/>
  <c r="AB571" i="26"/>
  <c r="AC571" i="26" s="1"/>
  <c r="Y571" i="26"/>
  <c r="U571" i="26"/>
  <c r="S571" i="26"/>
  <c r="AB570" i="26"/>
  <c r="AC570" i="26" s="1"/>
  <c r="Y570" i="26"/>
  <c r="U570" i="26"/>
  <c r="S570" i="26"/>
  <c r="AB569" i="26"/>
  <c r="AC569" i="26" s="1"/>
  <c r="Y569" i="26"/>
  <c r="U569" i="26"/>
  <c r="S569" i="26"/>
  <c r="AB568" i="26"/>
  <c r="AC568" i="26" s="1"/>
  <c r="Y568" i="26"/>
  <c r="U568" i="26"/>
  <c r="S568" i="26"/>
  <c r="AB567" i="26"/>
  <c r="AC567" i="26" s="1"/>
  <c r="Y567" i="26"/>
  <c r="U567" i="26"/>
  <c r="S567" i="26"/>
  <c r="AB566" i="26"/>
  <c r="AC566" i="26" s="1"/>
  <c r="Y566" i="26"/>
  <c r="U566" i="26"/>
  <c r="S566" i="26"/>
  <c r="AB565" i="26"/>
  <c r="AC565" i="26" s="1"/>
  <c r="Y565" i="26"/>
  <c r="U565" i="26"/>
  <c r="S565" i="26"/>
  <c r="AB564" i="26"/>
  <c r="AC564" i="26" s="1"/>
  <c r="Y564" i="26"/>
  <c r="U564" i="26"/>
  <c r="S564" i="26"/>
  <c r="AJ563" i="26"/>
  <c r="AB563" i="26"/>
  <c r="AC563" i="26" s="1"/>
  <c r="Y563" i="26"/>
  <c r="U563" i="26"/>
  <c r="S563" i="26"/>
  <c r="AB562" i="26"/>
  <c r="AC562" i="26" s="1"/>
  <c r="Y562" i="26"/>
  <c r="U562" i="26"/>
  <c r="S562" i="26"/>
  <c r="AB561" i="26"/>
  <c r="AC561" i="26" s="1"/>
  <c r="Y561" i="26"/>
  <c r="U561" i="26"/>
  <c r="S561" i="26"/>
  <c r="AB560" i="26"/>
  <c r="AC560" i="26" s="1"/>
  <c r="U560" i="26"/>
  <c r="S560" i="26"/>
  <c r="AJ559" i="26"/>
  <c r="AB559" i="26"/>
  <c r="AC559" i="26" s="1"/>
  <c r="U559" i="26"/>
  <c r="S559" i="26"/>
  <c r="AB558" i="26"/>
  <c r="AC558" i="26" s="1"/>
  <c r="U558" i="26"/>
  <c r="S558" i="26"/>
  <c r="AB557" i="26"/>
  <c r="AC557" i="26" s="1"/>
  <c r="U557" i="26"/>
  <c r="S557" i="26"/>
  <c r="AB556" i="26"/>
  <c r="AC556" i="26" s="1"/>
  <c r="U556" i="26"/>
  <c r="S556" i="26"/>
  <c r="AB555" i="26"/>
  <c r="AC555" i="26" s="1"/>
  <c r="U555" i="26"/>
  <c r="S555" i="26"/>
  <c r="AB554" i="26"/>
  <c r="AC554" i="26" s="1"/>
  <c r="U554" i="26"/>
  <c r="S554" i="26"/>
  <c r="AB553" i="26"/>
  <c r="AC553" i="26" s="1"/>
  <c r="U553" i="26"/>
  <c r="S553" i="26"/>
  <c r="AB552" i="26"/>
  <c r="AC552" i="26" s="1"/>
  <c r="U552" i="26"/>
  <c r="S552" i="26"/>
  <c r="AB551" i="26"/>
  <c r="AC551" i="26" s="1"/>
  <c r="U551" i="26"/>
  <c r="S551" i="26"/>
  <c r="AB550" i="26"/>
  <c r="AC550" i="26" s="1"/>
  <c r="U550" i="26"/>
  <c r="S550" i="26"/>
  <c r="AB549" i="26"/>
  <c r="AC549" i="26" s="1"/>
  <c r="U549" i="26"/>
  <c r="S549" i="26"/>
  <c r="AB548" i="26"/>
  <c r="AC548" i="26" s="1"/>
  <c r="U548" i="26"/>
  <c r="S548" i="26"/>
  <c r="AB547" i="26"/>
  <c r="AC547" i="26" s="1"/>
  <c r="U547" i="26"/>
  <c r="S547" i="26"/>
  <c r="AB546" i="26"/>
  <c r="AC546" i="26" s="1"/>
  <c r="U546" i="26"/>
  <c r="S546" i="26"/>
  <c r="AB545" i="26"/>
  <c r="AC545" i="26" s="1"/>
  <c r="U545" i="26"/>
  <c r="S545" i="26"/>
  <c r="AB544" i="26"/>
  <c r="AC544" i="26" s="1"/>
  <c r="U544" i="26"/>
  <c r="S544" i="26"/>
  <c r="AB543" i="26"/>
  <c r="AC543" i="26" s="1"/>
  <c r="U543" i="26"/>
  <c r="S543" i="26"/>
  <c r="AB542" i="26"/>
  <c r="AC542" i="26" s="1"/>
  <c r="U542" i="26"/>
  <c r="S542" i="26"/>
  <c r="AB541" i="26"/>
  <c r="AC541" i="26" s="1"/>
  <c r="U541" i="26"/>
  <c r="S541" i="26"/>
  <c r="AB540" i="26"/>
  <c r="AC540" i="26" s="1"/>
  <c r="U540" i="26"/>
  <c r="S540" i="26"/>
  <c r="AB539" i="26"/>
  <c r="AC539" i="26" s="1"/>
  <c r="U539" i="26"/>
  <c r="S539" i="26"/>
  <c r="AB538" i="26"/>
  <c r="AC538" i="26" s="1"/>
  <c r="U538" i="26"/>
  <c r="S538" i="26"/>
  <c r="AB537" i="26"/>
  <c r="AC537" i="26" s="1"/>
  <c r="U537" i="26"/>
  <c r="S537" i="26"/>
  <c r="AB536" i="26"/>
  <c r="AC536" i="26" s="1"/>
  <c r="U536" i="26"/>
  <c r="S536" i="26"/>
  <c r="AB535" i="26"/>
  <c r="AC535" i="26" s="1"/>
  <c r="U535" i="26"/>
  <c r="S535" i="26"/>
  <c r="AB534" i="26"/>
  <c r="AC534" i="26" s="1"/>
  <c r="U534" i="26"/>
  <c r="S534" i="26"/>
  <c r="AB533" i="26"/>
  <c r="AC533" i="26" s="1"/>
  <c r="U533" i="26"/>
  <c r="S533" i="26"/>
  <c r="AB532" i="26"/>
  <c r="AC532" i="26" s="1"/>
  <c r="U532" i="26"/>
  <c r="S532" i="26"/>
  <c r="AB531" i="26"/>
  <c r="AC531" i="26" s="1"/>
  <c r="U531" i="26"/>
  <c r="S531" i="26"/>
  <c r="AB530" i="26"/>
  <c r="AC530" i="26" s="1"/>
  <c r="U530" i="26"/>
  <c r="S530" i="26"/>
  <c r="AB529" i="26"/>
  <c r="AC529" i="26" s="1"/>
  <c r="U529" i="26"/>
  <c r="S529" i="26"/>
  <c r="AB528" i="26"/>
  <c r="AC528" i="26" s="1"/>
  <c r="U528" i="26"/>
  <c r="S528" i="26"/>
  <c r="AB527" i="26"/>
  <c r="AC527" i="26" s="1"/>
  <c r="U527" i="26"/>
  <c r="S527" i="26"/>
  <c r="AB526" i="26"/>
  <c r="AC526" i="26" s="1"/>
  <c r="U526" i="26"/>
  <c r="S526" i="26"/>
  <c r="AB525" i="26"/>
  <c r="AC525" i="26" s="1"/>
  <c r="U525" i="26"/>
  <c r="S525" i="26"/>
  <c r="AB524" i="26"/>
  <c r="AC524" i="26" s="1"/>
  <c r="U524" i="26"/>
  <c r="S524" i="26"/>
  <c r="AB523" i="26"/>
  <c r="AC523" i="26" s="1"/>
  <c r="U523" i="26"/>
  <c r="S523" i="26"/>
  <c r="AB522" i="26"/>
  <c r="AC522" i="26" s="1"/>
  <c r="U522" i="26"/>
  <c r="S522" i="26"/>
  <c r="AJ521" i="26"/>
  <c r="AB521" i="26"/>
  <c r="AC521" i="26" s="1"/>
  <c r="U521" i="26"/>
  <c r="S521" i="26"/>
  <c r="AB520" i="26"/>
  <c r="AC520" i="26" s="1"/>
  <c r="Y520" i="26"/>
  <c r="U520" i="26"/>
  <c r="S520" i="26"/>
  <c r="AJ519" i="26"/>
  <c r="AB519" i="26"/>
  <c r="AC519" i="26" s="1"/>
  <c r="Y519" i="26"/>
  <c r="U519" i="26"/>
  <c r="S519" i="26"/>
  <c r="AB518" i="26"/>
  <c r="AC518" i="26" s="1"/>
  <c r="U518" i="26"/>
  <c r="S518" i="26"/>
  <c r="AB517" i="26"/>
  <c r="AC517" i="26" s="1"/>
  <c r="Y517" i="26"/>
  <c r="U517" i="26"/>
  <c r="S517" i="26"/>
  <c r="AJ516" i="26"/>
  <c r="AB516" i="26"/>
  <c r="AC516" i="26" s="1"/>
  <c r="Y516" i="26"/>
  <c r="U516" i="26"/>
  <c r="S516" i="26"/>
  <c r="AB515" i="26"/>
  <c r="AC515" i="26" s="1"/>
  <c r="Y515" i="26"/>
  <c r="U515" i="26"/>
  <c r="S515" i="26"/>
  <c r="AB514" i="26"/>
  <c r="AC514" i="26" s="1"/>
  <c r="Y514" i="26"/>
  <c r="U514" i="26"/>
  <c r="S514" i="26"/>
  <c r="AB513" i="26"/>
  <c r="AC513" i="26" s="1"/>
  <c r="Y513" i="26"/>
  <c r="U513" i="26"/>
  <c r="S513" i="26"/>
  <c r="AB512" i="26"/>
  <c r="AC512" i="26" s="1"/>
  <c r="Y512" i="26"/>
  <c r="U512" i="26"/>
  <c r="S512" i="26"/>
  <c r="AB511" i="26"/>
  <c r="AC511" i="26" s="1"/>
  <c r="Y511" i="26"/>
  <c r="U511" i="26"/>
  <c r="S511" i="26"/>
  <c r="AB510" i="26"/>
  <c r="AC510" i="26" s="1"/>
  <c r="Y510" i="26"/>
  <c r="U510" i="26"/>
  <c r="S510" i="26"/>
  <c r="AB509" i="26"/>
  <c r="AC509" i="26" s="1"/>
  <c r="Y509" i="26"/>
  <c r="U509" i="26"/>
  <c r="S509" i="26"/>
  <c r="AJ508" i="26"/>
  <c r="AB508" i="26"/>
  <c r="AC508" i="26" s="1"/>
  <c r="Y508" i="26"/>
  <c r="U508" i="26"/>
  <c r="S508" i="26"/>
  <c r="AB507" i="26"/>
  <c r="AC507" i="26" s="1"/>
  <c r="Y507" i="26"/>
  <c r="U507" i="26"/>
  <c r="S507" i="26"/>
  <c r="AJ506" i="26"/>
  <c r="AB506" i="26"/>
  <c r="AC506" i="26" s="1"/>
  <c r="Y506" i="26"/>
  <c r="U506" i="26"/>
  <c r="S506" i="26"/>
  <c r="AB505" i="26"/>
  <c r="AC505" i="26" s="1"/>
  <c r="Z505" i="26"/>
  <c r="Y505" i="26"/>
  <c r="U505" i="26"/>
  <c r="S505" i="26"/>
  <c r="AB504" i="26"/>
  <c r="AC504" i="26" s="1"/>
  <c r="U504" i="26"/>
  <c r="S504" i="26"/>
  <c r="AB503" i="26"/>
  <c r="AC503" i="26" s="1"/>
  <c r="U503" i="26"/>
  <c r="S503" i="26"/>
  <c r="AB502" i="26"/>
  <c r="AC502" i="26" s="1"/>
  <c r="U502" i="26"/>
  <c r="S502" i="26"/>
  <c r="AB501" i="26"/>
  <c r="AC501" i="26" s="1"/>
  <c r="U501" i="26"/>
  <c r="S501" i="26"/>
  <c r="AB500" i="26"/>
  <c r="AC500" i="26" s="1"/>
  <c r="U500" i="26"/>
  <c r="S500" i="26"/>
  <c r="AB499" i="26"/>
  <c r="AC499" i="26" s="1"/>
  <c r="U499" i="26"/>
  <c r="S499" i="26"/>
  <c r="AB498" i="26"/>
  <c r="AC498" i="26" s="1"/>
  <c r="U498" i="26"/>
  <c r="S498" i="26"/>
  <c r="AB497" i="26"/>
  <c r="AC497" i="26" s="1"/>
  <c r="U497" i="26"/>
  <c r="S497" i="26"/>
  <c r="AJ496" i="26"/>
  <c r="AB496" i="26"/>
  <c r="AC496" i="26" s="1"/>
  <c r="U496" i="26"/>
  <c r="S496" i="26"/>
  <c r="AB495" i="26"/>
  <c r="AC495" i="26" s="1"/>
  <c r="Y495" i="26"/>
  <c r="U495" i="26"/>
  <c r="S495" i="26"/>
  <c r="AB494" i="26"/>
  <c r="AC494" i="26" s="1"/>
  <c r="Y494" i="26"/>
  <c r="U494" i="26"/>
  <c r="S494" i="26"/>
  <c r="AB493" i="26"/>
  <c r="AC493" i="26" s="1"/>
  <c r="Y493" i="26"/>
  <c r="U493" i="26"/>
  <c r="S493" i="26"/>
  <c r="AJ492" i="26"/>
  <c r="AB492" i="26"/>
  <c r="AC492" i="26" s="1"/>
  <c r="Y492" i="26"/>
  <c r="U492" i="26"/>
  <c r="S492" i="26"/>
  <c r="AB491" i="26"/>
  <c r="AC491" i="26" s="1"/>
  <c r="Y491" i="26"/>
  <c r="U491" i="26"/>
  <c r="S491" i="26"/>
  <c r="AB490" i="26"/>
  <c r="AC490" i="26" s="1"/>
  <c r="U490" i="26"/>
  <c r="S490" i="26"/>
  <c r="AB489" i="26"/>
  <c r="AC489" i="26" s="1"/>
  <c r="U489" i="26"/>
  <c r="S489" i="26"/>
  <c r="AB488" i="26"/>
  <c r="AC488" i="26" s="1"/>
  <c r="U488" i="26"/>
  <c r="S488" i="26"/>
  <c r="AB487" i="26"/>
  <c r="AC487" i="26" s="1"/>
  <c r="U487" i="26"/>
  <c r="S487" i="26"/>
  <c r="AB486" i="26"/>
  <c r="AC486" i="26" s="1"/>
  <c r="U486" i="26"/>
  <c r="S486" i="26"/>
  <c r="AB485" i="26"/>
  <c r="AC485" i="26" s="1"/>
  <c r="U485" i="26"/>
  <c r="S485" i="26"/>
  <c r="AB484" i="26"/>
  <c r="AC484" i="26" s="1"/>
  <c r="U484" i="26"/>
  <c r="S484" i="26"/>
  <c r="AB483" i="26"/>
  <c r="AC483" i="26" s="1"/>
  <c r="U483" i="26"/>
  <c r="S483" i="26"/>
  <c r="AB482" i="26"/>
  <c r="AC482" i="26" s="1"/>
  <c r="U482" i="26"/>
  <c r="S482" i="26"/>
  <c r="AB481" i="26"/>
  <c r="AC481" i="26" s="1"/>
  <c r="U481" i="26"/>
  <c r="S481" i="26"/>
  <c r="AJ480" i="26"/>
  <c r="AB480" i="26"/>
  <c r="AC480" i="26" s="1"/>
  <c r="U480" i="26"/>
  <c r="S480" i="26"/>
  <c r="AB479" i="26"/>
  <c r="AC479" i="26" s="1"/>
  <c r="Y479" i="26"/>
  <c r="U479" i="26"/>
  <c r="S479" i="26"/>
  <c r="AB478" i="26"/>
  <c r="AC478" i="26" s="1"/>
  <c r="Z478" i="26"/>
  <c r="Y478" i="26"/>
  <c r="U478" i="26"/>
  <c r="S478" i="26"/>
  <c r="AJ477" i="26"/>
  <c r="AB477" i="26"/>
  <c r="AC477" i="26" s="1"/>
  <c r="Z477" i="26"/>
  <c r="Y477" i="26"/>
  <c r="U477" i="26"/>
  <c r="S477" i="26"/>
  <c r="AB476" i="26"/>
  <c r="AC476" i="26" s="1"/>
  <c r="U476" i="26"/>
  <c r="S476" i="26"/>
  <c r="AB475" i="26"/>
  <c r="AC475" i="26" s="1"/>
  <c r="U475" i="26"/>
  <c r="S475" i="26"/>
  <c r="AB474" i="26"/>
  <c r="AC474" i="26" s="1"/>
  <c r="U474" i="26"/>
  <c r="S474" i="26"/>
  <c r="AB473" i="26"/>
  <c r="AC473" i="26" s="1"/>
  <c r="U473" i="26"/>
  <c r="S473" i="26"/>
  <c r="AB472" i="26"/>
  <c r="AC472" i="26" s="1"/>
  <c r="U472" i="26"/>
  <c r="S472" i="26"/>
  <c r="AB471" i="26"/>
  <c r="AC471" i="26" s="1"/>
  <c r="U471" i="26"/>
  <c r="S471" i="26"/>
  <c r="AB470" i="26"/>
  <c r="AC470" i="26" s="1"/>
  <c r="U470" i="26"/>
  <c r="S470" i="26"/>
  <c r="AB469" i="26"/>
  <c r="AC469" i="26" s="1"/>
  <c r="U469" i="26"/>
  <c r="S469" i="26"/>
  <c r="AB468" i="26"/>
  <c r="AC468" i="26" s="1"/>
  <c r="U468" i="26"/>
  <c r="S468" i="26"/>
  <c r="AB467" i="26"/>
  <c r="AC467" i="26" s="1"/>
  <c r="U467" i="26"/>
  <c r="S467" i="26"/>
  <c r="AB466" i="26"/>
  <c r="AC466" i="26" s="1"/>
  <c r="U466" i="26"/>
  <c r="S466" i="26"/>
  <c r="AB465" i="26"/>
  <c r="AC465" i="26" s="1"/>
  <c r="U465" i="26"/>
  <c r="S465" i="26"/>
  <c r="AB464" i="26"/>
  <c r="AC464" i="26" s="1"/>
  <c r="U464" i="26"/>
  <c r="S464" i="26"/>
  <c r="AB463" i="26"/>
  <c r="AC463" i="26" s="1"/>
  <c r="U463" i="26"/>
  <c r="S463" i="26"/>
  <c r="AB462" i="26"/>
  <c r="AC462" i="26" s="1"/>
  <c r="U462" i="26"/>
  <c r="S462" i="26"/>
  <c r="AB461" i="26"/>
  <c r="AC461" i="26" s="1"/>
  <c r="U461" i="26"/>
  <c r="S461" i="26"/>
  <c r="AB460" i="26"/>
  <c r="AC460" i="26" s="1"/>
  <c r="U460" i="26"/>
  <c r="S460" i="26"/>
  <c r="AB459" i="26"/>
  <c r="AC459" i="26" s="1"/>
  <c r="U459" i="26"/>
  <c r="S459" i="26"/>
  <c r="AB458" i="26"/>
  <c r="AC458" i="26" s="1"/>
  <c r="U458" i="26"/>
  <c r="S458" i="26"/>
  <c r="AB457" i="26"/>
  <c r="AC457" i="26" s="1"/>
  <c r="U457" i="26"/>
  <c r="S457" i="26"/>
  <c r="AB456" i="26"/>
  <c r="AC456" i="26" s="1"/>
  <c r="U456" i="26"/>
  <c r="S456" i="26"/>
  <c r="AB455" i="26"/>
  <c r="AC455" i="26" s="1"/>
  <c r="U455" i="26"/>
  <c r="S455" i="26"/>
  <c r="AB454" i="26"/>
  <c r="AC454" i="26" s="1"/>
  <c r="S454" i="26"/>
  <c r="AB453" i="26"/>
  <c r="AC453" i="26" s="1"/>
  <c r="U453" i="26"/>
  <c r="S453" i="26"/>
  <c r="AB452" i="26"/>
  <c r="AC452" i="26" s="1"/>
  <c r="U452" i="26"/>
  <c r="S452" i="26"/>
  <c r="AB451" i="26"/>
  <c r="AC451" i="26" s="1"/>
  <c r="U451" i="26"/>
  <c r="S451" i="26"/>
  <c r="AB450" i="26"/>
  <c r="AC450" i="26" s="1"/>
  <c r="U450" i="26"/>
  <c r="S450" i="26"/>
  <c r="AB449" i="26"/>
  <c r="AC449" i="26" s="1"/>
  <c r="U449" i="26"/>
  <c r="S449" i="26"/>
  <c r="AB448" i="26"/>
  <c r="AC448" i="26" s="1"/>
  <c r="U448" i="26"/>
  <c r="S448" i="26"/>
  <c r="AB447" i="26"/>
  <c r="AC447" i="26" s="1"/>
  <c r="U447" i="26"/>
  <c r="S447" i="26"/>
  <c r="AB446" i="26"/>
  <c r="AC446" i="26" s="1"/>
  <c r="U446" i="26"/>
  <c r="S446" i="26"/>
  <c r="AB445" i="26"/>
  <c r="AC445" i="26" s="1"/>
  <c r="U445" i="26"/>
  <c r="S445" i="26"/>
  <c r="AB444" i="26"/>
  <c r="AC444" i="26" s="1"/>
  <c r="U444" i="26"/>
  <c r="S444" i="26"/>
  <c r="AB443" i="26"/>
  <c r="AC443" i="26" s="1"/>
  <c r="U443" i="26"/>
  <c r="S443" i="26"/>
  <c r="AB442" i="26"/>
  <c r="AC442" i="26" s="1"/>
  <c r="U442" i="26"/>
  <c r="S442" i="26"/>
  <c r="AB441" i="26"/>
  <c r="AC441" i="26" s="1"/>
  <c r="U441" i="26"/>
  <c r="S441" i="26"/>
  <c r="AB440" i="26"/>
  <c r="AC440" i="26" s="1"/>
  <c r="U440" i="26"/>
  <c r="S440" i="26"/>
  <c r="AB439" i="26"/>
  <c r="AC439" i="26" s="1"/>
  <c r="U439" i="26"/>
  <c r="S439" i="26"/>
  <c r="AB438" i="26"/>
  <c r="AC438" i="26" s="1"/>
  <c r="U438" i="26"/>
  <c r="S438" i="26"/>
  <c r="AB437" i="26"/>
  <c r="AC437" i="26" s="1"/>
  <c r="U437" i="26"/>
  <c r="S437" i="26"/>
  <c r="AB436" i="26"/>
  <c r="AC436" i="26" s="1"/>
  <c r="U436" i="26"/>
  <c r="S436" i="26"/>
  <c r="AB435" i="26"/>
  <c r="AC435" i="26" s="1"/>
  <c r="U435" i="26"/>
  <c r="S435" i="26"/>
  <c r="AJ434" i="26"/>
  <c r="AB434" i="26"/>
  <c r="AC434" i="26" s="1"/>
  <c r="U434" i="26"/>
  <c r="S434" i="26"/>
  <c r="AB433" i="26"/>
  <c r="AC433" i="26" s="1"/>
  <c r="U433" i="26"/>
  <c r="S433" i="26"/>
  <c r="AB432" i="26"/>
  <c r="AC432" i="26" s="1"/>
  <c r="U432" i="26"/>
  <c r="S432" i="26"/>
  <c r="AB431" i="26"/>
  <c r="AC431" i="26" s="1"/>
  <c r="U431" i="26"/>
  <c r="S431" i="26"/>
  <c r="AB430" i="26"/>
  <c r="AC430" i="26" s="1"/>
  <c r="U430" i="26"/>
  <c r="S430" i="26"/>
  <c r="AJ429" i="26"/>
  <c r="AB429" i="26"/>
  <c r="AC429" i="26" s="1"/>
  <c r="U429" i="26"/>
  <c r="S429" i="26"/>
  <c r="AB428" i="26"/>
  <c r="AC428" i="26" s="1"/>
  <c r="Y428" i="26"/>
  <c r="U428" i="26"/>
  <c r="S428" i="26"/>
  <c r="AB427" i="26"/>
  <c r="AC427" i="26" s="1"/>
  <c r="Y427" i="26"/>
  <c r="U427" i="26"/>
  <c r="S427" i="26"/>
  <c r="AB426" i="26"/>
  <c r="AC426" i="26" s="1"/>
  <c r="Y426" i="26"/>
  <c r="U426" i="26"/>
  <c r="S426" i="26"/>
  <c r="AJ425" i="26"/>
  <c r="AB425" i="26"/>
  <c r="AC425" i="26" s="1"/>
  <c r="Y425" i="26"/>
  <c r="U425" i="26"/>
  <c r="S425" i="26"/>
  <c r="AB424" i="26"/>
  <c r="AC424" i="26" s="1"/>
  <c r="Y424" i="26"/>
  <c r="U424" i="26"/>
  <c r="S424" i="26"/>
  <c r="AJ423" i="26"/>
  <c r="AB423" i="26"/>
  <c r="AC423" i="26" s="1"/>
  <c r="Y423" i="26"/>
  <c r="U423" i="26"/>
  <c r="S423" i="26"/>
  <c r="AB422" i="26"/>
  <c r="AC422" i="26" s="1"/>
  <c r="Y422" i="26"/>
  <c r="U422" i="26"/>
  <c r="S422" i="26"/>
  <c r="AJ421" i="26"/>
  <c r="AB421" i="26"/>
  <c r="AC421" i="26" s="1"/>
  <c r="Y421" i="26"/>
  <c r="U421" i="26"/>
  <c r="S421" i="26"/>
  <c r="AB420" i="26"/>
  <c r="AC420" i="26" s="1"/>
  <c r="Y420" i="26"/>
  <c r="U420" i="26"/>
  <c r="S420" i="26"/>
  <c r="AB419" i="26"/>
  <c r="AC419" i="26" s="1"/>
  <c r="Y419" i="26"/>
  <c r="U419" i="26"/>
  <c r="S419" i="26"/>
  <c r="AB418" i="26"/>
  <c r="AC418" i="26" s="1"/>
  <c r="Y418" i="26"/>
  <c r="U418" i="26"/>
  <c r="S418" i="26"/>
  <c r="AB417" i="26"/>
  <c r="AC417" i="26" s="1"/>
  <c r="Y417" i="26"/>
  <c r="U417" i="26"/>
  <c r="S417" i="26"/>
  <c r="AJ416" i="26"/>
  <c r="AB416" i="26"/>
  <c r="AC416" i="26" s="1"/>
  <c r="Y416" i="26"/>
  <c r="U416" i="26"/>
  <c r="S416" i="26"/>
  <c r="AB415" i="26"/>
  <c r="AC415" i="26" s="1"/>
  <c r="Y415" i="26"/>
  <c r="U415" i="26"/>
  <c r="S415" i="26"/>
  <c r="AB414" i="26"/>
  <c r="AC414" i="26" s="1"/>
  <c r="Y414" i="26"/>
  <c r="U414" i="26"/>
  <c r="S414" i="26"/>
  <c r="AB413" i="26"/>
  <c r="AC413" i="26" s="1"/>
  <c r="Y413" i="26"/>
  <c r="U413" i="26"/>
  <c r="S413" i="26"/>
  <c r="AJ412" i="26"/>
  <c r="AB412" i="26"/>
  <c r="AC412" i="26" s="1"/>
  <c r="Y412" i="26"/>
  <c r="U412" i="26"/>
  <c r="S412" i="26"/>
  <c r="AB411" i="26"/>
  <c r="AC411" i="26" s="1"/>
  <c r="Z411" i="26"/>
  <c r="Y411" i="26"/>
  <c r="U411" i="26"/>
  <c r="S411" i="26"/>
  <c r="AB410" i="26"/>
  <c r="AC410" i="26" s="1"/>
  <c r="U410" i="26"/>
  <c r="S410" i="26"/>
  <c r="AB409" i="26"/>
  <c r="AC409" i="26" s="1"/>
  <c r="U409" i="26"/>
  <c r="S409" i="26"/>
  <c r="AB408" i="26"/>
  <c r="AC408" i="26" s="1"/>
  <c r="U408" i="26"/>
  <c r="S408" i="26"/>
  <c r="AJ407" i="26"/>
  <c r="AB407" i="26"/>
  <c r="AC407" i="26" s="1"/>
  <c r="U407" i="26"/>
  <c r="S407" i="26"/>
  <c r="AB406" i="26"/>
  <c r="AC406" i="26" s="1"/>
  <c r="U406" i="26"/>
  <c r="S406" i="26"/>
  <c r="AJ405" i="26"/>
  <c r="AB405" i="26"/>
  <c r="AC405" i="26" s="1"/>
  <c r="U405" i="26"/>
  <c r="S405" i="26"/>
  <c r="AB404" i="26"/>
  <c r="AC404" i="26" s="1"/>
  <c r="U404" i="26"/>
  <c r="S404" i="26"/>
  <c r="AB403" i="26"/>
  <c r="AC403" i="26" s="1"/>
  <c r="Z403" i="26"/>
  <c r="Y403" i="26"/>
  <c r="U403" i="26"/>
  <c r="S403" i="26"/>
  <c r="AB402" i="26"/>
  <c r="AC402" i="26" s="1"/>
  <c r="Z402" i="26"/>
  <c r="Y402" i="26"/>
  <c r="U402" i="26"/>
  <c r="S402" i="26"/>
  <c r="AB401" i="26"/>
  <c r="AC401" i="26" s="1"/>
  <c r="U401" i="26"/>
  <c r="S401" i="26"/>
  <c r="AB400" i="26"/>
  <c r="AC400" i="26" s="1"/>
  <c r="U400" i="26"/>
  <c r="S400" i="26"/>
  <c r="AB399" i="26"/>
  <c r="AC399" i="26" s="1"/>
  <c r="U399" i="26"/>
  <c r="S399" i="26"/>
  <c r="AB398" i="26"/>
  <c r="AC398" i="26" s="1"/>
  <c r="U398" i="26"/>
  <c r="S398" i="26"/>
  <c r="AB397" i="26"/>
  <c r="AC397" i="26" s="1"/>
  <c r="U397" i="26"/>
  <c r="S397" i="26"/>
  <c r="AB396" i="26"/>
  <c r="AC396" i="26" s="1"/>
  <c r="U396" i="26"/>
  <c r="S396" i="26"/>
  <c r="AB395" i="26"/>
  <c r="AC395" i="26" s="1"/>
  <c r="U395" i="26"/>
  <c r="S395" i="26"/>
  <c r="AB394" i="26"/>
  <c r="AC394" i="26" s="1"/>
  <c r="U394" i="26"/>
  <c r="S394" i="26"/>
  <c r="AB393" i="26"/>
  <c r="AC393" i="26" s="1"/>
  <c r="U393" i="26"/>
  <c r="S393" i="26"/>
  <c r="AB392" i="26"/>
  <c r="AC392" i="26" s="1"/>
  <c r="U392" i="26"/>
  <c r="S392" i="26"/>
  <c r="AB391" i="26"/>
  <c r="AC391" i="26" s="1"/>
  <c r="U391" i="26"/>
  <c r="S391" i="26"/>
  <c r="AB390" i="26"/>
  <c r="AC390" i="26" s="1"/>
  <c r="U390" i="26"/>
  <c r="S390" i="26"/>
  <c r="AB389" i="26"/>
  <c r="AC389" i="26" s="1"/>
  <c r="U389" i="26"/>
  <c r="S389" i="26"/>
  <c r="AB388" i="26"/>
  <c r="AC388" i="26" s="1"/>
  <c r="U388" i="26"/>
  <c r="S388" i="26"/>
  <c r="AB387" i="26"/>
  <c r="AC387" i="26" s="1"/>
  <c r="U387" i="26"/>
  <c r="S387" i="26"/>
  <c r="AB386" i="26"/>
  <c r="AC386" i="26" s="1"/>
  <c r="U386" i="26"/>
  <c r="S386" i="26"/>
  <c r="AB385" i="26"/>
  <c r="AC385" i="26" s="1"/>
  <c r="U385" i="26"/>
  <c r="S385" i="26"/>
  <c r="AB384" i="26"/>
  <c r="AC384" i="26" s="1"/>
  <c r="U384" i="26"/>
  <c r="S384" i="26"/>
  <c r="AB383" i="26"/>
  <c r="AC383" i="26" s="1"/>
  <c r="U383" i="26"/>
  <c r="S383" i="26"/>
  <c r="AB382" i="26"/>
  <c r="AC382" i="26" s="1"/>
  <c r="U382" i="26"/>
  <c r="S382" i="26"/>
  <c r="AB381" i="26"/>
  <c r="AC381" i="26" s="1"/>
  <c r="U381" i="26"/>
  <c r="S381" i="26"/>
  <c r="AB380" i="26"/>
  <c r="AC380" i="26" s="1"/>
  <c r="U380" i="26"/>
  <c r="S380" i="26"/>
  <c r="AB379" i="26"/>
  <c r="AC379" i="26" s="1"/>
  <c r="U379" i="26"/>
  <c r="S379" i="26"/>
  <c r="AB378" i="26"/>
  <c r="AC378" i="26" s="1"/>
  <c r="U378" i="26"/>
  <c r="S378" i="26"/>
  <c r="AB377" i="26"/>
  <c r="AC377" i="26" s="1"/>
  <c r="U377" i="26"/>
  <c r="S377" i="26"/>
  <c r="AB376" i="26"/>
  <c r="AC376" i="26" s="1"/>
  <c r="U376" i="26"/>
  <c r="S376" i="26"/>
  <c r="AB375" i="26"/>
  <c r="AC375" i="26" s="1"/>
  <c r="U375" i="26"/>
  <c r="S375" i="26"/>
  <c r="AB374" i="26"/>
  <c r="AC374" i="26" s="1"/>
  <c r="U374" i="26"/>
  <c r="S374" i="26"/>
  <c r="AB373" i="26"/>
  <c r="AC373" i="26" s="1"/>
  <c r="U373" i="26"/>
  <c r="S373" i="26"/>
  <c r="AB372" i="26"/>
  <c r="AC372" i="26" s="1"/>
  <c r="U372" i="26"/>
  <c r="S372" i="26"/>
  <c r="AB371" i="26"/>
  <c r="AC371" i="26" s="1"/>
  <c r="U371" i="26"/>
  <c r="S371" i="26"/>
  <c r="AB370" i="26"/>
  <c r="AC370" i="26" s="1"/>
  <c r="U370" i="26"/>
  <c r="S370" i="26"/>
  <c r="AB369" i="26"/>
  <c r="AC369" i="26" s="1"/>
  <c r="U369" i="26"/>
  <c r="S369" i="26"/>
  <c r="AB368" i="26"/>
  <c r="AC368" i="26" s="1"/>
  <c r="U368" i="26"/>
  <c r="S368" i="26"/>
  <c r="AB367" i="26"/>
  <c r="AC367" i="26" s="1"/>
  <c r="U367" i="26"/>
  <c r="S367" i="26"/>
  <c r="AJ366" i="26"/>
  <c r="AB366" i="26"/>
  <c r="AC366" i="26" s="1"/>
  <c r="U366" i="26"/>
  <c r="S366" i="26"/>
  <c r="AB365" i="26"/>
  <c r="AC365" i="26" s="1"/>
  <c r="U365" i="26"/>
  <c r="S365" i="26"/>
  <c r="AB364" i="26"/>
  <c r="AC364" i="26" s="1"/>
  <c r="U364" i="26"/>
  <c r="S364" i="26"/>
  <c r="AB363" i="26"/>
  <c r="AC363" i="26" s="1"/>
  <c r="U363" i="26"/>
  <c r="S363" i="26"/>
  <c r="AJ362" i="26"/>
  <c r="AB362" i="26"/>
  <c r="AC362" i="26" s="1"/>
  <c r="U362" i="26"/>
  <c r="S362" i="26"/>
  <c r="AB361" i="26"/>
  <c r="AC361" i="26" s="1"/>
  <c r="Y361" i="26"/>
  <c r="U361" i="26"/>
  <c r="S361" i="26"/>
  <c r="AJ360" i="26"/>
  <c r="AB360" i="26"/>
  <c r="AC360" i="26" s="1"/>
  <c r="Y360" i="26"/>
  <c r="U360" i="26"/>
  <c r="S360" i="26"/>
  <c r="AB359" i="26"/>
  <c r="AC359" i="26" s="1"/>
  <c r="Y359" i="26"/>
  <c r="U359" i="26"/>
  <c r="S359" i="26"/>
  <c r="AJ358" i="26"/>
  <c r="AB358" i="26"/>
  <c r="AC358" i="26" s="1"/>
  <c r="Y358" i="26"/>
  <c r="U358" i="26"/>
  <c r="S358" i="26"/>
  <c r="AB357" i="26"/>
  <c r="AC357" i="26" s="1"/>
  <c r="U357" i="26"/>
  <c r="S357" i="26"/>
  <c r="AB356" i="26"/>
  <c r="AC356" i="26" s="1"/>
  <c r="U356" i="26"/>
  <c r="S356" i="26"/>
  <c r="AB355" i="26"/>
  <c r="AC355" i="26" s="1"/>
  <c r="U355" i="26"/>
  <c r="S355" i="26"/>
  <c r="AJ354" i="26"/>
  <c r="AB354" i="26"/>
  <c r="AC354" i="26" s="1"/>
  <c r="U354" i="26"/>
  <c r="S354" i="26"/>
  <c r="AB353" i="26"/>
  <c r="AC353" i="26" s="1"/>
  <c r="Y353" i="26"/>
  <c r="U353" i="26"/>
  <c r="S353" i="26"/>
  <c r="AJ352" i="26"/>
  <c r="AB352" i="26"/>
  <c r="AC352" i="26" s="1"/>
  <c r="Y352" i="26"/>
  <c r="U352" i="26"/>
  <c r="S352" i="26"/>
  <c r="AB351" i="26"/>
  <c r="AC351" i="26" s="1"/>
  <c r="Y351" i="26"/>
  <c r="U351" i="26"/>
  <c r="S351" i="26"/>
  <c r="AJ350" i="26"/>
  <c r="AB350" i="26"/>
  <c r="AC350" i="26" s="1"/>
  <c r="Y350" i="26"/>
  <c r="U350" i="26"/>
  <c r="S350" i="26"/>
  <c r="AB349" i="26"/>
  <c r="AC349" i="26" s="1"/>
  <c r="Y349" i="26"/>
  <c r="U349" i="26"/>
  <c r="S349" i="26"/>
  <c r="AJ348" i="26"/>
  <c r="AB348" i="26"/>
  <c r="AC348" i="26" s="1"/>
  <c r="Y348" i="26"/>
  <c r="U348" i="26"/>
  <c r="S348" i="26"/>
  <c r="AB347" i="26"/>
  <c r="AC347" i="26" s="1"/>
  <c r="Z347" i="26"/>
  <c r="Y347" i="26"/>
  <c r="U347" i="26"/>
  <c r="S347" i="26"/>
  <c r="AJ346" i="26"/>
  <c r="AB346" i="26"/>
  <c r="AC346" i="26" s="1"/>
  <c r="Z346" i="26"/>
  <c r="Y346" i="26"/>
  <c r="U346" i="26"/>
  <c r="S346" i="26"/>
  <c r="AB345" i="26"/>
  <c r="AC345" i="26" s="1"/>
  <c r="U345" i="26"/>
  <c r="S345" i="26"/>
  <c r="AJ344" i="26"/>
  <c r="AB344" i="26"/>
  <c r="AC344" i="26" s="1"/>
  <c r="U344" i="26"/>
  <c r="S344" i="26"/>
  <c r="AB343" i="26"/>
  <c r="AC343" i="26" s="1"/>
  <c r="U343" i="26"/>
  <c r="S343" i="26"/>
  <c r="AB342" i="26"/>
  <c r="AC342" i="26" s="1"/>
  <c r="U342" i="26"/>
  <c r="S342" i="26"/>
  <c r="AJ341" i="26"/>
  <c r="AB341" i="26"/>
  <c r="AC341" i="26" s="1"/>
  <c r="U341" i="26"/>
  <c r="S341" i="26"/>
  <c r="AB340" i="26"/>
  <c r="AC340" i="26" s="1"/>
  <c r="Y340" i="26"/>
  <c r="U340" i="26"/>
  <c r="S340" i="26"/>
  <c r="AB339" i="26"/>
  <c r="AC339" i="26" s="1"/>
  <c r="U339" i="26"/>
  <c r="S339" i="26"/>
  <c r="AB338" i="26"/>
  <c r="AC338" i="26" s="1"/>
  <c r="U338" i="26"/>
  <c r="S338" i="26"/>
  <c r="AB337" i="26"/>
  <c r="AC337" i="26" s="1"/>
  <c r="U337" i="26"/>
  <c r="S337" i="26"/>
  <c r="AB336" i="26"/>
  <c r="AC336" i="26" s="1"/>
  <c r="U336" i="26"/>
  <c r="S336" i="26"/>
  <c r="AB335" i="26"/>
  <c r="AC335" i="26" s="1"/>
  <c r="U335" i="26"/>
  <c r="S335" i="26"/>
  <c r="E335" i="26"/>
  <c r="AB334" i="26"/>
  <c r="AC334" i="26" s="1"/>
  <c r="U334" i="26"/>
  <c r="S334" i="26"/>
  <c r="E334" i="26"/>
  <c r="AB333" i="26"/>
  <c r="AC333" i="26" s="1"/>
  <c r="U333" i="26"/>
  <c r="S333" i="26"/>
  <c r="AB332" i="26"/>
  <c r="AC332" i="26" s="1"/>
  <c r="U332" i="26"/>
  <c r="S332" i="26"/>
  <c r="AB331" i="26"/>
  <c r="AC331" i="26" s="1"/>
  <c r="U331" i="26"/>
  <c r="S331" i="26"/>
  <c r="AB330" i="26"/>
  <c r="AC330" i="26" s="1"/>
  <c r="U330" i="26"/>
  <c r="S330" i="26"/>
  <c r="AB329" i="26"/>
  <c r="AC329" i="26" s="1"/>
  <c r="U329" i="26"/>
  <c r="S329" i="26"/>
  <c r="E329" i="26"/>
  <c r="AB328" i="26"/>
  <c r="AC328" i="26" s="1"/>
  <c r="U328" i="26"/>
  <c r="S328" i="26"/>
  <c r="E328" i="26"/>
  <c r="AB327" i="26"/>
  <c r="AC327" i="26" s="1"/>
  <c r="U327" i="26"/>
  <c r="S327" i="26"/>
  <c r="AB326" i="26"/>
  <c r="AC326" i="26" s="1"/>
  <c r="U326" i="26"/>
  <c r="S326" i="26"/>
  <c r="AB325" i="26"/>
  <c r="AC325" i="26" s="1"/>
  <c r="U325" i="26"/>
  <c r="S325" i="26"/>
  <c r="AB324" i="26"/>
  <c r="AC324" i="26" s="1"/>
  <c r="U324" i="26"/>
  <c r="S324" i="26"/>
  <c r="E324" i="26"/>
  <c r="AB323" i="26"/>
  <c r="AC323" i="26" s="1"/>
  <c r="U323" i="26"/>
  <c r="S323" i="26"/>
  <c r="AB322" i="26"/>
  <c r="AC322" i="26" s="1"/>
  <c r="U322" i="26"/>
  <c r="S322" i="26"/>
  <c r="AB321" i="26"/>
  <c r="AC321" i="26" s="1"/>
  <c r="U321" i="26"/>
  <c r="S321" i="26"/>
  <c r="AB320" i="26"/>
  <c r="AC320" i="26" s="1"/>
  <c r="U320" i="26"/>
  <c r="S320" i="26"/>
  <c r="E320" i="26"/>
  <c r="AB319" i="26"/>
  <c r="AC319" i="26" s="1"/>
  <c r="U319" i="26"/>
  <c r="S319" i="26"/>
  <c r="E319" i="26"/>
  <c r="AB318" i="26"/>
  <c r="AC318" i="26" s="1"/>
  <c r="U318" i="26"/>
  <c r="S318" i="26"/>
  <c r="E318" i="26"/>
  <c r="AB317" i="26"/>
  <c r="AC317" i="26" s="1"/>
  <c r="U317" i="26"/>
  <c r="S317" i="26"/>
  <c r="E317" i="26"/>
  <c r="AB316" i="26"/>
  <c r="AC316" i="26" s="1"/>
  <c r="U316" i="26"/>
  <c r="S316" i="26"/>
  <c r="E316" i="26"/>
  <c r="AB315" i="26"/>
  <c r="AC315" i="26" s="1"/>
  <c r="U315" i="26"/>
  <c r="S315" i="26"/>
  <c r="E315" i="26"/>
  <c r="AB314" i="26"/>
  <c r="AC314" i="26" s="1"/>
  <c r="U314" i="26"/>
  <c r="S314" i="26"/>
  <c r="E314" i="26"/>
  <c r="AB313" i="26"/>
  <c r="AC313" i="26" s="1"/>
  <c r="U313" i="26"/>
  <c r="S313" i="26"/>
  <c r="E313" i="26"/>
  <c r="AB312" i="26"/>
  <c r="AC312" i="26" s="1"/>
  <c r="U312" i="26"/>
  <c r="S312" i="26"/>
  <c r="E312" i="26"/>
  <c r="AB311" i="26"/>
  <c r="AC311" i="26" s="1"/>
  <c r="U311" i="26"/>
  <c r="S311" i="26"/>
  <c r="AB310" i="26"/>
  <c r="AC310" i="26" s="1"/>
  <c r="U310" i="26"/>
  <c r="S310" i="26"/>
  <c r="AB309" i="26"/>
  <c r="AC309" i="26" s="1"/>
  <c r="U309" i="26"/>
  <c r="S309" i="26"/>
  <c r="AB308" i="26"/>
  <c r="AC308" i="26" s="1"/>
  <c r="U308" i="26"/>
  <c r="S308" i="26"/>
  <c r="AB307" i="26"/>
  <c r="AC307" i="26" s="1"/>
  <c r="U307" i="26"/>
  <c r="S307" i="26"/>
  <c r="AB306" i="26"/>
  <c r="AC306" i="26" s="1"/>
  <c r="U306" i="26"/>
  <c r="S306" i="26"/>
  <c r="AB305" i="26"/>
  <c r="AC305" i="26" s="1"/>
  <c r="U305" i="26"/>
  <c r="S305" i="26"/>
  <c r="AJ304" i="26"/>
  <c r="AB304" i="26"/>
  <c r="AC304" i="26" s="1"/>
  <c r="U304" i="26"/>
  <c r="S304" i="26"/>
  <c r="AB303" i="26"/>
  <c r="AC303" i="26" s="1"/>
  <c r="Y303" i="26"/>
  <c r="U303" i="26"/>
  <c r="S303" i="26"/>
  <c r="E303" i="26"/>
  <c r="AB302" i="26"/>
  <c r="AC302" i="26" s="1"/>
  <c r="Y302" i="26"/>
  <c r="U302" i="26"/>
  <c r="S302" i="26"/>
  <c r="AB301" i="26"/>
  <c r="AC301" i="26" s="1"/>
  <c r="U301" i="26"/>
  <c r="S301" i="26"/>
  <c r="AB300" i="26"/>
  <c r="AC300" i="26" s="1"/>
  <c r="Y300" i="26"/>
  <c r="U300" i="26"/>
  <c r="S300" i="26"/>
  <c r="E300" i="26"/>
  <c r="AB299" i="26"/>
  <c r="AC299" i="26" s="1"/>
  <c r="Y299" i="26"/>
  <c r="U299" i="26"/>
  <c r="S299" i="26"/>
  <c r="AB298" i="26"/>
  <c r="AC298" i="26" s="1"/>
  <c r="Y298" i="26"/>
  <c r="U298" i="26"/>
  <c r="S298" i="26"/>
  <c r="AB297" i="26"/>
  <c r="AC297" i="26" s="1"/>
  <c r="Y297" i="26"/>
  <c r="U297" i="26"/>
  <c r="S297" i="26"/>
  <c r="AJ296" i="26"/>
  <c r="AB296" i="26"/>
  <c r="AC296" i="26" s="1"/>
  <c r="Y296" i="26"/>
  <c r="U296" i="26"/>
  <c r="S296" i="26"/>
  <c r="AB295" i="26"/>
  <c r="AC295" i="26" s="1"/>
  <c r="Y295" i="26"/>
  <c r="U295" i="26"/>
  <c r="S295" i="26"/>
  <c r="AB294" i="26"/>
  <c r="AC294" i="26" s="1"/>
  <c r="Y294" i="26"/>
  <c r="U294" i="26"/>
  <c r="S294" i="26"/>
  <c r="AJ293" i="26"/>
  <c r="AB293" i="26"/>
  <c r="AC293" i="26" s="1"/>
  <c r="Y293" i="26"/>
  <c r="U293" i="26"/>
  <c r="S293" i="26"/>
  <c r="AB292" i="26"/>
  <c r="AC292" i="26" s="1"/>
  <c r="Y292" i="26"/>
  <c r="U292" i="26"/>
  <c r="S292" i="26"/>
  <c r="AJ291" i="26"/>
  <c r="AB291" i="26"/>
  <c r="AC291" i="26" s="1"/>
  <c r="Y291" i="26"/>
  <c r="U291" i="26"/>
  <c r="S291" i="26"/>
  <c r="AB290" i="26"/>
  <c r="AC290" i="26" s="1"/>
  <c r="Y290" i="26"/>
  <c r="U290" i="26"/>
  <c r="S290" i="26"/>
  <c r="AB289" i="26"/>
  <c r="AC289" i="26" s="1"/>
  <c r="Y289" i="26"/>
  <c r="U289" i="26"/>
  <c r="S289" i="26"/>
  <c r="AB288" i="26"/>
  <c r="AC288" i="26" s="1"/>
  <c r="U288" i="26"/>
  <c r="S288" i="26"/>
  <c r="AB287" i="26"/>
  <c r="AC287" i="26" s="1"/>
  <c r="U287" i="26"/>
  <c r="S287" i="26"/>
  <c r="AJ286" i="26"/>
  <c r="AB286" i="26"/>
  <c r="AC286" i="26" s="1"/>
  <c r="U286" i="26"/>
  <c r="S286" i="26"/>
  <c r="AB285" i="26"/>
  <c r="AC285" i="26" s="1"/>
  <c r="Y285" i="26"/>
  <c r="U285" i="26"/>
  <c r="S285" i="26"/>
  <c r="AJ284" i="26"/>
  <c r="AB284" i="26"/>
  <c r="AC284" i="26" s="1"/>
  <c r="Y284" i="26"/>
  <c r="U284" i="26"/>
  <c r="S284" i="26"/>
  <c r="AB283" i="26"/>
  <c r="AC283" i="26" s="1"/>
  <c r="U283" i="26"/>
  <c r="S283" i="26"/>
  <c r="AJ282" i="26"/>
  <c r="AB282" i="26"/>
  <c r="AC282" i="26" s="1"/>
  <c r="U282" i="26"/>
  <c r="S282" i="26"/>
  <c r="AB281" i="26"/>
  <c r="AC281" i="26" s="1"/>
  <c r="U281" i="26"/>
  <c r="S281" i="26"/>
  <c r="AB280" i="26"/>
  <c r="AC280" i="26" s="1"/>
  <c r="U280" i="26"/>
  <c r="S280" i="26"/>
  <c r="AB279" i="26"/>
  <c r="AC279" i="26" s="1"/>
  <c r="U279" i="26"/>
  <c r="S279" i="26"/>
  <c r="AB278" i="26"/>
  <c r="AC278" i="26" s="1"/>
  <c r="U278" i="26"/>
  <c r="S278" i="26"/>
  <c r="AB277" i="26"/>
  <c r="AC277" i="26" s="1"/>
  <c r="U277" i="26"/>
  <c r="S277" i="26"/>
  <c r="AB276" i="26"/>
  <c r="AC276" i="26" s="1"/>
  <c r="U276" i="26"/>
  <c r="S276" i="26"/>
  <c r="AB275" i="26"/>
  <c r="AC275" i="26" s="1"/>
  <c r="U275" i="26"/>
  <c r="S275" i="26"/>
  <c r="AK274" i="26"/>
  <c r="AJ274" i="26"/>
  <c r="AB274" i="26"/>
  <c r="AC274" i="26" s="1"/>
  <c r="U274" i="26"/>
  <c r="S274" i="26"/>
  <c r="AB273" i="26"/>
  <c r="AC273" i="26" s="1"/>
  <c r="U273" i="26"/>
  <c r="S273" i="26"/>
  <c r="AB272" i="26"/>
  <c r="AC272" i="26" s="1"/>
  <c r="U272" i="26"/>
  <c r="S272" i="26"/>
  <c r="AJ271" i="26"/>
  <c r="AB271" i="26"/>
  <c r="AC271" i="26" s="1"/>
  <c r="U271" i="26"/>
  <c r="S271" i="26"/>
  <c r="AB270" i="26"/>
  <c r="AC270" i="26" s="1"/>
  <c r="Z270" i="26"/>
  <c r="Y270" i="26"/>
  <c r="U270" i="26"/>
  <c r="S270" i="26"/>
  <c r="AB269" i="26"/>
  <c r="AC269" i="26" s="1"/>
  <c r="Z269" i="26"/>
  <c r="Y269" i="26"/>
  <c r="U269" i="26"/>
  <c r="S269" i="26"/>
  <c r="AB268" i="26"/>
  <c r="AC268" i="26" s="1"/>
  <c r="U268" i="26"/>
  <c r="S268" i="26"/>
  <c r="AB267" i="26"/>
  <c r="AC267" i="26" s="1"/>
  <c r="U267" i="26"/>
  <c r="S267" i="26"/>
  <c r="AB266" i="26"/>
  <c r="AC266" i="26" s="1"/>
  <c r="U266" i="26"/>
  <c r="S266" i="26"/>
  <c r="AB265" i="26"/>
  <c r="AC265" i="26" s="1"/>
  <c r="U265" i="26"/>
  <c r="S265" i="26"/>
  <c r="AB264" i="26"/>
  <c r="AC264" i="26" s="1"/>
  <c r="U264" i="26"/>
  <c r="S264" i="26"/>
  <c r="AB263" i="26"/>
  <c r="AC263" i="26" s="1"/>
  <c r="U263" i="26"/>
  <c r="S263" i="26"/>
  <c r="AB262" i="26"/>
  <c r="AC262" i="26" s="1"/>
  <c r="U262" i="26"/>
  <c r="S262" i="26"/>
  <c r="AB261" i="26"/>
  <c r="AC261" i="26" s="1"/>
  <c r="U261" i="26"/>
  <c r="S261" i="26"/>
  <c r="AB260" i="26"/>
  <c r="AC260" i="26" s="1"/>
  <c r="U260" i="26"/>
  <c r="S260" i="26"/>
  <c r="AB259" i="26"/>
  <c r="AC259" i="26" s="1"/>
  <c r="U259" i="26"/>
  <c r="S259" i="26"/>
  <c r="AB258" i="26"/>
  <c r="AC258" i="26" s="1"/>
  <c r="U258" i="26"/>
  <c r="S258" i="26"/>
  <c r="AB257" i="26"/>
  <c r="AC257" i="26" s="1"/>
  <c r="U257" i="26"/>
  <c r="S257" i="26"/>
  <c r="AB256" i="26"/>
  <c r="AC256" i="26" s="1"/>
  <c r="U256" i="26"/>
  <c r="S256" i="26"/>
  <c r="AB255" i="26"/>
  <c r="AC255" i="26" s="1"/>
  <c r="U255" i="26"/>
  <c r="S255" i="26"/>
  <c r="AB254" i="26"/>
  <c r="AC254" i="26" s="1"/>
  <c r="U254" i="26"/>
  <c r="S254" i="26"/>
  <c r="AB253" i="26"/>
  <c r="AC253" i="26" s="1"/>
  <c r="U253" i="26"/>
  <c r="S253" i="26"/>
  <c r="AB252" i="26"/>
  <c r="AC252" i="26" s="1"/>
  <c r="U252" i="26"/>
  <c r="S252" i="26"/>
  <c r="AB251" i="26"/>
  <c r="AC251" i="26" s="1"/>
  <c r="U251" i="26"/>
  <c r="S251" i="26"/>
  <c r="AB250" i="26"/>
  <c r="AC250" i="26" s="1"/>
  <c r="U250" i="26"/>
  <c r="S250" i="26"/>
  <c r="G250" i="26"/>
  <c r="H250" i="26" s="1"/>
  <c r="AB249" i="26"/>
  <c r="AC249" i="26" s="1"/>
  <c r="U249" i="26"/>
  <c r="S249" i="26"/>
  <c r="G249" i="26"/>
  <c r="H249" i="26" s="1"/>
  <c r="AB248" i="26"/>
  <c r="AC248" i="26" s="1"/>
  <c r="U248" i="26"/>
  <c r="S248" i="26"/>
  <c r="G248" i="26"/>
  <c r="H248" i="26" s="1"/>
  <c r="AB247" i="26"/>
  <c r="AC247" i="26" s="1"/>
  <c r="U247" i="26"/>
  <c r="S247" i="26"/>
  <c r="G247" i="26"/>
  <c r="H247" i="26" s="1"/>
  <c r="AB246" i="26"/>
  <c r="AC246" i="26" s="1"/>
  <c r="U246" i="26"/>
  <c r="S246" i="26"/>
  <c r="G246" i="26"/>
  <c r="H246" i="26" s="1"/>
  <c r="AB245" i="26"/>
  <c r="AC245" i="26" s="1"/>
  <c r="U245" i="26"/>
  <c r="S245" i="26"/>
  <c r="G245" i="26"/>
  <c r="H245" i="26" s="1"/>
  <c r="AB244" i="26"/>
  <c r="AC244" i="26" s="1"/>
  <c r="U244" i="26"/>
  <c r="S244" i="26"/>
  <c r="G244" i="26"/>
  <c r="H244" i="26" s="1"/>
  <c r="AB243" i="26"/>
  <c r="AC243" i="26" s="1"/>
  <c r="U243" i="26"/>
  <c r="S243" i="26"/>
  <c r="G243" i="26"/>
  <c r="H243" i="26" s="1"/>
  <c r="AB242" i="26"/>
  <c r="AC242" i="26" s="1"/>
  <c r="U242" i="26"/>
  <c r="S242" i="26"/>
  <c r="G242" i="26"/>
  <c r="H242" i="26" s="1"/>
  <c r="AB241" i="26"/>
  <c r="AC241" i="26" s="1"/>
  <c r="U241" i="26"/>
  <c r="S241" i="26"/>
  <c r="G241" i="26"/>
  <c r="H241" i="26" s="1"/>
  <c r="AB240" i="26"/>
  <c r="AC240" i="26" s="1"/>
  <c r="U240" i="26"/>
  <c r="S240" i="26"/>
  <c r="G240" i="26"/>
  <c r="H240" i="26" s="1"/>
  <c r="AB239" i="26"/>
  <c r="AC239" i="26" s="1"/>
  <c r="U239" i="26"/>
  <c r="S239" i="26"/>
  <c r="G239" i="26"/>
  <c r="H239" i="26" s="1"/>
  <c r="AB238" i="26"/>
  <c r="AC238" i="26" s="1"/>
  <c r="U238" i="26"/>
  <c r="S238" i="26"/>
  <c r="G238" i="26"/>
  <c r="H238" i="26" s="1"/>
  <c r="AB237" i="26"/>
  <c r="AC237" i="26" s="1"/>
  <c r="U237" i="26"/>
  <c r="S237" i="26"/>
  <c r="G237" i="26"/>
  <c r="H237" i="26" s="1"/>
  <c r="AB236" i="26"/>
  <c r="AC236" i="26" s="1"/>
  <c r="U236" i="26"/>
  <c r="S236" i="26"/>
  <c r="G236" i="26"/>
  <c r="H236" i="26" s="1"/>
  <c r="AB235" i="26"/>
  <c r="AC235" i="26" s="1"/>
  <c r="U235" i="26"/>
  <c r="S235" i="26"/>
  <c r="G235" i="26"/>
  <c r="H235" i="26" s="1"/>
  <c r="AB234" i="26"/>
  <c r="AC234" i="26" s="1"/>
  <c r="U234" i="26"/>
  <c r="S234" i="26"/>
  <c r="G234" i="26"/>
  <c r="H234" i="26" s="1"/>
  <c r="AB233" i="26"/>
  <c r="AC233" i="26" s="1"/>
  <c r="U233" i="26"/>
  <c r="S233" i="26"/>
  <c r="G233" i="26"/>
  <c r="H233" i="26" s="1"/>
  <c r="AB232" i="26"/>
  <c r="AC232" i="26" s="1"/>
  <c r="U232" i="26"/>
  <c r="S232" i="26"/>
  <c r="G232" i="26"/>
  <c r="H232" i="26" s="1"/>
  <c r="AB231" i="26"/>
  <c r="AC231" i="26" s="1"/>
  <c r="U231" i="26"/>
  <c r="S231" i="26"/>
  <c r="G231" i="26"/>
  <c r="H231" i="26" s="1"/>
  <c r="AB230" i="26"/>
  <c r="AC230" i="26" s="1"/>
  <c r="U230" i="26"/>
  <c r="S230" i="26"/>
  <c r="G230" i="26"/>
  <c r="H230" i="26" s="1"/>
  <c r="AB229" i="26"/>
  <c r="AC229" i="26" s="1"/>
  <c r="U229" i="26"/>
  <c r="S229" i="26"/>
  <c r="G229" i="26"/>
  <c r="H229" i="26" s="1"/>
  <c r="AB228" i="26"/>
  <c r="AC228" i="26" s="1"/>
  <c r="U228" i="26"/>
  <c r="S228" i="26"/>
  <c r="G228" i="26"/>
  <c r="H228" i="26" s="1"/>
  <c r="AB227" i="26"/>
  <c r="AC227" i="26" s="1"/>
  <c r="U227" i="26"/>
  <c r="S227" i="26"/>
  <c r="G227" i="26"/>
  <c r="H227" i="26" s="1"/>
  <c r="AB226" i="26"/>
  <c r="AC226" i="26" s="1"/>
  <c r="U226" i="26"/>
  <c r="S226" i="26"/>
  <c r="G226" i="26"/>
  <c r="H226" i="26" s="1"/>
  <c r="AB225" i="26"/>
  <c r="AC225" i="26" s="1"/>
  <c r="U225" i="26"/>
  <c r="S225" i="26"/>
  <c r="G225" i="26"/>
  <c r="H225" i="26" s="1"/>
  <c r="AB224" i="26"/>
  <c r="AC224" i="26" s="1"/>
  <c r="U224" i="26"/>
  <c r="S224" i="26"/>
  <c r="G224" i="26"/>
  <c r="H224" i="26" s="1"/>
  <c r="AB223" i="26"/>
  <c r="AC223" i="26" s="1"/>
  <c r="U223" i="26"/>
  <c r="S223" i="26"/>
  <c r="G223" i="26"/>
  <c r="H223" i="26" s="1"/>
  <c r="AB222" i="26"/>
  <c r="AC222" i="26" s="1"/>
  <c r="U222" i="26"/>
  <c r="S222" i="26"/>
  <c r="G222" i="26"/>
  <c r="H222" i="26" s="1"/>
  <c r="AJ221" i="26"/>
  <c r="AB221" i="26"/>
  <c r="AC221" i="26" s="1"/>
  <c r="U221" i="26"/>
  <c r="S221" i="26"/>
  <c r="G221" i="26"/>
  <c r="H221" i="26" s="1"/>
  <c r="AB220" i="26"/>
  <c r="AC220" i="26" s="1"/>
  <c r="Y220" i="26"/>
  <c r="U220" i="26"/>
  <c r="S220" i="26"/>
  <c r="G220" i="26"/>
  <c r="H220" i="26" s="1"/>
  <c r="AB219" i="26"/>
  <c r="AC219" i="26" s="1"/>
  <c r="Y219" i="26"/>
  <c r="U219" i="26"/>
  <c r="S219" i="26"/>
  <c r="G219" i="26"/>
  <c r="H219" i="26" s="1"/>
  <c r="AB218" i="26"/>
  <c r="AC218" i="26" s="1"/>
  <c r="Y218" i="26"/>
  <c r="U218" i="26"/>
  <c r="S218" i="26"/>
  <c r="G218" i="26"/>
  <c r="H218" i="26" s="1"/>
  <c r="AJ217" i="26"/>
  <c r="AB217" i="26"/>
  <c r="AC217" i="26" s="1"/>
  <c r="Y217" i="26"/>
  <c r="U217" i="26"/>
  <c r="S217" i="26"/>
  <c r="G217" i="26"/>
  <c r="H217" i="26" s="1"/>
  <c r="AB216" i="26"/>
  <c r="AC216" i="26" s="1"/>
  <c r="Y216" i="26"/>
  <c r="U216" i="26"/>
  <c r="S216" i="26"/>
  <c r="G216" i="26"/>
  <c r="H216" i="26" s="1"/>
  <c r="AB215" i="26"/>
  <c r="AC215" i="26" s="1"/>
  <c r="Y215" i="26"/>
  <c r="U215" i="26"/>
  <c r="S215" i="26"/>
  <c r="G215" i="26"/>
  <c r="H215" i="26" s="1"/>
  <c r="AB214" i="26"/>
  <c r="AC214" i="26" s="1"/>
  <c r="Y214" i="26"/>
  <c r="U214" i="26"/>
  <c r="S214" i="26"/>
  <c r="G214" i="26"/>
  <c r="H214" i="26" s="1"/>
  <c r="AJ213" i="26"/>
  <c r="AB213" i="26"/>
  <c r="AC213" i="26" s="1"/>
  <c r="Y213" i="26"/>
  <c r="U213" i="26"/>
  <c r="S213" i="26"/>
  <c r="G213" i="26"/>
  <c r="H213" i="26" s="1"/>
  <c r="AB212" i="26"/>
  <c r="AC212" i="26" s="1"/>
  <c r="Y212" i="26"/>
  <c r="U212" i="26"/>
  <c r="S212" i="26"/>
  <c r="G212" i="26"/>
  <c r="H212" i="26" s="1"/>
  <c r="AB211" i="26"/>
  <c r="AC211" i="26" s="1"/>
  <c r="Z211" i="26"/>
  <c r="Y211" i="26"/>
  <c r="U211" i="26"/>
  <c r="S211" i="26"/>
  <c r="G211" i="26"/>
  <c r="H211" i="26" s="1"/>
  <c r="AB210" i="26"/>
  <c r="AC210" i="26" s="1"/>
  <c r="Y210" i="26"/>
  <c r="U210" i="26"/>
  <c r="S210" i="26"/>
  <c r="G210" i="26"/>
  <c r="H210" i="26" s="1"/>
  <c r="AJ209" i="26"/>
  <c r="AB209" i="26"/>
  <c r="AC209" i="26" s="1"/>
  <c r="Y209" i="26"/>
  <c r="U209" i="26"/>
  <c r="S209" i="26"/>
  <c r="G209" i="26"/>
  <c r="H209" i="26" s="1"/>
  <c r="AB208" i="26"/>
  <c r="AC208" i="26" s="1"/>
  <c r="Y208" i="26"/>
  <c r="U208" i="26"/>
  <c r="S208" i="26"/>
  <c r="G208" i="26"/>
  <c r="H208" i="26" s="1"/>
  <c r="AB207" i="26"/>
  <c r="AC207" i="26" s="1"/>
  <c r="Y207" i="26"/>
  <c r="U207" i="26"/>
  <c r="S207" i="26"/>
  <c r="G207" i="26"/>
  <c r="H207" i="26" s="1"/>
  <c r="AB206" i="26"/>
  <c r="AC206" i="26" s="1"/>
  <c r="Y206" i="26"/>
  <c r="U206" i="26"/>
  <c r="S206" i="26"/>
  <c r="G206" i="26"/>
  <c r="H206" i="26" s="1"/>
  <c r="AB205" i="26"/>
  <c r="AC205" i="26" s="1"/>
  <c r="Y205" i="26"/>
  <c r="U205" i="26"/>
  <c r="S205" i="26"/>
  <c r="G205" i="26"/>
  <c r="H205" i="26" s="1"/>
  <c r="AB204" i="26"/>
  <c r="AC204" i="26" s="1"/>
  <c r="Y204" i="26"/>
  <c r="U204" i="26"/>
  <c r="S204" i="26"/>
  <c r="G204" i="26"/>
  <c r="H204" i="26" s="1"/>
  <c r="AJ203" i="26"/>
  <c r="AB203" i="26"/>
  <c r="AC203" i="26" s="1"/>
  <c r="Y203" i="26"/>
  <c r="U203" i="26"/>
  <c r="S203" i="26"/>
  <c r="G203" i="26"/>
  <c r="H203" i="26" s="1"/>
  <c r="AB202" i="26"/>
  <c r="AC202" i="26" s="1"/>
  <c r="Y202" i="26"/>
  <c r="U202" i="26"/>
  <c r="S202" i="26"/>
  <c r="G202" i="26"/>
  <c r="H202" i="26" s="1"/>
  <c r="AB201" i="26"/>
  <c r="AC201" i="26" s="1"/>
  <c r="Y201" i="26"/>
  <c r="U201" i="26"/>
  <c r="S201" i="26"/>
  <c r="G201" i="26"/>
  <c r="H201" i="26" s="1"/>
  <c r="AJ200" i="26"/>
  <c r="AB200" i="26"/>
  <c r="AC200" i="26" s="1"/>
  <c r="Y200" i="26"/>
  <c r="U200" i="26"/>
  <c r="S200" i="26"/>
  <c r="G200" i="26"/>
  <c r="H200" i="26" s="1"/>
  <c r="AB199" i="26"/>
  <c r="AC199" i="26" s="1"/>
  <c r="Z199" i="26"/>
  <c r="Y199" i="26"/>
  <c r="U199" i="26"/>
  <c r="S199" i="26"/>
  <c r="G199" i="26"/>
  <c r="H199" i="26" s="1"/>
  <c r="AB198" i="26"/>
  <c r="AC198" i="26" s="1"/>
  <c r="Y198" i="26"/>
  <c r="U198" i="26"/>
  <c r="S198" i="26"/>
  <c r="G198" i="26"/>
  <c r="H198" i="26" s="1"/>
  <c r="AB197" i="26"/>
  <c r="AC197" i="26" s="1"/>
  <c r="Y197" i="26"/>
  <c r="U197" i="26"/>
  <c r="S197" i="26"/>
  <c r="G197" i="26"/>
  <c r="H197" i="26" s="1"/>
  <c r="AJ196" i="26"/>
  <c r="AB196" i="26"/>
  <c r="AC196" i="26" s="1"/>
  <c r="AI196" i="26" s="1"/>
  <c r="Y196" i="26"/>
  <c r="U196" i="26"/>
  <c r="S196" i="26"/>
  <c r="G196" i="26"/>
  <c r="H196" i="26" s="1"/>
  <c r="AB195" i="26"/>
  <c r="AC195" i="26" s="1"/>
  <c r="U195" i="26"/>
  <c r="S195" i="26"/>
  <c r="G195" i="26"/>
  <c r="H195" i="26" s="1"/>
  <c r="AB194" i="26"/>
  <c r="AC194" i="26" s="1"/>
  <c r="U194" i="26"/>
  <c r="S194" i="26"/>
  <c r="G194" i="26"/>
  <c r="H194" i="26" s="1"/>
  <c r="AJ193" i="26"/>
  <c r="AB193" i="26"/>
  <c r="AC193" i="26" s="1"/>
  <c r="U193" i="26"/>
  <c r="S193" i="26"/>
  <c r="G193" i="26"/>
  <c r="H193" i="26" s="1"/>
  <c r="AB192" i="26"/>
  <c r="AC192" i="26" s="1"/>
  <c r="U192" i="26"/>
  <c r="S192" i="26"/>
  <c r="G192" i="26"/>
  <c r="H192" i="26" s="1"/>
  <c r="AB191" i="26"/>
  <c r="AC191" i="26" s="1"/>
  <c r="U191" i="26"/>
  <c r="S191" i="26"/>
  <c r="G191" i="26"/>
  <c r="H191" i="26" s="1"/>
  <c r="AJ190" i="26"/>
  <c r="AB190" i="26"/>
  <c r="AC190" i="26" s="1"/>
  <c r="U190" i="26"/>
  <c r="S190" i="26"/>
  <c r="G190" i="26"/>
  <c r="H190" i="26" s="1"/>
  <c r="AB189" i="26"/>
  <c r="AC189" i="26" s="1"/>
  <c r="U189" i="26"/>
  <c r="S189" i="26"/>
  <c r="G189" i="26"/>
  <c r="H189" i="26" s="1"/>
  <c r="AB188" i="26"/>
  <c r="AC188" i="26" s="1"/>
  <c r="U188" i="26"/>
  <c r="S188" i="26"/>
  <c r="G188" i="26"/>
  <c r="H188" i="26" s="1"/>
  <c r="AB187" i="26"/>
  <c r="AC187" i="26" s="1"/>
  <c r="U187" i="26"/>
  <c r="S187" i="26"/>
  <c r="G187" i="26"/>
  <c r="H187" i="26" s="1"/>
  <c r="AB186" i="26"/>
  <c r="AC186" i="26" s="1"/>
  <c r="U186" i="26"/>
  <c r="S186" i="26"/>
  <c r="G186" i="26"/>
  <c r="H186" i="26" s="1"/>
  <c r="AB185" i="26"/>
  <c r="AC185" i="26" s="1"/>
  <c r="U185" i="26"/>
  <c r="S185" i="26"/>
  <c r="G185" i="26"/>
  <c r="H185" i="26" s="1"/>
  <c r="AB184" i="26"/>
  <c r="AC184" i="26" s="1"/>
  <c r="U184" i="26"/>
  <c r="S184" i="26"/>
  <c r="G184" i="26"/>
  <c r="H184" i="26" s="1"/>
  <c r="AB183" i="26"/>
  <c r="AC183" i="26" s="1"/>
  <c r="U183" i="26"/>
  <c r="S183" i="26"/>
  <c r="G183" i="26"/>
  <c r="H183" i="26" s="1"/>
  <c r="AB182" i="26"/>
  <c r="AC182" i="26" s="1"/>
  <c r="U182" i="26"/>
  <c r="S182" i="26"/>
  <c r="G182" i="26"/>
  <c r="H182" i="26" s="1"/>
  <c r="AB181" i="26"/>
  <c r="AC181" i="26" s="1"/>
  <c r="U181" i="26"/>
  <c r="S181" i="26"/>
  <c r="G181" i="26"/>
  <c r="H181" i="26" s="1"/>
  <c r="AB180" i="26"/>
  <c r="AC180" i="26" s="1"/>
  <c r="U180" i="26"/>
  <c r="S180" i="26"/>
  <c r="G180" i="26"/>
  <c r="H180" i="26" s="1"/>
  <c r="AB179" i="26"/>
  <c r="AC179" i="26" s="1"/>
  <c r="U179" i="26"/>
  <c r="S179" i="26"/>
  <c r="G179" i="26"/>
  <c r="H179" i="26" s="1"/>
  <c r="AC178" i="26"/>
  <c r="AB178" i="26"/>
  <c r="U178" i="26"/>
  <c r="S178" i="26"/>
  <c r="G178" i="26"/>
  <c r="H178" i="26" s="1"/>
  <c r="AB177" i="26"/>
  <c r="AC177" i="26" s="1"/>
  <c r="U177" i="26"/>
  <c r="S177" i="26"/>
  <c r="G177" i="26"/>
  <c r="H177" i="26" s="1"/>
  <c r="AB176" i="26"/>
  <c r="AC176" i="26" s="1"/>
  <c r="U176" i="26"/>
  <c r="S176" i="26"/>
  <c r="G176" i="26"/>
  <c r="H176" i="26" s="1"/>
  <c r="AB175" i="26"/>
  <c r="AC175" i="26" s="1"/>
  <c r="U175" i="26"/>
  <c r="S175" i="26"/>
  <c r="G175" i="26"/>
  <c r="H175" i="26" s="1"/>
  <c r="AB174" i="26"/>
  <c r="AC174" i="26" s="1"/>
  <c r="U174" i="26"/>
  <c r="S174" i="26"/>
  <c r="G174" i="26"/>
  <c r="H174" i="26" s="1"/>
  <c r="AB173" i="26"/>
  <c r="AC173" i="26" s="1"/>
  <c r="U173" i="26"/>
  <c r="S173" i="26"/>
  <c r="G173" i="26"/>
  <c r="H173" i="26" s="1"/>
  <c r="AB172" i="26"/>
  <c r="AC172" i="26" s="1"/>
  <c r="U172" i="26"/>
  <c r="S172" i="26"/>
  <c r="G172" i="26"/>
  <c r="H172" i="26" s="1"/>
  <c r="AB171" i="26"/>
  <c r="AC171" i="26" s="1"/>
  <c r="U171" i="26"/>
  <c r="S171" i="26"/>
  <c r="G171" i="26"/>
  <c r="H171" i="26" s="1"/>
  <c r="AB170" i="26"/>
  <c r="AC170" i="26" s="1"/>
  <c r="U170" i="26"/>
  <c r="S170" i="26"/>
  <c r="G170" i="26"/>
  <c r="H170" i="26" s="1"/>
  <c r="AB169" i="26"/>
  <c r="AC169" i="26" s="1"/>
  <c r="U169" i="26"/>
  <c r="S169" i="26"/>
  <c r="G169" i="26"/>
  <c r="H169" i="26" s="1"/>
  <c r="AB168" i="26"/>
  <c r="AC168" i="26" s="1"/>
  <c r="U168" i="26"/>
  <c r="S168" i="26"/>
  <c r="G168" i="26"/>
  <c r="H168" i="26" s="1"/>
  <c r="AB167" i="26"/>
  <c r="AC167" i="26" s="1"/>
  <c r="U167" i="26"/>
  <c r="S167" i="26"/>
  <c r="G167" i="26"/>
  <c r="H167" i="26" s="1"/>
  <c r="AB166" i="26"/>
  <c r="AC166" i="26" s="1"/>
  <c r="U166" i="26"/>
  <c r="S166" i="26"/>
  <c r="G166" i="26"/>
  <c r="H166" i="26" s="1"/>
  <c r="AB165" i="26"/>
  <c r="AC165" i="26" s="1"/>
  <c r="U165" i="26"/>
  <c r="S165" i="26"/>
  <c r="G165" i="26"/>
  <c r="H165" i="26" s="1"/>
  <c r="AB164" i="26"/>
  <c r="AC164" i="26" s="1"/>
  <c r="U164" i="26"/>
  <c r="S164" i="26"/>
  <c r="G164" i="26"/>
  <c r="H164" i="26" s="1"/>
  <c r="AB163" i="26"/>
  <c r="AC163" i="26" s="1"/>
  <c r="U163" i="26"/>
  <c r="S163" i="26"/>
  <c r="G163" i="26"/>
  <c r="H163" i="26" s="1"/>
  <c r="AB162" i="26"/>
  <c r="AC162" i="26" s="1"/>
  <c r="U162" i="26"/>
  <c r="S162" i="26"/>
  <c r="G162" i="26"/>
  <c r="H162" i="26" s="1"/>
  <c r="AB161" i="26"/>
  <c r="AC161" i="26" s="1"/>
  <c r="U161" i="26"/>
  <c r="S161" i="26"/>
  <c r="G161" i="26"/>
  <c r="H161" i="26" s="1"/>
  <c r="AB160" i="26"/>
  <c r="AC160" i="26" s="1"/>
  <c r="U160" i="26"/>
  <c r="S160" i="26"/>
  <c r="G160" i="26"/>
  <c r="H160" i="26" s="1"/>
  <c r="AB159" i="26"/>
  <c r="AC159" i="26" s="1"/>
  <c r="U159" i="26"/>
  <c r="S159" i="26"/>
  <c r="G159" i="26"/>
  <c r="H159" i="26" s="1"/>
  <c r="AB158" i="26"/>
  <c r="AC158" i="26" s="1"/>
  <c r="U158" i="26"/>
  <c r="S158" i="26"/>
  <c r="G158" i="26"/>
  <c r="H158" i="26" s="1"/>
  <c r="AB157" i="26"/>
  <c r="AC157" i="26" s="1"/>
  <c r="U157" i="26"/>
  <c r="S157" i="26"/>
  <c r="G157" i="26"/>
  <c r="H157" i="26" s="1"/>
  <c r="AB156" i="26"/>
  <c r="AC156" i="26" s="1"/>
  <c r="U156" i="26"/>
  <c r="S156" i="26"/>
  <c r="G156" i="26"/>
  <c r="H156" i="26" s="1"/>
  <c r="AB155" i="26"/>
  <c r="AC155" i="26" s="1"/>
  <c r="U155" i="26"/>
  <c r="S155" i="26"/>
  <c r="G155" i="26"/>
  <c r="H155" i="26" s="1"/>
  <c r="AB154" i="26"/>
  <c r="AC154" i="26" s="1"/>
  <c r="U154" i="26"/>
  <c r="S154" i="26"/>
  <c r="G154" i="26"/>
  <c r="H154" i="26" s="1"/>
  <c r="AB153" i="26"/>
  <c r="AC153" i="26" s="1"/>
  <c r="U153" i="26"/>
  <c r="S153" i="26"/>
  <c r="G153" i="26"/>
  <c r="H153" i="26" s="1"/>
  <c r="AB152" i="26"/>
  <c r="AC152" i="26" s="1"/>
  <c r="U152" i="26"/>
  <c r="S152" i="26"/>
  <c r="G152" i="26"/>
  <c r="H152" i="26" s="1"/>
  <c r="AB151" i="26"/>
  <c r="AC151" i="26" s="1"/>
  <c r="U151" i="26"/>
  <c r="S151" i="26"/>
  <c r="G151" i="26"/>
  <c r="H151" i="26" s="1"/>
  <c r="AB150" i="26"/>
  <c r="AC150" i="26" s="1"/>
  <c r="U150" i="26"/>
  <c r="S150" i="26"/>
  <c r="G150" i="26"/>
  <c r="H150" i="26" s="1"/>
  <c r="AB149" i="26"/>
  <c r="AC149" i="26" s="1"/>
  <c r="U149" i="26"/>
  <c r="S149" i="26"/>
  <c r="G149" i="26"/>
  <c r="H149" i="26" s="1"/>
  <c r="AB148" i="26"/>
  <c r="AC148" i="26" s="1"/>
  <c r="U148" i="26"/>
  <c r="S148" i="26"/>
  <c r="G148" i="26"/>
  <c r="H148" i="26" s="1"/>
  <c r="AB147" i="26"/>
  <c r="AC147" i="26" s="1"/>
  <c r="U147" i="26"/>
  <c r="S147" i="26"/>
  <c r="G147" i="26"/>
  <c r="H147" i="26" s="1"/>
  <c r="AB146" i="26"/>
  <c r="AC146" i="26" s="1"/>
  <c r="U146" i="26"/>
  <c r="S146" i="26"/>
  <c r="G146" i="26"/>
  <c r="H146" i="26" s="1"/>
  <c r="AB145" i="26"/>
  <c r="AC145" i="26" s="1"/>
  <c r="U145" i="26"/>
  <c r="S145" i="26"/>
  <c r="G145" i="26"/>
  <c r="H145" i="26" s="1"/>
  <c r="AB144" i="26"/>
  <c r="AC144" i="26" s="1"/>
  <c r="U144" i="26"/>
  <c r="S144" i="26"/>
  <c r="G144" i="26"/>
  <c r="H144" i="26" s="1"/>
  <c r="AB143" i="26"/>
  <c r="AC143" i="26" s="1"/>
  <c r="U143" i="26"/>
  <c r="S143" i="26"/>
  <c r="G143" i="26"/>
  <c r="H143" i="26" s="1"/>
  <c r="AB142" i="26"/>
  <c r="AC142" i="26" s="1"/>
  <c r="U142" i="26"/>
  <c r="S142" i="26"/>
  <c r="G142" i="26"/>
  <c r="H142" i="26" s="1"/>
  <c r="AB141" i="26"/>
  <c r="AC141" i="26" s="1"/>
  <c r="U141" i="26"/>
  <c r="S141" i="26"/>
  <c r="G141" i="26"/>
  <c r="H141" i="26" s="1"/>
  <c r="AB140" i="26"/>
  <c r="AC140" i="26" s="1"/>
  <c r="U140" i="26"/>
  <c r="S140" i="26"/>
  <c r="G140" i="26"/>
  <c r="H140" i="26" s="1"/>
  <c r="AB139" i="26"/>
  <c r="AC139" i="26" s="1"/>
  <c r="U139" i="26"/>
  <c r="S139" i="26"/>
  <c r="G139" i="26"/>
  <c r="H139" i="26" s="1"/>
  <c r="AB138" i="26"/>
  <c r="AC138" i="26" s="1"/>
  <c r="U138" i="26"/>
  <c r="S138" i="26"/>
  <c r="G138" i="26"/>
  <c r="H138" i="26" s="1"/>
  <c r="AB137" i="26"/>
  <c r="AC137" i="26" s="1"/>
  <c r="U137" i="26"/>
  <c r="S137" i="26"/>
  <c r="G137" i="26"/>
  <c r="H137" i="26" s="1"/>
  <c r="AB136" i="26"/>
  <c r="AC136" i="26" s="1"/>
  <c r="U136" i="26"/>
  <c r="S136" i="26"/>
  <c r="G136" i="26"/>
  <c r="H136" i="26" s="1"/>
  <c r="AB135" i="26"/>
  <c r="AC135" i="26" s="1"/>
  <c r="U135" i="26"/>
  <c r="S135" i="26"/>
  <c r="G135" i="26"/>
  <c r="H135" i="26" s="1"/>
  <c r="AB134" i="26"/>
  <c r="AC134" i="26" s="1"/>
  <c r="U134" i="26"/>
  <c r="S134" i="26"/>
  <c r="G134" i="26"/>
  <c r="H134" i="26" s="1"/>
  <c r="AB133" i="26"/>
  <c r="AC133" i="26" s="1"/>
  <c r="U133" i="26"/>
  <c r="S133" i="26"/>
  <c r="G133" i="26"/>
  <c r="H133" i="26" s="1"/>
  <c r="AB132" i="26"/>
  <c r="AC132" i="26" s="1"/>
  <c r="U132" i="26"/>
  <c r="S132" i="26"/>
  <c r="G132" i="26"/>
  <c r="H132" i="26" s="1"/>
  <c r="AB131" i="26"/>
  <c r="AC131" i="26" s="1"/>
  <c r="U131" i="26"/>
  <c r="S131" i="26"/>
  <c r="G131" i="26"/>
  <c r="H131" i="26" s="1"/>
  <c r="AB130" i="26"/>
  <c r="AC130" i="26" s="1"/>
  <c r="U130" i="26"/>
  <c r="S130" i="26"/>
  <c r="G130" i="26"/>
  <c r="H130" i="26" s="1"/>
  <c r="AB129" i="26"/>
  <c r="AC129" i="26" s="1"/>
  <c r="U129" i="26"/>
  <c r="S129" i="26"/>
  <c r="G129" i="26"/>
  <c r="H129" i="26" s="1"/>
  <c r="AB128" i="26"/>
  <c r="AC128" i="26" s="1"/>
  <c r="U128" i="26"/>
  <c r="S128" i="26"/>
  <c r="G128" i="26"/>
  <c r="H128" i="26" s="1"/>
  <c r="AB127" i="26"/>
  <c r="AC127" i="26" s="1"/>
  <c r="U127" i="26"/>
  <c r="S127" i="26"/>
  <c r="G127" i="26"/>
  <c r="H127" i="26" s="1"/>
  <c r="AB126" i="26"/>
  <c r="AC126" i="26" s="1"/>
  <c r="U126" i="26"/>
  <c r="S126" i="26"/>
  <c r="G126" i="26"/>
  <c r="H126" i="26" s="1"/>
  <c r="AB125" i="26"/>
  <c r="AC125" i="26" s="1"/>
  <c r="U125" i="26"/>
  <c r="S125" i="26"/>
  <c r="G125" i="26"/>
  <c r="H125" i="26" s="1"/>
  <c r="AB124" i="26"/>
  <c r="AC124" i="26" s="1"/>
  <c r="U124" i="26"/>
  <c r="S124" i="26"/>
  <c r="G124" i="26"/>
  <c r="H124" i="26" s="1"/>
  <c r="AB123" i="26"/>
  <c r="AC123" i="26" s="1"/>
  <c r="U123" i="26"/>
  <c r="S123" i="26"/>
  <c r="G123" i="26"/>
  <c r="H123" i="26" s="1"/>
  <c r="AB122" i="26"/>
  <c r="AC122" i="26" s="1"/>
  <c r="U122" i="26"/>
  <c r="S122" i="26"/>
  <c r="G122" i="26"/>
  <c r="H122" i="26" s="1"/>
  <c r="AB121" i="26"/>
  <c r="AC121" i="26" s="1"/>
  <c r="U121" i="26"/>
  <c r="S121" i="26"/>
  <c r="G121" i="26"/>
  <c r="H121" i="26" s="1"/>
  <c r="AB120" i="26"/>
  <c r="AC120" i="26" s="1"/>
  <c r="U120" i="26"/>
  <c r="S120" i="26"/>
  <c r="G120" i="26"/>
  <c r="H120" i="26" s="1"/>
  <c r="AB119" i="26"/>
  <c r="AC119" i="26" s="1"/>
  <c r="U119" i="26"/>
  <c r="S119" i="26"/>
  <c r="G119" i="26"/>
  <c r="H119" i="26" s="1"/>
  <c r="AB118" i="26"/>
  <c r="AC118" i="26" s="1"/>
  <c r="U118" i="26"/>
  <c r="S118" i="26"/>
  <c r="G118" i="26"/>
  <c r="H118" i="26" s="1"/>
  <c r="AB117" i="26"/>
  <c r="AC117" i="26" s="1"/>
  <c r="U117" i="26"/>
  <c r="S117" i="26"/>
  <c r="G117" i="26"/>
  <c r="H117" i="26" s="1"/>
  <c r="AB116" i="26"/>
  <c r="AC116" i="26" s="1"/>
  <c r="U116" i="26"/>
  <c r="S116" i="26"/>
  <c r="G116" i="26"/>
  <c r="H116" i="26" s="1"/>
  <c r="AB115" i="26"/>
  <c r="AC115" i="26" s="1"/>
  <c r="U115" i="26"/>
  <c r="S115" i="26"/>
  <c r="G115" i="26"/>
  <c r="H115" i="26" s="1"/>
  <c r="AJ114" i="26"/>
  <c r="AB114" i="26"/>
  <c r="AC114" i="26" s="1"/>
  <c r="U114" i="26"/>
  <c r="S114" i="26"/>
  <c r="G114" i="26"/>
  <c r="H114" i="26" s="1"/>
  <c r="AB113" i="26"/>
  <c r="AC113" i="26" s="1"/>
  <c r="U113" i="26"/>
  <c r="S113" i="26"/>
  <c r="G113" i="26"/>
  <c r="H113" i="26" s="1"/>
  <c r="AB112" i="26"/>
  <c r="AC112" i="26" s="1"/>
  <c r="U112" i="26"/>
  <c r="S112" i="26"/>
  <c r="G112" i="26"/>
  <c r="H112" i="26" s="1"/>
  <c r="AB111" i="26"/>
  <c r="AC111" i="26" s="1"/>
  <c r="U111" i="26"/>
  <c r="S111" i="26"/>
  <c r="G111" i="26"/>
  <c r="H111" i="26" s="1"/>
  <c r="AJ110" i="26"/>
  <c r="AB110" i="26"/>
  <c r="AC110" i="26" s="1"/>
  <c r="U110" i="26"/>
  <c r="S110" i="26"/>
  <c r="G110" i="26"/>
  <c r="H110" i="26" s="1"/>
  <c r="AB109" i="26"/>
  <c r="AC109" i="26" s="1"/>
  <c r="Y109" i="26"/>
  <c r="U109" i="26"/>
  <c r="S109" i="26"/>
  <c r="G109" i="26"/>
  <c r="H109" i="26" s="1"/>
  <c r="AB108" i="26"/>
  <c r="AC108" i="26" s="1"/>
  <c r="Y108" i="26"/>
  <c r="U108" i="26"/>
  <c r="S108" i="26"/>
  <c r="AB107" i="26"/>
  <c r="AC107" i="26" s="1"/>
  <c r="Y107" i="26"/>
  <c r="U107" i="26"/>
  <c r="S107" i="26"/>
  <c r="G107" i="26"/>
  <c r="H107" i="26" s="1"/>
  <c r="AB106" i="26"/>
  <c r="AC106" i="26" s="1"/>
  <c r="Y106" i="26"/>
  <c r="U106" i="26"/>
  <c r="S106" i="26"/>
  <c r="G106" i="26"/>
  <c r="H106" i="26" s="1"/>
  <c r="AG105" i="26"/>
  <c r="AG952" i="26" s="1"/>
  <c r="AB105" i="26"/>
  <c r="AC105" i="26" s="1"/>
  <c r="Y105" i="26"/>
  <c r="U105" i="26"/>
  <c r="S105" i="26"/>
  <c r="G105" i="26"/>
  <c r="H105" i="26" s="1"/>
  <c r="AB104" i="26"/>
  <c r="AC104" i="26" s="1"/>
  <c r="Y104" i="26"/>
  <c r="U104" i="26"/>
  <c r="S104" i="26"/>
  <c r="G104" i="26"/>
  <c r="H104" i="26" s="1"/>
  <c r="AB103" i="26"/>
  <c r="AC103" i="26" s="1"/>
  <c r="Y103" i="26"/>
  <c r="U103" i="26"/>
  <c r="S103" i="26"/>
  <c r="G103" i="26"/>
  <c r="H103" i="26" s="1"/>
  <c r="AB102" i="26"/>
  <c r="AC102" i="26" s="1"/>
  <c r="Z102" i="26"/>
  <c r="Y102" i="26"/>
  <c r="U102" i="26"/>
  <c r="S102" i="26"/>
  <c r="G102" i="26"/>
  <c r="H102" i="26" s="1"/>
  <c r="AB101" i="26"/>
  <c r="AC101" i="26" s="1"/>
  <c r="U101" i="26"/>
  <c r="S101" i="26"/>
  <c r="G101" i="26"/>
  <c r="H101" i="26" s="1"/>
  <c r="AB100" i="26"/>
  <c r="AC100" i="26" s="1"/>
  <c r="U100" i="26"/>
  <c r="S100" i="26"/>
  <c r="G100" i="26"/>
  <c r="H100" i="26" s="1"/>
  <c r="AB99" i="26"/>
  <c r="AC99" i="26" s="1"/>
  <c r="U99" i="26"/>
  <c r="S99" i="26"/>
  <c r="G99" i="26"/>
  <c r="H99" i="26" s="1"/>
  <c r="AB98" i="26"/>
  <c r="AC98" i="26" s="1"/>
  <c r="U98" i="26"/>
  <c r="S98" i="26"/>
  <c r="G98" i="26"/>
  <c r="H98" i="26" s="1"/>
  <c r="AB97" i="26"/>
  <c r="AC97" i="26" s="1"/>
  <c r="U97" i="26"/>
  <c r="S97" i="26"/>
  <c r="G97" i="26"/>
  <c r="H97" i="26" s="1"/>
  <c r="AJ96" i="26"/>
  <c r="AB96" i="26"/>
  <c r="AC96" i="26" s="1"/>
  <c r="U96" i="26"/>
  <c r="S96" i="26"/>
  <c r="G96" i="26"/>
  <c r="H96" i="26" s="1"/>
  <c r="AB95" i="26"/>
  <c r="AC95" i="26" s="1"/>
  <c r="Y95" i="26"/>
  <c r="U95" i="26"/>
  <c r="S95" i="26"/>
  <c r="G95" i="26"/>
  <c r="H95" i="26" s="1"/>
  <c r="AJ94" i="26"/>
  <c r="AB94" i="26"/>
  <c r="AC94" i="26" s="1"/>
  <c r="Y94" i="26"/>
  <c r="U94" i="26"/>
  <c r="S94" i="26"/>
  <c r="G94" i="26"/>
  <c r="H94" i="26" s="1"/>
  <c r="AB93" i="26"/>
  <c r="AC93" i="26" s="1"/>
  <c r="Y93" i="26"/>
  <c r="U93" i="26"/>
  <c r="S93" i="26"/>
  <c r="G93" i="26"/>
  <c r="H93" i="26" s="1"/>
  <c r="AB92" i="26"/>
  <c r="AC92" i="26" s="1"/>
  <c r="Y92" i="26"/>
  <c r="U92" i="26"/>
  <c r="S92" i="26"/>
  <c r="G92" i="26"/>
  <c r="H92" i="26" s="1"/>
  <c r="AB91" i="26"/>
  <c r="AC91" i="26" s="1"/>
  <c r="U91" i="26"/>
  <c r="S91" i="26"/>
  <c r="G91" i="26"/>
  <c r="H91" i="26" s="1"/>
  <c r="AB90" i="26"/>
  <c r="AC90" i="26" s="1"/>
  <c r="U90" i="26"/>
  <c r="S90" i="26"/>
  <c r="G90" i="26"/>
  <c r="H90" i="26" s="1"/>
  <c r="AB89" i="26"/>
  <c r="AC89" i="26" s="1"/>
  <c r="U89" i="26"/>
  <c r="S89" i="26"/>
  <c r="G89" i="26"/>
  <c r="H89" i="26" s="1"/>
  <c r="AB88" i="26"/>
  <c r="AC88" i="26" s="1"/>
  <c r="U88" i="26"/>
  <c r="S88" i="26"/>
  <c r="G88" i="26"/>
  <c r="H88" i="26" s="1"/>
  <c r="AB87" i="26"/>
  <c r="AC87" i="26" s="1"/>
  <c r="U87" i="26"/>
  <c r="S87" i="26"/>
  <c r="G87" i="26"/>
  <c r="H87" i="26" s="1"/>
  <c r="AB86" i="26"/>
  <c r="AC86" i="26" s="1"/>
  <c r="U86" i="26"/>
  <c r="S86" i="26"/>
  <c r="G86" i="26"/>
  <c r="H86" i="26" s="1"/>
  <c r="AB85" i="26"/>
  <c r="AC85" i="26" s="1"/>
  <c r="U85" i="26"/>
  <c r="S85" i="26"/>
  <c r="G85" i="26"/>
  <c r="H85" i="26" s="1"/>
  <c r="AB84" i="26"/>
  <c r="AC84" i="26" s="1"/>
  <c r="U84" i="26"/>
  <c r="S84" i="26"/>
  <c r="G84" i="26"/>
  <c r="H84" i="26" s="1"/>
  <c r="AB83" i="26"/>
  <c r="AC83" i="26" s="1"/>
  <c r="U83" i="26"/>
  <c r="S83" i="26"/>
  <c r="G83" i="26"/>
  <c r="H83" i="26" s="1"/>
  <c r="AB82" i="26"/>
  <c r="AC82" i="26" s="1"/>
  <c r="U82" i="26"/>
  <c r="S82" i="26"/>
  <c r="G82" i="26"/>
  <c r="H82" i="26" s="1"/>
  <c r="AB81" i="26"/>
  <c r="AC81" i="26" s="1"/>
  <c r="U81" i="26"/>
  <c r="S81" i="26"/>
  <c r="G81" i="26"/>
  <c r="H81" i="26" s="1"/>
  <c r="AB80" i="26"/>
  <c r="AC80" i="26" s="1"/>
  <c r="U80" i="26"/>
  <c r="S80" i="26"/>
  <c r="G80" i="26"/>
  <c r="H80" i="26" s="1"/>
  <c r="AB79" i="26"/>
  <c r="AC79" i="26" s="1"/>
  <c r="U79" i="26"/>
  <c r="S79" i="26"/>
  <c r="G79" i="26"/>
  <c r="H79" i="26" s="1"/>
  <c r="AB78" i="26"/>
  <c r="AC78" i="26" s="1"/>
  <c r="U78" i="26"/>
  <c r="S78" i="26"/>
  <c r="G78" i="26"/>
  <c r="H78" i="26" s="1"/>
  <c r="AB77" i="26"/>
  <c r="AC77" i="26" s="1"/>
  <c r="U77" i="26"/>
  <c r="S77" i="26"/>
  <c r="G77" i="26"/>
  <c r="H77" i="26" s="1"/>
  <c r="AB76" i="26"/>
  <c r="AC76" i="26" s="1"/>
  <c r="U76" i="26"/>
  <c r="S76" i="26"/>
  <c r="G76" i="26"/>
  <c r="H76" i="26" s="1"/>
  <c r="AB75" i="26"/>
  <c r="AC75" i="26" s="1"/>
  <c r="U75" i="26"/>
  <c r="S75" i="26"/>
  <c r="G75" i="26"/>
  <c r="H75" i="26" s="1"/>
  <c r="AB74" i="26"/>
  <c r="AC74" i="26" s="1"/>
  <c r="U74" i="26"/>
  <c r="S74" i="26"/>
  <c r="G74" i="26"/>
  <c r="H74" i="26" s="1"/>
  <c r="AB73" i="26"/>
  <c r="AC73" i="26" s="1"/>
  <c r="U73" i="26"/>
  <c r="S73" i="26"/>
  <c r="G73" i="26"/>
  <c r="H73" i="26" s="1"/>
  <c r="AB72" i="26"/>
  <c r="AC72" i="26" s="1"/>
  <c r="U72" i="26"/>
  <c r="S72" i="26"/>
  <c r="G72" i="26"/>
  <c r="H72" i="26" s="1"/>
  <c r="AB71" i="26"/>
  <c r="AC71" i="26" s="1"/>
  <c r="U71" i="26"/>
  <c r="S71" i="26"/>
  <c r="G71" i="26"/>
  <c r="H71" i="26" s="1"/>
  <c r="AB70" i="26"/>
  <c r="AC70" i="26" s="1"/>
  <c r="U70" i="26"/>
  <c r="S70" i="26"/>
  <c r="G70" i="26"/>
  <c r="H70" i="26" s="1"/>
  <c r="AB69" i="26"/>
  <c r="AC69" i="26" s="1"/>
  <c r="U69" i="26"/>
  <c r="S69" i="26"/>
  <c r="G69" i="26"/>
  <c r="H69" i="26" s="1"/>
  <c r="AB68" i="26"/>
  <c r="AC68" i="26" s="1"/>
  <c r="U68" i="26"/>
  <c r="S68" i="26"/>
  <c r="G68" i="26"/>
  <c r="H68" i="26" s="1"/>
  <c r="AB67" i="26"/>
  <c r="AC67" i="26" s="1"/>
  <c r="U67" i="26"/>
  <c r="S67" i="26"/>
  <c r="G67" i="26"/>
  <c r="H67" i="26" s="1"/>
  <c r="AB66" i="26"/>
  <c r="AC66" i="26" s="1"/>
  <c r="U66" i="26"/>
  <c r="S66" i="26"/>
  <c r="G66" i="26"/>
  <c r="H66" i="26" s="1"/>
  <c r="AB65" i="26"/>
  <c r="AC65" i="26" s="1"/>
  <c r="U65" i="26"/>
  <c r="S65" i="26"/>
  <c r="G65" i="26"/>
  <c r="H65" i="26" s="1"/>
  <c r="AB64" i="26"/>
  <c r="AC64" i="26" s="1"/>
  <c r="U64" i="26"/>
  <c r="S64" i="26"/>
  <c r="G64" i="26"/>
  <c r="H64" i="26" s="1"/>
  <c r="AB63" i="26"/>
  <c r="AC63" i="26" s="1"/>
  <c r="U63" i="26"/>
  <c r="S63" i="26"/>
  <c r="G63" i="26"/>
  <c r="H63" i="26" s="1"/>
  <c r="AB62" i="26"/>
  <c r="AC62" i="26" s="1"/>
  <c r="U62" i="26"/>
  <c r="S62" i="26"/>
  <c r="G62" i="26"/>
  <c r="H62" i="26" s="1"/>
  <c r="AB61" i="26"/>
  <c r="AC61" i="26" s="1"/>
  <c r="U61" i="26"/>
  <c r="S61" i="26"/>
  <c r="G61" i="26"/>
  <c r="H61" i="26" s="1"/>
  <c r="AB60" i="26"/>
  <c r="AC60" i="26" s="1"/>
  <c r="U60" i="26"/>
  <c r="S60" i="26"/>
  <c r="G60" i="26"/>
  <c r="H60" i="26" s="1"/>
  <c r="AB59" i="26"/>
  <c r="AC59" i="26" s="1"/>
  <c r="U59" i="26"/>
  <c r="S59" i="26"/>
  <c r="G59" i="26"/>
  <c r="H59" i="26" s="1"/>
  <c r="AB58" i="26"/>
  <c r="AC58" i="26" s="1"/>
  <c r="U58" i="26"/>
  <c r="S58" i="26"/>
  <c r="G58" i="26"/>
  <c r="H58" i="26" s="1"/>
  <c r="AB57" i="26"/>
  <c r="AC57" i="26" s="1"/>
  <c r="U57" i="26"/>
  <c r="S57" i="26"/>
  <c r="G57" i="26"/>
  <c r="H57" i="26" s="1"/>
  <c r="AB56" i="26"/>
  <c r="AC56" i="26" s="1"/>
  <c r="U56" i="26"/>
  <c r="S56" i="26"/>
  <c r="G56" i="26"/>
  <c r="H56" i="26" s="1"/>
  <c r="AB55" i="26"/>
  <c r="AC55" i="26" s="1"/>
  <c r="U55" i="26"/>
  <c r="S55" i="26"/>
  <c r="G55" i="26"/>
  <c r="H55" i="26" s="1"/>
  <c r="AB54" i="26"/>
  <c r="AC54" i="26" s="1"/>
  <c r="U54" i="26"/>
  <c r="S54" i="26"/>
  <c r="G54" i="26"/>
  <c r="H54" i="26" s="1"/>
  <c r="AB53" i="26"/>
  <c r="AC53" i="26" s="1"/>
  <c r="U53" i="26"/>
  <c r="S53" i="26"/>
  <c r="G53" i="26"/>
  <c r="H53" i="26" s="1"/>
  <c r="AB52" i="26"/>
  <c r="AC52" i="26" s="1"/>
  <c r="U52" i="26"/>
  <c r="S52" i="26"/>
  <c r="G52" i="26"/>
  <c r="H52" i="26" s="1"/>
  <c r="AB51" i="26"/>
  <c r="AC51" i="26" s="1"/>
  <c r="U51" i="26"/>
  <c r="S51" i="26"/>
  <c r="G51" i="26"/>
  <c r="H51" i="26" s="1"/>
  <c r="AB50" i="26"/>
  <c r="AC50" i="26" s="1"/>
  <c r="U50" i="26"/>
  <c r="S50" i="26"/>
  <c r="G50" i="26"/>
  <c r="H50" i="26" s="1"/>
  <c r="AJ49" i="26"/>
  <c r="AB49" i="26"/>
  <c r="AC49" i="26" s="1"/>
  <c r="U49" i="26"/>
  <c r="S49" i="26"/>
  <c r="G49" i="26"/>
  <c r="H49" i="26" s="1"/>
  <c r="AB48" i="26"/>
  <c r="AC48" i="26" s="1"/>
  <c r="Y48" i="26"/>
  <c r="U48" i="26"/>
  <c r="S48" i="26"/>
  <c r="G48" i="26"/>
  <c r="H48" i="26" s="1"/>
  <c r="AB47" i="26"/>
  <c r="AC47" i="26" s="1"/>
  <c r="Y47" i="26"/>
  <c r="U47" i="26"/>
  <c r="S47" i="26"/>
  <c r="G47" i="26"/>
  <c r="H47" i="26" s="1"/>
  <c r="AB46" i="26"/>
  <c r="AC46" i="26" s="1"/>
  <c r="Y46" i="26"/>
  <c r="U46" i="26"/>
  <c r="S46" i="26"/>
  <c r="G46" i="26"/>
  <c r="H46" i="26" s="1"/>
  <c r="AB45" i="26"/>
  <c r="AC45" i="26" s="1"/>
  <c r="Y45" i="26"/>
  <c r="U45" i="26"/>
  <c r="S45" i="26"/>
  <c r="G45" i="26"/>
  <c r="H45" i="26" s="1"/>
  <c r="AB44" i="26"/>
  <c r="AC44" i="26" s="1"/>
  <c r="Y44" i="26"/>
  <c r="U44" i="26"/>
  <c r="S44" i="26"/>
  <c r="G44" i="26"/>
  <c r="H44" i="26" s="1"/>
  <c r="AB43" i="26"/>
  <c r="AC43" i="26" s="1"/>
  <c r="Y43" i="26"/>
  <c r="U43" i="26"/>
  <c r="S43" i="26"/>
  <c r="G43" i="26"/>
  <c r="H43" i="26" s="1"/>
  <c r="AB42" i="26"/>
  <c r="AC42" i="26" s="1"/>
  <c r="Y42" i="26"/>
  <c r="U42" i="26"/>
  <c r="S42" i="26"/>
  <c r="G42" i="26"/>
  <c r="H42" i="26" s="1"/>
  <c r="AB41" i="26"/>
  <c r="AC41" i="26" s="1"/>
  <c r="Y41" i="26"/>
  <c r="U41" i="26"/>
  <c r="S41" i="26"/>
  <c r="G41" i="26"/>
  <c r="H41" i="26" s="1"/>
  <c r="AB40" i="26"/>
  <c r="AC40" i="26" s="1"/>
  <c r="Y40" i="26"/>
  <c r="U40" i="26"/>
  <c r="S40" i="26"/>
  <c r="G40" i="26"/>
  <c r="H40" i="26" s="1"/>
  <c r="AB39" i="26"/>
  <c r="AC39" i="26" s="1"/>
  <c r="Y39" i="26"/>
  <c r="U39" i="26"/>
  <c r="S39" i="26"/>
  <c r="G39" i="26"/>
  <c r="H39" i="26" s="1"/>
  <c r="AB38" i="26"/>
  <c r="AC38" i="26" s="1"/>
  <c r="Y38" i="26"/>
  <c r="U38" i="26"/>
  <c r="S38" i="26"/>
  <c r="G38" i="26"/>
  <c r="H38" i="26" s="1"/>
  <c r="AB37" i="26"/>
  <c r="AC37" i="26" s="1"/>
  <c r="Y37" i="26"/>
  <c r="U37" i="26"/>
  <c r="S37" i="26"/>
  <c r="G37" i="26"/>
  <c r="H37" i="26" s="1"/>
  <c r="AB36" i="26"/>
  <c r="AC36" i="26" s="1"/>
  <c r="Y36" i="26"/>
  <c r="U36" i="26"/>
  <c r="S36" i="26"/>
  <c r="G36" i="26"/>
  <c r="H36" i="26" s="1"/>
  <c r="AJ35" i="26"/>
  <c r="AB35" i="26"/>
  <c r="AC35" i="26" s="1"/>
  <c r="Y35" i="26"/>
  <c r="U35" i="26"/>
  <c r="S35" i="26"/>
  <c r="G35" i="26"/>
  <c r="H35" i="26" s="1"/>
  <c r="AB34" i="26"/>
  <c r="AC34" i="26" s="1"/>
  <c r="Y34" i="26"/>
  <c r="U34" i="26"/>
  <c r="S34" i="26"/>
  <c r="G34" i="26"/>
  <c r="H34" i="26" s="1"/>
  <c r="AB33" i="26"/>
  <c r="AC33" i="26" s="1"/>
  <c r="Y33" i="26"/>
  <c r="U33" i="26"/>
  <c r="S33" i="26"/>
  <c r="G33" i="26"/>
  <c r="H33" i="26" s="1"/>
  <c r="AB32" i="26"/>
  <c r="AC32" i="26" s="1"/>
  <c r="Z32" i="26"/>
  <c r="Y32" i="26"/>
  <c r="U32" i="26"/>
  <c r="S32" i="26"/>
  <c r="G32" i="26"/>
  <c r="H32" i="26" s="1"/>
  <c r="AB31" i="26"/>
  <c r="AC31" i="26" s="1"/>
  <c r="Y31" i="26"/>
  <c r="U31" i="26"/>
  <c r="S31" i="26"/>
  <c r="G31" i="26"/>
  <c r="H31" i="26" s="1"/>
  <c r="AB30" i="26"/>
  <c r="AC30" i="26" s="1"/>
  <c r="Y30" i="26"/>
  <c r="U30" i="26"/>
  <c r="S30" i="26"/>
  <c r="G30" i="26"/>
  <c r="H30" i="26" s="1"/>
  <c r="AB29" i="26"/>
  <c r="AC29" i="26" s="1"/>
  <c r="Z29" i="26"/>
  <c r="Y29" i="26"/>
  <c r="U29" i="26"/>
  <c r="S29" i="26"/>
  <c r="G29" i="26"/>
  <c r="H29" i="26" s="1"/>
  <c r="AB28" i="26"/>
  <c r="AC28" i="26" s="1"/>
  <c r="Y28" i="26"/>
  <c r="U28" i="26"/>
  <c r="S28" i="26"/>
  <c r="G28" i="26"/>
  <c r="H28" i="26" s="1"/>
  <c r="AB27" i="26"/>
  <c r="AC27" i="26" s="1"/>
  <c r="Y27" i="26"/>
  <c r="U27" i="26"/>
  <c r="S27" i="26"/>
  <c r="G27" i="26"/>
  <c r="H27" i="26" s="1"/>
  <c r="AB26" i="26"/>
  <c r="AC26" i="26" s="1"/>
  <c r="Y26" i="26"/>
  <c r="U26" i="26"/>
  <c r="S26" i="26"/>
  <c r="G26" i="26"/>
  <c r="H26" i="26" s="1"/>
  <c r="AB25" i="26"/>
  <c r="AC25" i="26" s="1"/>
  <c r="U25" i="26"/>
  <c r="S25" i="26"/>
  <c r="G25" i="26"/>
  <c r="H25" i="26" s="1"/>
  <c r="AB24" i="26"/>
  <c r="AC24" i="26" s="1"/>
  <c r="U24" i="26"/>
  <c r="S24" i="26"/>
  <c r="G24" i="26"/>
  <c r="H24" i="26" s="1"/>
  <c r="AB23" i="26"/>
  <c r="AC23" i="26" s="1"/>
  <c r="U23" i="26"/>
  <c r="S23" i="26"/>
  <c r="G23" i="26"/>
  <c r="H23" i="26" s="1"/>
  <c r="AB22" i="26"/>
  <c r="AC22" i="26" s="1"/>
  <c r="U22" i="26"/>
  <c r="S22" i="26"/>
  <c r="G22" i="26"/>
  <c r="H22" i="26" s="1"/>
  <c r="AB21" i="26"/>
  <c r="AC21" i="26" s="1"/>
  <c r="U21" i="26"/>
  <c r="S21" i="26"/>
  <c r="G21" i="26"/>
  <c r="H21" i="26" s="1"/>
  <c r="AB20" i="26"/>
  <c r="AC20" i="26" s="1"/>
  <c r="U20" i="26"/>
  <c r="S20" i="26"/>
  <c r="AB19" i="26"/>
  <c r="AC19" i="26" s="1"/>
  <c r="U19" i="26"/>
  <c r="S19" i="26"/>
  <c r="AB18" i="26"/>
  <c r="AC18" i="26" s="1"/>
  <c r="U18" i="26"/>
  <c r="S18" i="26"/>
  <c r="AJ17" i="26"/>
  <c r="AB17" i="26"/>
  <c r="AC17" i="26" s="1"/>
  <c r="U17" i="26"/>
  <c r="S17" i="26"/>
  <c r="AB16" i="26"/>
  <c r="AC16" i="26" s="1"/>
  <c r="Y16" i="26"/>
  <c r="U16" i="26"/>
  <c r="S16" i="26"/>
  <c r="O16" i="26"/>
  <c r="AD16" i="26" s="1"/>
  <c r="G16" i="26"/>
  <c r="H16" i="26" s="1"/>
  <c r="AB13" i="26"/>
  <c r="AC13" i="26" s="1"/>
  <c r="Y13" i="26"/>
  <c r="U13" i="26"/>
  <c r="S13" i="26"/>
  <c r="O13" i="26"/>
  <c r="AD13" i="26" s="1"/>
  <c r="G13" i="26"/>
  <c r="H13" i="26" s="1"/>
  <c r="AB12" i="26"/>
  <c r="AC12" i="26" s="1"/>
  <c r="Y12" i="26"/>
  <c r="U12" i="26"/>
  <c r="S12" i="26"/>
  <c r="G12" i="26"/>
  <c r="H12" i="26" s="1"/>
  <c r="AB11" i="26"/>
  <c r="AC11" i="26" s="1"/>
  <c r="Y11" i="26"/>
  <c r="U11" i="26"/>
  <c r="S11" i="26"/>
  <c r="G11" i="26"/>
  <c r="H11" i="26" s="1"/>
  <c r="AB10" i="26"/>
  <c r="AC10" i="26" s="1"/>
  <c r="Y10" i="26"/>
  <c r="U10" i="26"/>
  <c r="S10" i="26"/>
  <c r="G10" i="26"/>
  <c r="H10" i="26" s="1"/>
  <c r="AB9" i="26"/>
  <c r="AC9" i="26" s="1"/>
  <c r="Y9" i="26"/>
  <c r="U9" i="26"/>
  <c r="S9" i="26"/>
  <c r="G9" i="26"/>
  <c r="H9" i="26" s="1"/>
  <c r="AB8" i="26"/>
  <c r="AC8" i="26" s="1"/>
  <c r="Y8" i="26"/>
  <c r="U8" i="26"/>
  <c r="S8" i="26"/>
  <c r="G8" i="26"/>
  <c r="H8" i="26" s="1"/>
  <c r="AB7" i="26"/>
  <c r="AC7" i="26" s="1"/>
  <c r="Y7" i="26"/>
  <c r="U7" i="26"/>
  <c r="S7" i="26"/>
  <c r="G7" i="26"/>
  <c r="H7" i="26" s="1"/>
  <c r="AJ6" i="26"/>
  <c r="AB6" i="26"/>
  <c r="AC6" i="26" s="1"/>
  <c r="Y6" i="26"/>
  <c r="U6" i="26"/>
  <c r="S6" i="26"/>
  <c r="G6" i="26"/>
  <c r="H6" i="26" s="1"/>
  <c r="AB5" i="26"/>
  <c r="AC5" i="26" s="1"/>
  <c r="Y5" i="26"/>
  <c r="U5" i="26"/>
  <c r="S5" i="26"/>
  <c r="G5" i="26"/>
  <c r="H5" i="26" s="1"/>
  <c r="AB4" i="26"/>
  <c r="AC4" i="26" s="1"/>
  <c r="Y4" i="26"/>
  <c r="U4" i="26"/>
  <c r="S4" i="26"/>
  <c r="G4" i="26"/>
  <c r="H4" i="26" s="1"/>
  <c r="AB3" i="26"/>
  <c r="AC3" i="26" s="1"/>
  <c r="Y3" i="26"/>
  <c r="U3" i="26"/>
  <c r="S3" i="26"/>
  <c r="G3" i="26"/>
  <c r="H3" i="26" s="1"/>
  <c r="A19" i="19"/>
  <c r="AI477" i="26" l="1"/>
  <c r="AI425" i="26"/>
  <c r="AI639" i="26"/>
  <c r="AI94" i="26"/>
  <c r="AI291" i="26"/>
  <c r="AI516" i="26"/>
  <c r="G99" i="19"/>
  <c r="AC778" i="26"/>
  <c r="AI405" i="26"/>
  <c r="O8" i="21"/>
  <c r="AI217" i="26"/>
  <c r="AI559" i="26"/>
  <c r="AI360" i="26"/>
  <c r="AI350" i="26"/>
  <c r="AI506" i="26"/>
  <c r="AI788" i="26"/>
  <c r="AI271" i="26"/>
  <c r="AI843" i="26"/>
  <c r="A24" i="19"/>
  <c r="A20" i="19"/>
  <c r="A21" i="19"/>
  <c r="A23" i="19"/>
  <c r="A22" i="19"/>
  <c r="AI286" i="26"/>
  <c r="AI579" i="26"/>
  <c r="AI17" i="26"/>
  <c r="AI35" i="26"/>
  <c r="AI193" i="26"/>
  <c r="AI213" i="26"/>
  <c r="AI302" i="26"/>
  <c r="AI423" i="26"/>
  <c r="AI6" i="26"/>
  <c r="AI110" i="26"/>
  <c r="AI508" i="26"/>
  <c r="AI726" i="26"/>
  <c r="AI416" i="26"/>
  <c r="AI629" i="26"/>
  <c r="AI775" i="26"/>
  <c r="AI346" i="26"/>
  <c r="AI429" i="26"/>
  <c r="AI348" i="26"/>
  <c r="AI421" i="26"/>
  <c r="AI496" i="26"/>
  <c r="AI352" i="26"/>
  <c r="AI715" i="26"/>
  <c r="AI731" i="26"/>
  <c r="AI190" i="26"/>
  <c r="AI282" i="26"/>
  <c r="AI341" i="26"/>
  <c r="AI492" i="26"/>
  <c r="AI642" i="26"/>
  <c r="AI709" i="26"/>
  <c r="AI203" i="26"/>
  <c r="AI284" i="26"/>
  <c r="AI293" i="26"/>
  <c r="AI354" i="26"/>
  <c r="AI362" i="26"/>
  <c r="AI624" i="26"/>
  <c r="AI694" i="26"/>
  <c r="AI850" i="26"/>
  <c r="AI841" i="26"/>
  <c r="O13" i="21"/>
  <c r="O12" i="21"/>
  <c r="O11" i="21"/>
  <c r="O10" i="21"/>
  <c r="D8" i="21"/>
  <c r="AI114" i="26"/>
  <c r="AI221" i="26"/>
  <c r="AI366" i="26"/>
  <c r="AI200" i="26"/>
  <c r="AI358" i="26"/>
  <c r="AI407" i="26"/>
  <c r="AI209" i="26"/>
  <c r="AI296" i="26"/>
  <c r="AI304" i="26"/>
  <c r="AI96" i="26"/>
  <c r="AI274" i="26"/>
  <c r="AI49" i="26"/>
  <c r="AI344" i="26"/>
  <c r="AI650" i="26"/>
  <c r="AI434" i="26"/>
  <c r="AI582" i="26"/>
  <c r="AI646" i="26"/>
  <c r="AI700" i="26"/>
  <c r="AI786" i="26"/>
  <c r="AI838" i="26"/>
  <c r="AI519" i="26"/>
  <c r="AI521" i="26"/>
  <c r="AI712" i="26"/>
  <c r="AI768" i="26"/>
  <c r="AI412" i="26"/>
  <c r="AI563" i="26"/>
  <c r="AI575" i="26"/>
  <c r="AI627" i="26"/>
  <c r="AI719" i="26"/>
  <c r="AI729" i="26"/>
  <c r="AI480" i="26"/>
  <c r="AI586" i="26"/>
  <c r="AI706" i="26"/>
  <c r="A12" i="18" a="1"/>
  <c r="E130" i="19" a="1"/>
  <c r="E130" i="19" s="1"/>
  <c r="D130" i="19" a="1"/>
  <c r="D130" i="19" s="1"/>
  <c r="O9" i="21" l="1"/>
  <c r="A12" i="18"/>
  <c r="O10" i="19" l="1"/>
  <c r="O8" i="19" l="1"/>
  <c r="O9" i="19"/>
  <c r="A11" i="19" a="1"/>
  <c r="A11" i="19" s="1"/>
  <c r="H10" i="19" l="1"/>
  <c r="K2" i="22" l="1" a="1"/>
  <c r="K2" i="22" s="1"/>
  <c r="F131" i="22" s="1"/>
  <c r="D6" i="22" a="1"/>
  <c r="D6" i="22" s="1"/>
  <c r="F127" i="22" a="1"/>
  <c r="F127" i="22" s="1"/>
  <c r="D127" i="22" a="1"/>
  <c r="D127" i="22" s="1"/>
  <c r="D125" i="22" a="1"/>
  <c r="D125" i="22" s="1"/>
  <c r="F125" i="22" s="1"/>
  <c r="D124" i="22" a="1"/>
  <c r="D124" i="22" s="1"/>
  <c r="D122" i="22" a="1"/>
  <c r="D122" i="22" s="1"/>
  <c r="F122" i="22" s="1"/>
  <c r="D120" i="22" a="1"/>
  <c r="D120" i="22" s="1"/>
  <c r="F120" i="22" s="1"/>
  <c r="D119" i="22" a="1"/>
  <c r="D119" i="22" s="1"/>
  <c r="D117" i="22" a="1"/>
  <c r="D117" i="22" s="1"/>
  <c r="F117" i="22" s="1"/>
  <c r="D115" i="22" a="1"/>
  <c r="D115" i="22" s="1"/>
  <c r="F115" i="22" s="1"/>
  <c r="D114" i="22" a="1"/>
  <c r="D114" i="22" s="1"/>
  <c r="F112" i="22"/>
  <c r="D110" i="22" a="1"/>
  <c r="D110" i="22" s="1"/>
  <c r="F110" i="22" s="1"/>
  <c r="D109" i="22" a="1"/>
  <c r="D109" i="22" s="1"/>
  <c r="D107" i="22" a="1"/>
  <c r="D107" i="22" s="1"/>
  <c r="F107" i="22" s="1"/>
  <c r="F123" i="22" a="1"/>
  <c r="F123" i="22" s="1"/>
  <c r="F118" i="22" a="1"/>
  <c r="F118" i="22" s="1"/>
  <c r="F113" i="22" a="1"/>
  <c r="F113" i="22" s="1"/>
  <c r="F108" i="22" a="1"/>
  <c r="F108" i="22" s="1"/>
  <c r="D105" i="22" a="1"/>
  <c r="D105" i="22" s="1"/>
  <c r="F105" i="22" s="1"/>
  <c r="D104" i="22" a="1"/>
  <c r="D104" i="22" s="1"/>
  <c r="D102" i="22" a="1"/>
  <c r="D102" i="22" s="1"/>
  <c r="F102" i="22" s="1"/>
  <c r="D100" i="22" a="1"/>
  <c r="D100" i="22" s="1"/>
  <c r="F100" i="22" s="1"/>
  <c r="D99" i="22" a="1"/>
  <c r="D99" i="22" s="1"/>
  <c r="D97" i="22" a="1"/>
  <c r="D97" i="22" s="1"/>
  <c r="F97" i="22" s="1"/>
  <c r="D95" i="22" a="1"/>
  <c r="D95" i="22" s="1"/>
  <c r="F95" i="22" s="1"/>
  <c r="D94" i="22" a="1"/>
  <c r="D94" i="22" s="1"/>
  <c r="D92" i="22" a="1"/>
  <c r="D92" i="22" s="1"/>
  <c r="F92" i="22" s="1"/>
  <c r="D90" i="22" a="1"/>
  <c r="D90" i="22" s="1"/>
  <c r="F90" i="22" s="1"/>
  <c r="D89" i="22" a="1"/>
  <c r="D89" i="22" s="1"/>
  <c r="D87" i="22" a="1"/>
  <c r="D87" i="22" s="1"/>
  <c r="F87" i="22" s="1"/>
  <c r="D85" i="22" a="1"/>
  <c r="D85" i="22" s="1"/>
  <c r="F85" i="22" s="1"/>
  <c r="D84" i="22" a="1"/>
  <c r="D84" i="22" s="1"/>
  <c r="D82" i="22" a="1"/>
  <c r="D82" i="22" s="1"/>
  <c r="F82" i="22" s="1"/>
  <c r="D80" i="22" a="1"/>
  <c r="D80" i="22" s="1"/>
  <c r="F80" i="22" s="1"/>
  <c r="D79" i="22" a="1"/>
  <c r="D79" i="22" s="1"/>
  <c r="D77" i="22" a="1"/>
  <c r="D77" i="22" s="1"/>
  <c r="F77" i="22" s="1"/>
  <c r="D75" i="22" a="1"/>
  <c r="D75" i="22" s="1"/>
  <c r="F75" i="22" s="1"/>
  <c r="D74" i="22" a="1"/>
  <c r="D74" i="22" s="1"/>
  <c r="D72" i="22" a="1"/>
  <c r="D72" i="22" s="1"/>
  <c r="F72" i="22" s="1"/>
  <c r="D70" i="22" a="1"/>
  <c r="D70" i="22" s="1"/>
  <c r="F70" i="22" s="1"/>
  <c r="D69" i="22" a="1"/>
  <c r="D69" i="22" s="1"/>
  <c r="D67" i="22" a="1"/>
  <c r="D67" i="22" s="1"/>
  <c r="F67" i="22" s="1"/>
  <c r="D65" i="22" a="1"/>
  <c r="D65" i="22" s="1"/>
  <c r="F65" i="22" s="1"/>
  <c r="D62" i="22" a="1"/>
  <c r="D62" i="22" s="1"/>
  <c r="F62" i="22" s="1"/>
  <c r="D64" i="22" a="1"/>
  <c r="D64" i="22" s="1"/>
  <c r="D60" i="22" a="1"/>
  <c r="D60" i="22" s="1"/>
  <c r="F60" i="22" s="1"/>
  <c r="D59" i="22" a="1"/>
  <c r="D59" i="22" s="1"/>
  <c r="D57" i="22" a="1"/>
  <c r="D57" i="22" s="1"/>
  <c r="F57" i="22" s="1"/>
  <c r="F103" i="22" a="1"/>
  <c r="F103" i="22" s="1"/>
  <c r="F98" i="22" a="1"/>
  <c r="F98" i="22" s="1"/>
  <c r="F93" i="22" a="1"/>
  <c r="F93" i="22" s="1"/>
  <c r="F88" i="22" a="1"/>
  <c r="F88" i="22" s="1"/>
  <c r="F83" i="22" a="1"/>
  <c r="F83" i="22" s="1"/>
  <c r="F78" i="22" a="1"/>
  <c r="F78" i="22" s="1"/>
  <c r="F73" i="22" a="1"/>
  <c r="F73" i="22" s="1"/>
  <c r="F68" i="22" a="1"/>
  <c r="F68" i="22" s="1"/>
  <c r="F63" i="22" a="1"/>
  <c r="F63" i="22" s="1"/>
  <c r="F58" i="22" a="1"/>
  <c r="F58" i="22" s="1"/>
  <c r="D55" i="22" a="1"/>
  <c r="D55" i="22" s="1"/>
  <c r="F55" i="22" s="1"/>
  <c r="D54" i="22" a="1"/>
  <c r="D54" i="22" s="1"/>
  <c r="D52" i="22" a="1"/>
  <c r="D52" i="22" s="1"/>
  <c r="F52" i="22" s="1"/>
  <c r="D50" i="22" a="1"/>
  <c r="D50" i="22" s="1"/>
  <c r="F50" i="22" s="1"/>
  <c r="D49" i="22" a="1"/>
  <c r="D49" i="22" s="1"/>
  <c r="D47" i="22" a="1"/>
  <c r="D47" i="22" s="1"/>
  <c r="F47" i="22" s="1"/>
  <c r="D45" i="22" a="1"/>
  <c r="D45" i="22" s="1"/>
  <c r="F45" i="22" s="1"/>
  <c r="D44" i="22" a="1"/>
  <c r="D44" i="22" s="1"/>
  <c r="D42" i="22" a="1"/>
  <c r="D42" i="22" s="1"/>
  <c r="F42" i="22" s="1"/>
  <c r="D40" i="22" a="1"/>
  <c r="D40" i="22" s="1"/>
  <c r="F40" i="22" s="1"/>
  <c r="D39" i="22" a="1"/>
  <c r="D39" i="22" s="1"/>
  <c r="D37" i="22" a="1"/>
  <c r="D37" i="22" s="1"/>
  <c r="F37" i="22" s="1"/>
  <c r="D35" i="22" a="1"/>
  <c r="D35" i="22" s="1"/>
  <c r="F35" i="22" s="1"/>
  <c r="D34" i="22" a="1"/>
  <c r="D34" i="22" s="1"/>
  <c r="D32" i="22" a="1"/>
  <c r="D32" i="22" s="1"/>
  <c r="F32" i="22" s="1"/>
  <c r="D30" i="22" a="1"/>
  <c r="D30" i="22" s="1"/>
  <c r="F30" i="22" s="1"/>
  <c r="D29" i="22" a="1"/>
  <c r="D29" i="22" s="1"/>
  <c r="D27" i="22" a="1"/>
  <c r="D27" i="22" s="1"/>
  <c r="F27" i="22" s="1"/>
  <c r="D25" i="22" a="1"/>
  <c r="D25" i="22" s="1"/>
  <c r="F25" i="22" s="1"/>
  <c r="D24" i="22" a="1"/>
  <c r="D24" i="22" s="1"/>
  <c r="D22" i="22" a="1"/>
  <c r="D22" i="22" s="1"/>
  <c r="F22" i="22" s="1"/>
  <c r="D20" i="22" a="1"/>
  <c r="D20" i="22" s="1"/>
  <c r="F20" i="22" s="1"/>
  <c r="D19" i="22" a="1"/>
  <c r="D19" i="22" s="1"/>
  <c r="D17" i="22" a="1"/>
  <c r="D17" i="22" s="1"/>
  <c r="F17" i="22" s="1"/>
  <c r="D15" i="22" a="1"/>
  <c r="D15" i="22" s="1"/>
  <c r="F15" i="22" s="1"/>
  <c r="D14" i="22" a="1"/>
  <c r="D14" i="22" s="1"/>
  <c r="D12" i="22" a="1"/>
  <c r="D12" i="22" s="1"/>
  <c r="F12" i="22" s="1"/>
  <c r="F53" i="22" a="1"/>
  <c r="F53" i="22" s="1"/>
  <c r="F48" i="22" a="1"/>
  <c r="F48" i="22" s="1"/>
  <c r="F43" i="22" a="1"/>
  <c r="F43" i="22" s="1"/>
  <c r="F38" i="22" a="1"/>
  <c r="F38" i="22" s="1"/>
  <c r="F33" i="22" a="1"/>
  <c r="F33" i="22" s="1"/>
  <c r="F28" i="22" a="1"/>
  <c r="F28" i="22" s="1"/>
  <c r="F23" i="22" a="1"/>
  <c r="F23" i="22" s="1"/>
  <c r="F18" i="22" a="1"/>
  <c r="F18" i="22" s="1"/>
  <c r="F13" i="22" a="1"/>
  <c r="F13" i="22" s="1"/>
  <c r="D10" i="22" a="1"/>
  <c r="D10" i="22" s="1"/>
  <c r="D9" i="22" a="1"/>
  <c r="D9" i="22" s="1"/>
  <c r="D7" i="22" a="1"/>
  <c r="D7" i="22" s="1"/>
  <c r="D3" i="22" a="1"/>
  <c r="D3" i="22" s="1"/>
  <c r="J25" i="20"/>
  <c r="J26" i="20"/>
  <c r="J27" i="20"/>
  <c r="J28" i="20"/>
  <c r="J29" i="20"/>
  <c r="J24" i="20" l="1"/>
  <c r="D126" i="22"/>
  <c r="F126" i="22" s="1"/>
  <c r="F124" i="22"/>
  <c r="D121" i="22"/>
  <c r="F121" i="22" s="1"/>
  <c r="F119" i="22"/>
  <c r="D116" i="22"/>
  <c r="F116" i="22" s="1"/>
  <c r="F114" i="22"/>
  <c r="D111" i="22"/>
  <c r="F111" i="22" s="1"/>
  <c r="F109" i="22"/>
  <c r="D106" i="22"/>
  <c r="F106" i="22" s="1"/>
  <c r="F104" i="22"/>
  <c r="D101" i="22"/>
  <c r="F101" i="22" s="1"/>
  <c r="F99" i="22"/>
  <c r="D96" i="22"/>
  <c r="F96" i="22" s="1"/>
  <c r="F94" i="22"/>
  <c r="D91" i="22"/>
  <c r="F91" i="22" s="1"/>
  <c r="F89" i="22"/>
  <c r="D86" i="22"/>
  <c r="F86" i="22" s="1"/>
  <c r="F84" i="22"/>
  <c r="D81" i="22"/>
  <c r="F81" i="22" s="1"/>
  <c r="F79" i="22"/>
  <c r="D76" i="22"/>
  <c r="F76" i="22" s="1"/>
  <c r="F74" i="22"/>
  <c r="D71" i="22"/>
  <c r="F71" i="22" s="1"/>
  <c r="F69" i="22"/>
  <c r="D66" i="22"/>
  <c r="F66" i="22" s="1"/>
  <c r="F64" i="22"/>
  <c r="D61" i="22"/>
  <c r="F61" i="22" s="1"/>
  <c r="F59" i="22"/>
  <c r="D56" i="22"/>
  <c r="F56" i="22" s="1"/>
  <c r="F54" i="22"/>
  <c r="D51" i="22"/>
  <c r="F51" i="22" s="1"/>
  <c r="F49" i="22"/>
  <c r="D46" i="22"/>
  <c r="F46" i="22" s="1"/>
  <c r="F44" i="22"/>
  <c r="D41" i="22"/>
  <c r="F41" i="22" s="1"/>
  <c r="F39" i="22"/>
  <c r="D36" i="22"/>
  <c r="F36" i="22" s="1"/>
  <c r="F34" i="22"/>
  <c r="D31" i="22"/>
  <c r="F31" i="22" s="1"/>
  <c r="F29" i="22"/>
  <c r="D26" i="22"/>
  <c r="F26" i="22" s="1"/>
  <c r="F24" i="22"/>
  <c r="D21" i="22"/>
  <c r="F21" i="22" s="1"/>
  <c r="F19" i="22"/>
  <c r="D16" i="22"/>
  <c r="F16" i="22" s="1"/>
  <c r="F14" i="22"/>
  <c r="J13" i="19"/>
  <c r="K13" i="19"/>
  <c r="I156" i="19"/>
  <c r="I128" i="19" a="1"/>
  <c r="G115" i="19"/>
  <c r="F6" i="22" a="1"/>
  <c r="F6" i="22" s="1"/>
  <c r="H13" i="19" l="1"/>
  <c r="A30" i="18"/>
  <c r="D14" i="18"/>
  <c r="I128" i="19"/>
  <c r="C128" i="19"/>
  <c r="K125" i="22" l="1"/>
  <c r="K124" i="22"/>
  <c r="K123" i="22"/>
  <c r="K120" i="22"/>
  <c r="K119" i="22"/>
  <c r="K118" i="22"/>
  <c r="K115" i="22"/>
  <c r="K114" i="22"/>
  <c r="K113" i="22"/>
  <c r="K110" i="22"/>
  <c r="K109" i="22"/>
  <c r="K108" i="22"/>
  <c r="K105" i="22"/>
  <c r="K104" i="22"/>
  <c r="K103" i="22"/>
  <c r="K100" i="22"/>
  <c r="K99" i="22"/>
  <c r="K98" i="22"/>
  <c r="K95" i="22"/>
  <c r="K94" i="22"/>
  <c r="K93" i="22"/>
  <c r="K90" i="22"/>
  <c r="K89" i="22"/>
  <c r="K88" i="22"/>
  <c r="K85" i="22"/>
  <c r="K84" i="22"/>
  <c r="K83" i="22"/>
  <c r="K80" i="22"/>
  <c r="K79" i="22"/>
  <c r="K78" i="22"/>
  <c r="K75" i="22"/>
  <c r="K73" i="22"/>
  <c r="K70" i="22"/>
  <c r="K69" i="22"/>
  <c r="K68" i="22"/>
  <c r="K65" i="22"/>
  <c r="K64" i="22"/>
  <c r="K63" i="22"/>
  <c r="K62" i="22"/>
  <c r="K59" i="22"/>
  <c r="K58" i="22"/>
  <c r="K54" i="22"/>
  <c r="K53" i="22"/>
  <c r="K48" i="22"/>
  <c r="K47" i="22"/>
  <c r="K43" i="22"/>
  <c r="K38" i="22"/>
  <c r="K37" i="22"/>
  <c r="K33" i="22"/>
  <c r="K28" i="22"/>
  <c r="K27" i="22"/>
  <c r="K23" i="22"/>
  <c r="K18" i="22"/>
  <c r="K17" i="22"/>
  <c r="K13" i="22"/>
  <c r="K8" i="22"/>
  <c r="F8" i="22" a="1"/>
  <c r="F8" i="22" s="1"/>
  <c r="K7" i="22"/>
  <c r="K97" i="22" l="1"/>
  <c r="K32" i="22"/>
  <c r="K77" i="22"/>
  <c r="K42" i="22"/>
  <c r="K117" i="22"/>
  <c r="K72" i="22"/>
  <c r="K112" i="22"/>
  <c r="K22" i="22"/>
  <c r="K52" i="22"/>
  <c r="K122" i="22"/>
  <c r="K12" i="22"/>
  <c r="K92" i="22"/>
  <c r="K74" i="22"/>
  <c r="K102" i="22"/>
  <c r="K107" i="22"/>
  <c r="K55" i="22"/>
  <c r="K82" i="22"/>
  <c r="K87" i="22"/>
  <c r="K19" i="22"/>
  <c r="K24" i="22"/>
  <c r="K30" i="22"/>
  <c r="K35" i="22"/>
  <c r="K9" i="22"/>
  <c r="F9" i="22"/>
  <c r="D11" i="22"/>
  <c r="K14" i="22"/>
  <c r="K20" i="22"/>
  <c r="K25" i="22"/>
  <c r="K29" i="22"/>
  <c r="K34" i="22"/>
  <c r="F10" i="22"/>
  <c r="K10" i="22"/>
  <c r="K15" i="22"/>
  <c r="K60" i="22"/>
  <c r="K40" i="22"/>
  <c r="K45" i="22"/>
  <c r="K49" i="22"/>
  <c r="K39" i="22"/>
  <c r="K44" i="22"/>
  <c r="K50" i="22"/>
  <c r="K67" i="22"/>
  <c r="K76" i="22"/>
  <c r="F7" i="22"/>
  <c r="K57" i="22"/>
  <c r="K71" i="22"/>
  <c r="K101" i="22" l="1"/>
  <c r="K91" i="22"/>
  <c r="K111" i="22"/>
  <c r="K66" i="22"/>
  <c r="K121" i="22"/>
  <c r="K81" i="22"/>
  <c r="K56" i="22"/>
  <c r="K61" i="22"/>
  <c r="K16" i="22"/>
  <c r="K51" i="22"/>
  <c r="K31" i="22"/>
  <c r="K126" i="22"/>
  <c r="K11" i="22"/>
  <c r="F11" i="22"/>
  <c r="K116" i="22"/>
  <c r="K26" i="22"/>
  <c r="K106" i="22"/>
  <c r="K46" i="22"/>
  <c r="K96" i="22"/>
  <c r="K36" i="22"/>
  <c r="K21" i="22"/>
  <c r="K86" i="22"/>
  <c r="K41" i="22"/>
  <c r="D15" i="20" l="1" a="1"/>
  <c r="K25" i="20"/>
  <c r="K26" i="20"/>
  <c r="K27" i="20"/>
  <c r="K28" i="20"/>
  <c r="K29" i="20"/>
  <c r="K24" i="20"/>
  <c r="L21" i="19"/>
  <c r="L22" i="19"/>
  <c r="L23" i="19"/>
  <c r="L24" i="19"/>
  <c r="L20" i="19"/>
  <c r="L19" i="19"/>
  <c r="A14" i="19"/>
  <c r="B14" i="34" a="1"/>
  <c r="B14" i="34" s="1"/>
  <c r="J242" i="21" a="1"/>
  <c r="J242" i="21" s="1"/>
  <c r="G242" i="21" a="1"/>
  <c r="G242" i="21" s="1"/>
  <c r="F242" i="21" a="1"/>
  <c r="F242" i="21" s="1"/>
  <c r="A242" i="21" a="1"/>
  <c r="A242" i="21" s="1"/>
  <c r="J241" i="21" a="1"/>
  <c r="J241" i="21" s="1"/>
  <c r="G241" i="21" a="1"/>
  <c r="G241" i="21" s="1"/>
  <c r="F241" i="21" a="1"/>
  <c r="F241" i="21" s="1"/>
  <c r="A241" i="21" a="1"/>
  <c r="A241" i="21" s="1"/>
  <c r="J240" i="21" a="1"/>
  <c r="J240" i="21" s="1"/>
  <c r="G240" i="21" a="1"/>
  <c r="G240" i="21" s="1"/>
  <c r="F240" i="21" a="1"/>
  <c r="F240" i="21" s="1"/>
  <c r="A240" i="21" a="1"/>
  <c r="A240" i="21" s="1"/>
  <c r="J239" i="21" a="1"/>
  <c r="J239" i="21" s="1"/>
  <c r="G239" i="21" a="1"/>
  <c r="G239" i="21" s="1"/>
  <c r="F239" i="21" a="1"/>
  <c r="F239" i="21" s="1"/>
  <c r="A239" i="21" a="1"/>
  <c r="A239" i="21" s="1"/>
  <c r="J238" i="21" a="1"/>
  <c r="J238" i="21" s="1"/>
  <c r="G238" i="21" a="1"/>
  <c r="G238" i="21" s="1"/>
  <c r="F238" i="21" a="1"/>
  <c r="F238" i="21" s="1"/>
  <c r="A238" i="21" a="1"/>
  <c r="A238" i="21" s="1"/>
  <c r="J237" i="21" a="1"/>
  <c r="J237" i="21" s="1"/>
  <c r="G237" i="21" a="1"/>
  <c r="G237" i="21" s="1"/>
  <c r="F237" i="21" a="1"/>
  <c r="F237" i="21" s="1"/>
  <c r="A237" i="21" a="1"/>
  <c r="A237" i="21" s="1"/>
  <c r="J236" i="21" a="1"/>
  <c r="J236" i="21" s="1"/>
  <c r="G236" i="21" a="1"/>
  <c r="G236" i="21" s="1"/>
  <c r="F236" i="21" a="1"/>
  <c r="F236" i="21" s="1"/>
  <c r="A236" i="21" a="1"/>
  <c r="A236" i="21" s="1"/>
  <c r="J235" i="21" a="1"/>
  <c r="J235" i="21" s="1"/>
  <c r="G235" i="21" a="1"/>
  <c r="G235" i="21" s="1"/>
  <c r="F235" i="21" a="1"/>
  <c r="F235" i="21" s="1"/>
  <c r="A235" i="21" a="1"/>
  <c r="A235" i="21" s="1"/>
  <c r="J234" i="21" a="1"/>
  <c r="J234" i="21" s="1"/>
  <c r="G234" i="21" a="1"/>
  <c r="G234" i="21" s="1"/>
  <c r="F234" i="21" a="1"/>
  <c r="F234" i="21" s="1"/>
  <c r="A234" i="21" a="1"/>
  <c r="A234" i="21" s="1"/>
  <c r="J233" i="21" a="1"/>
  <c r="J233" i="21" s="1"/>
  <c r="G233" i="21" a="1"/>
  <c r="G233" i="21" s="1"/>
  <c r="F233" i="21" a="1"/>
  <c r="F233" i="21" s="1"/>
  <c r="A233" i="21" a="1"/>
  <c r="A233" i="21" s="1"/>
  <c r="J232" i="21" a="1"/>
  <c r="J232" i="21" s="1"/>
  <c r="G232" i="21" a="1"/>
  <c r="G232" i="21" s="1"/>
  <c r="F232" i="21" a="1"/>
  <c r="F232" i="21" s="1"/>
  <c r="A232" i="21" a="1"/>
  <c r="A232" i="21" s="1"/>
  <c r="J231" i="21" a="1"/>
  <c r="J231" i="21" s="1"/>
  <c r="G231" i="21" a="1"/>
  <c r="G231" i="21" s="1"/>
  <c r="F231" i="21" a="1"/>
  <c r="F231" i="21" s="1"/>
  <c r="A231" i="21" a="1"/>
  <c r="A231" i="21" s="1"/>
  <c r="J230" i="21" a="1"/>
  <c r="J230" i="21" s="1"/>
  <c r="G230" i="21" a="1"/>
  <c r="G230" i="21" s="1"/>
  <c r="F230" i="21" a="1"/>
  <c r="F230" i="21" s="1"/>
  <c r="A230" i="21" a="1"/>
  <c r="A230" i="21" s="1"/>
  <c r="J229" i="21" a="1"/>
  <c r="J229" i="21" s="1"/>
  <c r="G229" i="21" a="1"/>
  <c r="G229" i="21" s="1"/>
  <c r="F229" i="21" a="1"/>
  <c r="F229" i="21" s="1"/>
  <c r="A229" i="21" a="1"/>
  <c r="A229" i="21" s="1"/>
  <c r="J228" i="21" a="1"/>
  <c r="J228" i="21" s="1"/>
  <c r="G228" i="21" a="1"/>
  <c r="G228" i="21" s="1"/>
  <c r="F228" i="21" a="1"/>
  <c r="F228" i="21" s="1"/>
  <c r="A228" i="21" a="1"/>
  <c r="A228" i="21" s="1"/>
  <c r="J227" i="21" a="1"/>
  <c r="J227" i="21" s="1"/>
  <c r="G227" i="21" a="1"/>
  <c r="G227" i="21" s="1"/>
  <c r="F227" i="21" a="1"/>
  <c r="F227" i="21" s="1"/>
  <c r="A227" i="21" a="1"/>
  <c r="A227" i="21" s="1"/>
  <c r="J226" i="21" a="1"/>
  <c r="J226" i="21" s="1"/>
  <c r="G226" i="21" a="1"/>
  <c r="G226" i="21" s="1"/>
  <c r="F226" i="21" a="1"/>
  <c r="F226" i="21" s="1"/>
  <c r="A226" i="21" a="1"/>
  <c r="A226" i="21" s="1"/>
  <c r="J225" i="21" a="1"/>
  <c r="J225" i="21" s="1"/>
  <c r="G225" i="21" a="1"/>
  <c r="G225" i="21" s="1"/>
  <c r="F225" i="21" a="1"/>
  <c r="F225" i="21" s="1"/>
  <c r="A225" i="21" a="1"/>
  <c r="A225" i="21" s="1"/>
  <c r="J224" i="21" a="1"/>
  <c r="J224" i="21" s="1"/>
  <c r="G224" i="21" a="1"/>
  <c r="G224" i="21" s="1"/>
  <c r="F224" i="21" a="1"/>
  <c r="F224" i="21" s="1"/>
  <c r="A224" i="21" a="1"/>
  <c r="A224" i="21" s="1"/>
  <c r="J223" i="21" a="1"/>
  <c r="J223" i="21" s="1"/>
  <c r="G223" i="21" a="1"/>
  <c r="G223" i="21" s="1"/>
  <c r="F223" i="21" a="1"/>
  <c r="F223" i="21" s="1"/>
  <c r="A223" i="21" a="1"/>
  <c r="A223" i="21" s="1"/>
  <c r="J222" i="21" a="1"/>
  <c r="J222" i="21" s="1"/>
  <c r="G222" i="21" a="1"/>
  <c r="G222" i="21" s="1"/>
  <c r="F222" i="21" a="1"/>
  <c r="F222" i="21" s="1"/>
  <c r="A222" i="21" a="1"/>
  <c r="A222" i="21" s="1"/>
  <c r="J221" i="21" a="1"/>
  <c r="J221" i="21" s="1"/>
  <c r="G221" i="21" a="1"/>
  <c r="G221" i="21" s="1"/>
  <c r="F221" i="21" a="1"/>
  <c r="F221" i="21" s="1"/>
  <c r="A221" i="21" a="1"/>
  <c r="A221" i="21" s="1"/>
  <c r="J220" i="21" a="1"/>
  <c r="J220" i="21" s="1"/>
  <c r="G220" i="21" a="1"/>
  <c r="G220" i="21" s="1"/>
  <c r="F220" i="21" a="1"/>
  <c r="F220" i="21" s="1"/>
  <c r="A220" i="21" a="1"/>
  <c r="A220" i="21" s="1"/>
  <c r="J219" i="21" a="1"/>
  <c r="J219" i="21" s="1"/>
  <c r="G219" i="21" a="1"/>
  <c r="G219" i="21" s="1"/>
  <c r="F219" i="21" a="1"/>
  <c r="F219" i="21" s="1"/>
  <c r="A219" i="21" a="1"/>
  <c r="A219" i="21" s="1"/>
  <c r="J218" i="21" a="1"/>
  <c r="J218" i="21" s="1"/>
  <c r="G218" i="21" a="1"/>
  <c r="G218" i="21" s="1"/>
  <c r="F218" i="21" a="1"/>
  <c r="F218" i="21" s="1"/>
  <c r="A218" i="21" a="1"/>
  <c r="A218" i="21" s="1"/>
  <c r="J217" i="21" a="1"/>
  <c r="J217" i="21" s="1"/>
  <c r="G217" i="21" a="1"/>
  <c r="G217" i="21" s="1"/>
  <c r="F217" i="21" a="1"/>
  <c r="F217" i="21" s="1"/>
  <c r="A217" i="21" a="1"/>
  <c r="A217" i="21" s="1"/>
  <c r="J216" i="21" a="1"/>
  <c r="J216" i="21" s="1"/>
  <c r="G216" i="21" a="1"/>
  <c r="G216" i="21" s="1"/>
  <c r="F216" i="21" a="1"/>
  <c r="F216" i="21" s="1"/>
  <c r="A216" i="21" a="1"/>
  <c r="A216" i="21" s="1"/>
  <c r="J215" i="21" a="1"/>
  <c r="J215" i="21" s="1"/>
  <c r="G215" i="21" a="1"/>
  <c r="G215" i="21" s="1"/>
  <c r="F215" i="21" a="1"/>
  <c r="F215" i="21" s="1"/>
  <c r="A215" i="21" a="1"/>
  <c r="A215" i="21" s="1"/>
  <c r="J214" i="21" a="1"/>
  <c r="J214" i="21" s="1"/>
  <c r="G214" i="21" a="1"/>
  <c r="G214" i="21" s="1"/>
  <c r="F214" i="21" a="1"/>
  <c r="F214" i="21" s="1"/>
  <c r="A214" i="21" a="1"/>
  <c r="A214" i="21" s="1"/>
  <c r="J213" i="21" a="1"/>
  <c r="J213" i="21" s="1"/>
  <c r="G213" i="21" a="1"/>
  <c r="G213" i="21" s="1"/>
  <c r="F213" i="21" a="1"/>
  <c r="F213" i="21" s="1"/>
  <c r="A213" i="21" a="1"/>
  <c r="A213" i="21" s="1"/>
  <c r="J212" i="21" a="1"/>
  <c r="J212" i="21" s="1"/>
  <c r="G212" i="21" a="1"/>
  <c r="G212" i="21" s="1"/>
  <c r="F212" i="21" a="1"/>
  <c r="F212" i="21" s="1"/>
  <c r="A212" i="21" a="1"/>
  <c r="A212" i="21" s="1"/>
  <c r="J211" i="21" a="1"/>
  <c r="J211" i="21" s="1"/>
  <c r="G211" i="21" a="1"/>
  <c r="G211" i="21" s="1"/>
  <c r="F211" i="21" a="1"/>
  <c r="F211" i="21" s="1"/>
  <c r="A211" i="21" a="1"/>
  <c r="A211" i="21" s="1"/>
  <c r="J210" i="21" a="1"/>
  <c r="J210" i="21" s="1"/>
  <c r="G210" i="21" a="1"/>
  <c r="G210" i="21" s="1"/>
  <c r="F210" i="21" a="1"/>
  <c r="F210" i="21" s="1"/>
  <c r="A210" i="21" a="1"/>
  <c r="A210" i="21" s="1"/>
  <c r="J209" i="21" a="1"/>
  <c r="J209" i="21" s="1"/>
  <c r="G209" i="21" a="1"/>
  <c r="G209" i="21" s="1"/>
  <c r="F209" i="21" a="1"/>
  <c r="F209" i="21" s="1"/>
  <c r="A209" i="21" a="1"/>
  <c r="A209" i="21" s="1"/>
  <c r="J208" i="21" a="1"/>
  <c r="J208" i="21" s="1"/>
  <c r="G208" i="21" a="1"/>
  <c r="G208" i="21" s="1"/>
  <c r="F208" i="21" a="1"/>
  <c r="F208" i="21" s="1"/>
  <c r="A208" i="21" a="1"/>
  <c r="A208" i="21" s="1"/>
  <c r="J207" i="21" a="1"/>
  <c r="J207" i="21" s="1"/>
  <c r="G207" i="21" a="1"/>
  <c r="G207" i="21" s="1"/>
  <c r="F207" i="21" a="1"/>
  <c r="F207" i="21" s="1"/>
  <c r="A207" i="21" a="1"/>
  <c r="A207" i="21" s="1"/>
  <c r="J206" i="21" a="1"/>
  <c r="J206" i="21" s="1"/>
  <c r="G206" i="21" a="1"/>
  <c r="G206" i="21" s="1"/>
  <c r="F206" i="21" a="1"/>
  <c r="F206" i="21" s="1"/>
  <c r="A206" i="21" a="1"/>
  <c r="A206" i="21" s="1"/>
  <c r="J205" i="21" a="1"/>
  <c r="J205" i="21" s="1"/>
  <c r="G205" i="21" a="1"/>
  <c r="G205" i="21" s="1"/>
  <c r="F205" i="21" a="1"/>
  <c r="F205" i="21" s="1"/>
  <c r="A205" i="21" a="1"/>
  <c r="A205" i="21" s="1"/>
  <c r="J204" i="21" a="1"/>
  <c r="J204" i="21" s="1"/>
  <c r="G204" i="21" a="1"/>
  <c r="G204" i="21" s="1"/>
  <c r="F204" i="21" a="1"/>
  <c r="F204" i="21" s="1"/>
  <c r="A204" i="21" a="1"/>
  <c r="A204" i="21" s="1"/>
  <c r="J203" i="21" a="1"/>
  <c r="J203" i="21" s="1"/>
  <c r="G203" i="21" a="1"/>
  <c r="G203" i="21" s="1"/>
  <c r="F203" i="21" a="1"/>
  <c r="F203" i="21" s="1"/>
  <c r="A203" i="21" a="1"/>
  <c r="A203" i="21" s="1"/>
  <c r="J202" i="21" a="1"/>
  <c r="J202" i="21" s="1"/>
  <c r="G202" i="21" a="1"/>
  <c r="G202" i="21" s="1"/>
  <c r="F202" i="21" a="1"/>
  <c r="F202" i="21" s="1"/>
  <c r="A202" i="21" a="1"/>
  <c r="A202" i="21" s="1"/>
  <c r="J201" i="21" a="1"/>
  <c r="J201" i="21" s="1"/>
  <c r="G201" i="21" a="1"/>
  <c r="G201" i="21" s="1"/>
  <c r="F201" i="21" a="1"/>
  <c r="F201" i="21" s="1"/>
  <c r="A201" i="21" a="1"/>
  <c r="A201" i="21" s="1"/>
  <c r="J200" i="21" a="1"/>
  <c r="J200" i="21" s="1"/>
  <c r="G200" i="21" a="1"/>
  <c r="G200" i="21" s="1"/>
  <c r="F200" i="21" a="1"/>
  <c r="F200" i="21" s="1"/>
  <c r="A200" i="21" a="1"/>
  <c r="A200" i="21" s="1"/>
  <c r="J199" i="21" a="1"/>
  <c r="J199" i="21" s="1"/>
  <c r="G199" i="21" a="1"/>
  <c r="G199" i="21" s="1"/>
  <c r="F199" i="21" a="1"/>
  <c r="F199" i="21" s="1"/>
  <c r="A199" i="21" a="1"/>
  <c r="A199" i="21" s="1"/>
  <c r="J198" i="21" a="1"/>
  <c r="J198" i="21" s="1"/>
  <c r="G198" i="21" a="1"/>
  <c r="G198" i="21" s="1"/>
  <c r="F198" i="21" a="1"/>
  <c r="F198" i="21" s="1"/>
  <c r="A198" i="21" a="1"/>
  <c r="A198" i="21" s="1"/>
  <c r="J197" i="21" a="1"/>
  <c r="J197" i="21" s="1"/>
  <c r="G197" i="21" a="1"/>
  <c r="G197" i="21" s="1"/>
  <c r="F197" i="21" a="1"/>
  <c r="F197" i="21" s="1"/>
  <c r="A197" i="21" a="1"/>
  <c r="A197" i="21" s="1"/>
  <c r="J196" i="21" a="1"/>
  <c r="J196" i="21" s="1"/>
  <c r="G196" i="21" a="1"/>
  <c r="G196" i="21" s="1"/>
  <c r="F196" i="21" a="1"/>
  <c r="F196" i="21" s="1"/>
  <c r="A196" i="21" a="1"/>
  <c r="A196" i="21" s="1"/>
  <c r="J195" i="21" a="1"/>
  <c r="J195" i="21" s="1"/>
  <c r="G195" i="21" a="1"/>
  <c r="G195" i="21" s="1"/>
  <c r="F195" i="21" a="1"/>
  <c r="F195" i="21" s="1"/>
  <c r="A195" i="21" a="1"/>
  <c r="A195" i="21" s="1"/>
  <c r="J194" i="21" a="1"/>
  <c r="J194" i="21" s="1"/>
  <c r="G194" i="21" a="1"/>
  <c r="G194" i="21" s="1"/>
  <c r="F194" i="21" a="1"/>
  <c r="F194" i="21" s="1"/>
  <c r="A194" i="21" a="1"/>
  <c r="A194" i="21" s="1"/>
  <c r="J193" i="21" a="1"/>
  <c r="J193" i="21" s="1"/>
  <c r="G193" i="21" a="1"/>
  <c r="G193" i="21" s="1"/>
  <c r="F193" i="21" a="1"/>
  <c r="F193" i="21" s="1"/>
  <c r="A193" i="21" a="1"/>
  <c r="A193" i="21" s="1"/>
  <c r="J192" i="21" a="1"/>
  <c r="J192" i="21" s="1"/>
  <c r="G192" i="21" a="1"/>
  <c r="G192" i="21" s="1"/>
  <c r="F192" i="21" a="1"/>
  <c r="F192" i="21" s="1"/>
  <c r="A192" i="21" a="1"/>
  <c r="A192" i="21" s="1"/>
  <c r="J191" i="21" a="1"/>
  <c r="J191" i="21" s="1"/>
  <c r="G191" i="21" a="1"/>
  <c r="G191" i="21" s="1"/>
  <c r="F191" i="21" a="1"/>
  <c r="F191" i="21" s="1"/>
  <c r="A191" i="21" a="1"/>
  <c r="A191" i="21" s="1"/>
  <c r="J190" i="21" a="1"/>
  <c r="J190" i="21" s="1"/>
  <c r="G190" i="21" a="1"/>
  <c r="G190" i="21" s="1"/>
  <c r="F190" i="21" a="1"/>
  <c r="F190" i="21" s="1"/>
  <c r="A190" i="21" a="1"/>
  <c r="A190" i="21" s="1"/>
  <c r="J189" i="21" a="1"/>
  <c r="J189" i="21" s="1"/>
  <c r="G189" i="21" a="1"/>
  <c r="G189" i="21" s="1"/>
  <c r="F189" i="21" a="1"/>
  <c r="F189" i="21" s="1"/>
  <c r="A189" i="21" a="1"/>
  <c r="A189" i="21" s="1"/>
  <c r="J188" i="21" a="1"/>
  <c r="J188" i="21" s="1"/>
  <c r="G188" i="21" a="1"/>
  <c r="G188" i="21" s="1"/>
  <c r="F188" i="21" a="1"/>
  <c r="F188" i="21" s="1"/>
  <c r="A188" i="21" a="1"/>
  <c r="A188" i="21" s="1"/>
  <c r="J187" i="21" a="1"/>
  <c r="J187" i="21" s="1"/>
  <c r="G187" i="21" a="1"/>
  <c r="G187" i="21" s="1"/>
  <c r="F187" i="21" a="1"/>
  <c r="F187" i="21" s="1"/>
  <c r="A187" i="21" a="1"/>
  <c r="A187" i="21" s="1"/>
  <c r="J186" i="21" a="1"/>
  <c r="J186" i="21" s="1"/>
  <c r="G186" i="21" a="1"/>
  <c r="G186" i="21" s="1"/>
  <c r="F186" i="21" a="1"/>
  <c r="F186" i="21" s="1"/>
  <c r="A186" i="21" a="1"/>
  <c r="A186" i="21" s="1"/>
  <c r="J185" i="21" a="1"/>
  <c r="J185" i="21" s="1"/>
  <c r="G185" i="21" a="1"/>
  <c r="G185" i="21" s="1"/>
  <c r="F185" i="21" a="1"/>
  <c r="F185" i="21" s="1"/>
  <c r="A185" i="21" a="1"/>
  <c r="A185" i="21" s="1"/>
  <c r="J184" i="21" a="1"/>
  <c r="J184" i="21" s="1"/>
  <c r="G184" i="21" a="1"/>
  <c r="G184" i="21" s="1"/>
  <c r="F184" i="21" a="1"/>
  <c r="F184" i="21" s="1"/>
  <c r="A184" i="21" a="1"/>
  <c r="A184" i="21" s="1"/>
  <c r="J183" i="21" a="1"/>
  <c r="J183" i="21" s="1"/>
  <c r="G183" i="21" a="1"/>
  <c r="G183" i="21" s="1"/>
  <c r="F183" i="21" a="1"/>
  <c r="F183" i="21" s="1"/>
  <c r="A183" i="21" a="1"/>
  <c r="A183" i="21" s="1"/>
  <c r="D179" i="21" a="1"/>
  <c r="D179" i="21" s="1"/>
  <c r="I246" i="21" s="1"/>
  <c r="D178" i="21" a="1"/>
  <c r="D178" i="21" s="1"/>
  <c r="D177" i="21" a="1"/>
  <c r="D177" i="21" s="1"/>
  <c r="D180" i="21" s="1"/>
  <c r="D5" i="21" a="1"/>
  <c r="D5" i="21" s="1"/>
  <c r="AC8" i="19"/>
  <c r="AB8" i="19" a="1"/>
  <c r="AB8" i="19" s="1"/>
  <c r="AA8" i="19" a="1"/>
  <c r="AA8" i="19" s="1"/>
  <c r="D15" i="20" l="1"/>
  <c r="E141" i="19"/>
  <c r="A13" i="19"/>
  <c r="G243" i="21"/>
  <c r="AA14" i="19"/>
  <c r="AB14" i="19" s="1"/>
  <c r="C361" i="18" l="1"/>
  <c r="C360" i="18"/>
  <c r="C359" i="18"/>
  <c r="G336" i="18" a="1"/>
  <c r="G336" i="18" s="1"/>
  <c r="G335" i="18" a="1"/>
  <c r="G335" i="18" s="1"/>
  <c r="A335" i="18" a="1"/>
  <c r="A335" i="18" s="1"/>
  <c r="A334" i="18" a="1"/>
  <c r="A334" i="18" s="1"/>
  <c r="C327" i="18" a="1"/>
  <c r="C327" i="18" s="1"/>
  <c r="B323" i="18" a="1"/>
  <c r="B323" i="18" s="1"/>
  <c r="G312" i="18" a="1"/>
  <c r="G312" i="18" s="1"/>
  <c r="H311" i="18" a="1"/>
  <c r="H311" i="18" s="1"/>
  <c r="G311" i="18" a="1"/>
  <c r="G311" i="18" s="1"/>
  <c r="F311" i="18" a="1"/>
  <c r="F311" i="18" s="1"/>
  <c r="E311" i="18" a="1"/>
  <c r="E311" i="18" s="1"/>
  <c r="C311" i="18" a="1"/>
  <c r="C311" i="18" s="1"/>
  <c r="H310" i="18" a="1"/>
  <c r="H310" i="18" s="1"/>
  <c r="G310" i="18" a="1"/>
  <c r="G310" i="18" s="1"/>
  <c r="F310" i="18" a="1"/>
  <c r="F310" i="18" s="1"/>
  <c r="E310" i="18" a="1"/>
  <c r="E310" i="18" s="1"/>
  <c r="C310" i="18" a="1"/>
  <c r="C310" i="18" s="1"/>
  <c r="H309" i="18" a="1"/>
  <c r="H309" i="18" s="1"/>
  <c r="G309" i="18" a="1"/>
  <c r="G309" i="18" s="1"/>
  <c r="F309" i="18" a="1"/>
  <c r="F309" i="18" s="1"/>
  <c r="E309" i="18" a="1"/>
  <c r="E309" i="18" s="1"/>
  <c r="C309" i="18" a="1"/>
  <c r="C309" i="18" s="1"/>
  <c r="H308" i="18" a="1"/>
  <c r="H308" i="18" s="1"/>
  <c r="G308" i="18" a="1"/>
  <c r="G308" i="18" s="1"/>
  <c r="F308" i="18" a="1"/>
  <c r="F308" i="18" s="1"/>
  <c r="E308" i="18" a="1"/>
  <c r="E308" i="18" s="1"/>
  <c r="C308" i="18" a="1"/>
  <c r="C308" i="18" s="1"/>
  <c r="H307" i="18" a="1"/>
  <c r="H307" i="18" s="1"/>
  <c r="G307" i="18" a="1"/>
  <c r="G307" i="18" s="1"/>
  <c r="F307" i="18" a="1"/>
  <c r="F307" i="18" s="1"/>
  <c r="E307" i="18" a="1"/>
  <c r="E307" i="18" s="1"/>
  <c r="C307" i="18" a="1"/>
  <c r="C307" i="18" s="1"/>
  <c r="H306" i="18" a="1"/>
  <c r="H306" i="18" s="1"/>
  <c r="G306" i="18" a="1"/>
  <c r="G306" i="18" s="1"/>
  <c r="F306" i="18" a="1"/>
  <c r="F306" i="18" s="1"/>
  <c r="E306" i="18" a="1"/>
  <c r="E306" i="18" s="1"/>
  <c r="C306" i="18" a="1"/>
  <c r="C306" i="18" s="1"/>
  <c r="I306" i="18" s="1"/>
  <c r="H305" i="18" a="1"/>
  <c r="H305" i="18" s="1"/>
  <c r="G305" i="18" a="1"/>
  <c r="G305" i="18" s="1"/>
  <c r="F305" i="18" a="1"/>
  <c r="F305" i="18" s="1"/>
  <c r="E305" i="18" a="1"/>
  <c r="E305" i="18" s="1"/>
  <c r="C305" i="18" a="1"/>
  <c r="C305" i="18" s="1"/>
  <c r="B305" i="18" s="1"/>
  <c r="H304" i="18" a="1"/>
  <c r="H304" i="18" s="1"/>
  <c r="G304" i="18" a="1"/>
  <c r="G304" i="18" s="1"/>
  <c r="F304" i="18" a="1"/>
  <c r="F304" i="18" s="1"/>
  <c r="E304" i="18" a="1"/>
  <c r="E304" i="18" s="1"/>
  <c r="C304" i="18" a="1"/>
  <c r="C304" i="18" s="1"/>
  <c r="H303" i="18" a="1"/>
  <c r="H303" i="18" s="1"/>
  <c r="G303" i="18" a="1"/>
  <c r="G303" i="18" s="1"/>
  <c r="F303" i="18" a="1"/>
  <c r="F303" i="18" s="1"/>
  <c r="E303" i="18" a="1"/>
  <c r="E303" i="18" s="1"/>
  <c r="C303" i="18" a="1"/>
  <c r="C303" i="18" s="1"/>
  <c r="H302" i="18" a="1"/>
  <c r="H302" i="18" s="1"/>
  <c r="G302" i="18" a="1"/>
  <c r="G302" i="18" s="1"/>
  <c r="F302" i="18" a="1"/>
  <c r="F302" i="18" s="1"/>
  <c r="E302" i="18" a="1"/>
  <c r="E302" i="18" s="1"/>
  <c r="C302" i="18" a="1"/>
  <c r="C302" i="18" s="1"/>
  <c r="H301" i="18" a="1"/>
  <c r="H301" i="18" s="1"/>
  <c r="G301" i="18" a="1"/>
  <c r="G301" i="18" s="1"/>
  <c r="F301" i="18" a="1"/>
  <c r="F301" i="18" s="1"/>
  <c r="E301" i="18" a="1"/>
  <c r="E301" i="18" s="1"/>
  <c r="C301" i="18" a="1"/>
  <c r="C301" i="18" s="1"/>
  <c r="H300" i="18" a="1"/>
  <c r="H300" i="18" s="1"/>
  <c r="G300" i="18" a="1"/>
  <c r="G300" i="18" s="1"/>
  <c r="F300" i="18" a="1"/>
  <c r="F300" i="18" s="1"/>
  <c r="E300" i="18" a="1"/>
  <c r="E300" i="18" s="1"/>
  <c r="C300" i="18" a="1"/>
  <c r="C300" i="18" s="1"/>
  <c r="B300" i="18" s="1"/>
  <c r="H299" i="18" a="1"/>
  <c r="H299" i="18" s="1"/>
  <c r="G299" i="18" a="1"/>
  <c r="G299" i="18" s="1"/>
  <c r="F299" i="18" a="1"/>
  <c r="F299" i="18" s="1"/>
  <c r="E299" i="18" a="1"/>
  <c r="E299" i="18" s="1"/>
  <c r="C299" i="18" a="1"/>
  <c r="C299" i="18" s="1"/>
  <c r="H298" i="18" a="1"/>
  <c r="H298" i="18" s="1"/>
  <c r="G298" i="18" a="1"/>
  <c r="G298" i="18" s="1"/>
  <c r="F298" i="18" a="1"/>
  <c r="F298" i="18" s="1"/>
  <c r="E298" i="18" a="1"/>
  <c r="E298" i="18" s="1"/>
  <c r="C298" i="18" a="1"/>
  <c r="C298" i="18" s="1"/>
  <c r="I298" i="18" s="1"/>
  <c r="H297" i="18" a="1"/>
  <c r="H297" i="18" s="1"/>
  <c r="G297" i="18" a="1"/>
  <c r="G297" i="18" s="1"/>
  <c r="F297" i="18" a="1"/>
  <c r="F297" i="18" s="1"/>
  <c r="E297" i="18" a="1"/>
  <c r="E297" i="18" s="1"/>
  <c r="C297" i="18" a="1"/>
  <c r="C297" i="18" s="1"/>
  <c r="B297" i="18" s="1"/>
  <c r="H296" i="18" a="1"/>
  <c r="H296" i="18" s="1"/>
  <c r="G296" i="18" a="1"/>
  <c r="G296" i="18" s="1"/>
  <c r="F296" i="18" a="1"/>
  <c r="F296" i="18" s="1"/>
  <c r="E296" i="18" a="1"/>
  <c r="E296" i="18" s="1"/>
  <c r="C296" i="18" a="1"/>
  <c r="C296" i="18" s="1"/>
  <c r="B296" i="18" s="1"/>
  <c r="H295" i="18" a="1"/>
  <c r="H295" i="18" s="1"/>
  <c r="G295" i="18" a="1"/>
  <c r="G295" i="18" s="1"/>
  <c r="F295" i="18" a="1"/>
  <c r="F295" i="18" s="1"/>
  <c r="E295" i="18" a="1"/>
  <c r="E295" i="18" s="1"/>
  <c r="C295" i="18" a="1"/>
  <c r="C295" i="18" s="1"/>
  <c r="H294" i="18" a="1"/>
  <c r="H294" i="18" s="1"/>
  <c r="G294" i="18" a="1"/>
  <c r="G294" i="18" s="1"/>
  <c r="F294" i="18" a="1"/>
  <c r="F294" i="18" s="1"/>
  <c r="E294" i="18" a="1"/>
  <c r="E294" i="18" s="1"/>
  <c r="C294" i="18" a="1"/>
  <c r="C294" i="18" s="1"/>
  <c r="H293" i="18" a="1"/>
  <c r="H293" i="18" s="1"/>
  <c r="G293" i="18" a="1"/>
  <c r="G293" i="18" s="1"/>
  <c r="F293" i="18" a="1"/>
  <c r="F293" i="18" s="1"/>
  <c r="E293" i="18" a="1"/>
  <c r="E293" i="18" s="1"/>
  <c r="C293" i="18" a="1"/>
  <c r="C293" i="18" s="1"/>
  <c r="H292" i="18" a="1"/>
  <c r="H292" i="18" s="1"/>
  <c r="G292" i="18" a="1"/>
  <c r="G292" i="18" s="1"/>
  <c r="F292" i="18" a="1"/>
  <c r="F292" i="18" s="1"/>
  <c r="E292" i="18" a="1"/>
  <c r="E292" i="18" s="1"/>
  <c r="C292" i="18" a="1"/>
  <c r="C292" i="18" s="1"/>
  <c r="B292" i="18" s="1"/>
  <c r="H291" i="18" a="1"/>
  <c r="H291" i="18" s="1"/>
  <c r="G291" i="18" a="1"/>
  <c r="G291" i="18" s="1"/>
  <c r="F291" i="18" a="1"/>
  <c r="F291" i="18" s="1"/>
  <c r="E291" i="18" a="1"/>
  <c r="E291" i="18" s="1"/>
  <c r="C291" i="18" a="1"/>
  <c r="C291" i="18" s="1"/>
  <c r="H290" i="18" a="1"/>
  <c r="H290" i="18" s="1"/>
  <c r="G290" i="18" a="1"/>
  <c r="G290" i="18" s="1"/>
  <c r="F290" i="18" a="1"/>
  <c r="F290" i="18" s="1"/>
  <c r="E290" i="18" a="1"/>
  <c r="E290" i="18" s="1"/>
  <c r="C290" i="18" a="1"/>
  <c r="C290" i="18" s="1"/>
  <c r="I290" i="18" s="1"/>
  <c r="H289" i="18" a="1"/>
  <c r="H289" i="18" s="1"/>
  <c r="G289" i="18" a="1"/>
  <c r="G289" i="18" s="1"/>
  <c r="F289" i="18" a="1"/>
  <c r="F289" i="18" s="1"/>
  <c r="E289" i="18" a="1"/>
  <c r="E289" i="18" s="1"/>
  <c r="C289" i="18" a="1"/>
  <c r="C289" i="18" s="1"/>
  <c r="B289" i="18" s="1"/>
  <c r="H288" i="18" a="1"/>
  <c r="H288" i="18" s="1"/>
  <c r="G288" i="18" a="1"/>
  <c r="G288" i="18" s="1"/>
  <c r="F288" i="18" a="1"/>
  <c r="F288" i="18" s="1"/>
  <c r="E288" i="18" a="1"/>
  <c r="E288" i="18" s="1"/>
  <c r="C288" i="18" a="1"/>
  <c r="C288" i="18" s="1"/>
  <c r="H287" i="18" a="1"/>
  <c r="H287" i="18" s="1"/>
  <c r="G287" i="18" a="1"/>
  <c r="G287" i="18" s="1"/>
  <c r="F287" i="18" a="1"/>
  <c r="F287" i="18" s="1"/>
  <c r="E287" i="18" a="1"/>
  <c r="E287" i="18" s="1"/>
  <c r="C287" i="18" a="1"/>
  <c r="C287" i="18" s="1"/>
  <c r="H286" i="18" a="1"/>
  <c r="H286" i="18" s="1"/>
  <c r="G286" i="18" a="1"/>
  <c r="G286" i="18" s="1"/>
  <c r="F286" i="18" a="1"/>
  <c r="F286" i="18" s="1"/>
  <c r="E286" i="18" a="1"/>
  <c r="E286" i="18" s="1"/>
  <c r="C286" i="18" a="1"/>
  <c r="C286" i="18" s="1"/>
  <c r="H285" i="18" a="1"/>
  <c r="H285" i="18" s="1"/>
  <c r="G285" i="18" a="1"/>
  <c r="G285" i="18" s="1"/>
  <c r="F285" i="18" a="1"/>
  <c r="F285" i="18" s="1"/>
  <c r="E285" i="18" a="1"/>
  <c r="E285" i="18" s="1"/>
  <c r="C285" i="18" a="1"/>
  <c r="C285" i="18" s="1"/>
  <c r="B285" i="18" s="1"/>
  <c r="H284" i="18" a="1"/>
  <c r="H284" i="18" s="1"/>
  <c r="G284" i="18" a="1"/>
  <c r="G284" i="18" s="1"/>
  <c r="F284" i="18" a="1"/>
  <c r="F284" i="18" s="1"/>
  <c r="E284" i="18" a="1"/>
  <c r="E284" i="18" s="1"/>
  <c r="C284" i="18" a="1"/>
  <c r="C284" i="18" s="1"/>
  <c r="B284" i="18" s="1"/>
  <c r="H283" i="18" a="1"/>
  <c r="H283" i="18" s="1"/>
  <c r="G283" i="18" a="1"/>
  <c r="G283" i="18" s="1"/>
  <c r="F283" i="18" a="1"/>
  <c r="F283" i="18" s="1"/>
  <c r="E283" i="18" a="1"/>
  <c r="E283" i="18" s="1"/>
  <c r="C283" i="18" a="1"/>
  <c r="C283" i="18" s="1"/>
  <c r="H282" i="18" a="1"/>
  <c r="H282" i="18" s="1"/>
  <c r="G282" i="18" a="1"/>
  <c r="G282" i="18" s="1"/>
  <c r="F282" i="18" a="1"/>
  <c r="F282" i="18" s="1"/>
  <c r="E282" i="18" a="1"/>
  <c r="E282" i="18" s="1"/>
  <c r="C282" i="18" a="1"/>
  <c r="C282" i="18" s="1"/>
  <c r="I282" i="18" s="1"/>
  <c r="H281" i="18" a="1"/>
  <c r="H281" i="18" s="1"/>
  <c r="G281" i="18" a="1"/>
  <c r="G281" i="18" s="1"/>
  <c r="F281" i="18" a="1"/>
  <c r="F281" i="18" s="1"/>
  <c r="E281" i="18" a="1"/>
  <c r="E281" i="18" s="1"/>
  <c r="C281" i="18" a="1"/>
  <c r="C281" i="18" s="1"/>
  <c r="B281" i="18" s="1"/>
  <c r="H280" i="18" a="1"/>
  <c r="H280" i="18" s="1"/>
  <c r="G280" i="18" a="1"/>
  <c r="G280" i="18" s="1"/>
  <c r="F280" i="18" a="1"/>
  <c r="F280" i="18" s="1"/>
  <c r="E280" i="18" a="1"/>
  <c r="E280" i="18" s="1"/>
  <c r="C280" i="18" a="1"/>
  <c r="C280" i="18" s="1"/>
  <c r="H279" i="18" a="1"/>
  <c r="H279" i="18" s="1"/>
  <c r="G279" i="18" a="1"/>
  <c r="G279" i="18" s="1"/>
  <c r="F279" i="18" a="1"/>
  <c r="F279" i="18" s="1"/>
  <c r="E279" i="18" a="1"/>
  <c r="E279" i="18" s="1"/>
  <c r="C279" i="18" a="1"/>
  <c r="C279" i="18" s="1"/>
  <c r="H278" i="18" a="1"/>
  <c r="H278" i="18" s="1"/>
  <c r="G278" i="18" a="1"/>
  <c r="G278" i="18" s="1"/>
  <c r="F278" i="18" a="1"/>
  <c r="F278" i="18" s="1"/>
  <c r="E278" i="18" a="1"/>
  <c r="E278" i="18" s="1"/>
  <c r="C278" i="18" a="1"/>
  <c r="C278" i="18" s="1"/>
  <c r="H277" i="18" a="1"/>
  <c r="H277" i="18" s="1"/>
  <c r="G277" i="18" a="1"/>
  <c r="G277" i="18" s="1"/>
  <c r="F277" i="18" a="1"/>
  <c r="F277" i="18" s="1"/>
  <c r="E277" i="18" a="1"/>
  <c r="E277" i="18" s="1"/>
  <c r="C277" i="18" a="1"/>
  <c r="C277" i="18" s="1"/>
  <c r="B277" i="18" s="1"/>
  <c r="H276" i="18" a="1"/>
  <c r="H276" i="18" s="1"/>
  <c r="G276" i="18" a="1"/>
  <c r="G276" i="18" s="1"/>
  <c r="F276" i="18" a="1"/>
  <c r="F276" i="18" s="1"/>
  <c r="E276" i="18" a="1"/>
  <c r="E276" i="18" s="1"/>
  <c r="C276" i="18" a="1"/>
  <c r="C276" i="18" s="1"/>
  <c r="H275" i="18" a="1"/>
  <c r="H275" i="18" s="1"/>
  <c r="G275" i="18" a="1"/>
  <c r="G275" i="18" s="1"/>
  <c r="F275" i="18" a="1"/>
  <c r="F275" i="18" s="1"/>
  <c r="E275" i="18" a="1"/>
  <c r="E275" i="18" s="1"/>
  <c r="C275" i="18" a="1"/>
  <c r="C275" i="18" s="1"/>
  <c r="H274" i="18" a="1"/>
  <c r="H274" i="18" s="1"/>
  <c r="G274" i="18" a="1"/>
  <c r="G274" i="18" s="1"/>
  <c r="F274" i="18" a="1"/>
  <c r="F274" i="18" s="1"/>
  <c r="E274" i="18" a="1"/>
  <c r="E274" i="18" s="1"/>
  <c r="C274" i="18" a="1"/>
  <c r="C274" i="18" s="1"/>
  <c r="I274" i="18" s="1"/>
  <c r="H273" i="18" a="1"/>
  <c r="H273" i="18" s="1"/>
  <c r="G273" i="18" a="1"/>
  <c r="G273" i="18" s="1"/>
  <c r="F273" i="18" a="1"/>
  <c r="F273" i="18" s="1"/>
  <c r="E273" i="18" a="1"/>
  <c r="E273" i="18" s="1"/>
  <c r="C273" i="18" a="1"/>
  <c r="C273" i="18" s="1"/>
  <c r="B273" i="18" s="1"/>
  <c r="H272" i="18" a="1"/>
  <c r="H272" i="18" s="1"/>
  <c r="G272" i="18" a="1"/>
  <c r="G272" i="18" s="1"/>
  <c r="F272" i="18" a="1"/>
  <c r="F272" i="18" s="1"/>
  <c r="E272" i="18" a="1"/>
  <c r="E272" i="18" s="1"/>
  <c r="C272" i="18" a="1"/>
  <c r="C272" i="18" s="1"/>
  <c r="H271" i="18" a="1"/>
  <c r="H271" i="18" s="1"/>
  <c r="G271" i="18" a="1"/>
  <c r="G271" i="18" s="1"/>
  <c r="F271" i="18" a="1"/>
  <c r="F271" i="18" s="1"/>
  <c r="E271" i="18" a="1"/>
  <c r="E271" i="18" s="1"/>
  <c r="C271" i="18" a="1"/>
  <c r="C271" i="18" s="1"/>
  <c r="H270" i="18" a="1"/>
  <c r="H270" i="18" s="1"/>
  <c r="G270" i="18" a="1"/>
  <c r="G270" i="18" s="1"/>
  <c r="F270" i="18" a="1"/>
  <c r="F270" i="18" s="1"/>
  <c r="E270" i="18" a="1"/>
  <c r="E270" i="18" s="1"/>
  <c r="C270" i="18" a="1"/>
  <c r="C270" i="18" s="1"/>
  <c r="H269" i="18" a="1"/>
  <c r="H269" i="18" s="1"/>
  <c r="G269" i="18" a="1"/>
  <c r="G269" i="18" s="1"/>
  <c r="F269" i="18" a="1"/>
  <c r="F269" i="18" s="1"/>
  <c r="E269" i="18" a="1"/>
  <c r="E269" i="18" s="1"/>
  <c r="C269" i="18" a="1"/>
  <c r="C269" i="18" s="1"/>
  <c r="B269" i="18" s="1"/>
  <c r="H268" i="18" a="1"/>
  <c r="H268" i="18" s="1"/>
  <c r="G268" i="18" a="1"/>
  <c r="G268" i="18" s="1"/>
  <c r="F268" i="18" a="1"/>
  <c r="F268" i="18" s="1"/>
  <c r="E268" i="18" a="1"/>
  <c r="E268" i="18" s="1"/>
  <c r="C268" i="18" a="1"/>
  <c r="C268" i="18" s="1"/>
  <c r="H267" i="18" a="1"/>
  <c r="H267" i="18" s="1"/>
  <c r="G267" i="18" a="1"/>
  <c r="G267" i="18" s="1"/>
  <c r="F267" i="18" a="1"/>
  <c r="F267" i="18" s="1"/>
  <c r="E267" i="18" a="1"/>
  <c r="E267" i="18" s="1"/>
  <c r="C267" i="18" a="1"/>
  <c r="C267" i="18" s="1"/>
  <c r="H266" i="18" a="1"/>
  <c r="H266" i="18" s="1"/>
  <c r="G266" i="18" a="1"/>
  <c r="G266" i="18" s="1"/>
  <c r="F266" i="18" a="1"/>
  <c r="F266" i="18" s="1"/>
  <c r="E266" i="18" a="1"/>
  <c r="E266" i="18" s="1"/>
  <c r="C266" i="18" a="1"/>
  <c r="C266" i="18" s="1"/>
  <c r="I266" i="18" s="1"/>
  <c r="H265" i="18" a="1"/>
  <c r="H265" i="18" s="1"/>
  <c r="G265" i="18" a="1"/>
  <c r="G265" i="18" s="1"/>
  <c r="F265" i="18" a="1"/>
  <c r="F265" i="18" s="1"/>
  <c r="E265" i="18" a="1"/>
  <c r="E265" i="18" s="1"/>
  <c r="C265" i="18" a="1"/>
  <c r="C265" i="18" s="1"/>
  <c r="B265" i="18" s="1"/>
  <c r="H264" i="18" a="1"/>
  <c r="H264" i="18" s="1"/>
  <c r="G264" i="18" a="1"/>
  <c r="G264" i="18" s="1"/>
  <c r="F264" i="18" a="1"/>
  <c r="F264" i="18" s="1"/>
  <c r="E264" i="18" a="1"/>
  <c r="E264" i="18" s="1"/>
  <c r="C264" i="18" a="1"/>
  <c r="C264" i="18" s="1"/>
  <c r="H263" i="18" a="1"/>
  <c r="H263" i="18" s="1"/>
  <c r="G263" i="18" a="1"/>
  <c r="G263" i="18" s="1"/>
  <c r="F263" i="18" a="1"/>
  <c r="F263" i="18" s="1"/>
  <c r="E263" i="18" a="1"/>
  <c r="E263" i="18" s="1"/>
  <c r="C263" i="18" a="1"/>
  <c r="C263" i="18" s="1"/>
  <c r="H262" i="18" a="1"/>
  <c r="H262" i="18" s="1"/>
  <c r="G262" i="18" a="1"/>
  <c r="G262" i="18" s="1"/>
  <c r="F262" i="18" a="1"/>
  <c r="F262" i="18" s="1"/>
  <c r="E262" i="18" a="1"/>
  <c r="E262" i="18" s="1"/>
  <c r="C262" i="18" a="1"/>
  <c r="C262" i="18" s="1"/>
  <c r="H261" i="18" a="1"/>
  <c r="H261" i="18" s="1"/>
  <c r="G261" i="18" a="1"/>
  <c r="G261" i="18" s="1"/>
  <c r="F261" i="18" a="1"/>
  <c r="F261" i="18" s="1"/>
  <c r="E261" i="18" a="1"/>
  <c r="E261" i="18" s="1"/>
  <c r="C261" i="18" a="1"/>
  <c r="C261" i="18" s="1"/>
  <c r="H260" i="18" a="1"/>
  <c r="H260" i="18" s="1"/>
  <c r="G260" i="18" a="1"/>
  <c r="G260" i="18" s="1"/>
  <c r="F260" i="18" a="1"/>
  <c r="F260" i="18" s="1"/>
  <c r="E260" i="18" a="1"/>
  <c r="E260" i="18" s="1"/>
  <c r="C260" i="18" a="1"/>
  <c r="C260" i="18" s="1"/>
  <c r="H259" i="18" a="1"/>
  <c r="H259" i="18" s="1"/>
  <c r="G259" i="18" a="1"/>
  <c r="G259" i="18" s="1"/>
  <c r="F259" i="18" a="1"/>
  <c r="F259" i="18" s="1"/>
  <c r="E259" i="18" a="1"/>
  <c r="E259" i="18" s="1"/>
  <c r="C259" i="18" a="1"/>
  <c r="C259" i="18" s="1"/>
  <c r="H258" i="18" a="1"/>
  <c r="H258" i="18" s="1"/>
  <c r="G258" i="18" a="1"/>
  <c r="G258" i="18" s="1"/>
  <c r="F258" i="18" a="1"/>
  <c r="F258" i="18" s="1"/>
  <c r="E258" i="18" a="1"/>
  <c r="E258" i="18" s="1"/>
  <c r="C258" i="18" a="1"/>
  <c r="C258" i="18" s="1"/>
  <c r="I258" i="18" s="1"/>
  <c r="H257" i="18" a="1"/>
  <c r="H257" i="18" s="1"/>
  <c r="G257" i="18" a="1"/>
  <c r="G257" i="18" s="1"/>
  <c r="F257" i="18" a="1"/>
  <c r="F257" i="18" s="1"/>
  <c r="E257" i="18" a="1"/>
  <c r="E257" i="18" s="1"/>
  <c r="C257" i="18" a="1"/>
  <c r="C257" i="18" s="1"/>
  <c r="B257" i="18" s="1"/>
  <c r="H256" i="18" a="1"/>
  <c r="H256" i="18" s="1"/>
  <c r="G256" i="18" a="1"/>
  <c r="G256" i="18" s="1"/>
  <c r="F256" i="18" a="1"/>
  <c r="F256" i="18" s="1"/>
  <c r="E256" i="18" a="1"/>
  <c r="E256" i="18" s="1"/>
  <c r="C256" i="18" a="1"/>
  <c r="C256" i="18" s="1"/>
  <c r="H255" i="18" a="1"/>
  <c r="H255" i="18" s="1"/>
  <c r="G255" i="18" a="1"/>
  <c r="G255" i="18" s="1"/>
  <c r="F255" i="18" a="1"/>
  <c r="F255" i="18" s="1"/>
  <c r="E255" i="18" a="1"/>
  <c r="E255" i="18" s="1"/>
  <c r="C255" i="18" a="1"/>
  <c r="C255" i="18" s="1"/>
  <c r="H254" i="18" a="1"/>
  <c r="H254" i="18" s="1"/>
  <c r="G254" i="18" a="1"/>
  <c r="G254" i="18" s="1"/>
  <c r="F254" i="18" a="1"/>
  <c r="F254" i="18" s="1"/>
  <c r="E254" i="18" a="1"/>
  <c r="E254" i="18" s="1"/>
  <c r="C254" i="18" a="1"/>
  <c r="C254" i="18" s="1"/>
  <c r="B247" i="18" a="1"/>
  <c r="B247" i="18" s="1"/>
  <c r="G32" i="18"/>
  <c r="E346" i="18"/>
  <c r="I35" i="18" l="1"/>
  <c r="I34" i="18"/>
  <c r="I32" i="18"/>
  <c r="I36" i="18"/>
  <c r="I33" i="18"/>
  <c r="I37" i="18"/>
  <c r="B32" i="18"/>
  <c r="H33" i="18" a="1"/>
  <c r="H33" i="18" s="1"/>
  <c r="H34" i="18" a="1"/>
  <c r="H34" i="18" s="1"/>
  <c r="B304" i="18"/>
  <c r="A304" i="18"/>
  <c r="B256" i="18"/>
  <c r="I256" i="18"/>
  <c r="A256" i="18"/>
  <c r="A25" i="20"/>
  <c r="B276" i="18"/>
  <c r="I276" i="18"/>
  <c r="B288" i="18"/>
  <c r="A288" i="18"/>
  <c r="I288" i="18"/>
  <c r="B308" i="18"/>
  <c r="I308" i="18"/>
  <c r="A29" i="20"/>
  <c r="B280" i="18"/>
  <c r="I280" i="18"/>
  <c r="A280" i="18"/>
  <c r="B261" i="18"/>
  <c r="I261" i="18"/>
  <c r="B293" i="18"/>
  <c r="I293" i="18"/>
  <c r="A26" i="20"/>
  <c r="B260" i="18"/>
  <c r="I260" i="18"/>
  <c r="B264" i="18"/>
  <c r="A264" i="18"/>
  <c r="I264" i="18"/>
  <c r="B268" i="18"/>
  <c r="I268" i="18"/>
  <c r="A28" i="20"/>
  <c r="B272" i="18"/>
  <c r="I272" i="18"/>
  <c r="A272" i="18"/>
  <c r="B301" i="18"/>
  <c r="I301" i="18"/>
  <c r="B309" i="18"/>
  <c r="I309" i="18"/>
  <c r="I277" i="18"/>
  <c r="A24" i="20"/>
  <c r="G315" i="18"/>
  <c r="E342" i="18" s="1"/>
  <c r="I292" i="18"/>
  <c r="I304" i="18"/>
  <c r="A296" i="18"/>
  <c r="I269" i="18"/>
  <c r="A27" i="20"/>
  <c r="I284" i="18"/>
  <c r="I296" i="18"/>
  <c r="I285" i="18"/>
  <c r="I300" i="18"/>
  <c r="E251" i="18"/>
  <c r="E250" i="18"/>
  <c r="F248" i="18"/>
  <c r="D16" i="18"/>
  <c r="M9" i="18"/>
  <c r="F322" i="18"/>
  <c r="G334" i="18"/>
  <c r="F247" i="18"/>
  <c r="H36" i="18" a="1"/>
  <c r="H36" i="18" s="1"/>
  <c r="H32" i="18" a="1"/>
  <c r="H32" i="18" s="1"/>
  <c r="H37" i="18" a="1"/>
  <c r="H37" i="18" s="1"/>
  <c r="B278" i="18"/>
  <c r="A278" i="18"/>
  <c r="I278" i="18"/>
  <c r="I279" i="18"/>
  <c r="B279" i="18"/>
  <c r="A279" i="18"/>
  <c r="B291" i="18"/>
  <c r="A291" i="18"/>
  <c r="I291" i="18"/>
  <c r="B254" i="18"/>
  <c r="A254" i="18"/>
  <c r="I254" i="18"/>
  <c r="I255" i="18"/>
  <c r="B255" i="18"/>
  <c r="A255" i="18"/>
  <c r="B267" i="18"/>
  <c r="A267" i="18"/>
  <c r="I267" i="18"/>
  <c r="H35" i="18" a="1"/>
  <c r="H35" i="18" s="1"/>
  <c r="B294" i="18"/>
  <c r="A294" i="18"/>
  <c r="I294" i="18"/>
  <c r="I295" i="18"/>
  <c r="B295" i="18"/>
  <c r="A295" i="18"/>
  <c r="B307" i="18"/>
  <c r="A307" i="18"/>
  <c r="I307" i="18"/>
  <c r="B270" i="18"/>
  <c r="A270" i="18"/>
  <c r="I270" i="18"/>
  <c r="I271" i="18"/>
  <c r="B271" i="18"/>
  <c r="A271" i="18"/>
  <c r="B283" i="18"/>
  <c r="A283" i="18"/>
  <c r="I283" i="18"/>
  <c r="B259" i="18"/>
  <c r="A259" i="18"/>
  <c r="I259" i="18"/>
  <c r="B310" i="18"/>
  <c r="A310" i="18"/>
  <c r="I310" i="18"/>
  <c r="I311" i="18"/>
  <c r="B311" i="18"/>
  <c r="A311" i="18"/>
  <c r="B286" i="18"/>
  <c r="A286" i="18"/>
  <c r="I286" i="18"/>
  <c r="I287" i="18"/>
  <c r="B287" i="18"/>
  <c r="A287" i="18"/>
  <c r="B299" i="18"/>
  <c r="A299" i="18"/>
  <c r="I299" i="18"/>
  <c r="B262" i="18"/>
  <c r="A262" i="18"/>
  <c r="I262" i="18"/>
  <c r="I263" i="18"/>
  <c r="B263" i="18"/>
  <c r="A263" i="18"/>
  <c r="B275" i="18"/>
  <c r="A275" i="18"/>
  <c r="I275" i="18"/>
  <c r="B302" i="18"/>
  <c r="A302" i="18"/>
  <c r="I302" i="18"/>
  <c r="I303" i="18"/>
  <c r="B303" i="18"/>
  <c r="A303" i="18"/>
  <c r="I257" i="18"/>
  <c r="A261" i="18"/>
  <c r="I265" i="18"/>
  <c r="A269" i="18"/>
  <c r="I273" i="18"/>
  <c r="A277" i="18"/>
  <c r="I281" i="18"/>
  <c r="A285" i="18"/>
  <c r="I289" i="18"/>
  <c r="A293" i="18"/>
  <c r="I297" i="18"/>
  <c r="A301" i="18"/>
  <c r="I305" i="18"/>
  <c r="A309" i="18"/>
  <c r="A258" i="18"/>
  <c r="A266" i="18"/>
  <c r="A274" i="18"/>
  <c r="A282" i="18"/>
  <c r="A290" i="18"/>
  <c r="A298" i="18"/>
  <c r="A306" i="18"/>
  <c r="B258" i="18"/>
  <c r="B266" i="18"/>
  <c r="B274" i="18"/>
  <c r="B282" i="18"/>
  <c r="B290" i="18"/>
  <c r="B298" i="18"/>
  <c r="B306" i="18"/>
  <c r="A260" i="18"/>
  <c r="A268" i="18"/>
  <c r="A276" i="18"/>
  <c r="A284" i="18"/>
  <c r="A292" i="18"/>
  <c r="A300" i="18"/>
  <c r="A308" i="18"/>
  <c r="A257" i="18"/>
  <c r="A265" i="18"/>
  <c r="A273" i="18"/>
  <c r="A281" i="18"/>
  <c r="A289" i="18"/>
  <c r="A297" i="18"/>
  <c r="A305" i="18"/>
  <c r="F246" i="18" l="1"/>
  <c r="A10" i="18"/>
  <c r="E316" i="18"/>
  <c r="E343" i="18" s="1"/>
  <c r="D13" i="18"/>
  <c r="E345" i="18" s="1"/>
  <c r="E138" i="19"/>
  <c r="E104" i="19"/>
  <c r="E139" i="19" s="1"/>
  <c r="O19" i="19" l="1"/>
  <c r="J100" i="19"/>
</calcChain>
</file>

<file path=xl/sharedStrings.xml><?xml version="1.0" encoding="utf-8"?>
<sst xmlns="http://schemas.openxmlformats.org/spreadsheetml/2006/main" count="42068" uniqueCount="3907">
  <si>
    <t>Kode Program</t>
  </si>
  <si>
    <t>Kode Rekening</t>
  </si>
  <si>
    <t>Tanggal Pesanan</t>
  </si>
  <si>
    <t>Tanggal Bayar</t>
  </si>
  <si>
    <t>Direktur</t>
  </si>
  <si>
    <t>Jumlah</t>
  </si>
  <si>
    <t>Satuan</t>
  </si>
  <si>
    <t>BPU329</t>
  </si>
  <si>
    <t>Konsumsi</t>
  </si>
  <si>
    <r>
      <rPr>
        <sz val="10"/>
        <rFont val="Arial MT"/>
        <family val="2"/>
      </rPr>
      <t>Foto Copy Filio dan Kuarto</t>
    </r>
  </si>
  <si>
    <t>Rumah Roti Helena</t>
  </si>
  <si>
    <t>Fudi Supiyanto</t>
  </si>
  <si>
    <t>CV. Goriyaku Wiratrade</t>
  </si>
  <si>
    <t>Wirawan Bazikho</t>
  </si>
  <si>
    <t>Harga Satuan</t>
  </si>
  <si>
    <t>Spesifikasi</t>
  </si>
  <si>
    <t>Tahun</t>
  </si>
  <si>
    <t>Jabatan</t>
  </si>
  <si>
    <t>BERITA ACARA SERAH TERIMA</t>
  </si>
  <si>
    <t>Nomor Surat Pemesanan</t>
  </si>
  <si>
    <t>Tanggal</t>
  </si>
  <si>
    <t>Nama pekerjaan</t>
  </si>
  <si>
    <t>Yang bertandatangan di bawah ini:</t>
  </si>
  <si>
    <t>Nama</t>
  </si>
  <si>
    <t>Nama Penyedia</t>
  </si>
  <si>
    <t>Alamat Penyedia</t>
  </si>
  <si>
    <t>No. Telepon</t>
  </si>
  <si>
    <t>Penerima Barang</t>
  </si>
  <si>
    <t>Nama Satuan Pendidikan</t>
  </si>
  <si>
    <t>SMA Negeri 1 Telukdalam</t>
  </si>
  <si>
    <t>Alamat Satuan Pendidikan</t>
  </si>
  <si>
    <t>Berita Acara Serah Terima ini berfungsi sebagai bukti serah terima hasil pekerjaan kepada PIHAK KEDUA, untuk selanjutnya dicatat pada buku penerimaan barang Satuan Pendidikan.</t>
  </si>
  <si>
    <t>Demikian Berita Acara Serah Terima ini dibuat dengan sebenarnya untuk dipergunakan sebagaimana seharusnya.</t>
  </si>
  <si>
    <t>PIHAK KEDUA</t>
  </si>
  <si>
    <t>PIHAK PERTAMA</t>
  </si>
  <si>
    <t>PEMERIKSA BARANG</t>
  </si>
  <si>
    <t>SURAT HASIL PEMERIKSAAN</t>
  </si>
  <si>
    <t xml:space="preserve">Yang bertandatangan di bawah ini: </t>
  </si>
  <si>
    <t>Telah melakukan pemeriksanaan terhadap hasil pekerjaan sesuai surat pemesanan dimaksud dengan rincian berikut:</t>
  </si>
  <si>
    <t>No</t>
  </si>
  <si>
    <t>Nama Barang/Jasa</t>
  </si>
  <si>
    <t>Demikian    Surat    Pemeriksaan    Hasil    Pekerjaan    ini    dibuat    dengan    sebenarnya    untuk dipergunakan sebagaimana seharusnya.</t>
  </si>
  <si>
    <t xml:space="preserve">PIHAK KEDUA                                                               </t>
  </si>
  <si>
    <t>SURAT PERINTAH KERJA (SPK)</t>
  </si>
  <si>
    <t>Nomor SPK</t>
  </si>
  <si>
    <t>Tanggal SPK</t>
  </si>
  <si>
    <t>Tanggal Negosiasi</t>
  </si>
  <si>
    <t xml:space="preserve">WAKTU PELAKSANAAN PEKERJAAN
</t>
  </si>
  <si>
    <t>WAKTU PENYELESAIAN PEKERJAAN</t>
  </si>
  <si>
    <t>RINCIAN PEKERJAAN</t>
  </si>
  <si>
    <t>PPN</t>
  </si>
  <si>
    <t>Biaya Pengiriman</t>
  </si>
  <si>
    <t>Asuransi</t>
  </si>
  <si>
    <t>Total Pembayaran</t>
  </si>
  <si>
    <t>Penyedia</t>
  </si>
  <si>
    <t>Pelaksana</t>
  </si>
  <si>
    <t>DOKUMEN PERENCANAAN</t>
  </si>
  <si>
    <t>SMA NEGERI 1 TELUKDALAM</t>
  </si>
  <si>
    <t>Kategori Barang/Jasa</t>
  </si>
  <si>
    <t>KETERANGAN</t>
  </si>
  <si>
    <t>Jumlah Barang/Jasa</t>
  </si>
  <si>
    <t>Spesifikasi/ruang lingkup barang/jasa</t>
  </si>
  <si>
    <t>Waktu serah terima</t>
  </si>
  <si>
    <t>Lokasi serah terima</t>
  </si>
  <si>
    <t>Alokasi Anggaran</t>
  </si>
  <si>
    <t>Persyaratan penyedia</t>
  </si>
  <si>
    <t xml:space="preserve">Perorangan/Badan Usaha 
</t>
  </si>
  <si>
    <t>Nursari Rindu Simanullang, S.Pd., M.M</t>
  </si>
  <si>
    <t>NIP. 19691208 200502 2 001</t>
  </si>
  <si>
    <t>Misalnya Buku Teks Utama/Buku Teks Pendamping/Buku Nonteks/Kebutuhan dan</t>
  </si>
  <si>
    <t>Perlengkapan Satuan Pendidikan/Alat Peraga Pendidikan/Komputer dan Aksesoris/Elektronik/Jasa lainnya.</t>
  </si>
  <si>
    <t>Total Harga</t>
  </si>
  <si>
    <t>DOKUMEN HASIL PEMBANDING</t>
  </si>
  <si>
    <t xml:space="preserve">Nama satuan pendidikan </t>
  </si>
  <si>
    <t>Hasil pembanding</t>
  </si>
  <si>
    <t>Produk I</t>
  </si>
  <si>
    <t>Produk II</t>
  </si>
  <si>
    <t>dst</t>
  </si>
  <si>
    <t>Nama Calon penyedia</t>
  </si>
  <si>
    <t>Nama Produk</t>
  </si>
  <si>
    <t>Harga satuan</t>
  </si>
  <si>
    <t>Nasi Kotak (isi: Nasi putih;Sop daging; Sayur; Berat 1000gr; Dimensi; (PxLxT) 25cmx25cmx10cm)</t>
  </si>
  <si>
    <t>Estimasi harga</t>
  </si>
  <si>
    <t>Alamat calon penyedia</t>
  </si>
  <si>
    <t>Alamat satuan pendidikan</t>
  </si>
  <si>
    <t>JL. Pendidikan No 13 Telukdalam</t>
  </si>
  <si>
    <t>Nama calon penyedia</t>
  </si>
  <si>
    <t>Tanggal terima barang/jasa</t>
  </si>
  <si>
    <t>Hasil negosiasi</t>
  </si>
  <si>
    <t>Harga penawaran</t>
  </si>
  <si>
    <t>Keterangan</t>
  </si>
  <si>
    <t>Calon Penyedia</t>
  </si>
  <si>
    <t>Pelaksana,</t>
  </si>
  <si>
    <t>Catatan</t>
  </si>
  <si>
    <t>dan hal lain  sesuai kesepakatan para pihak</t>
  </si>
  <si>
    <t>ATK</t>
  </si>
  <si>
    <t>Amplop Coklat Aa (Length 5.0Cm, Width 5.0Cm, Height 5.0Cm, Weight 7Gr)</t>
  </si>
  <si>
    <t>Amplop Coklat Bertali (Length 5.0Cm, Width 5.0Cm, Height 7.0Cm, Weight 268Gr)</t>
  </si>
  <si>
    <t>Amplop Coklat Folio (Length 5.0Cm, Width 5.0Cm, Height 5.0Cm, Weight 7Gr)</t>
  </si>
  <si>
    <t>Amplop Putih Panjang (Length 5.0Cm, Width 5.0Cm, Height 5.0Cm, Weight 5Gr)</t>
  </si>
  <si>
    <t xml:space="preserve">Ballpoint Boldiner Standar  (Satuan. 300 Gram ; Dimensi Ukuran. 15X5X7.5Cm. (Berat Volume: 0.09Kg) </t>
  </si>
  <si>
    <t>Ballpoint Drawing Pen 0,5 Snowman (Length 5.0Cm, Width 5.0Cm, Height 5.0Cm, Weight 5Gr)</t>
  </si>
  <si>
    <t>Ballpoint Pilot G2 (Length 5.0Cm, Width 5.0Cm, Height 5.0Cm, Weight 5Gr)</t>
  </si>
  <si>
    <t>Ballpoint Standard Ae7 (Ukuran: 0.5 Mm Warna: Hitam 1 , Lebar Produk 6 Cm, Tinggi Produk 4 Cm)</t>
  </si>
  <si>
    <t>Bantalan Cap Besar (Berat Produk 1 Kg, Panjang Produk 12 Cm, Lebar Produk 8 Cm, Tinggi Produk 12 Cm)</t>
  </si>
  <si>
    <t>Bantalan Cap Kecil ( Dimensi, 8Cm X 11Cm X 2Cm. Berat, 48G.)</t>
  </si>
  <si>
    <t>Baterey Kecil (Type: Aa; Tegangan: 1.5 Volt; Ukuran: 14 X 50 Mm)</t>
  </si>
  <si>
    <t>Baterai Tanggung (Length 5.0Cm, Width 5.0Cm, Height 5.0Cm, Weight 5Gr)</t>
  </si>
  <si>
    <t>Binder Clip N0 107 (Length 5.0Cm, Width 5.0Cm, Height 5.0Cm, Weight 5Gr)</t>
  </si>
  <si>
    <t>Binder Clip No 111 (Length 5.0Cm, Width 5.0Cm, Height 5.0Cm, Weight 5Gr)</t>
  </si>
  <si>
    <t>Binder Clip Nomor 200 (Length 5.0Cm, Width 5.0Cm, Height 5.0Cm, Weight 5Gr)</t>
  </si>
  <si>
    <t>Binder Clip No 260 (Length 5.0Cm, Width 5.0Cm, Height 5.0Cm, Weight 5Gr)</t>
  </si>
  <si>
    <t xml:space="preserve">Binder Clip No 105 (Length 5.0Cm, Width 5.0Cm, Height 5.0Cm, Weight 5Gr)  </t>
  </si>
  <si>
    <t>Binder Klip Ordner (Length 5.0Cm, Width 5.0Cm, Height 5.0Cm, Weight 5Gr)</t>
  </si>
  <si>
    <t>Box File (Length 5.0Cm, Width 5.0Cm, Height 5.0Cm, Weight 5Gr)</t>
  </si>
  <si>
    <t>Buku Ekspedisi 100 (Berat Satuan. 400 Gram ; Dimensi Ukuran. 32X11X1Cm)</t>
  </si>
  <si>
    <t>Buku Induk/Inventaris 35 Cm X 50 Cm (Lebar : 50 Cm, Tinggi : 4 Cm, Berat : 1000 Gr)</t>
  </si>
  <si>
    <t>Tinta Printer Epson 664 Biru (Length 5.0Cm, Width 5.0Cm, Height 5.0Cm, Weight 5Gr)</t>
  </si>
  <si>
    <t>Tnta Printer Epson 664 Merah (Length 5.0Cm, Width 5.0Cm, Height 5.0Cm, Weight 5Gr)</t>
  </si>
  <si>
    <t>Tinta Printer Epson 664 Kuning (Length 5.0Cm, Width 5.0Cm, Height 5.0Cm, Weight 5Gr)</t>
  </si>
  <si>
    <t>Tinta Printer Epson 664 Hitam (Length 5.0Cm, Width 5.0Cm, Height 5.0Cm, Weight 5Gr)</t>
  </si>
  <si>
    <t>Canon Catridge 741 ((Cyan, Magenta, Yellow). Daya Tampung Tinta: 4 Ml. Berat Produk: 160 Gr)</t>
  </si>
  <si>
    <t>Catridge Printer Epson T 014 (Tipe: T6641 Black, T6642 Cyan, T6643 Magenta, T6644 Yellow; Isi: 70 Ml)</t>
  </si>
  <si>
    <t>Gunting Sedang (Length 5.0Cm, Width 5.0Cm, Height 5.0Cm, Weight 5Gr)</t>
  </si>
  <si>
    <t>Hardisk (Dimensi: P X L X T /80.0 Mm × 0.583Inci/14.8Mm Bobot : 170 G)</t>
  </si>
  <si>
    <t>Isi Staples Besar (Ukuran 10 Mm (3/8″)Isi Kemasan 1000 Staples/Box)</t>
  </si>
  <si>
    <t>Isi Staples Sedang (Dimensi, 2Cm X 4Cm X 1Cm. Berat, 5G.)</t>
  </si>
  <si>
    <t>Kertas Hvs 60Gsm Paper One F4 (Length 33.0Cm, Width 21.0Cm, Height 7.0Cm, Weight 1400Gr)</t>
  </si>
  <si>
    <t xml:space="preserve"> Kertas Hvs A4 80Gsm Paper One (Length 30.0Cm, Width 21.0Cm, Height 7.0Cm, Weight 2394Gr)</t>
  </si>
  <si>
    <t>Kertas Lebel Kotak (Length 5.0Cm, Width 5.0Cm, Height 7.0Cm, Weight 5Gr)</t>
  </si>
  <si>
    <t>Kertas Buffalo F4 (Length 21.0Cm, Width 33.0Cm, Height 7.0Cm, Weight 1006Gr)</t>
  </si>
  <si>
    <t>Post It Warna Warni (Length 7.0Cm, Width 7.0Cm, Height 7.0Cm, Weight 44Gr)</t>
  </si>
  <si>
    <t>Kertas Stencil Folio (Length 33.0Cm, Width 21.0Cm, Height 5.0Cm, Weight 1400Gr)</t>
  </si>
  <si>
    <t>Kertas Hvs Warna 70 Gsm (Length 21.0Cm, Width 33.0Cm, Height 7.0Cm, Weight 2400Gr)</t>
  </si>
  <si>
    <t>Lakban Bening Kecil (Length 5.0Cm, Width 5.0Cm, Height 5.0Cm, Weight 5Gr)</t>
  </si>
  <si>
    <t>Lakban Bening Sedang (Length 5.0Cm, Width 5.0Cm, Height 5.0Cm, Weight 5Gr)</t>
  </si>
  <si>
    <t>Lakban Bening Besar (Length 5.0Cm, Width 5.0Cm, Height 5.0Cm, Weight 5Gr)</t>
  </si>
  <si>
    <t>Lakban Hitam (Length 5.0Cm, Width 5.0Cm, Height 5.0Cm, Weight 5Gr)</t>
  </si>
  <si>
    <t>Lakban Hitam Bahan Kain (Length 5.0Cm, Width 5.0Cm, Height 5.0Cm, Weight 5Gr)</t>
  </si>
  <si>
    <t>Lakban Hitam Besar (Length 5.0Cm, Width 5.0Cm, Height 5.0Cm, Weight 5Gr)</t>
  </si>
  <si>
    <t>Lakban Warna Uk 2" Warna Coklat Cofiie (Ukuran 90Yard Lebar : 48Mm)</t>
  </si>
  <si>
    <t>Lem Fox Isi 500 Gram (Bahan Pvc, Berat 500Gr, Ukuran Botol Putih 500Gr)</t>
  </si>
  <si>
    <t>Map Binder (Length 5.0Cm, Width 5.0Cm, Height 5.0Cm, Weight 5Gr)</t>
  </si>
  <si>
    <t>Materai (Dimensi, 3.2Cm X 4.7Cm X 0Cm. Berat, 5Gr)</t>
  </si>
  <si>
    <t>Paper Clip No 1 (Length 5.0Cm, Width 5.0Cm, Height 5.0Cm, Weight 5Gr)</t>
  </si>
  <si>
    <t>Paper Clip No 3 (Length 5.0Cm, Width 5.0Cm, Height 5.0Cm, Weight 5Gr)</t>
  </si>
  <si>
    <t>Penghapus White Board (Ukuran : 55 X 120 X 38 Mm - Berat : 30 Gram)</t>
  </si>
  <si>
    <t>Keter L500 (Length 5.0Cm, Width 5.0Cm, Height 5.0Cm, Weight 5Gr)</t>
  </si>
  <si>
    <t>Plastik Mika Jilid F4 (Length 21.0Cm, Width 33.0Cm, Height 7.0Cm, Weight 548Gr)</t>
  </si>
  <si>
    <t>Sampul Plastik (Length 5.0Cm, Width 5.0Cm, Height 5.0Cm, Weight 5Gr)</t>
  </si>
  <si>
    <t>Spidol Refil Spidol White Board Snowman (Panjang. : 10 Cm ; Lebar. : 5 Cm ; Tinggi. : 7 Cm ; Berat. : 500 Gr)</t>
  </si>
  <si>
    <t>Spidol White Board (Berat Produk 0.5 Kg, Panjang Produk 10 Cm, Lebar Produk 3 Cm, Tinggi Produk 10 Cm)</t>
  </si>
  <si>
    <t>Stapler Hd-10 (Size : 9.1 X 4.2 X 1.8 Cm, Berat. 0.07 Kg. Lebar. 10.0 Cm. Tinggi. 3.5 Cm)</t>
  </si>
  <si>
    <t>Stapler 50 (Length 5.0Cm, Width 5.0Cm, Height 5.0Cm, Weight 5Gr)</t>
  </si>
  <si>
    <t>Stempel Cap (Ukuran 4,2Cm, Bentuk Bulat, Berat 50Gr)</t>
  </si>
  <si>
    <t>Stempel Manual (Berat Produk, 0.1 Kg ; Panjang Produk, 12 Cm ; Lebar Produk, 7 Cm ; Tinggi Produk, 9 Cm)</t>
  </si>
  <si>
    <t>Stofmap Kertas (Length 5.0Cm, Width 5.0Cm, Height 5.0Cm, Weight 5Gr)</t>
  </si>
  <si>
    <t>Stofmap Transparan (Length 5.0Cm, Width 5.0Cm, Height 5.0Cm, Weight 5Gr)</t>
  </si>
  <si>
    <t>Stofmap Transparan Tali (Length 5.0Cm, Width 5.0Cm, Height 5.0Cm, Weight 5Gr)</t>
  </si>
  <si>
    <t>Tinta Printer Cano Aiflo Hitam (Length 5.0Cm, Width 5.0Cm, Height 5.0Cm, Weight 5Gr)</t>
  </si>
  <si>
    <t>Tinta Printer Canon Aiflo Warna (Length 5.0Cm, Width 5.0Cm, Height 5.0Cm, Weight 5Gr)</t>
  </si>
  <si>
    <t>Tinta Stempel (Ukuran Produk 105 X 35 X 35 Mm, Isi 1 Botol 50 Ml, Berat Satuan 85 Gram)</t>
  </si>
  <si>
    <t>Usb Flash Disk Usb/Flash Disk 4Gb (Ukuran 50 X 15 X 6 Mm, Berat 26 Gr)</t>
  </si>
  <si>
    <t>Aqua Cup (Diameter: 6.3cm. Tinggi: 9.5cm)</t>
  </si>
  <si>
    <t>Aqua Botol (Berat Satuan 600 gram; Dimensi Ukuran 2x3x2cm; Berat volume: 0.00kg)</t>
  </si>
  <si>
    <t>Kue (bahan tepung terigu, gula, telur, mentega; berat 100gr, panjang 15cm, lebar 8 cm)</t>
  </si>
  <si>
    <t>Obat</t>
  </si>
  <si>
    <t>Panadol (Mengandung Paracetamol 500 mg dan caffeine 65 mg)</t>
  </si>
  <si>
    <t>Diapet (Tiap kapsul Diapet mengandung 240 mg daun jambu biji, 204 mg rimpang kunyit, 84 mg buah mojokeling, dan 72 mg kulit buah delima)</t>
  </si>
  <si>
    <t>Promaag (Mengandung 200 mg hydrotalcite, 150 mg magnesium hidroksida, dan 50 mg simethicone)</t>
  </si>
  <si>
    <t>Betadine</t>
  </si>
  <si>
    <r>
      <rPr>
        <sz val="10"/>
        <rFont val="Arial MT"/>
        <family val="2"/>
      </rPr>
      <t>Kapas Pembalut 1000 gr</t>
    </r>
  </si>
  <si>
    <r>
      <rPr>
        <sz val="10"/>
        <rFont val="Arial MT"/>
        <family val="2"/>
      </rPr>
      <t>Perban Kain Kasa</t>
    </r>
  </si>
  <si>
    <t>Terbilang</t>
  </si>
  <si>
    <t>Radius S. K. Siburian, S.Pd</t>
  </si>
  <si>
    <t>Penata Muda</t>
  </si>
  <si>
    <t>Uraian Barang/Jasa</t>
  </si>
  <si>
    <t>TERBILANG</t>
  </si>
  <si>
    <t>Pembina Tk I</t>
  </si>
  <si>
    <t>Paket Pekerjaan</t>
  </si>
  <si>
    <t xml:space="preserve">Kolom keterangan dapat diisi sesuai dengan hasil negosiasi, meliputi jumlah termin pembayaran </t>
  </si>
  <si>
    <t>JL. PENDIDIKAN NO. 13, KELURAHAN PASAR TELUKDALAM</t>
  </si>
  <si>
    <t>KABUPATEN NIAS SELATAN</t>
  </si>
  <si>
    <t>SUMATERA UTARA</t>
  </si>
  <si>
    <t>TELUKDALAM</t>
  </si>
  <si>
    <t>KELENGKAPAN PELAPORAN PERTANGGUNGJAWABAN BOPS</t>
  </si>
  <si>
    <t>PEMERINTAH PROVINSI SUMATERA UTARA</t>
  </si>
  <si>
    <t xml:space="preserve">DINAS PENDIDIKAN </t>
  </si>
  <si>
    <t xml:space="preserve">NIS: 300010              NPSN: 10258246            Terakreditasi A               NSS: 301071701001
</t>
  </si>
  <si>
    <t>Jl. Pendidikan No. 13 Kelurahan Pasar Telukdalam Kecamatan Telukdalam Kabupaten Nias Selatan; Telp/HP: 081370904506; Kode Pos: 22865</t>
  </si>
  <si>
    <t>Email: smansatelukdalam@ymail.com; Website: www.smansatelukdalam.sch.id</t>
  </si>
  <si>
    <t>Kas/Pos Tanggal</t>
  </si>
  <si>
    <t xml:space="preserve">Nomor </t>
  </si>
  <si>
    <t>Kode Rek</t>
  </si>
  <si>
    <t>TANDA PEMBAYARAN</t>
  </si>
  <si>
    <t>Sudah terima dari</t>
  </si>
  <si>
    <t>Uang sebesar</t>
  </si>
  <si>
    <t>Untuk pembayaran</t>
  </si>
  <si>
    <t>Mengetahui :</t>
  </si>
  <si>
    <t xml:space="preserve">Lunas Bayar Oleh : </t>
  </si>
  <si>
    <t>Pengurus Barang</t>
  </si>
  <si>
    <t xml:space="preserve">Bendahara  Pengeluaran </t>
  </si>
  <si>
    <t>Riama Tiodora Siahaan, S.Pd</t>
  </si>
  <si>
    <t>Penata TK. I</t>
  </si>
  <si>
    <t>NIP. 19800301 201001 2 016</t>
  </si>
  <si>
    <t>Menyetujui :</t>
  </si>
  <si>
    <t>Diterima oleh</t>
  </si>
  <si>
    <t xml:space="preserve">Pimpinan </t>
  </si>
  <si>
    <t>wirawan Bazikho</t>
  </si>
  <si>
    <t>Kepala Sekolah SMA Negeri 1 Telukdalam</t>
  </si>
  <si>
    <r>
      <t xml:space="preserve">Sebagai pihak yang menyerahkan, selanjutnya disebut </t>
    </r>
    <r>
      <rPr>
        <b/>
        <sz val="11"/>
        <color rgb="FF000000"/>
        <rFont val="Times New Roman"/>
        <family val="1"/>
      </rPr>
      <t>PIHAK PERTAMA</t>
    </r>
  </si>
  <si>
    <r>
      <t xml:space="preserve">Sebagai pihak yang menerima, selanjutnya disebut </t>
    </r>
    <r>
      <rPr>
        <b/>
        <sz val="11"/>
        <color rgb="FF000000"/>
        <rFont val="Times New Roman"/>
        <family val="1"/>
      </rPr>
      <t>PIHAK KEDUA</t>
    </r>
  </si>
  <si>
    <r>
      <rPr>
        <sz val="10"/>
        <rFont val="Georgia"/>
        <family val="1"/>
      </rPr>
      <t>INSTRUKSI KE PENYEDIA :
Penagihan hanya dapat dilakukan setelah penyelesaian pekerjaan yang diperintahkan dalam SPK ini dan dibuktikan dengan Surat Hasil Pemeriksaan dan Berita Acara Serah Terima.</t>
    </r>
  </si>
  <si>
    <r>
      <rPr>
        <b/>
        <sz val="10"/>
        <rFont val="Georgia"/>
        <family val="1"/>
      </rPr>
      <t>No</t>
    </r>
  </si>
  <si>
    <r>
      <rPr>
        <b/>
        <sz val="10"/>
        <rFont val="Georgia"/>
        <family val="1"/>
      </rPr>
      <t>Nama Barang/Jasa</t>
    </r>
  </si>
  <si>
    <r>
      <rPr>
        <b/>
        <sz val="10"/>
        <rFont val="Georgia"/>
        <family val="1"/>
      </rPr>
      <t>Kondisi</t>
    </r>
  </si>
  <si>
    <t>SPK   ini   mulai   berlaku   efektif   terhitung   sejak tanggal ditetapkan dan penyelesaian keseluruhan pekerjaan sebagaimana dimaksud dalam SPK ini.</t>
  </si>
  <si>
    <t>Mengetahui</t>
  </si>
  <si>
    <t>Harga Negosiasi</t>
  </si>
  <si>
    <t>BAST</t>
  </si>
  <si>
    <t>0823 8612 4861</t>
  </si>
  <si>
    <t xml:space="preserve">NIP. </t>
  </si>
  <si>
    <t>Nomor</t>
  </si>
  <si>
    <t>Bendahara SMA Negeri 1 Telukdalam</t>
  </si>
  <si>
    <t>Surat persetujuan penyediaan barang dan jasa</t>
  </si>
  <si>
    <t>Gambar produk</t>
  </si>
  <si>
    <t>BPU001</t>
  </si>
  <si>
    <t>UD. JOSUA</t>
  </si>
  <si>
    <r>
      <rPr>
        <sz val="10"/>
        <rFont val="Arial MT"/>
        <family val="2"/>
      </rPr>
      <t>Amplop Coklat Merk : Garda Ukuran Cabinet</t>
    </r>
  </si>
  <si>
    <r>
      <rPr>
        <sz val="10"/>
        <rFont val="Arial MT"/>
        <family val="2"/>
      </rPr>
      <t>bungkus</t>
    </r>
  </si>
  <si>
    <r>
      <rPr>
        <sz val="10"/>
        <rFont val="Arial MT"/>
        <family val="2"/>
      </rPr>
      <t>Amplop Coklat Merk : GSU Ukuran : 1/2 folio, bergaris</t>
    </r>
  </si>
  <si>
    <r>
      <rPr>
        <sz val="10"/>
        <rFont val="Arial MT"/>
        <family val="2"/>
      </rPr>
      <t>kotak</t>
    </r>
  </si>
  <si>
    <r>
      <rPr>
        <sz val="10"/>
        <rFont val="Arial MT"/>
        <family val="2"/>
      </rPr>
      <t>lusin</t>
    </r>
  </si>
  <si>
    <r>
      <rPr>
        <sz val="10"/>
        <rFont val="Arial MT"/>
        <family val="2"/>
      </rPr>
      <t>Ballpoint Drawing Pen 0,1 Snowman</t>
    </r>
  </si>
  <si>
    <r>
      <rPr>
        <sz val="10"/>
        <rFont val="Arial MT"/>
        <family val="2"/>
      </rPr>
      <t>Ballpoint Pilot G2</t>
    </r>
  </si>
  <si>
    <r>
      <rPr>
        <sz val="10"/>
        <rFont val="Arial MT"/>
        <family val="2"/>
      </rPr>
      <t>Bantalan Cap Besar</t>
    </r>
  </si>
  <si>
    <r>
      <rPr>
        <sz val="10"/>
        <rFont val="Arial MT"/>
        <family val="2"/>
      </rPr>
      <t>Baterey Kecil</t>
    </r>
  </si>
  <si>
    <r>
      <rPr>
        <sz val="10"/>
        <rFont val="Arial MT"/>
        <family val="2"/>
      </rPr>
      <t>Binder Klip  nomor 107</t>
    </r>
  </si>
  <si>
    <r>
      <rPr>
        <sz val="10"/>
        <rFont val="Arial MT"/>
        <family val="2"/>
      </rPr>
      <t>Binder Klip  nomor 111</t>
    </r>
  </si>
  <si>
    <r>
      <rPr>
        <sz val="10"/>
        <rFont val="Arial MT"/>
        <family val="2"/>
      </rPr>
      <t>Binder Klip  nomor 200</t>
    </r>
  </si>
  <si>
    <r>
      <rPr>
        <sz val="10"/>
        <rFont val="Arial MT"/>
        <family val="2"/>
      </rPr>
      <t>Binder Klip  nomor 260</t>
    </r>
  </si>
  <si>
    <r>
      <rPr>
        <sz val="10"/>
        <rFont val="Arial MT"/>
        <family val="2"/>
      </rPr>
      <t>Binder Klip Merk : KENKO nomor 105</t>
    </r>
  </si>
  <si>
    <r>
      <rPr>
        <sz val="10"/>
        <rFont val="Arial MT"/>
        <family val="2"/>
      </rPr>
      <t>Binder Klip Ordner</t>
    </r>
  </si>
  <si>
    <r>
      <rPr>
        <sz val="10"/>
        <rFont val="Arial MT"/>
        <family val="2"/>
      </rPr>
      <t>C. Tinta Printer EPSON Tinta Printer Epson Blue</t>
    </r>
  </si>
  <si>
    <r>
      <rPr>
        <sz val="10"/>
        <rFont val="Arial MT"/>
        <family val="2"/>
      </rPr>
      <t>botol</t>
    </r>
  </si>
  <si>
    <r>
      <rPr>
        <sz val="10"/>
        <rFont val="Arial MT"/>
        <family val="2"/>
      </rPr>
      <t>C. Tinta Printer EPSON Tinta Printer Epson Read</t>
    </r>
  </si>
  <si>
    <r>
      <rPr>
        <sz val="10"/>
        <rFont val="Arial MT"/>
        <family val="2"/>
      </rPr>
      <t>C. Tinta Printer EPSON Tinta Printer Epson Yellow</t>
    </r>
  </si>
  <si>
    <r>
      <rPr>
        <sz val="10"/>
        <rFont val="Arial MT"/>
        <family val="2"/>
      </rPr>
      <t>Kertas HVS 80 gram Merk : Paper One A4, Ukuran : 8,27" x 11,69", Isi : 500 lembar</t>
    </r>
  </si>
  <si>
    <r>
      <rPr>
        <sz val="10"/>
        <rFont val="Arial MT"/>
        <family val="2"/>
      </rPr>
      <t>Kertas Label</t>
    </r>
  </si>
  <si>
    <r>
      <rPr>
        <sz val="10"/>
        <rFont val="Arial MT"/>
        <family val="2"/>
      </rPr>
      <t>Kertas Post-It Warna Warni  Sign Here</t>
    </r>
  </si>
  <si>
    <r>
      <rPr>
        <sz val="10"/>
        <rFont val="Arial MT"/>
        <family val="2"/>
      </rPr>
      <t>Kertas StensiI</t>
    </r>
  </si>
  <si>
    <r>
      <rPr>
        <sz val="10"/>
        <rFont val="Arial MT"/>
        <family val="2"/>
      </rPr>
      <t>Kertas Warna Blank Folio, Ukuran : 8,5 x 14",  70 gram</t>
    </r>
  </si>
  <si>
    <r>
      <rPr>
        <sz val="10"/>
        <rFont val="Arial MT"/>
        <family val="2"/>
      </rPr>
      <t>Lakban Bening</t>
    </r>
  </si>
  <si>
    <r>
      <rPr>
        <sz val="10"/>
        <rFont val="Arial MT"/>
        <family val="2"/>
      </rPr>
      <t>Lakban warna Uk 2" Warna Coklat Cofiie</t>
    </r>
  </si>
  <si>
    <r>
      <rPr>
        <sz val="10"/>
        <rFont val="Arial MT"/>
        <family val="2"/>
      </rPr>
      <t>Map Binder</t>
    </r>
  </si>
  <si>
    <r>
      <rPr>
        <sz val="10"/>
        <rFont val="Arial MT"/>
        <family val="2"/>
      </rPr>
      <t>PAPER CLIP  Paper Clip No 1</t>
    </r>
  </si>
  <si>
    <r>
      <rPr>
        <sz val="10"/>
        <rFont val="Arial MT"/>
        <family val="2"/>
      </rPr>
      <t>Paper Clip No 1  Paper Clip No 3</t>
    </r>
  </si>
  <si>
    <r>
      <rPr>
        <sz val="10"/>
        <rFont val="Arial MT"/>
        <family val="2"/>
      </rPr>
      <t>Penghapus White Board</t>
    </r>
  </si>
  <si>
    <r>
      <rPr>
        <sz val="10"/>
        <rFont val="Arial MT"/>
        <family val="2"/>
      </rPr>
      <t>Pisau Cutter Kenko L-500</t>
    </r>
  </si>
  <si>
    <r>
      <rPr>
        <sz val="10"/>
        <rFont val="Arial MT"/>
        <family val="2"/>
      </rPr>
      <t>Plastik Mika</t>
    </r>
  </si>
  <si>
    <r>
      <rPr>
        <sz val="10"/>
        <rFont val="Arial MT"/>
        <family val="2"/>
      </rPr>
      <t>Sampul Plastik</t>
    </r>
  </si>
  <si>
    <r>
      <rPr>
        <sz val="10"/>
        <rFont val="Arial MT"/>
        <family val="2"/>
      </rPr>
      <t>Spidol Refil Spidol White Board Snowman</t>
    </r>
  </si>
  <si>
    <r>
      <rPr>
        <sz val="10"/>
        <rFont val="Arial MT"/>
        <family val="2"/>
      </rPr>
      <t>Spidol White board</t>
    </r>
  </si>
  <si>
    <r>
      <rPr>
        <sz val="10"/>
        <rFont val="Arial MT"/>
        <family val="2"/>
      </rPr>
      <t>Stofmap Kertas</t>
    </r>
  </si>
  <si>
    <r>
      <rPr>
        <sz val="10"/>
        <rFont val="Arial MT"/>
        <family val="2"/>
      </rPr>
      <t>Stofmap Transparan</t>
    </r>
  </si>
  <si>
    <r>
      <rPr>
        <sz val="10"/>
        <rFont val="Arial MT"/>
        <family val="2"/>
      </rPr>
      <t>Tinta Stempel</t>
    </r>
  </si>
  <si>
    <t>BPU002</t>
  </si>
  <si>
    <r>
      <rPr>
        <sz val="10"/>
        <rFont val="Arial MT"/>
        <family val="2"/>
      </rPr>
      <t>Alat Pel</t>
    </r>
  </si>
  <si>
    <r>
      <rPr>
        <sz val="10"/>
        <rFont val="Arial MT"/>
        <family val="2"/>
      </rPr>
      <t>Alat Pel lantai besar</t>
    </r>
  </si>
  <si>
    <r>
      <rPr>
        <sz val="10"/>
        <rFont val="Arial MT"/>
        <family val="2"/>
      </rPr>
      <t>unit</t>
    </r>
  </si>
  <si>
    <r>
      <rPr>
        <sz val="10"/>
        <rFont val="Arial MT"/>
        <family val="2"/>
      </rPr>
      <t>Handsoap/Pencuci Tangan</t>
    </r>
  </si>
  <si>
    <r>
      <rPr>
        <sz val="10"/>
        <rFont val="Arial MT"/>
        <family val="2"/>
      </rPr>
      <t>Pengharum Ruangan</t>
    </r>
  </si>
  <si>
    <r>
      <rPr>
        <sz val="10"/>
        <rFont val="Arial MT"/>
        <family val="2"/>
      </rPr>
      <t>Sapu</t>
    </r>
  </si>
  <si>
    <r>
      <rPr>
        <sz val="10"/>
        <rFont val="Arial MT"/>
        <family val="2"/>
      </rPr>
      <t>Sapu Lidi</t>
    </r>
  </si>
  <si>
    <r>
      <rPr>
        <sz val="10"/>
        <rFont val="Arial MT"/>
        <family val="2"/>
      </rPr>
      <t>Spon Cuci</t>
    </r>
  </si>
  <si>
    <r>
      <rPr>
        <sz val="10"/>
        <rFont val="Arial MT"/>
        <family val="2"/>
      </rPr>
      <t>Tempat sampah</t>
    </r>
  </si>
  <si>
    <r>
      <rPr>
        <sz val="10"/>
        <rFont val="Arial MT"/>
        <family val="2"/>
      </rPr>
      <t>vixal 500ml</t>
    </r>
  </si>
  <si>
    <t>BPU003</t>
  </si>
  <si>
    <r>
      <rPr>
        <sz val="10"/>
        <rFont val="Arial MT"/>
        <family val="2"/>
      </rPr>
      <t>Obat sakit kepala/pereda nyeri/sakit gigi/Flu</t>
    </r>
  </si>
  <si>
    <t>BPU004</t>
  </si>
  <si>
    <t>Kudapan</t>
  </si>
  <si>
    <t>BPU005</t>
  </si>
  <si>
    <t>RM. Immanuel</t>
  </si>
  <si>
    <t>BPU006</t>
  </si>
  <si>
    <t>BPU007</t>
  </si>
  <si>
    <t>BPU008</t>
  </si>
  <si>
    <t>BPU009</t>
  </si>
  <si>
    <t>BPU010</t>
  </si>
  <si>
    <r>
      <rPr>
        <sz val="10"/>
        <rFont val="Arial MT"/>
        <family val="2"/>
      </rPr>
      <t>Stempel Manual</t>
    </r>
  </si>
  <si>
    <r>
      <rPr>
        <sz val="10"/>
        <rFont val="Arial MT"/>
        <family val="2"/>
      </rPr>
      <t>Stempel Cap</t>
    </r>
  </si>
  <si>
    <t>BPU011</t>
  </si>
  <si>
    <t>BPU012</t>
  </si>
  <si>
    <t>BPU013</t>
  </si>
  <si>
    <t>BPU014</t>
  </si>
  <si>
    <t>BPU015</t>
  </si>
  <si>
    <t>BPU016</t>
  </si>
  <si>
    <t>Spanduk</t>
  </si>
  <si>
    <t>CV. Lala Three</t>
  </si>
  <si>
    <t>BPU017</t>
  </si>
  <si>
    <t>BPU018</t>
  </si>
  <si>
    <t>BPU019</t>
  </si>
  <si>
    <t>BPU022</t>
  </si>
  <si>
    <t>BPU023</t>
  </si>
  <si>
    <t>Jasa</t>
  </si>
  <si>
    <r>
      <rPr>
        <sz val="10"/>
        <rFont val="Arial MT"/>
        <family val="2"/>
      </rPr>
      <t>bulan</t>
    </r>
  </si>
  <si>
    <t>BPU024</t>
  </si>
  <si>
    <t>Laptop</t>
  </si>
  <si>
    <t>BPU025</t>
  </si>
  <si>
    <t>BPU038</t>
  </si>
  <si>
    <t>BPU039</t>
  </si>
  <si>
    <t>BPU040</t>
  </si>
  <si>
    <t>BPU041</t>
  </si>
  <si>
    <t>BPU042</t>
  </si>
  <si>
    <t>BPU053</t>
  </si>
  <si>
    <t>BPU043</t>
  </si>
  <si>
    <t>BPU044</t>
  </si>
  <si>
    <t>BPU045</t>
  </si>
  <si>
    <t>BPU046</t>
  </si>
  <si>
    <t>BPU047</t>
  </si>
  <si>
    <t>BPU049</t>
  </si>
  <si>
    <t>BPU052</t>
  </si>
  <si>
    <t>BPU067</t>
  </si>
  <si>
    <t>BPU068</t>
  </si>
  <si>
    <t>BPU069</t>
  </si>
  <si>
    <t>BPU070</t>
  </si>
  <si>
    <t>BPU071</t>
  </si>
  <si>
    <t>BPU072</t>
  </si>
  <si>
    <t>BPU073</t>
  </si>
  <si>
    <t>BPU098</t>
  </si>
  <si>
    <t>BPU074</t>
  </si>
  <si>
    <t>BPU075</t>
  </si>
  <si>
    <t>BPU076</t>
  </si>
  <si>
    <t>BPU079</t>
  </si>
  <si>
    <t>BPU080</t>
  </si>
  <si>
    <t>BPU095</t>
  </si>
  <si>
    <t>BPU096</t>
  </si>
  <si>
    <t>BPU020</t>
  </si>
  <si>
    <t>BPU021</t>
  </si>
  <si>
    <t>BPU026</t>
  </si>
  <si>
    <t>BPU027</t>
  </si>
  <si>
    <t>BPU028</t>
  </si>
  <si>
    <t>BPU029</t>
  </si>
  <si>
    <t>BPU030</t>
  </si>
  <si>
    <t>BPU031</t>
  </si>
  <si>
    <t>BPU032</t>
  </si>
  <si>
    <t>BPU033</t>
  </si>
  <si>
    <t>BPU034</t>
  </si>
  <si>
    <t>BPU035</t>
  </si>
  <si>
    <t>BPU036</t>
  </si>
  <si>
    <t>BPU037</t>
  </si>
  <si>
    <t>BPU048</t>
  </si>
  <si>
    <t>BPU050</t>
  </si>
  <si>
    <t>BPU051</t>
  </si>
  <si>
    <t>BPU054</t>
  </si>
  <si>
    <t>BPU055</t>
  </si>
  <si>
    <t>BPU056</t>
  </si>
  <si>
    <t>BPU057</t>
  </si>
  <si>
    <t>BPU058</t>
  </si>
  <si>
    <t>BPU059</t>
  </si>
  <si>
    <t>BPU060</t>
  </si>
  <si>
    <t>BPU061</t>
  </si>
  <si>
    <t>BPU062</t>
  </si>
  <si>
    <t>BPU063</t>
  </si>
  <si>
    <t>BPU064</t>
  </si>
  <si>
    <t>BPU065</t>
  </si>
  <si>
    <t>BPU066</t>
  </si>
  <si>
    <t>BPU077</t>
  </si>
  <si>
    <t>BPU078</t>
  </si>
  <si>
    <t>BPU081</t>
  </si>
  <si>
    <t>BPU082</t>
  </si>
  <si>
    <t>BPU083</t>
  </si>
  <si>
    <t>BPU084</t>
  </si>
  <si>
    <t>BPU085</t>
  </si>
  <si>
    <t>BPU086</t>
  </si>
  <si>
    <t>BPU087</t>
  </si>
  <si>
    <t>BPU088</t>
  </si>
  <si>
    <t>BPU089</t>
  </si>
  <si>
    <t>BPU090</t>
  </si>
  <si>
    <t>BPU091</t>
  </si>
  <si>
    <t>BPU092</t>
  </si>
  <si>
    <t>BPU093</t>
  </si>
  <si>
    <t>BPU094</t>
  </si>
  <si>
    <t>BPU097</t>
  </si>
  <si>
    <t>NO. BPU 2024</t>
  </si>
  <si>
    <t>BPU099</t>
  </si>
  <si>
    <t>BPU100</t>
  </si>
  <si>
    <t>BPU101</t>
  </si>
  <si>
    <t>BPU102</t>
  </si>
  <si>
    <t>BPU103</t>
  </si>
  <si>
    <t>BPU104</t>
  </si>
  <si>
    <t>BPU105</t>
  </si>
  <si>
    <t>BPU106</t>
  </si>
  <si>
    <t>BPU107</t>
  </si>
  <si>
    <t>BPU108</t>
  </si>
  <si>
    <t>BPU109</t>
  </si>
  <si>
    <t>BPU110</t>
  </si>
  <si>
    <t>BPU111</t>
  </si>
  <si>
    <t>BPU112</t>
  </si>
  <si>
    <t>BPU113</t>
  </si>
  <si>
    <t>BPU114</t>
  </si>
  <si>
    <t>BPU115</t>
  </si>
  <si>
    <t>BPU116</t>
  </si>
  <si>
    <t>BPU117</t>
  </si>
  <si>
    <t>BPU118</t>
  </si>
  <si>
    <t>BPU119</t>
  </si>
  <si>
    <t>BPU120</t>
  </si>
  <si>
    <t>BPU121</t>
  </si>
  <si>
    <t>BPU122</t>
  </si>
  <si>
    <t>BPU123</t>
  </si>
  <si>
    <t>BPU124</t>
  </si>
  <si>
    <t>BPU125</t>
  </si>
  <si>
    <t>BPU126</t>
  </si>
  <si>
    <t>BPU127</t>
  </si>
  <si>
    <t>BPU128</t>
  </si>
  <si>
    <t>BPU129</t>
  </si>
  <si>
    <t>BPU130</t>
  </si>
  <si>
    <t>PESAN</t>
  </si>
  <si>
    <t>SHP</t>
  </si>
  <si>
    <t>Diserahkan</t>
  </si>
  <si>
    <t>Diterima</t>
  </si>
  <si>
    <t>SURAT PESANAN</t>
  </si>
  <si>
    <t>Paket Pesanan :</t>
  </si>
  <si>
    <t>Nomor Surat Pesanan</t>
  </si>
  <si>
    <t xml:space="preserve">Tanggal Pesanan </t>
  </si>
  <si>
    <t xml:space="preserve">Tanggal Negosiasi </t>
  </si>
  <si>
    <t>Catatan Pengiriman Untuk Penyedia:</t>
  </si>
  <si>
    <t>Hrg Satuan</t>
  </si>
  <si>
    <t>Total Hrg</t>
  </si>
  <si>
    <t>Uraian Barang / Jasa</t>
  </si>
  <si>
    <t xml:space="preserve">Satuan Ukuran </t>
  </si>
  <si>
    <t xml:space="preserve">Harga Satuan </t>
  </si>
  <si>
    <t>DPP PPN</t>
  </si>
  <si>
    <t>Instruksi ke Penyedia dan Satuan Pendidikan</t>
  </si>
  <si>
    <t>Penyedia berkewajiban untuk menyediakan barang/jasa sesuai dengan surat pesanan dan dalam jangka waktu transaksi yang berlaku</t>
  </si>
  <si>
    <t>Pelaksana dalam kapasitas mewakili Satuan Pendidikan berhak untuk mendapatkan barang atau jasa sesuai Surat Pesanan ini.</t>
  </si>
  <si>
    <t>Pelaksana berhak menolak barang/jasa yang tidak sesuai dengan surat pesanan.</t>
  </si>
  <si>
    <t>Pelaksana dalam kapasitas mewakili Satuan Pendidikan berkewajiban untuk menyelesaikan pembayaran sesuai dengan mekanisme pembayaran yang berlaku pada sistem.</t>
  </si>
  <si>
    <t>Segala perselisihan yang timbul dari Surat Pesanan ini diselesaikan antara para pihak sesuai ketentuan yang berlaku.</t>
  </si>
  <si>
    <t>Penyedia berhak memintakan pembayaran sesuai total pembayaran setelah penyelesaian pekerjaan yang dimintakan pada Surat Pesanan ini dan dibuktikan dengan Berita Acara Serah Terima.</t>
  </si>
  <si>
    <t>Memenuhi syarat sebagai berikut:</t>
  </si>
  <si>
    <t>b. NPWP;</t>
  </si>
  <si>
    <t>a. Identitas Penyedia</t>
  </si>
  <si>
    <t>PESANAN</t>
  </si>
  <si>
    <t xml:space="preserve">    ' Menampilkan pratinjau cetak</t>
  </si>
  <si>
    <t>End Sub</t>
  </si>
  <si>
    <t>No. Surat Pesan</t>
  </si>
  <si>
    <t>No BKU</t>
  </si>
  <si>
    <t>Tanggal Perencanaan</t>
  </si>
  <si>
    <t>Tanggal BAST</t>
  </si>
  <si>
    <t>Tanggal Pemeriksaan</t>
  </si>
  <si>
    <t>Uraia Kagiatan</t>
  </si>
  <si>
    <t>Nama Barang</t>
  </si>
  <si>
    <t>Volume</t>
  </si>
  <si>
    <t>Spesifikasi Barang</t>
  </si>
  <si>
    <t>Harga Toko 1</t>
  </si>
  <si>
    <t>Harga Toko 2</t>
  </si>
  <si>
    <t>Nama Toko 1</t>
  </si>
  <si>
    <t>Nama Toko 2</t>
  </si>
  <si>
    <t>Direktur Toko 1</t>
  </si>
  <si>
    <t>Alamat Toko 1</t>
  </si>
  <si>
    <t>Alamat Toko 2</t>
  </si>
  <si>
    <t>Uraian Kwitansi</t>
  </si>
  <si>
    <r>
      <rPr>
        <sz val="10"/>
        <rFont val="Arial MT"/>
        <family val="2"/>
      </rPr>
      <t>BPU01</t>
    </r>
  </si>
  <si>
    <r>
      <rPr>
        <sz val="10"/>
        <rFont val="Arial MT"/>
        <family val="2"/>
      </rPr>
      <t>02.03.65.</t>
    </r>
  </si>
  <si>
    <r>
      <rPr>
        <sz val="10"/>
        <rFont val="Arial MT"/>
        <family val="2"/>
      </rPr>
      <t xml:space="preserve">5.1.02.01.01.00
</t>
    </r>
    <r>
      <rPr>
        <sz val="10"/>
        <rFont val="Arial MT"/>
        <family val="2"/>
      </rPr>
      <t>55</t>
    </r>
  </si>
  <si>
    <t>05/01/2023</t>
  </si>
  <si>
    <r>
      <rPr>
        <sz val="10"/>
        <rFont val="Arial MT"/>
        <family val="2"/>
      </rPr>
      <t>konsumsi pada kegiatan penyusunan program kurikulum semester genap TP. 2023/2024</t>
    </r>
  </si>
  <si>
    <t>Nasi Kotak</t>
  </si>
  <si>
    <t>Jl. Saonigeho Km.1 Telukdalam</t>
  </si>
  <si>
    <r>
      <rPr>
        <sz val="10"/>
        <rFont val="Arial MT"/>
        <family val="2"/>
      </rPr>
      <t>BPU02</t>
    </r>
  </si>
  <si>
    <r>
      <rPr>
        <sz val="10"/>
        <rFont val="Arial MT"/>
        <family val="2"/>
      </rPr>
      <t>Air Mineral botol 600ml pada kegiatan penyusunan program kurikulum semester ganjil TP. 2023/2024</t>
    </r>
  </si>
  <si>
    <t>Aqua Botol 600 ml</t>
  </si>
  <si>
    <r>
      <rPr>
        <sz val="10"/>
        <rFont val="Arial MT"/>
        <family val="2"/>
      </rPr>
      <t>Dus</t>
    </r>
  </si>
  <si>
    <t>Jln Ahmad Yani No.89 Kel. Pasar Telukdalam, Nias Sealatan</t>
  </si>
  <si>
    <t>Jln. Simpang 5 Kelurahan Pasar Telukdalam, Nias Selatan</t>
  </si>
  <si>
    <r>
      <rPr>
        <sz val="10"/>
        <rFont val="Arial MT"/>
        <family val="2"/>
      </rPr>
      <t>BPU03</t>
    </r>
  </si>
  <si>
    <r>
      <rPr>
        <sz val="10"/>
        <rFont val="Arial MT"/>
        <family val="2"/>
      </rPr>
      <t>02.06.51.</t>
    </r>
  </si>
  <si>
    <r>
      <rPr>
        <sz val="10"/>
        <rFont val="Arial MT"/>
        <family val="2"/>
      </rPr>
      <t>Konsumsi pada kegiatan penyusunan program kesiswaan semester genap TP. 2023/2024</t>
    </r>
  </si>
  <si>
    <r>
      <rPr>
        <sz val="10"/>
        <rFont val="Arial MT"/>
        <family val="2"/>
      </rPr>
      <t>BPU04</t>
    </r>
  </si>
  <si>
    <r>
      <rPr>
        <sz val="10"/>
        <rFont val="Arial MT"/>
        <family val="2"/>
      </rPr>
      <t>Air mineral botol 600 ml pada kegiatan penyusunan program kesiswaan semester genap TP. 2023/2024</t>
    </r>
  </si>
  <si>
    <r>
      <rPr>
        <sz val="10"/>
        <rFont val="Arial MT"/>
        <family val="2"/>
      </rPr>
      <t>BPU05</t>
    </r>
  </si>
  <si>
    <r>
      <rPr>
        <sz val="10"/>
        <rFont val="Arial MT"/>
        <family val="2"/>
      </rPr>
      <t>03.03.16.</t>
    </r>
  </si>
  <si>
    <t>08/01/2023</t>
  </si>
  <si>
    <r>
      <rPr>
        <sz val="10"/>
        <rFont val="Arial MT"/>
        <family val="2"/>
      </rPr>
      <t>Air Mineral wadah gelaspada kegiatan rubrik/ibadah bulanan</t>
    </r>
  </si>
  <si>
    <t xml:space="preserve">Aqua Cup  </t>
  </si>
  <si>
    <r>
      <rPr>
        <sz val="10"/>
        <rFont val="Arial MT"/>
        <family val="2"/>
      </rPr>
      <t>BPU06</t>
    </r>
  </si>
  <si>
    <r>
      <rPr>
        <sz val="10"/>
        <rFont val="Arial MT"/>
        <family val="2"/>
      </rPr>
      <t>Snack Kegiatan rubrik/Ibadah Bulanan</t>
    </r>
  </si>
  <si>
    <t xml:space="preserve">Kue </t>
  </si>
  <si>
    <r>
      <rPr>
        <sz val="10"/>
        <rFont val="Arial MT"/>
        <family val="2"/>
      </rPr>
      <t>Buah</t>
    </r>
  </si>
  <si>
    <t>Jl. Ahmad Yani No. 89 Kel. Psr Telukdalam</t>
  </si>
  <si>
    <t>Jl. Imam bonjol Kel. Psr Telukdalam</t>
  </si>
  <si>
    <r>
      <rPr>
        <sz val="10"/>
        <rFont val="Arial MT"/>
        <family val="2"/>
      </rPr>
      <t>BPU08</t>
    </r>
  </si>
  <si>
    <r>
      <rPr>
        <sz val="10"/>
        <rFont val="Arial MT"/>
        <family val="2"/>
      </rPr>
      <t>03.03.44.</t>
    </r>
  </si>
  <si>
    <t>10/01/2023</t>
  </si>
  <si>
    <r>
      <rPr>
        <sz val="10"/>
        <rFont val="Arial MT"/>
        <family val="2"/>
      </rPr>
      <t>Konsumsi Pembina pramuka Putera/Puteri</t>
    </r>
  </si>
  <si>
    <r>
      <rPr>
        <sz val="10"/>
        <rFont val="Arial MT"/>
        <family val="2"/>
      </rPr>
      <t>BPU09</t>
    </r>
  </si>
  <si>
    <r>
      <rPr>
        <sz val="10"/>
        <rFont val="Arial MT"/>
        <family val="2"/>
      </rPr>
      <t>Aqua gelas siwa/i pada kegiatan ekstrakurikuler pramuka</t>
    </r>
  </si>
  <si>
    <r>
      <rPr>
        <sz val="10"/>
        <rFont val="Arial MT"/>
        <family val="2"/>
      </rPr>
      <t>BPU10</t>
    </r>
  </si>
  <si>
    <r>
      <rPr>
        <sz val="10"/>
        <rFont val="Arial MT"/>
        <family val="2"/>
      </rPr>
      <t>03.03.45.</t>
    </r>
  </si>
  <si>
    <t>12/01/2023</t>
  </si>
  <si>
    <r>
      <rPr>
        <sz val="10"/>
        <rFont val="Arial MT"/>
        <family val="2"/>
      </rPr>
      <t>Konsumsi pembina pada kegiatan ekstrakurikuler seni dan budaya (paduan suara)</t>
    </r>
  </si>
  <si>
    <r>
      <rPr>
        <sz val="10"/>
        <rFont val="Arial MT"/>
        <family val="2"/>
      </rPr>
      <t>BPU11</t>
    </r>
  </si>
  <si>
    <r>
      <rPr>
        <sz val="10"/>
        <rFont val="Arial MT"/>
        <family val="2"/>
      </rPr>
      <t>Air mineral/Aqua gelas siswa/i peserta kegiatan ekstrakurikuler seni dan budaya (paduan suara)</t>
    </r>
  </si>
  <si>
    <r>
      <rPr>
        <sz val="10"/>
        <rFont val="Arial MT"/>
        <family val="2"/>
      </rPr>
      <t>BPU12</t>
    </r>
  </si>
  <si>
    <r>
      <rPr>
        <sz val="10"/>
        <rFont val="Arial MT"/>
        <family val="2"/>
      </rPr>
      <t>03.03.46.</t>
    </r>
  </si>
  <si>
    <r>
      <rPr>
        <sz val="10"/>
        <rFont val="Arial MT"/>
        <family val="2"/>
      </rPr>
      <t>aqua gelas siswa/i peserta kegiatan ekstrakurikuler olahraga karate</t>
    </r>
  </si>
  <si>
    <r>
      <rPr>
        <sz val="10"/>
        <rFont val="Arial MT"/>
        <family val="2"/>
      </rPr>
      <t>BPU13</t>
    </r>
  </si>
  <si>
    <r>
      <rPr>
        <sz val="10"/>
        <rFont val="Arial MT"/>
        <family val="2"/>
      </rPr>
      <t>03.03.47.</t>
    </r>
  </si>
  <si>
    <r>
      <rPr>
        <sz val="10"/>
        <rFont val="Arial MT"/>
        <family val="2"/>
      </rPr>
      <t>Konsumsi pendamping/pembina kegiatan ekstrakurikuler paskibra</t>
    </r>
  </si>
  <si>
    <r>
      <rPr>
        <sz val="10"/>
        <rFont val="Arial MT"/>
        <family val="2"/>
      </rPr>
      <t>BPU14</t>
    </r>
  </si>
  <si>
    <r>
      <rPr>
        <sz val="10"/>
        <rFont val="Arial MT"/>
        <family val="2"/>
      </rPr>
      <t>Air Mineral pelaksanaan kegiatan ekstrakurikuler paskibra</t>
    </r>
  </si>
  <si>
    <r>
      <rPr>
        <sz val="10"/>
        <rFont val="Arial MT"/>
        <family val="2"/>
      </rPr>
      <t>BPU15</t>
    </r>
  </si>
  <si>
    <r>
      <rPr>
        <sz val="10"/>
        <rFont val="Arial MT"/>
        <family val="2"/>
      </rPr>
      <t>03.03.52.</t>
    </r>
  </si>
  <si>
    <r>
      <rPr>
        <sz val="10"/>
        <rFont val="Arial MT"/>
        <family val="2"/>
      </rPr>
      <t>Air Mineral peserta kegiatan ekstrakurikuler band musik</t>
    </r>
  </si>
  <si>
    <r>
      <rPr>
        <sz val="10"/>
        <rFont val="Arial MT"/>
        <family val="2"/>
      </rPr>
      <t>BPU16</t>
    </r>
  </si>
  <si>
    <r>
      <rPr>
        <sz val="10"/>
        <rFont val="Arial MT"/>
        <family val="2"/>
      </rPr>
      <t>Konsumsi pendamping/pembina kegiatan ekstrakurikuler band musik</t>
    </r>
  </si>
  <si>
    <r>
      <rPr>
        <sz val="10"/>
        <rFont val="Arial MT"/>
        <family val="2"/>
      </rPr>
      <t>BPU17</t>
    </r>
  </si>
  <si>
    <r>
      <rPr>
        <sz val="10"/>
        <rFont val="Arial MT"/>
        <family val="2"/>
      </rPr>
      <t>05.05.56.</t>
    </r>
  </si>
  <si>
    <r>
      <rPr>
        <sz val="10"/>
        <rFont val="Arial MT"/>
        <family val="2"/>
      </rPr>
      <t>Aqua gelas pelaksanaan kegiatan bulanan Gerakan Bersih Lingkungan Sekolah</t>
    </r>
  </si>
  <si>
    <r>
      <rPr>
        <sz val="10"/>
        <rFont val="Arial MT"/>
        <family val="2"/>
      </rPr>
      <t>BPU18</t>
    </r>
  </si>
  <si>
    <r>
      <rPr>
        <sz val="10"/>
        <rFont val="Arial MT"/>
        <family val="2"/>
      </rPr>
      <t>06.03.56.</t>
    </r>
  </si>
  <si>
    <t>13/01/2023</t>
  </si>
  <si>
    <r>
      <rPr>
        <sz val="10"/>
        <rFont val="Arial MT"/>
        <family val="2"/>
      </rPr>
      <t>Konsumsi pembina pada kegiatan Persiapan Lomba FLSSN</t>
    </r>
  </si>
  <si>
    <r>
      <rPr>
        <sz val="10"/>
        <rFont val="Arial MT"/>
        <family val="2"/>
      </rPr>
      <t>BPU19</t>
    </r>
  </si>
  <si>
    <r>
      <rPr>
        <sz val="10"/>
        <rFont val="Arial MT"/>
        <family val="2"/>
      </rPr>
      <t>Air Mineral Pembina dan Peserta Lomba FLSSN</t>
    </r>
  </si>
  <si>
    <r>
      <rPr>
        <sz val="10"/>
        <rFont val="Arial MT"/>
        <family val="2"/>
      </rPr>
      <t>BPU20</t>
    </r>
  </si>
  <si>
    <r>
      <rPr>
        <sz val="10"/>
        <rFont val="Arial MT"/>
        <family val="2"/>
      </rPr>
      <t>06.03.57.</t>
    </r>
  </si>
  <si>
    <r>
      <rPr>
        <sz val="10"/>
        <rFont val="Arial MT"/>
        <family val="2"/>
      </rPr>
      <t>Konsumsi Pembina pada persiapan kegiatan perlombaan MTQ</t>
    </r>
  </si>
  <si>
    <r>
      <rPr>
        <sz val="10"/>
        <rFont val="Arial MT"/>
        <family val="2"/>
      </rPr>
      <t>OR</t>
    </r>
  </si>
  <si>
    <r>
      <rPr>
        <sz val="10"/>
        <rFont val="Arial MT"/>
        <family val="2"/>
      </rPr>
      <t>BPU21</t>
    </r>
  </si>
  <si>
    <r>
      <rPr>
        <sz val="10"/>
        <rFont val="Arial MT"/>
        <family val="2"/>
      </rPr>
      <t>Air Mineral Pembina  dan peserta pada persiapan kegiatan perlombaan MTQ</t>
    </r>
  </si>
  <si>
    <r>
      <rPr>
        <sz val="10"/>
        <rFont val="Arial MT"/>
        <family val="2"/>
      </rPr>
      <t>BPU22</t>
    </r>
  </si>
  <si>
    <r>
      <rPr>
        <sz val="10"/>
        <rFont val="Arial MT"/>
        <family val="2"/>
      </rPr>
      <t>06.05.73.</t>
    </r>
  </si>
  <si>
    <r>
      <rPr>
        <sz val="10"/>
        <rFont val="Arial MT"/>
        <family val="2"/>
      </rPr>
      <t xml:space="preserve">5.1.02.01.01.00
</t>
    </r>
    <r>
      <rPr>
        <sz val="10"/>
        <rFont val="Arial MT"/>
        <family val="2"/>
      </rPr>
      <t>30</t>
    </r>
  </si>
  <si>
    <t>14/01/2023</t>
  </si>
  <si>
    <t>Tissue</t>
  </si>
  <si>
    <t>Tissue Jolly</t>
  </si>
  <si>
    <t>Tissue (Merk JOLLY 250 Sheets 2 Ply, Berat Volume = 285 gr)</t>
  </si>
  <si>
    <t>UD. JESSLYN</t>
  </si>
  <si>
    <t>Sinadodo Laia</t>
  </si>
  <si>
    <t>Jl. Diponegoro Kel. Pasar Telukdalam - Nias Selatan</t>
  </si>
  <si>
    <t>Jl. Pasir Putih Pasar Telukdalam, Telukdalam Kab. Nias Selatan</t>
  </si>
  <si>
    <t>Peralatan Kebersihan</t>
  </si>
  <si>
    <t>Sorok sampah</t>
  </si>
  <si>
    <t>Sorok sampah Nagata</t>
  </si>
  <si>
    <t xml:space="preserve">Serok sampah (merk Lion Star DP-5 Sigma Dust Pan, Lebar mulut serok 31,2 cm x panjang serokan 27,5 cm x Tinggi 83,5 cm)
</t>
  </si>
  <si>
    <t>Handsoap/Pencuci Tangan</t>
  </si>
  <si>
    <t>Handsoap Dee Dee</t>
  </si>
  <si>
    <t>Handsoap/Pencuci Tangan (Antibacterial Hand Soap - 250ml, ekstrak aloevera)</t>
  </si>
  <si>
    <t>Sapu Lantai Nagata</t>
  </si>
  <si>
    <t>Sapu (Sapu Lantai Nylon Plastik Dengan Gagang (Warna), Ukuran (P x L x T) : 43 x 28 x 105 cm)</t>
  </si>
  <si>
    <r>
      <rPr>
        <sz val="10"/>
        <rFont val="Arial MT"/>
        <family val="2"/>
      </rPr>
      <t>Botol</t>
    </r>
  </si>
  <si>
    <r>
      <t xml:space="preserve">Pembersih lantai (mere : </t>
    </r>
    <r>
      <rPr>
        <sz val="10"/>
        <rFont val="Arial MT"/>
        <family val="2"/>
      </rPr>
      <t>vixal, isi 500ml)</t>
    </r>
  </si>
  <si>
    <r>
      <rPr>
        <sz val="10"/>
        <rFont val="Arial MT"/>
        <family val="2"/>
      </rPr>
      <t>Sapu Closet</t>
    </r>
  </si>
  <si>
    <t>Sikat Kloset Nagata</t>
  </si>
  <si>
    <t>Sapu Lidi</t>
  </si>
  <si>
    <t>Sapu Lidi (Panjang 120 cm)</t>
  </si>
  <si>
    <t>Stik Pel Besar</t>
  </si>
  <si>
    <t>Alat Pel lantai besar (Merek : Nagoya Code : 703-L, Ukuran : Besar, Tongkat : Aluminium, Kepala Pel: Sumbu, Panjang Tongkat 110cm, Lebar Kelapa Pel: 19cm)</t>
  </si>
  <si>
    <t>Lion Star</t>
  </si>
  <si>
    <t>Tempat sampah (Bahan Plastik 33x32cm,)</t>
  </si>
  <si>
    <r>
      <rPr>
        <sz val="10"/>
        <rFont val="Arial MT"/>
        <family val="2"/>
      </rPr>
      <t>BPU23</t>
    </r>
  </si>
  <si>
    <r>
      <rPr>
        <sz val="10"/>
        <rFont val="Arial MT"/>
        <family val="2"/>
      </rPr>
      <t>06.05.19.</t>
    </r>
  </si>
  <si>
    <t>16/01/2023</t>
  </si>
  <si>
    <r>
      <rPr>
        <sz val="10"/>
        <rFont val="Arial MT"/>
        <family val="2"/>
      </rPr>
      <t>Konsumsi Penyusunan dan pelaporan RKAS</t>
    </r>
  </si>
  <si>
    <r>
      <rPr>
        <sz val="10"/>
        <rFont val="Arial MT"/>
        <family val="2"/>
      </rPr>
      <t>BPU24</t>
    </r>
  </si>
  <si>
    <r>
      <rPr>
        <sz val="10"/>
        <rFont val="Arial MT"/>
        <family val="2"/>
      </rPr>
      <t>Air Mineral pada kegiatan Penyusunan dan Pelaporan RKAS</t>
    </r>
  </si>
  <si>
    <r>
      <rPr>
        <sz val="10"/>
        <rFont val="Arial MT"/>
        <family val="2"/>
      </rPr>
      <t>BPU25</t>
    </r>
  </si>
  <si>
    <r>
      <rPr>
        <sz val="10"/>
        <rFont val="Arial MT"/>
        <family val="2"/>
      </rPr>
      <t>Snack pada kegiatan penyusunan dan pelaporan RKAS</t>
    </r>
  </si>
  <si>
    <r>
      <rPr>
        <sz val="10"/>
        <rFont val="Arial MT"/>
        <family val="2"/>
      </rPr>
      <t>BPU26</t>
    </r>
  </si>
  <si>
    <r>
      <rPr>
        <sz val="10"/>
        <rFont val="Arial MT"/>
        <family val="2"/>
      </rPr>
      <t>07.05.66.</t>
    </r>
  </si>
  <si>
    <r>
      <rPr>
        <sz val="10"/>
        <rFont val="Arial MT"/>
        <family val="2"/>
      </rPr>
      <t xml:space="preserve">5.1.02.01.01.00
</t>
    </r>
    <r>
      <rPr>
        <sz val="10"/>
        <rFont val="Arial MT"/>
        <family val="2"/>
      </rPr>
      <t>26</t>
    </r>
  </si>
  <si>
    <t>18/01/2023</t>
  </si>
  <si>
    <t>Foto Copy Administrasi Sekolah</t>
  </si>
  <si>
    <r>
      <rPr>
        <sz val="10"/>
        <rFont val="Arial MT"/>
        <family val="2"/>
      </rPr>
      <t>Lembar</t>
    </r>
  </si>
  <si>
    <t>Kertas Ukuran A4</t>
  </si>
  <si>
    <r>
      <rPr>
        <sz val="10"/>
        <rFont val="Arial MT"/>
        <family val="2"/>
      </rPr>
      <t>BPU27</t>
    </r>
  </si>
  <si>
    <r>
      <rPr>
        <sz val="10"/>
        <rFont val="Arial MT"/>
        <family val="2"/>
      </rPr>
      <t>06.05.39.</t>
    </r>
  </si>
  <si>
    <t>20/01/2023</t>
  </si>
  <si>
    <r>
      <rPr>
        <sz val="10"/>
        <rFont val="Arial MT"/>
        <family val="2"/>
      </rPr>
      <t>Konsumsi kegiatan penyusunan program ketatausahaan</t>
    </r>
  </si>
  <si>
    <r>
      <rPr>
        <sz val="10"/>
        <rFont val="Arial MT"/>
        <family val="2"/>
      </rPr>
      <t>BPU28</t>
    </r>
  </si>
  <si>
    <r>
      <rPr>
        <sz val="10"/>
        <rFont val="Arial MT"/>
        <family val="2"/>
      </rPr>
      <t>Air Mineral pada kegiatan penyusunan program ketatausahaan</t>
    </r>
  </si>
  <si>
    <r>
      <rPr>
        <sz val="10"/>
        <rFont val="Arial MT"/>
        <family val="2"/>
      </rPr>
      <t>BPU29</t>
    </r>
  </si>
  <si>
    <r>
      <rPr>
        <sz val="10"/>
        <rFont val="Arial MT"/>
        <family val="2"/>
      </rPr>
      <t>06.07.10.</t>
    </r>
  </si>
  <si>
    <r>
      <rPr>
        <sz val="10"/>
        <rFont val="Arial MT"/>
        <family val="2"/>
      </rPr>
      <t xml:space="preserve">5.1.02.02.01.00
</t>
    </r>
    <r>
      <rPr>
        <sz val="10"/>
        <rFont val="Arial MT"/>
        <family val="2"/>
      </rPr>
      <t>61</t>
    </r>
  </si>
  <si>
    <r>
      <rPr>
        <sz val="10"/>
        <rFont val="Arial MT"/>
        <family val="2"/>
      </rPr>
      <t>Pembayaran Langganan Daya dan Jasa listrik Januari</t>
    </r>
  </si>
  <si>
    <t>Pembayaran Listrik</t>
  </si>
  <si>
    <r>
      <rPr>
        <sz val="10"/>
        <rFont val="Arial MT"/>
        <family val="2"/>
      </rPr>
      <t>Bulan</t>
    </r>
  </si>
  <si>
    <r>
      <rPr>
        <sz val="10"/>
        <rFont val="Arial MT"/>
        <family val="2"/>
      </rPr>
      <t>BPU30</t>
    </r>
  </si>
  <si>
    <r>
      <rPr>
        <sz val="10"/>
        <rFont val="Arial MT"/>
        <family val="2"/>
      </rPr>
      <t>06.07.12.</t>
    </r>
  </si>
  <si>
    <r>
      <rPr>
        <sz val="10"/>
        <rFont val="Arial MT"/>
        <family val="2"/>
      </rPr>
      <t xml:space="preserve">5.1.02.02.01.00
</t>
    </r>
    <r>
      <rPr>
        <sz val="10"/>
        <rFont val="Arial MT"/>
        <family val="2"/>
      </rPr>
      <t>63</t>
    </r>
  </si>
  <si>
    <r>
      <rPr>
        <sz val="10"/>
        <rFont val="Arial MT"/>
        <family val="2"/>
      </rPr>
      <t>Pembayaran Langganan Daya dan Jasa Internet Indihome Januari</t>
    </r>
  </si>
  <si>
    <t>Pembayaran Indihome</t>
  </si>
  <si>
    <r>
      <rPr>
        <sz val="10"/>
        <rFont val="Arial MT"/>
        <family val="2"/>
      </rPr>
      <t>BPU31</t>
    </r>
  </si>
  <si>
    <r>
      <rPr>
        <sz val="10"/>
        <rFont val="Arial MT"/>
        <family val="2"/>
      </rPr>
      <t>06.05.52.</t>
    </r>
  </si>
  <si>
    <t>22/01/2023</t>
  </si>
  <si>
    <r>
      <rPr>
        <sz val="10"/>
        <rFont val="Arial MT"/>
        <family val="2"/>
      </rPr>
      <t>Konsumsi rapat rutin sekolah</t>
    </r>
  </si>
  <si>
    <r>
      <rPr>
        <sz val="10"/>
        <rFont val="Arial MT"/>
        <family val="2"/>
      </rPr>
      <t>Kotak</t>
    </r>
  </si>
  <si>
    <r>
      <rPr>
        <sz val="10"/>
        <rFont val="Arial MT"/>
        <family val="2"/>
      </rPr>
      <t>BPU32</t>
    </r>
  </si>
  <si>
    <r>
      <rPr>
        <sz val="10"/>
        <rFont val="Arial MT"/>
        <family val="2"/>
      </rPr>
      <t>Air mineral botol 600 ml rapat rutin sekolah</t>
    </r>
  </si>
  <si>
    <r>
      <rPr>
        <sz val="10"/>
        <rFont val="Arial MT"/>
        <family val="2"/>
      </rPr>
      <t>BPU33</t>
    </r>
  </si>
  <si>
    <r>
      <rPr>
        <sz val="10"/>
        <rFont val="Arial MT"/>
        <family val="2"/>
      </rPr>
      <t>Snack rapat rutin sekolah</t>
    </r>
  </si>
  <si>
    <r>
      <rPr>
        <sz val="10"/>
        <rFont val="Arial MT"/>
        <family val="2"/>
      </rPr>
      <t>BPU34</t>
    </r>
  </si>
  <si>
    <r>
      <rPr>
        <sz val="10"/>
        <rFont val="Arial MT"/>
        <family val="2"/>
      </rPr>
      <t>05.08.03.</t>
    </r>
  </si>
  <si>
    <r>
      <rPr>
        <sz val="10"/>
        <rFont val="Arial MT"/>
        <family val="2"/>
      </rPr>
      <t xml:space="preserve">5.1.02.02.01.00
</t>
    </r>
    <r>
      <rPr>
        <sz val="10"/>
        <rFont val="Arial MT"/>
        <family val="2"/>
      </rPr>
      <t>29</t>
    </r>
  </si>
  <si>
    <t>24/01/2023</t>
  </si>
  <si>
    <r>
      <rPr>
        <sz val="10"/>
        <rFont val="Arial MT"/>
        <family val="2"/>
      </rPr>
      <t>Jasa pada pemeliharaan Instalasi air</t>
    </r>
  </si>
  <si>
    <t>Upah Perbaikan Saluran air</t>
  </si>
  <si>
    <r>
      <rPr>
        <sz val="10"/>
        <rFont val="Arial MT"/>
        <family val="2"/>
      </rPr>
      <t>kegiatan</t>
    </r>
  </si>
  <si>
    <r>
      <rPr>
        <sz val="10"/>
        <rFont val="Arial MT"/>
        <family val="2"/>
      </rPr>
      <t>BPU35</t>
    </r>
  </si>
  <si>
    <r>
      <rPr>
        <sz val="10"/>
        <rFont val="Arial MT"/>
        <family val="2"/>
      </rPr>
      <t>06.05.01.</t>
    </r>
  </si>
  <si>
    <r>
      <rPr>
        <sz val="10"/>
        <rFont val="Arial MT"/>
        <family val="2"/>
      </rPr>
      <t xml:space="preserve">5.1.02.02.01.00
</t>
    </r>
    <r>
      <rPr>
        <sz val="10"/>
        <rFont val="Arial MT"/>
        <family val="2"/>
      </rPr>
      <t>27</t>
    </r>
  </si>
  <si>
    <r>
      <rPr>
        <sz val="10"/>
        <rFont val="Arial MT"/>
        <family val="2"/>
      </rPr>
      <t>Belanja jasa pendataan dapodik</t>
    </r>
  </si>
  <si>
    <t>Upah Pengerjaan Dapodik</t>
  </si>
  <si>
    <r>
      <rPr>
        <sz val="10"/>
        <rFont val="Arial MT"/>
        <family val="2"/>
      </rPr>
      <t>OB</t>
    </r>
  </si>
  <si>
    <r>
      <rPr>
        <sz val="10"/>
        <rFont val="Arial MT"/>
        <family val="2"/>
      </rPr>
      <t>BPU36</t>
    </r>
  </si>
  <si>
    <r>
      <rPr>
        <sz val="10"/>
        <rFont val="Arial MT"/>
        <family val="2"/>
      </rPr>
      <t>08.03.64.</t>
    </r>
  </si>
  <si>
    <r>
      <rPr>
        <sz val="10"/>
        <rFont val="Arial MT"/>
        <family val="2"/>
      </rPr>
      <t>konsumsi selama proses kegiatan pengayaan dan pendampingan karir calon lulusan tahun 2023</t>
    </r>
  </si>
  <si>
    <r>
      <rPr>
        <sz val="10"/>
        <rFont val="Arial MT"/>
        <family val="2"/>
      </rPr>
      <t>BPU37</t>
    </r>
  </si>
  <si>
    <r>
      <rPr>
        <sz val="10"/>
        <rFont val="Arial MT"/>
        <family val="2"/>
      </rPr>
      <t>Belanja aqua gelas selama proses kegiatan pengayaan dan pendampingan karir calon lulusan tahun 2023</t>
    </r>
  </si>
  <si>
    <r>
      <rPr>
        <sz val="10"/>
        <rFont val="Arial MT"/>
        <family val="2"/>
      </rPr>
      <t>BPU38</t>
    </r>
  </si>
  <si>
    <r>
      <rPr>
        <sz val="10"/>
        <rFont val="Arial MT"/>
        <family val="2"/>
      </rPr>
      <t>03.03.43.</t>
    </r>
  </si>
  <si>
    <t>27/01/2023</t>
  </si>
  <si>
    <r>
      <rPr>
        <sz val="10"/>
        <rFont val="Arial MT"/>
        <family val="2"/>
      </rPr>
      <t>Air mineral botol 600 ml pada kegiatan penyusunan program ekstrakurikuler semester genap TP. 2022/2023</t>
    </r>
  </si>
  <si>
    <r>
      <rPr>
        <sz val="10"/>
        <rFont val="Arial MT"/>
        <family val="2"/>
      </rPr>
      <t>BPU39</t>
    </r>
  </si>
  <si>
    <r>
      <rPr>
        <sz val="10"/>
        <rFont val="Arial MT"/>
        <family val="2"/>
      </rPr>
      <t>Konsumsi pada kegiatan penyusunan program ekstrakurikuler semester genap TP. 2022/2023</t>
    </r>
  </si>
  <si>
    <r>
      <rPr>
        <sz val="10"/>
        <rFont val="Arial MT"/>
        <family val="2"/>
      </rPr>
      <t>BPU40</t>
    </r>
  </si>
  <si>
    <r>
      <rPr>
        <sz val="10"/>
        <rFont val="Arial MT"/>
        <family val="2"/>
      </rPr>
      <t>05.02.03.</t>
    </r>
  </si>
  <si>
    <r>
      <rPr>
        <sz val="10"/>
        <rFont val="Arial MT"/>
        <family val="2"/>
      </rPr>
      <t xml:space="preserve">5.1.02.02.01.00
</t>
    </r>
    <r>
      <rPr>
        <sz val="10"/>
        <rFont val="Arial MT"/>
        <family val="2"/>
      </rPr>
      <t>62</t>
    </r>
  </si>
  <si>
    <t>29/01/2023</t>
  </si>
  <si>
    <r>
      <rPr>
        <sz val="10"/>
        <rFont val="Arial MT"/>
        <family val="2"/>
      </rPr>
      <t>Pembayaran langganan surat kabar/media harian online Media Suara Nasional</t>
    </r>
  </si>
  <si>
    <t>Pembayaran Koran</t>
  </si>
  <si>
    <r>
      <rPr>
        <sz val="10"/>
        <rFont val="Arial MT"/>
        <family val="2"/>
      </rPr>
      <t>BPU41</t>
    </r>
  </si>
  <si>
    <r>
      <rPr>
        <sz val="10"/>
        <rFont val="Arial MT"/>
        <family val="2"/>
      </rPr>
      <t>Pembayaran langganan surat kabar/media harian online Sumut Pos</t>
    </r>
  </si>
  <si>
    <r>
      <rPr>
        <sz val="10"/>
        <rFont val="Arial MT"/>
        <family val="2"/>
      </rPr>
      <t>BPU42</t>
    </r>
  </si>
  <si>
    <r>
      <rPr>
        <sz val="10"/>
        <rFont val="Arial MT"/>
        <family val="2"/>
      </rPr>
      <t>06.05.18.</t>
    </r>
  </si>
  <si>
    <r>
      <rPr>
        <sz val="10"/>
        <rFont val="Arial MT"/>
        <family val="2"/>
      </rPr>
      <t>Belanja Iuran Paket Internet</t>
    </r>
  </si>
  <si>
    <t>Paket Internet Hp Sekolah</t>
  </si>
  <si>
    <r>
      <rPr>
        <sz val="10"/>
        <rFont val="Arial MT"/>
        <family val="2"/>
      </rPr>
      <t>BPU43</t>
    </r>
  </si>
  <si>
    <r>
      <rPr>
        <sz val="10"/>
        <rFont val="Arial MT"/>
        <family val="2"/>
      </rPr>
      <t>06.07.14.</t>
    </r>
  </si>
  <si>
    <r>
      <rPr>
        <sz val="10"/>
        <rFont val="Arial MT"/>
        <family val="2"/>
      </rPr>
      <t>Langganan Daya dan Jasa Isi ulang aqua galon</t>
    </r>
  </si>
  <si>
    <t>Pembayaran Isi Ulang Air Galon</t>
  </si>
  <si>
    <r>
      <rPr>
        <sz val="10"/>
        <rFont val="Arial MT"/>
        <family val="2"/>
      </rPr>
      <t>BPU44</t>
    </r>
  </si>
  <si>
    <t>01/02/2023</t>
  </si>
  <si>
    <r>
      <rPr>
        <sz val="10"/>
        <rFont val="Arial MT"/>
        <family val="2"/>
      </rPr>
      <t>BPU45</t>
    </r>
  </si>
  <si>
    <r>
      <rPr>
        <sz val="10"/>
        <rFont val="Arial MT"/>
        <family val="2"/>
      </rPr>
      <t>BPU46</t>
    </r>
  </si>
  <si>
    <r>
      <rPr>
        <sz val="10"/>
        <rFont val="Arial MT"/>
        <family val="2"/>
      </rPr>
      <t>BPU47</t>
    </r>
  </si>
  <si>
    <r>
      <rPr>
        <sz val="10"/>
        <rFont val="Arial MT"/>
        <family val="2"/>
      </rPr>
      <t>BPU48</t>
    </r>
  </si>
  <si>
    <r>
      <rPr>
        <sz val="10"/>
        <rFont val="Arial MT"/>
        <family val="2"/>
      </rPr>
      <t>BPU49</t>
    </r>
  </si>
  <si>
    <r>
      <rPr>
        <sz val="10"/>
        <rFont val="Arial MT"/>
        <family val="2"/>
      </rPr>
      <t>BPU50</t>
    </r>
  </si>
  <si>
    <r>
      <rPr>
        <sz val="10"/>
        <rFont val="Arial MT"/>
        <family val="2"/>
      </rPr>
      <t>BPU51</t>
    </r>
  </si>
  <si>
    <r>
      <rPr>
        <sz val="10"/>
        <rFont val="Arial MT"/>
        <family val="2"/>
      </rPr>
      <t>BPU52</t>
    </r>
  </si>
  <si>
    <r>
      <rPr>
        <sz val="10"/>
        <rFont val="Arial MT"/>
        <family val="2"/>
      </rPr>
      <t>BPU54</t>
    </r>
  </si>
  <si>
    <t>06/02/2023</t>
  </si>
  <si>
    <r>
      <rPr>
        <sz val="10"/>
        <rFont val="Arial MT"/>
        <family val="2"/>
      </rPr>
      <t>BPU55</t>
    </r>
  </si>
  <si>
    <t>12/02/2024</t>
  </si>
  <si>
    <r>
      <rPr>
        <sz val="10"/>
        <rFont val="Arial MT"/>
        <family val="2"/>
      </rPr>
      <t>BPU56</t>
    </r>
  </si>
  <si>
    <r>
      <rPr>
        <sz val="10"/>
        <rFont val="Arial MT"/>
        <family val="2"/>
      </rPr>
      <t>BPU57</t>
    </r>
  </si>
  <si>
    <r>
      <rPr>
        <sz val="10"/>
        <rFont val="Arial MT"/>
        <family val="2"/>
      </rPr>
      <t>BPU58</t>
    </r>
  </si>
  <si>
    <t>19/02/2023</t>
  </si>
  <si>
    <r>
      <rPr>
        <sz val="10"/>
        <rFont val="Arial MT"/>
        <family val="2"/>
      </rPr>
      <t>Pembayaran Langganan Daya dan Jasa listrik Februari</t>
    </r>
  </si>
  <si>
    <r>
      <rPr>
        <sz val="10"/>
        <rFont val="Arial MT"/>
        <family val="2"/>
      </rPr>
      <t>BPU59</t>
    </r>
  </si>
  <si>
    <r>
      <rPr>
        <sz val="10"/>
        <rFont val="Arial MT"/>
        <family val="2"/>
      </rPr>
      <t>Pembayaran Langganan Daya dan Jasa Internet Indihome Februari</t>
    </r>
  </si>
  <si>
    <r>
      <rPr>
        <sz val="10"/>
        <rFont val="Arial MT"/>
        <family val="2"/>
      </rPr>
      <t>BPU60</t>
    </r>
  </si>
  <si>
    <t>21/02/2023</t>
  </si>
  <si>
    <r>
      <rPr>
        <sz val="10"/>
        <rFont val="Arial MT"/>
        <family val="2"/>
      </rPr>
      <t>Gayung biasa</t>
    </r>
  </si>
  <si>
    <t>Stella</t>
  </si>
  <si>
    <r>
      <rPr>
        <sz val="10"/>
        <rFont val="Arial MT"/>
        <family val="2"/>
      </rPr>
      <t>Pcs</t>
    </r>
  </si>
  <si>
    <r>
      <t xml:space="preserve">Pembersih Lantai (Merk vixal, Kemasan Botol, isi </t>
    </r>
    <r>
      <rPr>
        <sz val="10"/>
        <rFont val="Arial MT"/>
        <family val="2"/>
      </rPr>
      <t xml:space="preserve"> 500ml)</t>
    </r>
  </si>
  <si>
    <r>
      <rPr>
        <sz val="10"/>
        <rFont val="Arial MT"/>
        <family val="2"/>
      </rPr>
      <t>Tissue</t>
    </r>
  </si>
  <si>
    <t>Alat Pel</t>
  </si>
  <si>
    <t>Stik Pel Nagoya</t>
  </si>
  <si>
    <t>Spon Polytex</t>
  </si>
  <si>
    <r>
      <rPr>
        <sz val="10"/>
        <rFont val="Arial MT"/>
        <family val="2"/>
      </rPr>
      <t>BPU61</t>
    </r>
  </si>
  <si>
    <r>
      <rPr>
        <sz val="10"/>
        <rFont val="Arial MT"/>
        <family val="2"/>
      </rPr>
      <t>BPU62</t>
    </r>
  </si>
  <si>
    <r>
      <rPr>
        <sz val="10"/>
        <rFont val="Arial MT"/>
        <family val="2"/>
      </rPr>
      <t>BPU63</t>
    </r>
  </si>
  <si>
    <r>
      <rPr>
        <sz val="10"/>
        <rFont val="Arial MT"/>
        <family val="2"/>
      </rPr>
      <t>BPU64</t>
    </r>
  </si>
  <si>
    <t>24/02/2023</t>
  </si>
  <si>
    <r>
      <rPr>
        <sz val="10"/>
        <rFont val="Arial MT"/>
        <family val="2"/>
      </rPr>
      <t>BPU65</t>
    </r>
  </si>
  <si>
    <r>
      <rPr>
        <sz val="10"/>
        <rFont val="Arial MT"/>
        <family val="2"/>
      </rPr>
      <t>06.03.35.</t>
    </r>
  </si>
  <si>
    <r>
      <rPr>
        <sz val="10"/>
        <rFont val="Arial MT"/>
        <family val="2"/>
      </rPr>
      <t>Konsumsi Pembina OSN Tk Sekolah</t>
    </r>
  </si>
  <si>
    <r>
      <rPr>
        <sz val="10"/>
        <rFont val="Arial MT"/>
        <family val="2"/>
      </rPr>
      <t>BPU66</t>
    </r>
  </si>
  <si>
    <r>
      <rPr>
        <sz val="10"/>
        <rFont val="Arial MT"/>
        <family val="2"/>
      </rPr>
      <t>Air Mineral Pembina OSN Tk Sekolah</t>
    </r>
  </si>
  <si>
    <r>
      <rPr>
        <sz val="10"/>
        <rFont val="Arial MT"/>
        <family val="2"/>
      </rPr>
      <t>BPU67</t>
    </r>
  </si>
  <si>
    <r>
      <rPr>
        <sz val="10"/>
        <rFont val="Arial MT"/>
        <family val="2"/>
      </rPr>
      <t>BPU68</t>
    </r>
  </si>
  <si>
    <r>
      <rPr>
        <sz val="10"/>
        <rFont val="Arial MT"/>
        <family val="2"/>
      </rPr>
      <t>BPU69</t>
    </r>
  </si>
  <si>
    <r>
      <rPr>
        <sz val="10"/>
        <rFont val="Arial MT"/>
        <family val="2"/>
      </rPr>
      <t>BPU70</t>
    </r>
  </si>
  <si>
    <r>
      <rPr>
        <sz val="10"/>
        <rFont val="Arial MT"/>
        <family val="2"/>
      </rPr>
      <t>BPU71</t>
    </r>
  </si>
  <si>
    <t>27/02/2023</t>
  </si>
  <si>
    <r>
      <rPr>
        <sz val="10"/>
        <rFont val="Arial MT"/>
        <family val="2"/>
      </rPr>
      <t>BPU72</t>
    </r>
  </si>
  <si>
    <r>
      <rPr>
        <sz val="10"/>
        <rFont val="Arial MT"/>
        <family val="2"/>
      </rPr>
      <t>BPU73</t>
    </r>
  </si>
  <si>
    <r>
      <rPr>
        <sz val="10"/>
        <rFont val="Arial MT"/>
        <family val="2"/>
      </rPr>
      <t>BPU74</t>
    </r>
  </si>
  <si>
    <r>
      <rPr>
        <sz val="10"/>
        <rFont val="Arial MT"/>
        <family val="2"/>
      </rPr>
      <t>BPU75</t>
    </r>
  </si>
  <si>
    <r>
      <rPr>
        <sz val="10"/>
        <rFont val="Arial MT"/>
        <family val="2"/>
      </rPr>
      <t>06.08.14.</t>
    </r>
  </si>
  <si>
    <r>
      <rPr>
        <sz val="10"/>
        <rFont val="Arial MT"/>
        <family val="2"/>
      </rPr>
      <t xml:space="preserve">5.1.02.01.01.00
</t>
    </r>
    <r>
      <rPr>
        <sz val="10"/>
        <rFont val="Arial MT"/>
        <family val="2"/>
      </rPr>
      <t>01</t>
    </r>
  </si>
  <si>
    <t>01/03/2023</t>
  </si>
  <si>
    <r>
      <rPr>
        <sz val="10"/>
        <rFont val="Arial MT"/>
        <family val="2"/>
      </rPr>
      <t>Palu Sedang</t>
    </r>
  </si>
  <si>
    <t>Palu ukuran sedang Camel</t>
  </si>
  <si>
    <t>Peralatan Pertukangan</t>
  </si>
  <si>
    <r>
      <rPr>
        <sz val="10"/>
        <rFont val="Arial MT"/>
        <family val="2"/>
      </rPr>
      <t>Cangkul</t>
    </r>
  </si>
  <si>
    <t>Cangkul Crocodile</t>
  </si>
  <si>
    <r>
      <rPr>
        <sz val="10"/>
        <rFont val="Arial MT"/>
        <family val="2"/>
      </rPr>
      <t>Sekop</t>
    </r>
  </si>
  <si>
    <t>Sekop  Crocodile</t>
  </si>
  <si>
    <r>
      <rPr>
        <sz val="10"/>
        <rFont val="Arial MT"/>
        <family val="2"/>
      </rPr>
      <t>BPU76</t>
    </r>
  </si>
  <si>
    <r>
      <rPr>
        <sz val="10"/>
        <rFont val="Arial MT"/>
        <family val="2"/>
      </rPr>
      <t>06.05.61.</t>
    </r>
  </si>
  <si>
    <r>
      <rPr>
        <sz val="10"/>
        <rFont val="Arial MT"/>
        <family val="2"/>
      </rPr>
      <t xml:space="preserve">5.1.02.01.01.00
</t>
    </r>
    <r>
      <rPr>
        <sz val="10"/>
        <rFont val="Arial MT"/>
        <family val="2"/>
      </rPr>
      <t>24</t>
    </r>
  </si>
  <si>
    <t>06/03/2023</t>
  </si>
  <si>
    <r>
      <rPr>
        <sz val="10"/>
        <rFont val="Arial MT"/>
        <family val="2"/>
      </rPr>
      <t>Flasdisk 8 GB</t>
    </r>
  </si>
  <si>
    <t>Flashdisk Sandisk 8GB</t>
  </si>
  <si>
    <t>Jl. Diponegoro Kelurahan Pasar Telukdalam - Nias Selatan</t>
  </si>
  <si>
    <t>Alat Tulis Kantor (ATK)</t>
  </si>
  <si>
    <r>
      <rPr>
        <sz val="10"/>
        <rFont val="Arial MT"/>
        <family val="2"/>
      </rPr>
      <t>Lakban Kain Warna Hitam</t>
    </r>
  </si>
  <si>
    <t>Lakban Hitam Sedang Eka Tape</t>
  </si>
  <si>
    <t>LAKBAN HITAM (Length 5.0cm, Width 5.0cm, Height 5.0cm, Weight 5gr)</t>
  </si>
  <si>
    <r>
      <rPr>
        <sz val="10"/>
        <rFont val="Arial MT"/>
        <family val="2"/>
      </rPr>
      <t>Lusin</t>
    </r>
  </si>
  <si>
    <t>BALLPOINT DRAWING PEN 0,5 SNOWMAN (Length 5.0cm, Width 5.0cm, Height 5.0cm, Weight 5gr)</t>
  </si>
  <si>
    <t>Binder Klip  nomor 107</t>
  </si>
  <si>
    <t>Binder Klip Kenko 107</t>
  </si>
  <si>
    <t>BINDER CLIP N0 107 (Length 5.0cm, Width 5.0cm, Height 5.0cm, Weight 5gr)</t>
  </si>
  <si>
    <t>Lakban Coklat Besar Eka Tape</t>
  </si>
  <si>
    <r>
      <rPr>
        <sz val="10"/>
        <rFont val="Arial MT"/>
        <family val="2"/>
      </rPr>
      <t>Roll</t>
    </r>
  </si>
  <si>
    <t>Lakban warna Uk 2" Warna Coklat Cofiie (Ukuran 90Yard lebar : 48mm)</t>
  </si>
  <si>
    <t>Isi Staples</t>
  </si>
  <si>
    <t>Isi Staples Etona</t>
  </si>
  <si>
    <r>
      <rPr>
        <sz val="10"/>
        <rFont val="Arial MT"/>
        <family val="2"/>
      </rPr>
      <t>Dos</t>
    </r>
  </si>
  <si>
    <t>Isi Staples besar (Ukuran 10 mm (3/8″)Isi Kemasan 1000 staples/box)</t>
  </si>
  <si>
    <t>Paper Clip No 1  Paper Clip No 3</t>
  </si>
  <si>
    <t>Paper Clip Max</t>
  </si>
  <si>
    <r>
      <rPr>
        <sz val="10"/>
        <rFont val="Arial MT"/>
        <family val="2"/>
      </rPr>
      <t>Pack</t>
    </r>
  </si>
  <si>
    <t>PAPER CLIP NO 1 dan 3 (Length 5.0cm, Width 5.0cm, Height 5.0cm, Weight 5gr)</t>
  </si>
  <si>
    <t>Binder Klip  nomor 260</t>
  </si>
  <si>
    <t>Binder Klip Kenko 260</t>
  </si>
  <si>
    <t>BINDER CLIP NO 260 (Length 5.0cm, Width 5.0cm, Height 5.0cm, Weight 5gr)</t>
  </si>
  <si>
    <r>
      <rPr>
        <sz val="10"/>
        <rFont val="Arial MT"/>
        <family val="2"/>
      </rPr>
      <t>Kertas HVS 60 gram Merk : GOLD Ukuran F4</t>
    </r>
  </si>
  <si>
    <t>Kertas HVS 60 gram Merk : GOLD Ukuran F4</t>
  </si>
  <si>
    <r>
      <rPr>
        <sz val="10"/>
        <rFont val="Arial MT"/>
        <family val="2"/>
      </rPr>
      <t>Rim</t>
    </r>
  </si>
  <si>
    <t>KERTAS HVS 60GSM PAPER ONE F4 (Length 33.0cm, Width 21.0cm, Height 7.0cm, Weight 1400gr)</t>
  </si>
  <si>
    <t>KERTAS HVS WARNA 70 GSM (Length 21.0cm, Width 33.0cm, Height 7.0cm, Weight 2400gr)</t>
  </si>
  <si>
    <t>Lakban Hitam Besar Eka Tape</t>
  </si>
  <si>
    <t>LAKBAN HITAM BAHAN KAIN (Length 5.0cm, Width 5.0cm, Height 5.0cm, Weight 5gr)</t>
  </si>
  <si>
    <r>
      <rPr>
        <sz val="10"/>
        <rFont val="Arial MT"/>
        <family val="2"/>
      </rPr>
      <t>Buku Nota</t>
    </r>
  </si>
  <si>
    <t>Buku Nota Seriti Kecil</t>
  </si>
  <si>
    <t>Buku Nota :isi 25 sets Banya;  6 baris; Ukuran buku: 16.5 x 10.5 cm atau 1/4 folio</t>
  </si>
  <si>
    <t>Spidol White board</t>
  </si>
  <si>
    <t>Spidol White board Snowman</t>
  </si>
  <si>
    <t>Spidol White board (Berat Produk 0.5 Kg, Panjang Produk 10 cm, Lebar Produk 3 cm, Tinggi Produk 10 cm)</t>
  </si>
  <si>
    <t>Lakban Hitam Kecil Eka Tape</t>
  </si>
  <si>
    <r>
      <rPr>
        <sz val="10"/>
        <rFont val="Arial MT"/>
        <family val="2"/>
      </rPr>
      <t>Buku Agenda</t>
    </r>
  </si>
  <si>
    <t>Buku Agenda (isi 50, berat 500gr)</t>
  </si>
  <si>
    <r>
      <rPr>
        <sz val="10"/>
        <rFont val="Arial MT"/>
        <family val="2"/>
      </rPr>
      <t>Pad</t>
    </r>
  </si>
  <si>
    <t>POST IT WARNA WARNI (Length 7.0cm, Width 7.0cm, Height 7.0cm, Weight 44gr)</t>
  </si>
  <si>
    <t xml:space="preserve"> KERTAS HVS A4 80GSM PAPER ONE (Length 30.0cm, Width 21.0cm, Height 7.0cm, Weight 2394gr)</t>
  </si>
  <si>
    <t>Plastik Mika Asahi</t>
  </si>
  <si>
    <r>
      <rPr>
        <sz val="10"/>
        <rFont val="Arial MT"/>
        <family val="2"/>
      </rPr>
      <t>Paket</t>
    </r>
  </si>
  <si>
    <t>PLASTIK MIKA JILID F4 (Length 21.0cm, Width 33.0cm, Height 7.0cm, Weight 548gr)</t>
  </si>
  <si>
    <r>
      <rPr>
        <sz val="10"/>
        <rFont val="Arial MT"/>
        <family val="2"/>
      </rPr>
      <t>Ballpoint Pilot Balliner Warna Hitam</t>
    </r>
  </si>
  <si>
    <r>
      <rPr>
        <sz val="10"/>
        <rFont val="Arial MT"/>
        <family val="2"/>
      </rPr>
      <t>Box</t>
    </r>
  </si>
  <si>
    <t xml:space="preserve">BALLPOINT Boldiner Standar  (Satuan. 300 gram ; Dimensi Ukuran. 15x5x7.5cm. (Berat volume: 0.09kg) </t>
  </si>
  <si>
    <r>
      <rPr>
        <sz val="10"/>
        <rFont val="Arial MT"/>
        <family val="2"/>
      </rPr>
      <t>buku harian guru</t>
    </r>
  </si>
  <si>
    <t>Buku harian guru 100 (Berat Satuan. 400 gram ; Dimensi Ukuran. 32x11x1cm)</t>
  </si>
  <si>
    <t>Binder Klip Ordner Kenko</t>
  </si>
  <si>
    <t>BINDER KLIP ORDNER (Length 5.0cm, Width 5.0cm, Height 5.0cm, Weight 5gr)</t>
  </si>
  <si>
    <r>
      <rPr>
        <sz val="10"/>
        <rFont val="Arial MT"/>
        <family val="2"/>
      </rPr>
      <t>lem fox</t>
    </r>
  </si>
  <si>
    <t>Lem Fox isi 500 gram (Bahan Pvc, Berat 500gr, ukuran Botol Putih 500gr)</t>
  </si>
  <si>
    <t>PAPER CLIP NO 1 (Length 5.0cm, Width 5.0cm, Height 5.0cm, Weight 5gr)</t>
  </si>
  <si>
    <t>STOFMAP TRANSPARAN (Length 5.0cm, Width 5.0cm, Height 5.0cm, Weight 5gr)</t>
  </si>
  <si>
    <t>BINDER CLIP NO 111 (Length 5.0cm, Width 5.0cm, Height 5.0cm, Weight 5gr)</t>
  </si>
  <si>
    <t>Binder Klip kenko105</t>
  </si>
  <si>
    <t xml:space="preserve">BINDER CLIP merk kenko NO 105 (Length 5.0cm, Width 5.0cm, Height 5.0cm, Weight 5gr)  </t>
  </si>
  <si>
    <t>Tinta Stempel (Ukuran produk 105 x 35 x 35 mm, Isi 1 botol 50 ml, Berat satuan 85 gram)</t>
  </si>
  <si>
    <t>Baterey Kecil</t>
  </si>
  <si>
    <t>Baterey Kecil Alkaline</t>
  </si>
  <si>
    <r>
      <rPr>
        <sz val="10"/>
        <rFont val="Arial MT"/>
        <family val="2"/>
      </rPr>
      <t>Bungkus</t>
    </r>
  </si>
  <si>
    <t>Baterey Kecil (Type: AA; Tegangan: 1.5 Volt; Ukuran: 14 x 50 mm)</t>
  </si>
  <si>
    <r>
      <rPr>
        <sz val="10"/>
        <rFont val="Arial MT"/>
        <family val="2"/>
      </rPr>
      <t>Set</t>
    </r>
  </si>
  <si>
    <t>KERTAS LEBEL KOTAK (Length 5.0cm, Width 5.0cm, Height 7.0cm, Weight 5gr)</t>
  </si>
  <si>
    <t>Spidol Refil Spidol White Board Snowman (Panjang. : 10 cm ; Lebar. : 5 cm ; Tinggi. : 7 cm ; Berat. : 500 gr)</t>
  </si>
  <si>
    <t>BINDER CLIP NOMOR 200 (Length 5.0cm, Width 5.0cm, Height 5.0cm, Weight 5gr)</t>
  </si>
  <si>
    <t>KERTAS STENSIL Merk : Fox; stensil tipis; ukuran F4; koran; 500lbr; P:33cm; L: 22cm; T: 4cm</t>
  </si>
  <si>
    <r>
      <rPr>
        <sz val="10"/>
        <rFont val="Arial MT"/>
        <family val="2"/>
      </rPr>
      <t>Kertas Buffalo</t>
    </r>
  </si>
  <si>
    <t>KERTAS BUFFALO F4 (Length 21.0cm, Width 33.0cm, Height 7.0cm, Weight 1006gr)</t>
  </si>
  <si>
    <r>
      <rPr>
        <sz val="10"/>
        <rFont val="Arial MT"/>
        <family val="2"/>
      </rPr>
      <t>C. Tinta Printer EPSON Tinta Printer Epson Black</t>
    </r>
  </si>
  <si>
    <t>TINTA PRINTER CANO AIFLO HITAM (Length 5.0cm, Width 5.0cm, Height 5.0cm, Weight 5gr)</t>
  </si>
  <si>
    <t>SAMPUL PLASTIK (Length 5.0cm, Width 5.0cm, Height 5.0cm, Weight 5gr)</t>
  </si>
  <si>
    <t>Stofmap Kertas (Length 5.0cm, Width 5.0cm, Height 5.0cm, Weight 5gr)</t>
  </si>
  <si>
    <t>BALLPOINT PILOT G2 (Length 5.0cm, Width 5.0cm, Height 5.0cm, Weight 5gr)</t>
  </si>
  <si>
    <t>Lakban Bening Besar Eka Tape</t>
  </si>
  <si>
    <t>LAKBAN BENING BESAR (Length 5.0cm, Width 5.0cm, Height 5.0cm, Weight 5gr)</t>
  </si>
  <si>
    <r>
      <rPr>
        <sz val="10"/>
        <rFont val="Arial MT"/>
        <family val="2"/>
      </rPr>
      <t>BPU77</t>
    </r>
  </si>
  <si>
    <r>
      <rPr>
        <sz val="10"/>
        <rFont val="Arial MT"/>
        <family val="2"/>
      </rPr>
      <t>BPU78</t>
    </r>
  </si>
  <si>
    <r>
      <rPr>
        <sz val="10"/>
        <rFont val="Arial MT"/>
        <family val="2"/>
      </rPr>
      <t>GEROBAK Gerobak Pasir/Celeng. Merk : Artco  Type : Jumbo. ex Malaysia</t>
    </r>
  </si>
  <si>
    <t xml:space="preserve">Gerobak sorong Artco </t>
  </si>
  <si>
    <r>
      <rPr>
        <sz val="10"/>
        <rFont val="Arial MT"/>
        <family val="2"/>
      </rPr>
      <t>Unit</t>
    </r>
  </si>
  <si>
    <t>Pengadaan Alat Pertukangan</t>
  </si>
  <si>
    <r>
      <rPr>
        <sz val="10"/>
        <rFont val="Arial MT"/>
        <family val="2"/>
      </rPr>
      <t>BPU79</t>
    </r>
  </si>
  <si>
    <r>
      <rPr>
        <sz val="10"/>
        <rFont val="Arial MT"/>
        <family val="2"/>
      </rPr>
      <t>05.05.13.</t>
    </r>
  </si>
  <si>
    <r>
      <rPr>
        <sz val="10"/>
        <rFont val="Arial MT"/>
        <family val="2"/>
      </rPr>
      <t xml:space="preserve">5.1.02.01.01.00
</t>
    </r>
    <r>
      <rPr>
        <sz val="10"/>
        <rFont val="Arial MT"/>
        <family val="2"/>
      </rPr>
      <t>31</t>
    </r>
  </si>
  <si>
    <r>
      <rPr>
        <sz val="10"/>
        <rFont val="Arial MT"/>
        <family val="2"/>
      </rPr>
      <t>Lampu Hemat Energi</t>
    </r>
  </si>
  <si>
    <t>Bohlam Tesla  50 Watt</t>
  </si>
  <si>
    <t>Peralatan Listrik</t>
  </si>
  <si>
    <r>
      <rPr>
        <sz val="10"/>
        <rFont val="Arial MT"/>
        <family val="2"/>
      </rPr>
      <t>BPU80</t>
    </r>
  </si>
  <si>
    <r>
      <rPr>
        <sz val="10"/>
        <rFont val="Arial MT"/>
        <family val="2"/>
      </rPr>
      <t xml:space="preserve">5.1.02.01.01.00
</t>
    </r>
    <r>
      <rPr>
        <sz val="10"/>
        <rFont val="Arial MT"/>
        <family val="2"/>
      </rPr>
      <t>34</t>
    </r>
  </si>
  <si>
    <r>
      <rPr>
        <sz val="10"/>
        <rFont val="Arial MT"/>
        <family val="2"/>
      </rPr>
      <t>Bola Volly</t>
    </r>
  </si>
  <si>
    <t>Bola Volly Mikasa</t>
  </si>
  <si>
    <t>Jl. Diponegoro No. 87, Kel Pasar Telukdalam - Nias Selatan</t>
  </si>
  <si>
    <t>Jl. Oswald Siahaan No.6A, Kec. Aek tolang Kab. Tapteng</t>
  </si>
  <si>
    <t>Peralatan Olahraga</t>
  </si>
  <si>
    <r>
      <rPr>
        <sz val="10"/>
        <rFont val="Arial MT"/>
        <family val="2"/>
      </rPr>
      <t>Bola Futsal</t>
    </r>
  </si>
  <si>
    <t>Bola Futsal Molten</t>
  </si>
  <si>
    <t>Shuttlecock</t>
  </si>
  <si>
    <t>Shuttlecock Yonex</t>
  </si>
  <si>
    <r>
      <rPr>
        <sz val="10"/>
        <rFont val="Arial MT"/>
        <family val="2"/>
      </rPr>
      <t>BPU81</t>
    </r>
  </si>
  <si>
    <t>10/03/2023</t>
  </si>
  <si>
    <r>
      <rPr>
        <sz val="10"/>
        <rFont val="Arial MT"/>
        <family val="2"/>
      </rPr>
      <t>BPU82</t>
    </r>
  </si>
  <si>
    <r>
      <rPr>
        <sz val="10"/>
        <rFont val="Arial MT"/>
        <family val="2"/>
      </rPr>
      <t>BPU83</t>
    </r>
  </si>
  <si>
    <r>
      <rPr>
        <sz val="10"/>
        <rFont val="Arial MT"/>
        <family val="2"/>
      </rPr>
      <t>BPU84</t>
    </r>
  </si>
  <si>
    <r>
      <rPr>
        <sz val="10"/>
        <rFont val="Arial MT"/>
        <family val="2"/>
      </rPr>
      <t>BPU85</t>
    </r>
  </si>
  <si>
    <r>
      <rPr>
        <sz val="10"/>
        <rFont val="Arial MT"/>
        <family val="2"/>
      </rPr>
      <t>BPU86</t>
    </r>
  </si>
  <si>
    <r>
      <rPr>
        <sz val="10"/>
        <rFont val="Arial MT"/>
        <family val="2"/>
      </rPr>
      <t>08.04.10.</t>
    </r>
  </si>
  <si>
    <t>Foto Copy Soal Ujian OSN</t>
  </si>
  <si>
    <r>
      <rPr>
        <sz val="10"/>
        <rFont val="Arial MT"/>
        <family val="2"/>
      </rPr>
      <t>BPU87</t>
    </r>
  </si>
  <si>
    <r>
      <rPr>
        <sz val="10"/>
        <rFont val="Arial MT"/>
        <family val="2"/>
      </rPr>
      <t>04.06.18.</t>
    </r>
  </si>
  <si>
    <r>
      <rPr>
        <sz val="10"/>
        <rFont val="Arial MT"/>
        <family val="2"/>
      </rPr>
      <t>Aqua botol pelaksanaan kegiatan supervisi pembelajaran semua mapel/guru di sekolah semester genap TP. 2023/2024 dan semester ganjil TP. 2023/2024</t>
    </r>
  </si>
  <si>
    <r>
      <rPr>
        <sz val="10"/>
        <rFont val="Arial MT"/>
        <family val="2"/>
      </rPr>
      <t>BPU88</t>
    </r>
  </si>
  <si>
    <r>
      <rPr>
        <sz val="10"/>
        <rFont val="Arial MT"/>
        <family val="2"/>
      </rPr>
      <t>Snack pelaksanaan kegiatan supervisi pembelajaran semua mapel/guru di sekolah semester genap TP. 2023/2024 dan semester ganjil TP. 2023/2024</t>
    </r>
  </si>
  <si>
    <r>
      <rPr>
        <sz val="10"/>
        <rFont val="Arial MT"/>
        <family val="2"/>
      </rPr>
      <t>BPU89</t>
    </r>
  </si>
  <si>
    <r>
      <rPr>
        <sz val="10"/>
        <rFont val="Arial MT"/>
        <family val="2"/>
      </rPr>
      <t>BPU90</t>
    </r>
  </si>
  <si>
    <r>
      <rPr>
        <sz val="10"/>
        <rFont val="Arial MT"/>
        <family val="2"/>
      </rPr>
      <t>06.03.34.</t>
    </r>
  </si>
  <si>
    <r>
      <rPr>
        <sz val="10"/>
        <rFont val="Arial MT"/>
        <family val="2"/>
      </rPr>
      <t>Air Mineral Pembina Pada Kegiatan Persiapan Perlombaan Debat B. Indonesia dan B. Inggris</t>
    </r>
  </si>
  <si>
    <r>
      <rPr>
        <sz val="10"/>
        <rFont val="Arial MT"/>
        <family val="2"/>
      </rPr>
      <t>BPU91</t>
    </r>
  </si>
  <si>
    <r>
      <rPr>
        <sz val="10"/>
        <rFont val="Arial MT"/>
        <family val="2"/>
      </rPr>
      <t>BPU92</t>
    </r>
  </si>
  <si>
    <r>
      <rPr>
        <sz val="10"/>
        <rFont val="Arial MT"/>
        <family val="2"/>
      </rPr>
      <t>Snack Pengawas pelaksanaan OSN Tk Sekolah</t>
    </r>
  </si>
  <si>
    <r>
      <rPr>
        <sz val="10"/>
        <rFont val="Arial MT"/>
        <family val="2"/>
      </rPr>
      <t>BPU93</t>
    </r>
  </si>
  <si>
    <r>
      <rPr>
        <sz val="10"/>
        <rFont val="Arial MT"/>
        <family val="2"/>
      </rPr>
      <t>06.05.21.</t>
    </r>
  </si>
  <si>
    <r>
      <rPr>
        <sz val="10"/>
        <rFont val="Arial MT"/>
        <family val="2"/>
      </rPr>
      <t>Air Minerl/Aqua Botol pada kegiatan penyusunan program supervisi, monitoring dan evaluasi</t>
    </r>
  </si>
  <si>
    <r>
      <rPr>
        <sz val="10"/>
        <rFont val="Arial MT"/>
        <family val="2"/>
      </rPr>
      <t>BPU94</t>
    </r>
  </si>
  <si>
    <r>
      <rPr>
        <sz val="10"/>
        <rFont val="Arial MT"/>
        <family val="2"/>
      </rPr>
      <t>BPU95</t>
    </r>
  </si>
  <si>
    <r>
      <rPr>
        <sz val="10"/>
        <rFont val="Arial MT"/>
        <family val="2"/>
      </rPr>
      <t>BPU96</t>
    </r>
  </si>
  <si>
    <r>
      <rPr>
        <sz val="10"/>
        <rFont val="Arial MT"/>
        <family val="2"/>
      </rPr>
      <t>08.04.13.</t>
    </r>
  </si>
  <si>
    <r>
      <rPr>
        <sz val="10"/>
        <rFont val="Arial MT"/>
        <family val="2"/>
      </rPr>
      <t>BPU97</t>
    </r>
  </si>
  <si>
    <t>20/03/2023</t>
  </si>
  <si>
    <r>
      <rPr>
        <sz val="10"/>
        <rFont val="Arial MT"/>
        <family val="2"/>
      </rPr>
      <t>Pembayaran Langganan Daya dan Jasa listrik</t>
    </r>
  </si>
  <si>
    <r>
      <rPr>
        <sz val="10"/>
        <rFont val="Arial MT"/>
        <family val="2"/>
      </rPr>
      <t>BPU98</t>
    </r>
  </si>
  <si>
    <r>
      <rPr>
        <sz val="10"/>
        <rFont val="Arial MT"/>
        <family val="2"/>
      </rPr>
      <t>Pembayaran Langganan Daya dan Jasa Internet Indihome</t>
    </r>
  </si>
  <si>
    <r>
      <rPr>
        <sz val="10"/>
        <rFont val="Arial MT"/>
        <family val="2"/>
      </rPr>
      <t>BPU99</t>
    </r>
  </si>
  <si>
    <r>
      <rPr>
        <sz val="10"/>
        <rFont val="Arial MT"/>
        <family val="2"/>
      </rPr>
      <t>08.04.15.</t>
    </r>
  </si>
  <si>
    <t>23/03/2023</t>
  </si>
  <si>
    <r>
      <rPr>
        <sz val="10"/>
        <rFont val="Arial MT"/>
        <family val="2"/>
      </rPr>
      <t>Snack Pelaksanaan Penilaian / Ulangan Tengah Semester</t>
    </r>
  </si>
  <si>
    <r>
      <rPr>
        <sz val="10"/>
        <rFont val="Arial MT"/>
        <family val="2"/>
      </rPr>
      <t>BPU100</t>
    </r>
  </si>
  <si>
    <r>
      <rPr>
        <sz val="10"/>
        <rFont val="Arial MT"/>
        <family val="2"/>
      </rPr>
      <t>Aqua botol Pelaksanaan Penilaian / Ulangan Tengah Semester</t>
    </r>
  </si>
  <si>
    <r>
      <rPr>
        <sz val="10"/>
        <rFont val="Arial MT"/>
        <family val="2"/>
      </rPr>
      <t>BPU101</t>
    </r>
  </si>
  <si>
    <r>
      <rPr>
        <sz val="10"/>
        <rFont val="Arial MT"/>
        <family val="2"/>
      </rPr>
      <t>08.04.18.</t>
    </r>
  </si>
  <si>
    <r>
      <rPr>
        <sz val="10"/>
        <rFont val="Arial MT"/>
        <family val="2"/>
      </rPr>
      <t>Snack pelaksanaan kegiatan Penilaian / Ulangan Sekolah kls XII</t>
    </r>
  </si>
  <si>
    <r>
      <rPr>
        <sz val="10"/>
        <rFont val="Arial MT"/>
        <family val="2"/>
      </rPr>
      <t>BPU102</t>
    </r>
  </si>
  <si>
    <r>
      <rPr>
        <sz val="10"/>
        <rFont val="Arial MT"/>
        <family val="2"/>
      </rPr>
      <t>Aqua botol pelaksanaan kegiatan Penilaian / Ulangan Sekolah kls XII</t>
    </r>
  </si>
  <si>
    <r>
      <rPr>
        <sz val="10"/>
        <rFont val="Arial MT"/>
        <family val="2"/>
      </rPr>
      <t>BPU103</t>
    </r>
  </si>
  <si>
    <r>
      <rPr>
        <sz val="10"/>
        <rFont val="Arial MT"/>
        <family val="2"/>
      </rPr>
      <t>Snack panitia pra pelaksanaan kegiatan Penilaian USBK kls XII</t>
    </r>
  </si>
  <si>
    <r>
      <rPr>
        <sz val="10"/>
        <rFont val="Arial MT"/>
        <family val="2"/>
      </rPr>
      <t>BPU104</t>
    </r>
  </si>
  <si>
    <r>
      <rPr>
        <sz val="10"/>
        <rFont val="Arial MT"/>
        <family val="2"/>
      </rPr>
      <t>Air Mineral panitia pra pelaksanaan kegiatan Penilaian USBK kls XII</t>
    </r>
  </si>
  <si>
    <r>
      <rPr>
        <sz val="10"/>
        <rFont val="Arial MT"/>
        <family val="2"/>
      </rPr>
      <t>BPU105</t>
    </r>
  </si>
  <si>
    <t>24/03/2023</t>
  </si>
  <si>
    <r>
      <rPr>
        <sz val="10"/>
        <rFont val="Arial MT"/>
        <family val="2"/>
      </rPr>
      <t>BPU106</t>
    </r>
  </si>
  <si>
    <r>
      <rPr>
        <sz val="10"/>
        <rFont val="Arial MT"/>
        <family val="2"/>
      </rPr>
      <t>BPU107</t>
    </r>
  </si>
  <si>
    <r>
      <rPr>
        <sz val="10"/>
        <rFont val="Arial MT"/>
        <family val="2"/>
      </rPr>
      <t>06.03.39.</t>
    </r>
  </si>
  <si>
    <r>
      <rPr>
        <sz val="10"/>
        <rFont val="Arial MT"/>
        <family val="2"/>
      </rPr>
      <t xml:space="preserve">5.1.02.04.01.00
</t>
    </r>
    <r>
      <rPr>
        <sz val="10"/>
        <rFont val="Arial MT"/>
        <family val="2"/>
      </rPr>
      <t>01</t>
    </r>
  </si>
  <si>
    <t>25/03/2023</t>
  </si>
  <si>
    <r>
      <rPr>
        <sz val="10"/>
        <rFont val="Arial MT"/>
        <family val="2"/>
      </rPr>
      <t>Penginapan Peserta Pesparawi Tingkat Propinsi</t>
    </r>
  </si>
  <si>
    <t>Penginapan</t>
  </si>
  <si>
    <r>
      <rPr>
        <sz val="10"/>
        <rFont val="Arial MT"/>
        <family val="2"/>
      </rPr>
      <t>Hari</t>
    </r>
  </si>
  <si>
    <r>
      <rPr>
        <sz val="10"/>
        <rFont val="Arial MT"/>
        <family val="2"/>
      </rPr>
      <t>BPU108</t>
    </r>
  </si>
  <si>
    <r>
      <rPr>
        <sz val="10"/>
        <rFont val="Arial MT"/>
        <family val="2"/>
      </rPr>
      <t>Uang Saku Siswa Peserta Pesparawi Tingkat Propinsi</t>
    </r>
  </si>
  <si>
    <t>Uang saku</t>
  </si>
  <si>
    <r>
      <rPr>
        <sz val="10"/>
        <rFont val="Arial MT"/>
        <family val="2"/>
      </rPr>
      <t>BPU109</t>
    </r>
  </si>
  <si>
    <r>
      <rPr>
        <sz val="10"/>
        <rFont val="Arial MT"/>
        <family val="2"/>
      </rPr>
      <t>Honor Pembimbing Pesparawi Tingkat Propinsi</t>
    </r>
  </si>
  <si>
    <t>Honor Pembimbing</t>
  </si>
  <si>
    <r>
      <rPr>
        <sz val="10"/>
        <rFont val="Arial MT"/>
        <family val="2"/>
      </rPr>
      <t>BPU110</t>
    </r>
  </si>
  <si>
    <r>
      <rPr>
        <sz val="10"/>
        <rFont val="Arial MT"/>
        <family val="2"/>
      </rPr>
      <t>BPU111</t>
    </r>
  </si>
  <si>
    <r>
      <rPr>
        <sz val="10"/>
        <rFont val="Arial MT"/>
        <family val="2"/>
      </rPr>
      <t>BPU112</t>
    </r>
  </si>
  <si>
    <r>
      <rPr>
        <sz val="10"/>
        <rFont val="Arial MT"/>
        <family val="2"/>
      </rPr>
      <t>BPU113</t>
    </r>
  </si>
  <si>
    <r>
      <rPr>
        <sz val="10"/>
        <rFont val="Arial MT"/>
        <family val="2"/>
      </rPr>
      <t>BPU114</t>
    </r>
  </si>
  <si>
    <r>
      <rPr>
        <sz val="10"/>
        <rFont val="Arial MT"/>
        <family val="2"/>
      </rPr>
      <t>BPU115</t>
    </r>
  </si>
  <si>
    <t>Stofmap Transparan</t>
  </si>
  <si>
    <t>Stofmap Transparan Kiky</t>
  </si>
  <si>
    <t>Bantalan Cap Besar</t>
  </si>
  <si>
    <t>Bantalan Cap Besar Hero</t>
  </si>
  <si>
    <t>Stofmap Kertas Kabita</t>
  </si>
  <si>
    <t>Buku Agenda Kiky</t>
  </si>
  <si>
    <t>Kertas Post-It Warna Warni  Sign Here</t>
  </si>
  <si>
    <t>Notes Post-it 3M</t>
  </si>
  <si>
    <t>PAPER CLIP  kenko 1</t>
  </si>
  <si>
    <t>Tinta Stempel joyko</t>
  </si>
  <si>
    <t>Sampul Plastik Big Boss</t>
  </si>
  <si>
    <r>
      <rPr>
        <sz val="10"/>
        <rFont val="Arial MT"/>
        <family val="2"/>
      </rPr>
      <t>Buku Catatan Kelas</t>
    </r>
  </si>
  <si>
    <t>Amplop Panjang Putih Polos Amplop polos Ukuran 15,2 x 9,5</t>
  </si>
  <si>
    <t>Amplop Panjang Putih Polos  Paperline</t>
  </si>
  <si>
    <t xml:space="preserve"> Amplop Putih Panjang (Length 5.0Cm, Width 5.0Cm, Height 5.0Cm, Weight 5Gr)</t>
  </si>
  <si>
    <t>Amplop Cabinet GSU</t>
  </si>
  <si>
    <r>
      <rPr>
        <sz val="10"/>
        <rFont val="Arial MT"/>
        <family val="2"/>
      </rPr>
      <t>Isi Staples</t>
    </r>
  </si>
  <si>
    <r>
      <rPr>
        <sz val="10"/>
        <rFont val="Arial MT"/>
        <family val="2"/>
      </rPr>
      <t>Buku Register folio 50</t>
    </r>
  </si>
  <si>
    <t>Buku Register folio 50 cap gelatik kembar</t>
  </si>
  <si>
    <t>Buku Register Folio 50</t>
  </si>
  <si>
    <r>
      <rPr>
        <sz val="10"/>
        <rFont val="Arial MT"/>
        <family val="2"/>
      </rPr>
      <t>Flash Disk</t>
    </r>
  </si>
  <si>
    <t>Flashdisk Sandisk</t>
  </si>
  <si>
    <t>Buku Nota :Isi 25 Sets Banya;  6 Baris; Ukuran Buku: 16.5 X 10.5 Cm Atau 1/4 Folio</t>
  </si>
  <si>
    <r>
      <rPr>
        <sz val="10"/>
        <rFont val="Arial MT"/>
        <family val="2"/>
      </rPr>
      <t>Gunting Besar</t>
    </r>
  </si>
  <si>
    <t>Gunting Besar kenko</t>
  </si>
  <si>
    <t>Kertas Buffalo Sinar Dunia</t>
  </si>
  <si>
    <t>Kertas Warna Blank Folio Sinar Dunia</t>
  </si>
  <si>
    <r>
      <rPr>
        <sz val="10"/>
        <rFont val="Arial MT"/>
        <family val="2"/>
      </rPr>
      <t>BPU116</t>
    </r>
  </si>
  <si>
    <t>Buku Agenda (Isi 50, Berat 500Gr)</t>
  </si>
  <si>
    <t>Binder Klip Kenko105</t>
  </si>
  <si>
    <t>Buku Harian Guru 100 (Berat Satuan. 400 Gram ; Dimensi Ukuran. 32X11X1Cm)</t>
  </si>
  <si>
    <t>Binder Klip Kenko 200</t>
  </si>
  <si>
    <t>Binder Klip Kenko 111</t>
  </si>
  <si>
    <t>Isi Staples (Dimensi, 2Cm X 4Cm X 1Cm. Berat, 5G.)</t>
  </si>
  <si>
    <r>
      <rPr>
        <sz val="10"/>
        <rFont val="Arial MT"/>
        <family val="2"/>
      </rPr>
      <t>BPU117</t>
    </r>
  </si>
  <si>
    <t>01/04/2023</t>
  </si>
  <si>
    <t>Usb Flash Disk Usb/Flash Disk 8Gb (Ukuran 50 X 15 X 6 Mm, Berat 26 Gr)</t>
  </si>
  <si>
    <t>Lakban Bening (Length 5.0Cm, Width 5.0Cm, Height 5.0Cm, Weight 5Gr)</t>
  </si>
  <si>
    <r>
      <rPr>
        <sz val="10"/>
        <rFont val="Arial MT"/>
        <family val="2"/>
      </rPr>
      <t>Penghapus Kapur</t>
    </r>
  </si>
  <si>
    <t>Penghapus Kapur Piramida</t>
  </si>
  <si>
    <t>Buku Catatan Kelas Dimensi: 1 X 1 X 1 Cm</t>
  </si>
  <si>
    <t>Penghapus White Board GM</t>
  </si>
  <si>
    <r>
      <rPr>
        <sz val="10"/>
        <rFont val="Arial MT"/>
        <family val="2"/>
      </rPr>
      <t>Stapler Strapler Kecil JOYKO</t>
    </r>
  </si>
  <si>
    <t>Cutter Kenko L-500</t>
  </si>
  <si>
    <r>
      <rPr>
        <sz val="10"/>
        <rFont val="Arial MT"/>
        <family val="2"/>
      </rPr>
      <t>Box file</t>
    </r>
  </si>
  <si>
    <t>Gunting Besar (Length 5.0Cm, Width 5.0Cm, Height 5.0Cm, Weight 5Gr)</t>
  </si>
  <si>
    <r>
      <rPr>
        <sz val="10"/>
        <rFont val="Arial MT"/>
        <family val="2"/>
      </rPr>
      <t>BPU118</t>
    </r>
  </si>
  <si>
    <t>04/04/2023</t>
  </si>
  <si>
    <r>
      <rPr>
        <sz val="10"/>
        <rFont val="Arial MT"/>
        <family val="2"/>
      </rPr>
      <t>BPU119</t>
    </r>
  </si>
  <si>
    <r>
      <rPr>
        <sz val="10"/>
        <rFont val="Arial MT"/>
        <family val="2"/>
      </rPr>
      <t>Kabel Listrik</t>
    </r>
  </si>
  <si>
    <t>Kabel Listrik Eterna</t>
  </si>
  <si>
    <r>
      <rPr>
        <sz val="10"/>
        <rFont val="Arial MT"/>
        <family val="2"/>
      </rPr>
      <t>BPU120</t>
    </r>
  </si>
  <si>
    <r>
      <rPr>
        <sz val="10"/>
        <rFont val="Arial MT"/>
        <family val="2"/>
      </rPr>
      <t>Biaya Penginapan Peserta Lomba MTQ Tingkat Propinsi</t>
    </r>
  </si>
  <si>
    <t>Biaya Penginapan</t>
  </si>
  <si>
    <r>
      <rPr>
        <sz val="10"/>
        <rFont val="Arial MT"/>
        <family val="2"/>
      </rPr>
      <t>BPU121</t>
    </r>
  </si>
  <si>
    <r>
      <rPr>
        <sz val="10"/>
        <rFont val="Arial MT"/>
        <family val="2"/>
      </rPr>
      <t>Transportasi Peserta Pesparawi Tingkat Propinsi</t>
    </r>
  </si>
  <si>
    <t>Transportasi Peserta</t>
  </si>
  <si>
    <r>
      <rPr>
        <sz val="10"/>
        <rFont val="Arial MT"/>
        <family val="2"/>
      </rPr>
      <t>BPU122</t>
    </r>
  </si>
  <si>
    <r>
      <rPr>
        <sz val="10"/>
        <rFont val="Arial MT"/>
        <family val="2"/>
      </rPr>
      <t>Transportasi Peserta Lomba MTQ Tingkat Propinsi</t>
    </r>
  </si>
  <si>
    <r>
      <rPr>
        <sz val="10"/>
        <rFont val="Arial MT"/>
        <family val="2"/>
      </rPr>
      <t>OP</t>
    </r>
  </si>
  <si>
    <r>
      <rPr>
        <sz val="10"/>
        <rFont val="Arial MT"/>
        <family val="2"/>
      </rPr>
      <t>BPU123</t>
    </r>
  </si>
  <si>
    <t>Uang Saku Peserta Lomba MTQ Tingkat Propinsi</t>
  </si>
  <si>
    <t>Uang Saku Peserta</t>
  </si>
  <si>
    <r>
      <rPr>
        <sz val="10"/>
        <rFont val="Arial MT"/>
        <family val="2"/>
      </rPr>
      <t>BPU124</t>
    </r>
  </si>
  <si>
    <t>Honor Pembimbing Lomba MTQ Tingkat Propinsi</t>
  </si>
  <si>
    <r>
      <rPr>
        <sz val="10"/>
        <rFont val="Arial MT"/>
        <family val="2"/>
      </rPr>
      <t>BPU125</t>
    </r>
  </si>
  <si>
    <r>
      <rPr>
        <sz val="10"/>
        <rFont val="Arial MT"/>
        <family val="2"/>
      </rPr>
      <t>Net tenis</t>
    </r>
  </si>
  <si>
    <t>Net tenis Mikasa</t>
  </si>
  <si>
    <r>
      <rPr>
        <sz val="10"/>
        <rFont val="Arial MT"/>
        <family val="2"/>
      </rPr>
      <t>Root Net Volly</t>
    </r>
  </si>
  <si>
    <t>Root Net Volly Nigata Japan</t>
  </si>
  <si>
    <r>
      <rPr>
        <sz val="10"/>
        <rFont val="Arial MT"/>
        <family val="2"/>
      </rPr>
      <t>Papan Score</t>
    </r>
  </si>
  <si>
    <t>Papan Score Merk CIMA</t>
  </si>
  <si>
    <r>
      <rPr>
        <sz val="10"/>
        <rFont val="Arial MT"/>
        <family val="2"/>
      </rPr>
      <t>Bola Tenis Meja</t>
    </r>
  </si>
  <si>
    <t>Bola Pingpong Butterfly</t>
  </si>
  <si>
    <r>
      <rPr>
        <sz val="10"/>
        <rFont val="Arial MT"/>
        <family val="2"/>
      </rPr>
      <t>Bola Basket</t>
    </r>
  </si>
  <si>
    <t>Bola Basket Mikasa</t>
  </si>
  <si>
    <r>
      <rPr>
        <sz val="10"/>
        <rFont val="Arial MT"/>
        <family val="2"/>
      </rPr>
      <t>Bola Kasti</t>
    </r>
  </si>
  <si>
    <t>Bola Kasti Tiger</t>
  </si>
  <si>
    <r>
      <rPr>
        <sz val="10"/>
        <rFont val="Arial MT"/>
        <family val="2"/>
      </rPr>
      <t>Net Badmintion</t>
    </r>
  </si>
  <si>
    <t>Net Badmintion Yonex</t>
  </si>
  <si>
    <r>
      <rPr>
        <sz val="10"/>
        <rFont val="Arial MT"/>
        <family val="2"/>
      </rPr>
      <t>Net Volly</t>
    </r>
  </si>
  <si>
    <t>Net Volly Mikasa</t>
  </si>
  <si>
    <r>
      <rPr>
        <sz val="10"/>
        <rFont val="Arial MT"/>
        <family val="2"/>
      </rPr>
      <t>BPU126</t>
    </r>
  </si>
  <si>
    <t>05/04/2023</t>
  </si>
  <si>
    <r>
      <rPr>
        <sz val="10"/>
        <rFont val="Arial MT"/>
        <family val="2"/>
      </rPr>
      <t>BPU127</t>
    </r>
  </si>
  <si>
    <t>07/04/2023</t>
  </si>
  <si>
    <r>
      <rPr>
        <sz val="10"/>
        <rFont val="Arial MT"/>
        <family val="2"/>
      </rPr>
      <t>BPU128</t>
    </r>
  </si>
  <si>
    <r>
      <rPr>
        <sz val="10"/>
        <rFont val="Arial MT"/>
        <family val="2"/>
      </rPr>
      <t>BPU129</t>
    </r>
  </si>
  <si>
    <r>
      <rPr>
        <sz val="10"/>
        <rFont val="Arial MT"/>
        <family val="2"/>
      </rPr>
      <t>BPU130</t>
    </r>
  </si>
  <si>
    <r>
      <rPr>
        <sz val="10"/>
        <rFont val="Arial MT"/>
        <family val="2"/>
      </rPr>
      <t>BPU131</t>
    </r>
  </si>
  <si>
    <r>
      <rPr>
        <sz val="10"/>
        <rFont val="Arial MT"/>
        <family val="2"/>
      </rPr>
      <t>BPU132</t>
    </r>
  </si>
  <si>
    <r>
      <rPr>
        <sz val="10"/>
        <rFont val="Arial MT"/>
        <family val="2"/>
      </rPr>
      <t>BPU133</t>
    </r>
  </si>
  <si>
    <r>
      <rPr>
        <sz val="10"/>
        <rFont val="Arial MT"/>
        <family val="2"/>
      </rPr>
      <t>BPU134</t>
    </r>
  </si>
  <si>
    <r>
      <rPr>
        <sz val="10"/>
        <rFont val="Arial MT"/>
        <family val="2"/>
      </rPr>
      <t>06.03.55.</t>
    </r>
  </si>
  <si>
    <r>
      <rPr>
        <sz val="10"/>
        <rFont val="Arial MT"/>
        <family val="2"/>
      </rPr>
      <t>Konsumsi pada Kegiatan Perayaan Hari Raya Idul Fitri</t>
    </r>
  </si>
  <si>
    <r>
      <rPr>
        <sz val="10"/>
        <rFont val="Arial MT"/>
        <family val="2"/>
      </rPr>
      <t>BPU135</t>
    </r>
  </si>
  <si>
    <r>
      <rPr>
        <sz val="10"/>
        <rFont val="Arial MT"/>
        <family val="2"/>
      </rPr>
      <t>Air Mineral pada Kegiatan Perayaan Hari Raya Idul Fitri</t>
    </r>
  </si>
  <si>
    <r>
      <rPr>
        <sz val="10"/>
        <rFont val="Arial MT"/>
        <family val="2"/>
      </rPr>
      <t>BPU136</t>
    </r>
  </si>
  <si>
    <r>
      <rPr>
        <sz val="10"/>
        <rFont val="Arial MT"/>
        <family val="2"/>
      </rPr>
      <t>BPU137</t>
    </r>
  </si>
  <si>
    <r>
      <rPr>
        <sz val="10"/>
        <rFont val="Arial MT"/>
        <family val="2"/>
      </rPr>
      <t>BPU138</t>
    </r>
  </si>
  <si>
    <r>
      <rPr>
        <sz val="10"/>
        <rFont val="Arial MT"/>
        <family val="2"/>
      </rPr>
      <t>06.05.27.</t>
    </r>
  </si>
  <si>
    <r>
      <rPr>
        <sz val="10"/>
        <rFont val="Arial MT"/>
        <family val="2"/>
      </rPr>
      <t>Belanja aqua botol pelaksanaan kegiatan supervisi administrasi tata usaha semester genap TP. 2023/2024 dan semester ganjil TP. 2023/2024</t>
    </r>
  </si>
  <si>
    <r>
      <rPr>
        <sz val="10"/>
        <rFont val="Arial MT"/>
        <family val="2"/>
      </rPr>
      <t>BPU139</t>
    </r>
  </si>
  <si>
    <r>
      <rPr>
        <sz val="10"/>
        <rFont val="Arial MT"/>
        <family val="2"/>
      </rPr>
      <t>Belanja snack pelaksanaan kegiatan supervisi administrasi tata usaha semester genap TP. 2023/2024 dan semester ganjil TP. 2023/2024</t>
    </r>
  </si>
  <si>
    <r>
      <rPr>
        <sz val="10"/>
        <rFont val="Arial MT"/>
        <family val="2"/>
      </rPr>
      <t>BPU140</t>
    </r>
  </si>
  <si>
    <r>
      <rPr>
        <sz val="10"/>
        <rFont val="Arial MT"/>
        <family val="2"/>
      </rPr>
      <t>Belanja konsumsi pelaksanaan kegiatan supervisi administrasi tata usaha semester genap TP. 2023/2024 dan semester ganjil TP. 2023/2024</t>
    </r>
  </si>
  <si>
    <r>
      <rPr>
        <sz val="10"/>
        <rFont val="Arial MT"/>
        <family val="2"/>
      </rPr>
      <t>BPU141</t>
    </r>
  </si>
  <si>
    <r>
      <rPr>
        <sz val="10"/>
        <rFont val="Arial MT"/>
        <family val="2"/>
      </rPr>
      <t>BPU142</t>
    </r>
  </si>
  <si>
    <r>
      <rPr>
        <sz val="10"/>
        <rFont val="Arial MT"/>
        <family val="2"/>
      </rPr>
      <t>BPU143</t>
    </r>
  </si>
  <si>
    <r>
      <rPr>
        <sz val="10"/>
        <rFont val="Arial MT"/>
        <family val="2"/>
      </rPr>
      <t>Snack  pelaksanaan kegiatan Penilaian USBK kls XII</t>
    </r>
  </si>
  <si>
    <r>
      <rPr>
        <sz val="10"/>
        <rFont val="Arial MT"/>
        <family val="2"/>
      </rPr>
      <t>BPU144</t>
    </r>
  </si>
  <si>
    <r>
      <rPr>
        <sz val="10"/>
        <rFont val="Arial MT"/>
        <family val="2"/>
      </rPr>
      <t>Air Mineral pada pelaksanaan kegiatan Penilaian USBK kls XII</t>
    </r>
  </si>
  <si>
    <r>
      <rPr>
        <sz val="10"/>
        <rFont val="Arial MT"/>
        <family val="2"/>
      </rPr>
      <t>BPU145</t>
    </r>
  </si>
  <si>
    <t>18/04/2023</t>
  </si>
  <si>
    <r>
      <rPr>
        <sz val="10"/>
        <rFont val="Arial MT"/>
        <family val="2"/>
      </rPr>
      <t>BPU146</t>
    </r>
  </si>
  <si>
    <r>
      <rPr>
        <sz val="10"/>
        <rFont val="Arial MT"/>
        <family val="2"/>
      </rPr>
      <t>BPU147</t>
    </r>
  </si>
  <si>
    <r>
      <rPr>
        <sz val="10"/>
        <rFont val="Arial MT"/>
        <family val="2"/>
      </rPr>
      <t>BPU148</t>
    </r>
  </si>
  <si>
    <r>
      <rPr>
        <sz val="10"/>
        <rFont val="Arial MT"/>
        <family val="2"/>
      </rPr>
      <t>BPU149</t>
    </r>
  </si>
  <si>
    <t>08/04/2023</t>
  </si>
  <si>
    <r>
      <rPr>
        <sz val="10"/>
        <rFont val="Arial MT"/>
        <family val="2"/>
      </rPr>
      <t>BPU150</t>
    </r>
  </si>
  <si>
    <r>
      <rPr>
        <sz val="10"/>
        <rFont val="Arial MT"/>
        <family val="2"/>
      </rPr>
      <t>BPU151</t>
    </r>
  </si>
  <si>
    <r>
      <rPr>
        <sz val="10"/>
        <rFont val="Arial MT"/>
        <family val="2"/>
      </rPr>
      <t>BPU152</t>
    </r>
  </si>
  <si>
    <r>
      <rPr>
        <sz val="10"/>
        <rFont val="Arial MT"/>
        <family val="2"/>
      </rPr>
      <t>BPU153</t>
    </r>
  </si>
  <si>
    <r>
      <rPr>
        <sz val="10"/>
        <rFont val="Arial MT"/>
        <family val="2"/>
      </rPr>
      <t>06.05.02.</t>
    </r>
  </si>
  <si>
    <r>
      <rPr>
        <sz val="10"/>
        <rFont val="Arial MT"/>
        <family val="2"/>
      </rPr>
      <t xml:space="preserve">5.1.02.01.01.00
</t>
    </r>
    <r>
      <rPr>
        <sz val="10"/>
        <rFont val="Arial MT"/>
        <family val="2"/>
      </rPr>
      <t>37</t>
    </r>
  </si>
  <si>
    <t>Obat sakit kepala Panadol</t>
  </si>
  <si>
    <t>Obat-obatan untuk Persediaan UKS</t>
  </si>
  <si>
    <r>
      <rPr>
        <sz val="10"/>
        <rFont val="Arial MT"/>
        <family val="2"/>
      </rPr>
      <t>Kapas Pembalut 500 gr</t>
    </r>
  </si>
  <si>
    <t>Kapas Pembalut Sari Bunga</t>
  </si>
  <si>
    <r>
      <rPr>
        <sz val="10"/>
        <rFont val="Arial MT"/>
        <family val="2"/>
      </rPr>
      <t>BPU154</t>
    </r>
  </si>
  <si>
    <r>
      <rPr>
        <sz val="10"/>
        <rFont val="Arial MT"/>
        <family val="2"/>
      </rPr>
      <t xml:space="preserve">5.1.02.01.01.00
</t>
    </r>
    <r>
      <rPr>
        <sz val="10"/>
        <rFont val="Arial MT"/>
        <family val="2"/>
      </rPr>
      <t>76</t>
    </r>
  </si>
  <si>
    <t>03/04/2023</t>
  </si>
  <si>
    <r>
      <rPr>
        <sz val="10"/>
        <rFont val="Arial MT"/>
        <family val="2"/>
      </rPr>
      <t>baju Baku Tunggal silat</t>
    </r>
  </si>
  <si>
    <t>baju Baku Tunggal silat IPSI</t>
  </si>
  <si>
    <r>
      <rPr>
        <sz val="10"/>
        <rFont val="Arial MT"/>
        <family val="2"/>
      </rPr>
      <t>pc</t>
    </r>
  </si>
  <si>
    <r>
      <rPr>
        <sz val="10"/>
        <rFont val="Arial MT"/>
        <family val="2"/>
      </rPr>
      <t>Koteka/Pelindung organ vital</t>
    </r>
  </si>
  <si>
    <t>Koteka/Pelindung organ vital Genital</t>
  </si>
  <si>
    <r>
      <rPr>
        <sz val="10"/>
        <rFont val="Arial MT"/>
        <family val="2"/>
      </rPr>
      <t>Baju Katak Karate</t>
    </r>
  </si>
  <si>
    <r>
      <rPr>
        <sz val="10"/>
        <rFont val="Arial MT"/>
        <family val="2"/>
      </rPr>
      <t>Pc</t>
    </r>
  </si>
  <si>
    <r>
      <rPr>
        <sz val="10"/>
        <rFont val="Arial MT"/>
        <family val="2"/>
      </rPr>
      <t>BPU155</t>
    </r>
  </si>
  <si>
    <r>
      <rPr>
        <sz val="10"/>
        <rFont val="Arial MT"/>
        <family val="2"/>
      </rPr>
      <t xml:space="preserve">5.1.02.03.02.01
</t>
    </r>
    <r>
      <rPr>
        <sz val="10"/>
        <rFont val="Arial MT"/>
        <family val="2"/>
      </rPr>
      <t>17</t>
    </r>
  </si>
  <si>
    <r>
      <rPr>
        <sz val="10"/>
        <rFont val="Arial MT"/>
        <family val="2"/>
      </rPr>
      <t>Tali Bendera</t>
    </r>
  </si>
  <si>
    <t>Tali Bendera Royal</t>
  </si>
  <si>
    <t>Peralatan Pemeliharaan Sarana</t>
  </si>
  <si>
    <r>
      <rPr>
        <sz val="10"/>
        <rFont val="Arial MT"/>
        <family val="2"/>
      </rPr>
      <t>BPU156</t>
    </r>
  </si>
  <si>
    <r>
      <rPr>
        <sz val="10"/>
        <rFont val="Arial MT"/>
        <family val="2"/>
      </rPr>
      <t>07.05.65.</t>
    </r>
  </si>
  <si>
    <r>
      <rPr>
        <sz val="10"/>
        <rFont val="Arial MT"/>
        <family val="2"/>
      </rPr>
      <t xml:space="preserve">5.1.02.01.01.00
</t>
    </r>
    <r>
      <rPr>
        <sz val="10"/>
        <rFont val="Arial MT"/>
        <family val="2"/>
      </rPr>
      <t>27</t>
    </r>
  </si>
  <si>
    <r>
      <rPr>
        <sz val="10"/>
        <rFont val="Arial MT"/>
        <family val="2"/>
      </rPr>
      <t>Materai</t>
    </r>
  </si>
  <si>
    <t>Materai 10.000</t>
  </si>
  <si>
    <r>
      <rPr>
        <sz val="10"/>
        <rFont val="Arial MT"/>
        <family val="2"/>
      </rPr>
      <t>BPU157</t>
    </r>
  </si>
  <si>
    <t>02/05/2023</t>
  </si>
  <si>
    <t>03/05/2023</t>
  </si>
  <si>
    <t>Lakban Hitam Kecil (Length 5.0Cm, Width 5.0Cm, Height 5.0Cm, Weight 5Gr)</t>
  </si>
  <si>
    <t>Lakban Hitam Sedang Bahan Kain (Length 5.0Cm, Width 5.0Cm, Height 5.0Cm, Weight 5Gr)</t>
  </si>
  <si>
    <r>
      <rPr>
        <sz val="10"/>
        <rFont val="Arial MT"/>
        <family val="2"/>
      </rPr>
      <t>BPU158</t>
    </r>
  </si>
  <si>
    <r>
      <rPr>
        <sz val="10"/>
        <rFont val="Arial MT"/>
        <family val="2"/>
      </rPr>
      <t>06.01.02.</t>
    </r>
  </si>
  <si>
    <t>09/05/2023</t>
  </si>
  <si>
    <t>10/052023</t>
  </si>
  <si>
    <r>
      <rPr>
        <sz val="10"/>
        <rFont val="Arial MT"/>
        <family val="2"/>
      </rPr>
      <t>Spanduk</t>
    </r>
  </si>
  <si>
    <t>UD. Nisel Reklame</t>
  </si>
  <si>
    <t>Junius Laia</t>
  </si>
  <si>
    <r>
      <rPr>
        <sz val="10"/>
        <rFont val="Arial MT"/>
        <family val="2"/>
      </rPr>
      <t>BPU159</t>
    </r>
  </si>
  <si>
    <t>10/05/2023</t>
  </si>
  <si>
    <r>
      <rPr>
        <sz val="10"/>
        <rFont val="Arial MT"/>
        <family val="2"/>
      </rPr>
      <t>Raket Badminton</t>
    </r>
  </si>
  <si>
    <t>Raket Badminton Vega 6200</t>
  </si>
  <si>
    <r>
      <rPr>
        <sz val="10"/>
        <rFont val="Arial MT"/>
        <family val="2"/>
      </rPr>
      <t>Piringan Cakram</t>
    </r>
  </si>
  <si>
    <t>Piringan Cakram Sport Day</t>
  </si>
  <si>
    <r>
      <rPr>
        <sz val="10"/>
        <rFont val="Arial MT"/>
        <family val="2"/>
      </rPr>
      <t>Bet Tenis Meja</t>
    </r>
  </si>
  <si>
    <t>Bet Tenis Meja Donic</t>
  </si>
  <si>
    <r>
      <rPr>
        <sz val="10"/>
        <rFont val="Arial MT"/>
        <family val="2"/>
      </rPr>
      <t>BPU160</t>
    </r>
  </si>
  <si>
    <t>08/05/2023</t>
  </si>
  <si>
    <t>11//05/2023</t>
  </si>
  <si>
    <r>
      <rPr>
        <sz val="10"/>
        <rFont val="Arial MT"/>
        <family val="2"/>
      </rPr>
      <t>BPU161</t>
    </r>
  </si>
  <si>
    <r>
      <rPr>
        <sz val="10"/>
        <rFont val="Arial MT"/>
        <family val="2"/>
      </rPr>
      <t xml:space="preserve">5.1.02.03.04.00
</t>
    </r>
    <r>
      <rPr>
        <sz val="10"/>
        <rFont val="Arial MT"/>
        <family val="2"/>
      </rPr>
      <t>76</t>
    </r>
  </si>
  <si>
    <r>
      <rPr>
        <sz val="10"/>
        <rFont val="Arial MT"/>
        <family val="2"/>
      </rPr>
      <t>Dispenser</t>
    </r>
  </si>
  <si>
    <t>Dispenser Miyako</t>
  </si>
  <si>
    <r>
      <rPr>
        <sz val="10"/>
        <rFont val="Arial MT"/>
        <family val="2"/>
      </rPr>
      <t>BPU162</t>
    </r>
  </si>
  <si>
    <t>Dispenser Miyako Berdiri</t>
  </si>
  <si>
    <r>
      <rPr>
        <sz val="10"/>
        <rFont val="Arial MT"/>
        <family val="2"/>
      </rPr>
      <t>BPU163</t>
    </r>
  </si>
  <si>
    <r>
      <rPr>
        <sz val="10"/>
        <rFont val="Arial MT"/>
        <family val="2"/>
      </rPr>
      <t>03.03.11.</t>
    </r>
  </si>
  <si>
    <t>14/052023</t>
  </si>
  <si>
    <r>
      <rPr>
        <sz val="10"/>
        <rFont val="Arial MT"/>
        <family val="2"/>
      </rPr>
      <t>Aqua gelas kegiatan pengembangan diri: Menyadari Bahaya Rokok, Obat-obat Terlarang, dan Minuman Keras</t>
    </r>
  </si>
  <si>
    <r>
      <rPr>
        <sz val="10"/>
        <rFont val="Arial MT"/>
        <family val="2"/>
      </rPr>
      <t>BPU164</t>
    </r>
  </si>
  <si>
    <r>
      <rPr>
        <sz val="10"/>
        <rFont val="Arial MT"/>
        <family val="2"/>
      </rPr>
      <t>Aqua botol kegiatan pengembangan diri: Menyadari Bahaya Rokok, Obat-obat Terlarang, dan Minuman Keras</t>
    </r>
  </si>
  <si>
    <r>
      <rPr>
        <sz val="10"/>
        <rFont val="Arial MT"/>
        <family val="2"/>
      </rPr>
      <t>BPU165</t>
    </r>
  </si>
  <si>
    <r>
      <rPr>
        <sz val="10"/>
        <rFont val="Arial MT"/>
        <family val="2"/>
      </rPr>
      <t>Snack kegiatan pengembangan diri: Menyadari Bahaya Rokok, Obat-obat Terlarang, dan Minuman Keras</t>
    </r>
  </si>
  <si>
    <r>
      <rPr>
        <sz val="10"/>
        <rFont val="Arial MT"/>
        <family val="2"/>
      </rPr>
      <t>BPU166</t>
    </r>
  </si>
  <si>
    <r>
      <rPr>
        <sz val="10"/>
        <rFont val="Arial MT"/>
        <family val="2"/>
      </rPr>
      <t>BPU167</t>
    </r>
  </si>
  <si>
    <r>
      <rPr>
        <sz val="10"/>
        <rFont val="Arial MT"/>
        <family val="2"/>
      </rPr>
      <t>BPU168</t>
    </r>
  </si>
  <si>
    <r>
      <rPr>
        <sz val="10"/>
        <rFont val="Arial MT"/>
        <family val="2"/>
      </rPr>
      <t>BPU169</t>
    </r>
  </si>
  <si>
    <t>15/05/2023</t>
  </si>
  <si>
    <r>
      <rPr>
        <sz val="10"/>
        <rFont val="Arial MT"/>
        <family val="2"/>
      </rPr>
      <t>BPU170</t>
    </r>
  </si>
  <si>
    <r>
      <rPr>
        <sz val="10"/>
        <rFont val="Arial MT"/>
        <family val="2"/>
      </rPr>
      <t>BPU171</t>
    </r>
  </si>
  <si>
    <r>
      <rPr>
        <sz val="10"/>
        <rFont val="Arial MT"/>
        <family val="2"/>
      </rPr>
      <t>BPU172</t>
    </r>
  </si>
  <si>
    <r>
      <rPr>
        <sz val="10"/>
        <rFont val="Arial MT"/>
        <family val="2"/>
      </rPr>
      <t>Aqua botol kegiatan pendaftaran peserta didik baru</t>
    </r>
  </si>
  <si>
    <r>
      <rPr>
        <sz val="10"/>
        <rFont val="Arial MT"/>
        <family val="2"/>
      </rPr>
      <t>BPU173</t>
    </r>
  </si>
  <si>
    <r>
      <rPr>
        <sz val="10"/>
        <rFont val="Arial MT"/>
        <family val="2"/>
      </rPr>
      <t>BPU174</t>
    </r>
  </si>
  <si>
    <r>
      <rPr>
        <sz val="10"/>
        <rFont val="Arial MT"/>
        <family val="2"/>
      </rPr>
      <t>BPU175</t>
    </r>
  </si>
  <si>
    <r>
      <rPr>
        <sz val="10"/>
        <rFont val="Arial MT"/>
        <family val="2"/>
      </rPr>
      <t>BPU176</t>
    </r>
  </si>
  <si>
    <r>
      <rPr>
        <sz val="10"/>
        <rFont val="Arial MT"/>
        <family val="2"/>
      </rPr>
      <t xml:space="preserve">5.1.02.03.04.00
</t>
    </r>
    <r>
      <rPr>
        <sz val="10"/>
        <rFont val="Arial MT"/>
        <family val="2"/>
      </rPr>
      <t>75</t>
    </r>
  </si>
  <si>
    <t>Keran Air 1/2"</t>
  </si>
  <si>
    <t>Keran Air Onda</t>
  </si>
  <si>
    <r>
      <rPr>
        <sz val="10"/>
        <rFont val="Arial MT"/>
        <family val="2"/>
      </rPr>
      <t>BPU177</t>
    </r>
  </si>
  <si>
    <t>Pipa 1"</t>
  </si>
  <si>
    <t>Pipa Rucika</t>
  </si>
  <si>
    <r>
      <rPr>
        <sz val="10"/>
        <rFont val="Arial MT"/>
        <family val="2"/>
      </rPr>
      <t>BPU178</t>
    </r>
  </si>
  <si>
    <r>
      <rPr>
        <sz val="10"/>
        <rFont val="Arial MT"/>
        <family val="2"/>
      </rPr>
      <t>Elbow 1 1/2"</t>
    </r>
  </si>
  <si>
    <t>Elbow Rucika</t>
  </si>
  <si>
    <r>
      <rPr>
        <sz val="10"/>
        <rFont val="Arial MT"/>
        <family val="2"/>
      </rPr>
      <t>BPU179</t>
    </r>
  </si>
  <si>
    <r>
      <rPr>
        <sz val="10"/>
        <rFont val="Arial MT"/>
        <family val="2"/>
      </rPr>
      <t>Sambungan pipa</t>
    </r>
  </si>
  <si>
    <t>Sambungan pipa Rucika</t>
  </si>
  <si>
    <r>
      <rPr>
        <sz val="10"/>
        <rFont val="Arial MT"/>
        <family val="2"/>
      </rPr>
      <t>BPU180</t>
    </r>
  </si>
  <si>
    <t>16 Mei 2023</t>
  </si>
  <si>
    <r>
      <rPr>
        <sz val="10"/>
        <rFont val="Arial MT"/>
        <family val="2"/>
      </rPr>
      <t>BPU181</t>
    </r>
  </si>
  <si>
    <r>
      <rPr>
        <sz val="10"/>
        <rFont val="Arial MT"/>
        <family val="2"/>
      </rPr>
      <t>BPU182</t>
    </r>
  </si>
  <si>
    <r>
      <rPr>
        <sz val="10"/>
        <rFont val="Arial MT"/>
        <family val="2"/>
      </rPr>
      <t>BPU183</t>
    </r>
  </si>
  <si>
    <r>
      <rPr>
        <sz val="10"/>
        <rFont val="Arial MT"/>
        <family val="2"/>
      </rPr>
      <t>05.05.12.</t>
    </r>
  </si>
  <si>
    <r>
      <rPr>
        <sz val="10"/>
        <rFont val="Arial MT"/>
        <family val="2"/>
      </rPr>
      <t xml:space="preserve">5.1.02.03.02.04
</t>
    </r>
    <r>
      <rPr>
        <sz val="10"/>
        <rFont val="Arial MT"/>
        <family val="2"/>
      </rPr>
      <t>04</t>
    </r>
  </si>
  <si>
    <t>22 Mei 2023</t>
  </si>
  <si>
    <r>
      <rPr>
        <sz val="10"/>
        <rFont val="Arial MT"/>
        <family val="2"/>
      </rPr>
      <t>Perpanjangan hosting dan domain smansatelukdalam.sch.id</t>
    </r>
  </si>
  <si>
    <t>Perpanjangan Hosting</t>
  </si>
  <si>
    <r>
      <rPr>
        <sz val="10"/>
        <rFont val="Arial MT"/>
        <family val="2"/>
      </rPr>
      <t>Tahun</t>
    </r>
  </si>
  <si>
    <r>
      <rPr>
        <sz val="10"/>
        <rFont val="Arial MT"/>
        <family val="2"/>
      </rPr>
      <t>BPU184</t>
    </r>
  </si>
  <si>
    <r>
      <rPr>
        <sz val="10"/>
        <rFont val="Arial MT"/>
        <family val="2"/>
      </rPr>
      <t>08.06.47.</t>
    </r>
  </si>
  <si>
    <r>
      <rPr>
        <sz val="10"/>
        <rFont val="Arial MT"/>
        <family val="2"/>
      </rPr>
      <t xml:space="preserve">5.1.02.02.12.00
</t>
    </r>
    <r>
      <rPr>
        <sz val="10"/>
        <rFont val="Arial MT"/>
        <family val="2"/>
      </rPr>
      <t>01</t>
    </r>
  </si>
  <si>
    <r>
      <rPr>
        <sz val="10"/>
        <rFont val="Arial MT"/>
        <family val="2"/>
      </rPr>
      <t>Snack kegiatan workshop peningkatan kompetensi guru : Kurikulum Merdeka</t>
    </r>
  </si>
  <si>
    <r>
      <rPr>
        <sz val="10"/>
        <rFont val="Arial MT"/>
        <family val="2"/>
      </rPr>
      <t>BPU185</t>
    </r>
  </si>
  <si>
    <r>
      <rPr>
        <sz val="10"/>
        <rFont val="Arial MT"/>
        <family val="2"/>
      </rPr>
      <t>Aqua botol kegiatan workshop peningkatan kompetensi guru : Kurikulum Merdeka</t>
    </r>
  </si>
  <si>
    <r>
      <rPr>
        <sz val="10"/>
        <rFont val="Arial MT"/>
        <family val="2"/>
      </rPr>
      <t>BPU186</t>
    </r>
  </si>
  <si>
    <r>
      <rPr>
        <sz val="10"/>
        <rFont val="Arial MT"/>
        <family val="2"/>
      </rPr>
      <t>Penggandaan berkas/dokumen materi kegiatan workshop peningkatan kompetensi guru : Kurikulum Merdeka</t>
    </r>
  </si>
  <si>
    <t>Fotocopy berkas</t>
  </si>
  <si>
    <r>
      <rPr>
        <sz val="10"/>
        <rFont val="Arial MT"/>
        <family val="2"/>
      </rPr>
      <t>BPU187</t>
    </r>
  </si>
  <si>
    <r>
      <rPr>
        <sz val="10"/>
        <rFont val="Arial MT"/>
        <family val="2"/>
      </rPr>
      <t>Cetak sertifikat kegiatan workshop peningkatan kompetensi guru : Kurikulum Merdeka</t>
    </r>
  </si>
  <si>
    <t>Cetak Sertifikat</t>
  </si>
  <si>
    <r>
      <rPr>
        <sz val="10"/>
        <rFont val="Arial MT"/>
        <family val="2"/>
      </rPr>
      <t>BPU188</t>
    </r>
  </si>
  <si>
    <r>
      <rPr>
        <sz val="10"/>
        <rFont val="Arial MT"/>
        <family val="2"/>
      </rPr>
      <t>Honorarium Narasumber kegiatan workshop peningkatan kompetensi guru : Kurikulum Merdeka</t>
    </r>
  </si>
  <si>
    <t>Honorarius Narasumber</t>
  </si>
  <si>
    <r>
      <rPr>
        <sz val="10"/>
        <rFont val="Arial MT"/>
        <family val="2"/>
      </rPr>
      <t>BPU189</t>
    </r>
  </si>
  <si>
    <r>
      <rPr>
        <sz val="10"/>
        <rFont val="Arial MT"/>
        <family val="2"/>
      </rPr>
      <t>BPU190</t>
    </r>
  </si>
  <si>
    <r>
      <rPr>
        <sz val="10"/>
        <rFont val="Arial MT"/>
        <family val="2"/>
      </rPr>
      <t>BPU191</t>
    </r>
  </si>
  <si>
    <r>
      <rPr>
        <sz val="10"/>
        <rFont val="Arial MT"/>
        <family val="2"/>
      </rPr>
      <t>BPU192</t>
    </r>
  </si>
  <si>
    <r>
      <rPr>
        <sz val="10"/>
        <rFont val="Arial MT"/>
        <family val="2"/>
      </rPr>
      <t>BPU193</t>
    </r>
  </si>
  <si>
    <t>25 Mei 2023</t>
  </si>
  <si>
    <r>
      <rPr>
        <sz val="10"/>
        <rFont val="Arial MT"/>
        <family val="2"/>
      </rPr>
      <t>BPU194</t>
    </r>
  </si>
  <si>
    <r>
      <rPr>
        <sz val="10"/>
        <rFont val="Arial MT"/>
        <family val="2"/>
      </rPr>
      <t>BPU195</t>
    </r>
  </si>
  <si>
    <r>
      <rPr>
        <sz val="10"/>
        <rFont val="Arial MT"/>
        <family val="2"/>
      </rPr>
      <t>05.08.01.</t>
    </r>
  </si>
  <si>
    <r>
      <rPr>
        <sz val="10"/>
        <rFont val="Arial MT"/>
        <family val="2"/>
      </rPr>
      <t xml:space="preserve">5.2.02.05.02.00
</t>
    </r>
    <r>
      <rPr>
        <sz val="10"/>
        <rFont val="Arial MT"/>
        <family val="2"/>
      </rPr>
      <t>01</t>
    </r>
  </si>
  <si>
    <t>Meja Kayu/Rotan</t>
  </si>
  <si>
    <t>Meja Kayu</t>
  </si>
  <si>
    <r>
      <rPr>
        <sz val="10"/>
        <rFont val="Arial MT"/>
        <family val="2"/>
      </rPr>
      <t>BPU196</t>
    </r>
  </si>
  <si>
    <r>
      <rPr>
        <sz val="10"/>
        <rFont val="Arial MT"/>
        <family val="2"/>
      </rPr>
      <t>05.08.46.</t>
    </r>
  </si>
  <si>
    <r>
      <rPr>
        <sz val="10"/>
        <rFont val="Arial MT"/>
        <family val="2"/>
      </rPr>
      <t>pipa</t>
    </r>
  </si>
  <si>
    <r>
      <rPr>
        <sz val="10"/>
        <rFont val="Arial MT"/>
        <family val="2"/>
      </rPr>
      <t>batang</t>
    </r>
  </si>
  <si>
    <r>
      <rPr>
        <sz val="10"/>
        <rFont val="Arial MT"/>
        <family val="2"/>
      </rPr>
      <t>Besi</t>
    </r>
  </si>
  <si>
    <t>Besi Krakatau Steel</t>
  </si>
  <si>
    <r>
      <rPr>
        <sz val="10"/>
        <rFont val="Arial MT"/>
        <family val="2"/>
      </rPr>
      <t>Minyak Cat</t>
    </r>
  </si>
  <si>
    <t>Minyak Cat Dulux</t>
  </si>
  <si>
    <r>
      <rPr>
        <sz val="10"/>
        <rFont val="Arial MT"/>
        <family val="2"/>
      </rPr>
      <t>Kaleng</t>
    </r>
  </si>
  <si>
    <r>
      <rPr>
        <sz val="10"/>
        <rFont val="Arial MT"/>
        <family val="2"/>
      </rPr>
      <t>BPU197</t>
    </r>
  </si>
  <si>
    <r>
      <rPr>
        <sz val="10"/>
        <rFont val="Arial MT"/>
        <family val="2"/>
      </rPr>
      <t xml:space="preserve">5.1.02.01.01.00
</t>
    </r>
    <r>
      <rPr>
        <sz val="10"/>
        <rFont val="Arial MT"/>
        <family val="2"/>
      </rPr>
      <t>20</t>
    </r>
  </si>
  <si>
    <r>
      <rPr>
        <sz val="10"/>
        <rFont val="Arial MT"/>
        <family val="2"/>
      </rPr>
      <t>Tiner</t>
    </r>
  </si>
  <si>
    <t>Tiner nippon paint</t>
  </si>
  <si>
    <r>
      <rPr>
        <sz val="10"/>
        <rFont val="Arial MT"/>
        <family val="2"/>
      </rPr>
      <t>BPU198</t>
    </r>
  </si>
  <si>
    <r>
      <rPr>
        <sz val="10"/>
        <rFont val="Arial MT"/>
        <family val="2"/>
      </rPr>
      <t>Transportasi Peserta OSN Tingkat Propinsi</t>
    </r>
  </si>
  <si>
    <r>
      <rPr>
        <sz val="10"/>
        <rFont val="Arial MT"/>
        <family val="2"/>
      </rPr>
      <t>BPU199</t>
    </r>
  </si>
  <si>
    <r>
      <rPr>
        <sz val="10"/>
        <rFont val="Arial MT"/>
        <family val="2"/>
      </rPr>
      <t>Penginapan Peserta OSN Tingkat Propinsi</t>
    </r>
  </si>
  <si>
    <t>Penginapan Peserta</t>
  </si>
  <si>
    <r>
      <rPr>
        <sz val="10"/>
        <rFont val="Arial MT"/>
        <family val="2"/>
      </rPr>
      <t>BPU200</t>
    </r>
  </si>
  <si>
    <r>
      <rPr>
        <sz val="10"/>
        <rFont val="Arial MT"/>
        <family val="2"/>
      </rPr>
      <t>Uang Saku Siswa Peserta OSN Tingkat Propinsi</t>
    </r>
  </si>
  <si>
    <t>Uang Saku Siswa</t>
  </si>
  <si>
    <r>
      <rPr>
        <sz val="10"/>
        <rFont val="Arial MT"/>
        <family val="2"/>
      </rPr>
      <t>BPU201</t>
    </r>
  </si>
  <si>
    <r>
      <rPr>
        <sz val="10"/>
        <rFont val="Arial MT"/>
        <family val="2"/>
      </rPr>
      <t>Honor Pembimbing OSN Tingkat Propinsi</t>
    </r>
  </si>
  <si>
    <r>
      <rPr>
        <sz val="10"/>
        <rFont val="Arial MT"/>
        <family val="2"/>
      </rPr>
      <t>BPU202</t>
    </r>
  </si>
  <si>
    <r>
      <rPr>
        <sz val="10"/>
        <rFont val="Arial MT"/>
        <family val="2"/>
      </rPr>
      <t>05.08.50.</t>
    </r>
  </si>
  <si>
    <r>
      <rPr>
        <sz val="10"/>
        <rFont val="Arial MT"/>
        <family val="2"/>
      </rPr>
      <t xml:space="preserve">5.1.02.01.01.00
</t>
    </r>
    <r>
      <rPr>
        <sz val="10"/>
        <rFont val="Arial MT"/>
        <family val="2"/>
      </rPr>
      <t>29</t>
    </r>
  </si>
  <si>
    <r>
      <rPr>
        <sz val="10"/>
        <rFont val="Arial MT"/>
        <family val="2"/>
      </rPr>
      <t>Pengadaan Laptop</t>
    </r>
  </si>
  <si>
    <t>Laptop Acer</t>
  </si>
  <si>
    <r>
      <rPr>
        <sz val="10"/>
        <rFont val="Arial MT"/>
        <family val="2"/>
      </rPr>
      <t>BPU203</t>
    </r>
  </si>
  <si>
    <t>Kertas StensiI Fox</t>
  </si>
  <si>
    <t>Kertas Hvs 80 Gram Merk : Paper One A4, Ukuran : 8,27" X 11,69", Isi : 500 Lembar</t>
  </si>
  <si>
    <r>
      <rPr>
        <sz val="10"/>
        <rFont val="Arial MT"/>
        <family val="2"/>
      </rPr>
      <t>BPU204</t>
    </r>
  </si>
  <si>
    <r>
      <rPr>
        <sz val="10"/>
        <rFont val="Arial MT"/>
        <family val="2"/>
      </rPr>
      <t>BPU205</t>
    </r>
  </si>
  <si>
    <r>
      <rPr>
        <sz val="10"/>
        <rFont val="Arial MT"/>
        <family val="2"/>
      </rPr>
      <t>Tempat Sampah Tempat Sampah Double</t>
    </r>
  </si>
  <si>
    <r>
      <rPr>
        <sz val="10"/>
        <rFont val="Arial MT"/>
        <family val="2"/>
      </rPr>
      <t>BPU206</t>
    </r>
  </si>
  <si>
    <r>
      <rPr>
        <sz val="10"/>
        <rFont val="Arial MT"/>
        <family val="2"/>
      </rPr>
      <t>BPU207</t>
    </r>
  </si>
  <si>
    <r>
      <rPr>
        <sz val="10"/>
        <rFont val="Arial MT"/>
        <family val="2"/>
      </rPr>
      <t>Meja Tenis</t>
    </r>
  </si>
  <si>
    <t>Meja Tenis MDF-25</t>
  </si>
  <si>
    <r>
      <rPr>
        <sz val="10"/>
        <rFont val="Arial MT"/>
        <family val="2"/>
      </rPr>
      <t>BPU208</t>
    </r>
  </si>
  <si>
    <r>
      <rPr>
        <sz val="10"/>
        <rFont val="Arial MT"/>
        <family val="2"/>
      </rPr>
      <t>05.08.32.</t>
    </r>
  </si>
  <si>
    <r>
      <rPr>
        <sz val="10"/>
        <rFont val="Arial MT"/>
        <family val="2"/>
      </rPr>
      <t>Kotak Obat</t>
    </r>
  </si>
  <si>
    <t>Kotak Obat First Aid Box</t>
  </si>
  <si>
    <r>
      <rPr>
        <sz val="10"/>
        <rFont val="Arial MT"/>
        <family val="2"/>
      </rPr>
      <t>BPU209</t>
    </r>
  </si>
  <si>
    <r>
      <rPr>
        <sz val="10"/>
        <rFont val="Arial MT"/>
        <family val="2"/>
      </rPr>
      <t>08.04.17.</t>
    </r>
  </si>
  <si>
    <r>
      <rPr>
        <sz val="10"/>
        <rFont val="Arial MT"/>
        <family val="2"/>
      </rPr>
      <t xml:space="preserve">5.1.02.01.01.00
</t>
    </r>
    <r>
      <rPr>
        <sz val="10"/>
        <rFont val="Arial MT"/>
        <family val="2"/>
      </rPr>
      <t>35</t>
    </r>
  </si>
  <si>
    <r>
      <rPr>
        <sz val="10"/>
        <rFont val="Arial MT"/>
        <family val="2"/>
      </rPr>
      <t>Hadiah Lomba</t>
    </r>
  </si>
  <si>
    <r>
      <rPr>
        <sz val="10"/>
        <rFont val="Arial MT"/>
        <family val="2"/>
      </rPr>
      <t>BPU211</t>
    </r>
  </si>
  <si>
    <r>
      <rPr>
        <sz val="10"/>
        <rFont val="Arial MT"/>
        <family val="2"/>
      </rPr>
      <t>08.04.12.</t>
    </r>
  </si>
  <si>
    <t>Foto Copy Soal Ujian</t>
  </si>
  <si>
    <r>
      <rPr>
        <sz val="10"/>
        <rFont val="Arial MT"/>
        <family val="2"/>
      </rPr>
      <t>BPU212</t>
    </r>
  </si>
  <si>
    <r>
      <rPr>
        <sz val="10"/>
        <rFont val="Arial MT"/>
        <family val="2"/>
      </rPr>
      <t>BPU213</t>
    </r>
  </si>
  <si>
    <r>
      <rPr>
        <sz val="10"/>
        <rFont val="Arial MT"/>
        <family val="2"/>
      </rPr>
      <t>BPU214</t>
    </r>
  </si>
  <si>
    <r>
      <rPr>
        <sz val="10"/>
        <rFont val="Arial MT"/>
        <family val="2"/>
      </rPr>
      <t>BPU215</t>
    </r>
  </si>
  <si>
    <r>
      <rPr>
        <sz val="10"/>
        <rFont val="Arial MT"/>
        <family val="2"/>
      </rPr>
      <t>BPU216</t>
    </r>
  </si>
  <si>
    <r>
      <rPr>
        <sz val="10"/>
        <rFont val="Arial MT"/>
        <family val="2"/>
      </rPr>
      <t>BPU217</t>
    </r>
  </si>
  <si>
    <r>
      <rPr>
        <sz val="10"/>
        <rFont val="Arial MT"/>
        <family val="2"/>
      </rPr>
      <t>BPU218</t>
    </r>
  </si>
  <si>
    <r>
      <rPr>
        <sz val="10"/>
        <rFont val="Arial MT"/>
        <family val="2"/>
      </rPr>
      <t>Aqua Botol pada  kegiatan pendaftaran ulang peserta didik baru</t>
    </r>
  </si>
  <si>
    <r>
      <rPr>
        <sz val="10"/>
        <rFont val="Arial MT"/>
        <family val="2"/>
      </rPr>
      <t>BPU219</t>
    </r>
  </si>
  <si>
    <r>
      <rPr>
        <sz val="10"/>
        <rFont val="Arial MT"/>
        <family val="2"/>
      </rPr>
      <t>Snack panitia pada kegiatan pendaftaran ulang peserta didik baru</t>
    </r>
  </si>
  <si>
    <r>
      <rPr>
        <sz val="10"/>
        <rFont val="Arial MT"/>
        <family val="2"/>
      </rPr>
      <t>BPU220</t>
    </r>
  </si>
  <si>
    <r>
      <rPr>
        <sz val="10"/>
        <rFont val="Arial MT"/>
        <family val="2"/>
      </rPr>
      <t>BPU221</t>
    </r>
  </si>
  <si>
    <r>
      <rPr>
        <sz val="10"/>
        <rFont val="Arial MT"/>
        <family val="2"/>
      </rPr>
      <t>06.05.15.</t>
    </r>
  </si>
  <si>
    <r>
      <rPr>
        <sz val="10"/>
        <rFont val="Arial MT"/>
        <family val="2"/>
      </rPr>
      <t>aqua botol kegiatan rapat penyusunan visi dan misi sekolah yang disesuaikan dengan kurikulum merdeka</t>
    </r>
  </si>
  <si>
    <r>
      <rPr>
        <sz val="10"/>
        <rFont val="Arial MT"/>
        <family val="2"/>
      </rPr>
      <t>BPU222</t>
    </r>
  </si>
  <si>
    <r>
      <rPr>
        <sz val="10"/>
        <rFont val="Arial MT"/>
        <family val="2"/>
      </rPr>
      <t>BPU223</t>
    </r>
  </si>
  <si>
    <r>
      <rPr>
        <sz val="10"/>
        <rFont val="Arial MT"/>
        <family val="2"/>
      </rPr>
      <t>BPU224</t>
    </r>
  </si>
  <si>
    <r>
      <rPr>
        <sz val="10"/>
        <rFont val="Arial MT"/>
        <family val="2"/>
      </rPr>
      <t>Aqua botol pelaksanaan penilaian / ulangan Kenaikan Kelas</t>
    </r>
  </si>
  <si>
    <r>
      <rPr>
        <sz val="10"/>
        <rFont val="Arial MT"/>
        <family val="2"/>
      </rPr>
      <t>BPU225</t>
    </r>
  </si>
  <si>
    <r>
      <rPr>
        <sz val="10"/>
        <rFont val="Arial MT"/>
        <family val="2"/>
      </rPr>
      <t xml:space="preserve">5.1.02.02.01.00
</t>
    </r>
    <r>
      <rPr>
        <sz val="10"/>
        <rFont val="Arial MT"/>
        <family val="2"/>
      </rPr>
      <t>16</t>
    </r>
  </si>
  <si>
    <r>
      <rPr>
        <sz val="10"/>
        <rFont val="Arial MT"/>
        <family val="2"/>
      </rPr>
      <t>Upah Tukang pada Kegiatan Pemeliharaan Pagar dan Tangga Sekolah</t>
    </r>
  </si>
  <si>
    <t>Upah Perbaikan Tangga dan Pagar Sekolah</t>
  </si>
  <si>
    <r>
      <rPr>
        <sz val="10"/>
        <rFont val="Arial MT"/>
        <family val="2"/>
      </rPr>
      <t>BPU226</t>
    </r>
  </si>
  <si>
    <r>
      <rPr>
        <sz val="10"/>
        <rFont val="Arial MT"/>
        <family val="2"/>
      </rPr>
      <t>BPU227</t>
    </r>
  </si>
  <si>
    <r>
      <rPr>
        <sz val="10"/>
        <rFont val="Arial MT"/>
        <family val="2"/>
      </rPr>
      <t>BPU228</t>
    </r>
  </si>
  <si>
    <r>
      <rPr>
        <sz val="10"/>
        <rFont val="Arial MT"/>
        <family val="2"/>
      </rPr>
      <t>BPU229</t>
    </r>
  </si>
  <si>
    <r>
      <rPr>
        <sz val="10"/>
        <rFont val="Arial MT"/>
        <family val="2"/>
      </rPr>
      <t>BPU230</t>
    </r>
  </si>
  <si>
    <r>
      <rPr>
        <sz val="10"/>
        <rFont val="Arial MT"/>
        <family val="2"/>
      </rPr>
      <t>Aqua botol kegiatan workshop peningkatan kompetensi guru : Pemanfaatan Aplikasi Merdeka Mengajar dan Belajar</t>
    </r>
  </si>
  <si>
    <r>
      <rPr>
        <sz val="10"/>
        <rFont val="Arial MT"/>
        <family val="2"/>
      </rPr>
      <t>BPU231</t>
    </r>
  </si>
  <si>
    <r>
      <rPr>
        <sz val="10"/>
        <rFont val="Arial MT"/>
        <family val="2"/>
      </rPr>
      <t>Penggandaan berkas/dokumen materi kegiatan workshop peningkatan kompetensi guru : Pemanfaatan Aplikasi Merdeka Mengajar dan Belajar</t>
    </r>
  </si>
  <si>
    <t>Fotocopy Berkas</t>
  </si>
  <si>
    <r>
      <rPr>
        <sz val="10"/>
        <rFont val="Arial MT"/>
        <family val="2"/>
      </rPr>
      <t>BPU232</t>
    </r>
  </si>
  <si>
    <r>
      <rPr>
        <sz val="10"/>
        <rFont val="Arial MT"/>
        <family val="2"/>
      </rPr>
      <t>Cetak sertifikat kegiatan workshop peningkatan kompetensi guru : Pemanfaatan Aplikasi Merdeka Mengajar dan Belajar</t>
    </r>
  </si>
  <si>
    <t>Cetak sertifikat</t>
  </si>
  <si>
    <r>
      <rPr>
        <sz val="10"/>
        <rFont val="Arial MT"/>
        <family val="2"/>
      </rPr>
      <t>BPU233</t>
    </r>
  </si>
  <si>
    <r>
      <rPr>
        <sz val="10"/>
        <rFont val="Arial MT"/>
        <family val="2"/>
      </rPr>
      <t>Honorarium Narasumber kegiatan workshop peningkatan kompetensi guru : Pemanfaatan Aplikasi Merdeka Mengajar dan Belajar</t>
    </r>
  </si>
  <si>
    <r>
      <rPr>
        <sz val="10"/>
        <rFont val="Arial MT"/>
        <family val="2"/>
      </rPr>
      <t>BPU234</t>
    </r>
  </si>
  <si>
    <r>
      <rPr>
        <sz val="10"/>
        <rFont val="Arial MT"/>
        <family val="2"/>
      </rPr>
      <t>Snack kegiatan workshop peningkatan kompetensi guru : Pemanfaatan Aplikasi Merdeka Mengajar dan Belajar</t>
    </r>
  </si>
  <si>
    <r>
      <rPr>
        <sz val="10"/>
        <rFont val="Arial MT"/>
        <family val="2"/>
      </rPr>
      <t>BPU235</t>
    </r>
  </si>
  <si>
    <r>
      <rPr>
        <sz val="10"/>
        <rFont val="Arial MT"/>
        <family val="2"/>
      </rPr>
      <t>07.05.60.</t>
    </r>
  </si>
  <si>
    <r>
      <rPr>
        <sz val="10"/>
        <rFont val="Arial MT"/>
        <family val="2"/>
      </rPr>
      <t xml:space="preserve">5.1.02.02.01.00
</t>
    </r>
    <r>
      <rPr>
        <sz val="10"/>
        <rFont val="Arial MT"/>
        <family val="2"/>
      </rPr>
      <t>64</t>
    </r>
  </si>
  <si>
    <r>
      <rPr>
        <sz val="10"/>
        <rFont val="Arial MT"/>
        <family val="2"/>
      </rPr>
      <t>Jasa Pengiriman Urusan Administrasi Sekolah</t>
    </r>
  </si>
  <si>
    <t>Biaya Pengiriman Berkas Sekolah</t>
  </si>
  <si>
    <r>
      <rPr>
        <sz val="10"/>
        <rFont val="Arial MT"/>
        <family val="2"/>
      </rPr>
      <t>BPU236</t>
    </r>
  </si>
  <si>
    <r>
      <rPr>
        <sz val="10"/>
        <rFont val="Arial MT"/>
        <family val="2"/>
      </rPr>
      <t>BPU237</t>
    </r>
  </si>
  <si>
    <r>
      <rPr>
        <sz val="10"/>
        <rFont val="Arial MT"/>
        <family val="2"/>
      </rPr>
      <t>BPU238</t>
    </r>
  </si>
  <si>
    <r>
      <rPr>
        <sz val="10"/>
        <rFont val="Arial MT"/>
        <family val="2"/>
      </rPr>
      <t>BPU239</t>
    </r>
  </si>
  <si>
    <r>
      <rPr>
        <sz val="10"/>
        <rFont val="Arial MT"/>
        <family val="2"/>
      </rPr>
      <t>BPU240</t>
    </r>
  </si>
  <si>
    <r>
      <rPr>
        <sz val="10"/>
        <rFont val="Arial MT"/>
        <family val="2"/>
      </rPr>
      <t>Kursi Biasa</t>
    </r>
  </si>
  <si>
    <t>Kursi Biasa Twin Pan</t>
  </si>
  <si>
    <r>
      <rPr>
        <sz val="10"/>
        <rFont val="Arial MT"/>
        <family val="2"/>
      </rPr>
      <t>BPU241</t>
    </r>
  </si>
  <si>
    <r>
      <rPr>
        <sz val="10"/>
        <rFont val="Arial MT"/>
        <family val="2"/>
      </rPr>
      <t>Buku Tulis</t>
    </r>
  </si>
  <si>
    <t>Buku Tulis Big Boss</t>
  </si>
  <si>
    <r>
      <rPr>
        <sz val="10"/>
        <rFont val="Arial MT"/>
        <family val="2"/>
      </rPr>
      <t>BPU242</t>
    </r>
  </si>
  <si>
    <r>
      <rPr>
        <sz val="10"/>
        <rFont val="Arial MT"/>
        <family val="2"/>
      </rPr>
      <t>Snack pelaksanaan penilaian / ulangan Kenaikan Kelas</t>
    </r>
  </si>
  <si>
    <r>
      <rPr>
        <sz val="10"/>
        <rFont val="Arial MT"/>
        <family val="2"/>
      </rPr>
      <t>BPU357</t>
    </r>
  </si>
  <si>
    <r>
      <rPr>
        <sz val="10"/>
        <rFont val="Arial MT"/>
        <family val="2"/>
      </rPr>
      <t>05.08.07.</t>
    </r>
  </si>
  <si>
    <r>
      <rPr>
        <sz val="10"/>
        <rFont val="Arial MT"/>
        <family val="2"/>
      </rPr>
      <t>Kuas</t>
    </r>
  </si>
  <si>
    <t>Kuas Crocodile</t>
  </si>
  <si>
    <r>
      <rPr>
        <sz val="10"/>
        <rFont val="Arial MT"/>
        <family val="2"/>
      </rPr>
      <t>Rol Kuas</t>
    </r>
  </si>
  <si>
    <t>Rol Kuas Crocodile</t>
  </si>
  <si>
    <r>
      <rPr>
        <sz val="10"/>
        <rFont val="Arial MT"/>
        <family val="2"/>
      </rPr>
      <t>cat</t>
    </r>
  </si>
  <si>
    <t>Cat Nippon Paint</t>
  </si>
  <si>
    <r>
      <rPr>
        <sz val="10"/>
        <rFont val="Arial MT"/>
        <family val="2"/>
      </rPr>
      <t>Galon</t>
    </r>
  </si>
  <si>
    <r>
      <rPr>
        <sz val="10"/>
        <rFont val="Arial MT"/>
        <family val="2"/>
      </rPr>
      <t>BPU358</t>
    </r>
  </si>
  <si>
    <r>
      <rPr>
        <sz val="10"/>
        <rFont val="Arial MT"/>
        <family val="2"/>
      </rPr>
      <t>Plat</t>
    </r>
  </si>
  <si>
    <t>Plat Wiramas</t>
  </si>
  <si>
    <r>
      <rPr>
        <sz val="10"/>
        <rFont val="Arial MT"/>
        <family val="2"/>
      </rPr>
      <t>BPU359</t>
    </r>
  </si>
  <si>
    <r>
      <rPr>
        <sz val="10"/>
        <rFont val="Arial MT"/>
        <family val="2"/>
      </rPr>
      <t>BPU360</t>
    </r>
  </si>
  <si>
    <t>GESTIWAN ZEBUA</t>
  </si>
  <si>
    <r>
      <rPr>
        <sz val="10"/>
        <rFont val="Arial MT"/>
        <family val="2"/>
      </rPr>
      <t>Amplop Panjang Putih Polos Amplop polos Ukuran 15,2 x 9,5</t>
    </r>
  </si>
  <si>
    <t xml:space="preserve">Kertas Label </t>
  </si>
  <si>
    <t>Kertas Label  Kojico</t>
  </si>
  <si>
    <r>
      <rPr>
        <sz val="10"/>
        <rFont val="Arial MT"/>
        <family val="2"/>
      </rPr>
      <t>BPU361</t>
    </r>
  </si>
  <si>
    <r>
      <rPr>
        <sz val="10"/>
        <rFont val="Arial MT"/>
        <family val="2"/>
      </rPr>
      <t>06.01.13.</t>
    </r>
  </si>
  <si>
    <r>
      <rPr>
        <sz val="10"/>
        <rFont val="Arial MT"/>
        <family val="2"/>
      </rPr>
      <t>BPU362</t>
    </r>
  </si>
  <si>
    <r>
      <rPr>
        <sz val="10"/>
        <rFont val="Arial MT"/>
        <family val="2"/>
      </rPr>
      <t>Sorok sampah</t>
    </r>
  </si>
  <si>
    <r>
      <rPr>
        <sz val="10"/>
        <rFont val="Arial MT"/>
        <family val="2"/>
      </rPr>
      <t>BPU363</t>
    </r>
  </si>
  <si>
    <r>
      <rPr>
        <sz val="10"/>
        <rFont val="Arial MT"/>
        <family val="2"/>
      </rPr>
      <t>Konsumsi pelaksanaan kegiatan orientasi siswa baru yang bersifat akademik dan pengenalan lingkungan tanpa kekerasan</t>
    </r>
  </si>
  <si>
    <t>Dolli Sinaga</t>
  </si>
  <si>
    <t>Jl. Ahmad Yani Telukdalam</t>
  </si>
  <si>
    <r>
      <rPr>
        <sz val="10"/>
        <rFont val="Arial MT"/>
        <family val="2"/>
      </rPr>
      <t>BPU364</t>
    </r>
  </si>
  <si>
    <r>
      <rPr>
        <sz val="10"/>
        <rFont val="Arial MT"/>
        <family val="2"/>
      </rPr>
      <t>Aqua botol pelaksanaan kegiatan orientasi siswa baru yang bersifat akademik dan pengenalan lingkungan tanpa kekerasan</t>
    </r>
  </si>
  <si>
    <r>
      <rPr>
        <sz val="10"/>
        <rFont val="Arial MT"/>
        <family val="2"/>
      </rPr>
      <t>Aqua gelas pelaksanaan kegiatan orientasi siswa baru yang bersifat akademik dan pengenalan lingkungan tanpa kekerasan</t>
    </r>
  </si>
  <si>
    <r>
      <rPr>
        <sz val="10"/>
        <rFont val="Arial MT"/>
        <family val="2"/>
      </rPr>
      <t>Snack pelaksanaan kegiatan orientasi siswa baru yang bersifat akademik dan pengenalan lingkungan tanpa kekerasan</t>
    </r>
  </si>
  <si>
    <r>
      <rPr>
        <sz val="10"/>
        <rFont val="Arial MT"/>
        <family val="2"/>
      </rPr>
      <t>BPU365</t>
    </r>
  </si>
  <si>
    <r>
      <rPr>
        <sz val="10"/>
        <rFont val="Arial MT"/>
        <family val="2"/>
      </rPr>
      <t>BPU366</t>
    </r>
  </si>
  <si>
    <r>
      <rPr>
        <sz val="10"/>
        <rFont val="Arial MT"/>
        <family val="2"/>
      </rPr>
      <t>BPU367</t>
    </r>
  </si>
  <si>
    <r>
      <rPr>
        <sz val="10"/>
        <rFont val="Arial MT"/>
        <family val="2"/>
      </rPr>
      <t>Air Mineral botol 600ml pada kegiatan penyusunan program kurikulum semester genap TP. 2023/2024</t>
    </r>
  </si>
  <si>
    <r>
      <rPr>
        <sz val="10"/>
        <rFont val="Arial MT"/>
        <family val="2"/>
      </rPr>
      <t>BPU368</t>
    </r>
  </si>
  <si>
    <r>
      <rPr>
        <sz val="10"/>
        <rFont val="Arial MT"/>
        <family val="2"/>
      </rPr>
      <t>BPU369</t>
    </r>
  </si>
  <si>
    <r>
      <rPr>
        <sz val="10"/>
        <rFont val="Arial MT"/>
        <family val="2"/>
      </rPr>
      <t>BPU370</t>
    </r>
  </si>
  <si>
    <r>
      <rPr>
        <sz val="10"/>
        <rFont val="Arial MT"/>
        <family val="2"/>
      </rPr>
      <t>Ring dan Jaring Basket</t>
    </r>
  </si>
  <si>
    <r>
      <rPr>
        <sz val="10"/>
        <rFont val="Arial MT"/>
        <family val="2"/>
      </rPr>
      <t>Shuttlecock</t>
    </r>
  </si>
  <si>
    <r>
      <rPr>
        <sz val="10"/>
        <rFont val="Arial MT"/>
        <family val="2"/>
      </rPr>
      <t>BPU371</t>
    </r>
  </si>
  <si>
    <r>
      <rPr>
        <sz val="10"/>
        <rFont val="Arial MT"/>
        <family val="2"/>
      </rPr>
      <t>05.03.61.</t>
    </r>
  </si>
  <si>
    <r>
      <rPr>
        <sz val="10"/>
        <rFont val="Arial MT"/>
        <family val="2"/>
      </rPr>
      <t xml:space="preserve">5.1.02.01.01.00
</t>
    </r>
    <r>
      <rPr>
        <sz val="10"/>
        <rFont val="Arial MT"/>
        <family val="2"/>
      </rPr>
      <t>16</t>
    </r>
  </si>
  <si>
    <r>
      <rPr>
        <sz val="10"/>
        <rFont val="Arial MT"/>
        <family val="2"/>
      </rPr>
      <t>Respirometer</t>
    </r>
  </si>
  <si>
    <t>Respirometer Rofa</t>
  </si>
  <si>
    <t>Peralatan LAB</t>
  </si>
  <si>
    <r>
      <rPr>
        <sz val="10"/>
        <rFont val="Arial MT"/>
        <family val="2"/>
      </rPr>
      <t>BPU372</t>
    </r>
  </si>
  <si>
    <r>
      <rPr>
        <sz val="10"/>
        <rFont val="Arial MT"/>
        <family val="2"/>
      </rPr>
      <t>BPU373</t>
    </r>
  </si>
  <si>
    <r>
      <rPr>
        <sz val="10"/>
        <rFont val="Arial MT"/>
        <family val="2"/>
      </rPr>
      <t>BPU374</t>
    </r>
  </si>
  <si>
    <r>
      <rPr>
        <sz val="10"/>
        <rFont val="Arial MT"/>
        <family val="2"/>
      </rPr>
      <t>BPU375</t>
    </r>
  </si>
  <si>
    <r>
      <rPr>
        <sz val="10"/>
        <rFont val="Arial MT"/>
        <family val="2"/>
      </rPr>
      <t>BPU376</t>
    </r>
  </si>
  <si>
    <r>
      <rPr>
        <sz val="10"/>
        <rFont val="Arial MT"/>
        <family val="2"/>
      </rPr>
      <t>BPU377</t>
    </r>
  </si>
  <si>
    <r>
      <rPr>
        <sz val="10"/>
        <rFont val="Arial MT"/>
        <family val="2"/>
      </rPr>
      <t>BPU378</t>
    </r>
  </si>
  <si>
    <r>
      <rPr>
        <sz val="10"/>
        <rFont val="Arial MT"/>
        <family val="2"/>
      </rPr>
      <t>BPU379</t>
    </r>
  </si>
  <si>
    <r>
      <rPr>
        <sz val="10"/>
        <rFont val="Arial MT"/>
        <family val="2"/>
      </rPr>
      <t>BPU380</t>
    </r>
  </si>
  <si>
    <r>
      <rPr>
        <sz val="10"/>
        <rFont val="Arial MT"/>
        <family val="2"/>
      </rPr>
      <t>BPU381</t>
    </r>
  </si>
  <si>
    <r>
      <rPr>
        <sz val="10"/>
        <rFont val="Arial MT"/>
        <family val="2"/>
      </rPr>
      <t>06.03.22.</t>
    </r>
  </si>
  <si>
    <r>
      <rPr>
        <sz val="10"/>
        <rFont val="Arial MT"/>
        <family val="2"/>
      </rPr>
      <t>Belanja kegiatan penyusunan program BP/BK</t>
    </r>
  </si>
  <si>
    <r>
      <rPr>
        <sz val="10"/>
        <rFont val="Arial MT"/>
        <family val="2"/>
      </rPr>
      <t>BPU382</t>
    </r>
  </si>
  <si>
    <r>
      <rPr>
        <sz val="10"/>
        <rFont val="Arial MT"/>
        <family val="2"/>
      </rPr>
      <t>BPU383</t>
    </r>
  </si>
  <si>
    <r>
      <rPr>
        <sz val="10"/>
        <rFont val="Arial MT"/>
        <family val="2"/>
      </rPr>
      <t>BPU384</t>
    </r>
  </si>
  <si>
    <r>
      <rPr>
        <sz val="10"/>
        <rFont val="Arial MT"/>
        <family val="2"/>
      </rPr>
      <t>BPU385</t>
    </r>
  </si>
  <si>
    <r>
      <rPr>
        <sz val="10"/>
        <rFont val="Arial MT"/>
        <family val="2"/>
      </rPr>
      <t>BPU386</t>
    </r>
  </si>
  <si>
    <r>
      <rPr>
        <sz val="10"/>
        <rFont val="Arial MT"/>
        <family val="2"/>
      </rPr>
      <t>BPU387</t>
    </r>
  </si>
  <si>
    <r>
      <rPr>
        <sz val="10"/>
        <rFont val="Arial MT"/>
        <family val="2"/>
      </rPr>
      <t>BPU388</t>
    </r>
  </si>
  <si>
    <r>
      <rPr>
        <sz val="10"/>
        <rFont val="Arial MT"/>
        <family val="2"/>
      </rPr>
      <t>BPU389</t>
    </r>
  </si>
  <si>
    <r>
      <rPr>
        <sz val="10"/>
        <rFont val="Arial MT"/>
        <family val="2"/>
      </rPr>
      <t>BPU390</t>
    </r>
  </si>
  <si>
    <r>
      <rPr>
        <sz val="10"/>
        <rFont val="Arial MT"/>
        <family val="2"/>
      </rPr>
      <t>BPU391</t>
    </r>
  </si>
  <si>
    <r>
      <rPr>
        <sz val="10"/>
        <rFont val="Arial MT"/>
        <family val="2"/>
      </rPr>
      <t xml:space="preserve">5.1.02.02.04.03
</t>
    </r>
    <r>
      <rPr>
        <sz val="10"/>
        <rFont val="Arial MT"/>
        <family val="2"/>
      </rPr>
      <t>13</t>
    </r>
  </si>
  <si>
    <r>
      <rPr>
        <sz val="10"/>
        <rFont val="Arial MT"/>
        <family val="2"/>
      </rPr>
      <t>Model-model Organ Tubuh Manusia</t>
    </r>
  </si>
  <si>
    <t>Organ tubuh manusia</t>
  </si>
  <si>
    <r>
      <rPr>
        <sz val="10"/>
        <rFont val="Arial MT"/>
        <family val="2"/>
      </rPr>
      <t>BPU392</t>
    </r>
  </si>
  <si>
    <r>
      <rPr>
        <sz val="10"/>
        <rFont val="Arial MT"/>
        <family val="2"/>
      </rPr>
      <t>04.06.50.</t>
    </r>
  </si>
  <si>
    <t>Transportasi GTK dalam rangka mengimbas GMP ke sekolah lain</t>
  </si>
  <si>
    <t xml:space="preserve">Transportasi GTK </t>
  </si>
  <si>
    <r>
      <rPr>
        <sz val="10"/>
        <rFont val="Arial MT"/>
        <family val="2"/>
      </rPr>
      <t>BPU393</t>
    </r>
  </si>
  <si>
    <r>
      <rPr>
        <sz val="10"/>
        <rFont val="Arial MT"/>
        <family val="2"/>
      </rPr>
      <t>BPU394</t>
    </r>
  </si>
  <si>
    <r>
      <rPr>
        <sz val="10"/>
        <rFont val="Arial MT"/>
        <family val="2"/>
      </rPr>
      <t>Upah tukang dalam rangka pengecatan ruang kelas</t>
    </r>
  </si>
  <si>
    <t>Upah Mengecat Ruang Kelas</t>
  </si>
  <si>
    <r>
      <rPr>
        <sz val="10"/>
        <rFont val="Arial MT"/>
        <family val="2"/>
      </rPr>
      <t>BPU395</t>
    </r>
  </si>
  <si>
    <r>
      <rPr>
        <sz val="10"/>
        <rFont val="Arial MT"/>
        <family val="2"/>
      </rPr>
      <t>BPU396</t>
    </r>
  </si>
  <si>
    <r>
      <rPr>
        <sz val="10"/>
        <rFont val="Arial MT"/>
        <family val="2"/>
      </rPr>
      <t>BPU397</t>
    </r>
  </si>
  <si>
    <t>Jl. Diponegoro kelurahan pasar Telukdalam, Telukdalam - Nias Selatan</t>
  </si>
  <si>
    <r>
      <rPr>
        <sz val="10"/>
        <rFont val="Arial MT"/>
        <family val="2"/>
      </rPr>
      <t>BPU398</t>
    </r>
  </si>
  <si>
    <r>
      <rPr>
        <sz val="10"/>
        <rFont val="Arial MT"/>
        <family val="2"/>
      </rPr>
      <t>BPU399</t>
    </r>
  </si>
  <si>
    <r>
      <rPr>
        <sz val="10"/>
        <rFont val="Arial MT"/>
        <family val="2"/>
      </rPr>
      <t>Konsumsi kegiatan pengembangan diri: Menyadari Bahaya Rokok, Obat-obat Terlarang, dan Minuman Keras</t>
    </r>
  </si>
  <si>
    <r>
      <rPr>
        <sz val="10"/>
        <rFont val="Arial MT"/>
        <family val="2"/>
      </rPr>
      <t>BPU400</t>
    </r>
  </si>
  <si>
    <r>
      <rPr>
        <sz val="10"/>
        <rFont val="Arial MT"/>
        <family val="2"/>
      </rPr>
      <t>BPU401</t>
    </r>
  </si>
  <si>
    <r>
      <rPr>
        <sz val="10"/>
        <rFont val="Arial MT"/>
        <family val="2"/>
      </rPr>
      <t>BPU402</t>
    </r>
  </si>
  <si>
    <r>
      <rPr>
        <sz val="10"/>
        <rFont val="Arial MT"/>
        <family val="2"/>
      </rPr>
      <t>BPU403</t>
    </r>
  </si>
  <si>
    <r>
      <rPr>
        <sz val="10"/>
        <rFont val="Arial MT"/>
        <family val="2"/>
      </rPr>
      <t>BPU404</t>
    </r>
  </si>
  <si>
    <r>
      <rPr>
        <sz val="10"/>
        <rFont val="Arial MT"/>
        <family val="2"/>
      </rPr>
      <t>BPU405</t>
    </r>
  </si>
  <si>
    <r>
      <rPr>
        <sz val="10"/>
        <rFont val="Arial MT"/>
        <family val="2"/>
      </rPr>
      <t>BPU406</t>
    </r>
  </si>
  <si>
    <r>
      <rPr>
        <sz val="10"/>
        <rFont val="Arial MT"/>
        <family val="2"/>
      </rPr>
      <t>BPU407</t>
    </r>
  </si>
  <si>
    <r>
      <rPr>
        <sz val="10"/>
        <rFont val="Arial MT"/>
        <family val="2"/>
      </rPr>
      <t>BPU408</t>
    </r>
  </si>
  <si>
    <r>
      <rPr>
        <sz val="10"/>
        <rFont val="Arial MT"/>
        <family val="2"/>
      </rPr>
      <t>BPU409</t>
    </r>
  </si>
  <si>
    <r>
      <rPr>
        <sz val="10"/>
        <rFont val="Arial MT"/>
        <family val="2"/>
      </rPr>
      <t>BPU410</t>
    </r>
  </si>
  <si>
    <r>
      <rPr>
        <sz val="10"/>
        <rFont val="Arial MT"/>
        <family val="2"/>
      </rPr>
      <t>BPU411</t>
    </r>
  </si>
  <si>
    <r>
      <rPr>
        <sz val="10"/>
        <rFont val="Arial MT"/>
        <family val="2"/>
      </rPr>
      <t>BPU412</t>
    </r>
  </si>
  <si>
    <r>
      <rPr>
        <sz val="10"/>
        <rFont val="Arial MT"/>
        <family val="2"/>
      </rPr>
      <t>BPU413</t>
    </r>
  </si>
  <si>
    <r>
      <rPr>
        <sz val="10"/>
        <rFont val="Arial MT"/>
        <family val="2"/>
      </rPr>
      <t>BPU414</t>
    </r>
  </si>
  <si>
    <r>
      <rPr>
        <sz val="10"/>
        <rFont val="Arial MT"/>
        <family val="2"/>
      </rPr>
      <t>BPU415</t>
    </r>
  </si>
  <si>
    <r>
      <rPr>
        <sz val="10"/>
        <rFont val="Arial MT"/>
        <family val="2"/>
      </rPr>
      <t>BPU416</t>
    </r>
  </si>
  <si>
    <r>
      <rPr>
        <sz val="10"/>
        <rFont val="Arial MT"/>
        <family val="2"/>
      </rPr>
      <t>BPU417</t>
    </r>
  </si>
  <si>
    <r>
      <rPr>
        <sz val="10"/>
        <rFont val="Arial MT"/>
        <family val="2"/>
      </rPr>
      <t>BPU418</t>
    </r>
  </si>
  <si>
    <r>
      <rPr>
        <sz val="10"/>
        <rFont val="Arial MT"/>
        <family val="2"/>
      </rPr>
      <t>BPU419</t>
    </r>
  </si>
  <si>
    <r>
      <rPr>
        <sz val="10"/>
        <rFont val="Arial MT"/>
        <family val="2"/>
      </rPr>
      <t>BPU420</t>
    </r>
  </si>
  <si>
    <r>
      <rPr>
        <sz val="10"/>
        <rFont val="Arial MT"/>
        <family val="2"/>
      </rPr>
      <t>08.04.30.</t>
    </r>
  </si>
  <si>
    <r>
      <rPr>
        <sz val="10"/>
        <rFont val="Arial MT"/>
        <family val="2"/>
      </rPr>
      <t>Snack pelaksanaan simulasi asesmen nasional</t>
    </r>
  </si>
  <si>
    <r>
      <rPr>
        <sz val="10"/>
        <rFont val="Arial MT"/>
        <family val="2"/>
      </rPr>
      <t>Aqua gelas pelaksanaan simulasi asesmen nasional</t>
    </r>
  </si>
  <si>
    <r>
      <rPr>
        <sz val="10"/>
        <rFont val="Arial MT"/>
        <family val="2"/>
      </rPr>
      <t>Aqua botol pelaksanaan simulasi asesmen nasional</t>
    </r>
  </si>
  <si>
    <r>
      <rPr>
        <sz val="10"/>
        <rFont val="Arial MT"/>
        <family val="2"/>
      </rPr>
      <t>BPU421</t>
    </r>
  </si>
  <si>
    <r>
      <rPr>
        <sz val="10"/>
        <rFont val="Arial MT"/>
        <family val="2"/>
      </rPr>
      <t>BPU422</t>
    </r>
  </si>
  <si>
    <r>
      <rPr>
        <sz val="10"/>
        <rFont val="Arial MT"/>
        <family val="2"/>
      </rPr>
      <t>05.05.71.</t>
    </r>
  </si>
  <si>
    <r>
      <rPr>
        <sz val="10"/>
        <rFont val="Arial MT"/>
        <family val="2"/>
      </rPr>
      <t xml:space="preserve">5.2.02.05.01.00
</t>
    </r>
    <r>
      <rPr>
        <sz val="10"/>
        <rFont val="Arial MT"/>
        <family val="2"/>
      </rPr>
      <t>05</t>
    </r>
  </si>
  <si>
    <r>
      <rPr>
        <sz val="10"/>
        <rFont val="Arial MT"/>
        <family val="2"/>
      </rPr>
      <t>Perangkat proyektor</t>
    </r>
  </si>
  <si>
    <t>Perangkat proyektor Epson</t>
  </si>
  <si>
    <r>
      <rPr>
        <sz val="10"/>
        <rFont val="Arial MT"/>
        <family val="2"/>
      </rPr>
      <t>BPU456</t>
    </r>
  </si>
  <si>
    <t>Kertas Hvs A4 80Gsm Paper One (Length 30.0Cm, Width 21.0Cm, Height 7.0Cm, Weight 2394Gr)</t>
  </si>
  <si>
    <r>
      <rPr>
        <sz val="10"/>
        <rFont val="Arial MT"/>
        <family val="2"/>
      </rPr>
      <t>BPU457</t>
    </r>
  </si>
  <si>
    <r>
      <rPr>
        <sz val="10"/>
        <rFont val="Arial MT"/>
        <family val="2"/>
      </rPr>
      <t>BPU458</t>
    </r>
  </si>
  <si>
    <r>
      <rPr>
        <sz val="10"/>
        <rFont val="Arial MT"/>
        <family val="2"/>
      </rPr>
      <t>BPU459</t>
    </r>
  </si>
  <si>
    <r>
      <rPr>
        <sz val="10"/>
        <rFont val="Arial MT"/>
        <family val="2"/>
      </rPr>
      <t>BPU460</t>
    </r>
  </si>
  <si>
    <r>
      <rPr>
        <sz val="10"/>
        <rFont val="Arial MT"/>
        <family val="2"/>
      </rPr>
      <t>BPU461</t>
    </r>
  </si>
  <si>
    <r>
      <rPr>
        <sz val="10"/>
        <rFont val="Arial MT"/>
        <family val="2"/>
      </rPr>
      <t>BPU462</t>
    </r>
  </si>
  <si>
    <r>
      <rPr>
        <sz val="10"/>
        <rFont val="Arial MT"/>
        <family val="2"/>
      </rPr>
      <t>BPU463</t>
    </r>
  </si>
  <si>
    <r>
      <rPr>
        <sz val="10"/>
        <rFont val="Arial MT"/>
        <family val="2"/>
      </rPr>
      <t>BPU464</t>
    </r>
  </si>
  <si>
    <r>
      <rPr>
        <sz val="10"/>
        <rFont val="Arial MT"/>
        <family val="2"/>
      </rPr>
      <t>BPU465</t>
    </r>
  </si>
  <si>
    <r>
      <rPr>
        <sz val="10"/>
        <rFont val="Arial MT"/>
        <family val="2"/>
      </rPr>
      <t>BPU466</t>
    </r>
  </si>
  <si>
    <r>
      <rPr>
        <sz val="10"/>
        <rFont val="Arial MT"/>
        <family val="2"/>
      </rPr>
      <t>BPU467</t>
    </r>
  </si>
  <si>
    <r>
      <rPr>
        <sz val="10"/>
        <rFont val="Arial MT"/>
        <family val="2"/>
      </rPr>
      <t>BPU468</t>
    </r>
  </si>
  <si>
    <r>
      <rPr>
        <sz val="10"/>
        <rFont val="Arial MT"/>
        <family val="2"/>
      </rPr>
      <t>BPU469</t>
    </r>
  </si>
  <si>
    <r>
      <rPr>
        <sz val="10"/>
        <rFont val="Arial MT"/>
        <family val="2"/>
      </rPr>
      <t>BPU470</t>
    </r>
  </si>
  <si>
    <r>
      <rPr>
        <sz val="10"/>
        <rFont val="Arial MT"/>
        <family val="2"/>
      </rPr>
      <t>5.1.02.02.01.00
61</t>
    </r>
  </si>
  <si>
    <r>
      <rPr>
        <sz val="10"/>
        <rFont val="Arial MT"/>
        <family val="2"/>
      </rPr>
      <t>BPU471</t>
    </r>
  </si>
  <si>
    <r>
      <rPr>
        <sz val="10"/>
        <rFont val="Arial MT"/>
        <family val="2"/>
      </rPr>
      <t>5.1.02.02.01.00
63</t>
    </r>
  </si>
  <si>
    <r>
      <rPr>
        <sz val="10"/>
        <rFont val="Arial MT"/>
        <family val="2"/>
      </rPr>
      <t>BPU472</t>
    </r>
  </si>
  <si>
    <r>
      <rPr>
        <sz val="10"/>
        <rFont val="Arial MT"/>
        <family val="2"/>
      </rPr>
      <t>BPU473</t>
    </r>
  </si>
  <si>
    <r>
      <rPr>
        <sz val="10"/>
        <rFont val="Arial MT"/>
        <family val="2"/>
      </rPr>
      <t>BPU474</t>
    </r>
  </si>
  <si>
    <r>
      <rPr>
        <sz val="10"/>
        <rFont val="Arial MT"/>
        <family val="2"/>
      </rPr>
      <t>BPU475</t>
    </r>
  </si>
  <si>
    <r>
      <rPr>
        <sz val="10"/>
        <rFont val="Arial MT"/>
        <family val="2"/>
      </rPr>
      <t>BPU476</t>
    </r>
  </si>
  <si>
    <r>
      <rPr>
        <sz val="10"/>
        <rFont val="Arial MT"/>
        <family val="2"/>
      </rPr>
      <t>BPU477</t>
    </r>
  </si>
  <si>
    <r>
      <rPr>
        <sz val="10"/>
        <rFont val="Arial MT"/>
        <family val="2"/>
      </rPr>
      <t>BPU478</t>
    </r>
  </si>
  <si>
    <r>
      <rPr>
        <sz val="10"/>
        <rFont val="Arial MT"/>
        <family val="2"/>
      </rPr>
      <t>BPU479</t>
    </r>
  </si>
  <si>
    <r>
      <rPr>
        <sz val="10"/>
        <rFont val="Arial MT"/>
        <family val="2"/>
      </rPr>
      <t>08.04.22.</t>
    </r>
  </si>
  <si>
    <r>
      <rPr>
        <sz val="10"/>
        <rFont val="Arial MT"/>
        <family val="2"/>
      </rPr>
      <t>Aqua botol pelaksanaan asesmen nasional</t>
    </r>
  </si>
  <si>
    <r>
      <rPr>
        <sz val="10"/>
        <rFont val="Arial MT"/>
        <family val="2"/>
      </rPr>
      <t>Aqua gelas pelaksanaan asesmen nasional</t>
    </r>
  </si>
  <si>
    <r>
      <rPr>
        <sz val="10"/>
        <rFont val="Arial MT"/>
        <family val="2"/>
      </rPr>
      <t>Snack pelaksanaan asesmen nasional</t>
    </r>
  </si>
  <si>
    <r>
      <rPr>
        <sz val="10"/>
        <rFont val="Arial MT"/>
        <family val="2"/>
      </rPr>
      <t>BPU480</t>
    </r>
  </si>
  <si>
    <r>
      <rPr>
        <sz val="10"/>
        <rFont val="Arial MT"/>
        <family val="2"/>
      </rPr>
      <t>konsumsi pelaksanaan asesmen nasional</t>
    </r>
  </si>
  <si>
    <r>
      <rPr>
        <sz val="10"/>
        <rFont val="Arial MT"/>
        <family val="2"/>
      </rPr>
      <t>BPU481</t>
    </r>
  </si>
  <si>
    <r>
      <rPr>
        <sz val="10"/>
        <rFont val="Arial MT"/>
        <family val="2"/>
      </rPr>
      <t>BPU482</t>
    </r>
  </si>
  <si>
    <r>
      <rPr>
        <sz val="10"/>
        <rFont val="Arial MT"/>
        <family val="2"/>
      </rPr>
      <t>BPU483</t>
    </r>
  </si>
  <si>
    <r>
      <rPr>
        <sz val="10"/>
        <rFont val="Arial MT"/>
        <family val="2"/>
      </rPr>
      <t>BPU484</t>
    </r>
  </si>
  <si>
    <r>
      <rPr>
        <sz val="10"/>
        <rFont val="Arial MT"/>
        <family val="2"/>
      </rPr>
      <t>BPU485</t>
    </r>
  </si>
  <si>
    <r>
      <rPr>
        <sz val="10"/>
        <rFont val="Arial MT"/>
        <family val="2"/>
      </rPr>
      <t>BPU486</t>
    </r>
  </si>
  <si>
    <t>Konsumsi pada kegiatan penyusunan program kurikulum semester ganjil TP. 2023/2024</t>
  </si>
  <si>
    <r>
      <rPr>
        <sz val="10"/>
        <rFont val="Arial MT"/>
        <family val="2"/>
      </rPr>
      <t>BPU487</t>
    </r>
  </si>
  <si>
    <r>
      <rPr>
        <sz val="10"/>
        <rFont val="Arial MT"/>
        <family val="2"/>
      </rPr>
      <t>Snack pada kegiatan penyusunan program kesiswaan semester ganjil TP. 2023/2024</t>
    </r>
  </si>
  <si>
    <r>
      <rPr>
        <sz val="10"/>
        <rFont val="Arial MT"/>
        <family val="2"/>
      </rPr>
      <t>Air mineral botol 600ml kegiatan penyusunan program kesiswaan semester ganjil TP. 2023/2024</t>
    </r>
  </si>
  <si>
    <r>
      <rPr>
        <sz val="10"/>
        <rFont val="Arial MT"/>
        <family val="2"/>
      </rPr>
      <t>BPU488</t>
    </r>
  </si>
  <si>
    <r>
      <rPr>
        <sz val="10"/>
        <rFont val="Arial MT"/>
        <family val="2"/>
      </rPr>
      <t>Air mineral botol 600 ml  pada kegiatan penyusunan program ekstrakurikuler semester ganjil TP. 2023/2024</t>
    </r>
  </si>
  <si>
    <r>
      <rPr>
        <sz val="10"/>
        <rFont val="Arial MT"/>
        <family val="2"/>
      </rPr>
      <t>Snack pada kegiatan penyusunan program ekstrakurikuler semester ganjil TP. 2023/2024</t>
    </r>
  </si>
  <si>
    <r>
      <rPr>
        <sz val="10"/>
        <rFont val="Arial MT"/>
        <family val="2"/>
      </rPr>
      <t>BPU489</t>
    </r>
  </si>
  <si>
    <r>
      <rPr>
        <sz val="10"/>
        <rFont val="Arial MT"/>
        <family val="2"/>
      </rPr>
      <t>Kipas Angin</t>
    </r>
  </si>
  <si>
    <t>Kipas Angin Yundai</t>
  </si>
  <si>
    <r>
      <rPr>
        <sz val="10"/>
        <rFont val="Arial MT"/>
        <family val="2"/>
      </rPr>
      <t>BPU490</t>
    </r>
  </si>
  <si>
    <r>
      <rPr>
        <sz val="10"/>
        <rFont val="Arial MT"/>
        <family val="2"/>
      </rPr>
      <t>BPU491</t>
    </r>
  </si>
  <si>
    <r>
      <rPr>
        <sz val="10"/>
        <rFont val="Arial MT"/>
        <family val="2"/>
      </rPr>
      <t>BPU492</t>
    </r>
  </si>
  <si>
    <t>Cutter L500 (Length 5.0Cm, Width 5.0Cm, Height 5.0Cm, Weight 5Gr)</t>
  </si>
  <si>
    <t>Box file Index</t>
  </si>
  <si>
    <r>
      <rPr>
        <sz val="10"/>
        <rFont val="Arial MT"/>
        <family val="2"/>
      </rPr>
      <t>BPU493</t>
    </r>
  </si>
  <si>
    <r>
      <rPr>
        <sz val="10"/>
        <rFont val="Arial MT"/>
        <family val="2"/>
      </rPr>
      <t>BPU494</t>
    </r>
  </si>
  <si>
    <r>
      <rPr>
        <sz val="10"/>
        <rFont val="Arial MT"/>
        <family val="2"/>
      </rPr>
      <t>BPU495</t>
    </r>
  </si>
  <si>
    <r>
      <rPr>
        <sz val="10"/>
        <rFont val="Arial MT"/>
        <family val="2"/>
      </rPr>
      <t>BPU496</t>
    </r>
  </si>
  <si>
    <r>
      <rPr>
        <sz val="10"/>
        <rFont val="Arial MT"/>
        <family val="2"/>
      </rPr>
      <t>BPU497</t>
    </r>
  </si>
  <si>
    <r>
      <rPr>
        <sz val="10"/>
        <rFont val="Arial MT"/>
        <family val="2"/>
      </rPr>
      <t>BPU498</t>
    </r>
  </si>
  <si>
    <r>
      <rPr>
        <sz val="10"/>
        <rFont val="Arial MT"/>
        <family val="2"/>
      </rPr>
      <t>Konsumsi pada kegiatan penyusunan program supervisi, monitoring dan evaluasi</t>
    </r>
  </si>
  <si>
    <r>
      <rPr>
        <sz val="10"/>
        <rFont val="Arial MT"/>
        <family val="2"/>
      </rPr>
      <t>BPU499</t>
    </r>
  </si>
  <si>
    <r>
      <rPr>
        <sz val="10"/>
        <rFont val="Arial MT"/>
        <family val="2"/>
      </rPr>
      <t>BPU500</t>
    </r>
  </si>
  <si>
    <r>
      <rPr>
        <sz val="10"/>
        <rFont val="Arial MT"/>
        <family val="2"/>
      </rPr>
      <t>BPU501</t>
    </r>
  </si>
  <si>
    <r>
      <rPr>
        <sz val="10"/>
        <rFont val="Arial MT"/>
        <family val="2"/>
      </rPr>
      <t>BPU502</t>
    </r>
  </si>
  <si>
    <r>
      <rPr>
        <sz val="10"/>
        <rFont val="Arial MT"/>
        <family val="2"/>
      </rPr>
      <t>BPU503</t>
    </r>
  </si>
  <si>
    <r>
      <rPr>
        <sz val="10"/>
        <rFont val="Arial MT"/>
        <family val="2"/>
      </rPr>
      <t>BPU504</t>
    </r>
  </si>
  <si>
    <r>
      <rPr>
        <sz val="10"/>
        <rFont val="Arial MT"/>
        <family val="2"/>
      </rPr>
      <t>BPU505</t>
    </r>
  </si>
  <si>
    <r>
      <rPr>
        <sz val="10"/>
        <rFont val="Arial MT"/>
        <family val="2"/>
      </rPr>
      <t>BPU506</t>
    </r>
  </si>
  <si>
    <r>
      <rPr>
        <sz val="10"/>
        <rFont val="Arial MT"/>
        <family val="2"/>
      </rPr>
      <t>BPU507</t>
    </r>
  </si>
  <si>
    <r>
      <rPr>
        <sz val="10"/>
        <rFont val="Arial MT"/>
        <family val="2"/>
      </rPr>
      <t>08.06.49.</t>
    </r>
  </si>
  <si>
    <r>
      <rPr>
        <sz val="10"/>
        <rFont val="Arial MT"/>
        <family val="2"/>
      </rPr>
      <t>Transportasi kegiatan Kursus Mahir Lanjutan (KML) Pramuka</t>
    </r>
  </si>
  <si>
    <r>
      <rPr>
        <sz val="10"/>
        <rFont val="Arial MT"/>
        <family val="2"/>
      </rPr>
      <t>OK</t>
    </r>
  </si>
  <si>
    <r>
      <rPr>
        <sz val="10"/>
        <rFont val="Arial MT"/>
        <family val="2"/>
      </rPr>
      <t>BPU508</t>
    </r>
  </si>
  <si>
    <r>
      <rPr>
        <sz val="10"/>
        <rFont val="Arial MT"/>
        <family val="2"/>
      </rPr>
      <t>Konsumsi Kursus Mahir Lanjutan (KML) Pramuka</t>
    </r>
  </si>
  <si>
    <r>
      <rPr>
        <sz val="10"/>
        <rFont val="Arial MT"/>
        <family val="2"/>
      </rPr>
      <t>BPU509</t>
    </r>
  </si>
  <si>
    <r>
      <rPr>
        <sz val="10"/>
        <rFont val="Arial MT"/>
        <family val="2"/>
      </rPr>
      <t>Aqua botol kegiatan Kursus Mahir Lanjutan (KML) Pramuka</t>
    </r>
  </si>
  <si>
    <r>
      <rPr>
        <sz val="10"/>
        <rFont val="Arial MT"/>
        <family val="2"/>
      </rPr>
      <t>Snack kegiatan Kursus Mahir Lanjutan (KML) Pramuka</t>
    </r>
  </si>
  <si>
    <r>
      <rPr>
        <sz val="10"/>
        <rFont val="Arial MT"/>
        <family val="2"/>
      </rPr>
      <t>Aqua gelas Kursus Mahir Lanjutan (KML) Pramuka</t>
    </r>
  </si>
  <si>
    <r>
      <rPr>
        <sz val="10"/>
        <rFont val="Arial MT"/>
        <family val="2"/>
      </rPr>
      <t>BPU510</t>
    </r>
  </si>
  <si>
    <r>
      <rPr>
        <sz val="10"/>
        <rFont val="Arial MT"/>
        <family val="2"/>
      </rPr>
      <t>Cetak Sertifikat kegiatan Kursus Mahir Lanjutan (KML) Pramuka</t>
    </r>
  </si>
  <si>
    <r>
      <rPr>
        <sz val="10"/>
        <rFont val="Arial MT"/>
        <family val="2"/>
      </rPr>
      <t>Penggandaan berkas/dokumen materi kegiatan Kursus Mahir Lanjutan (KML) Pramuka</t>
    </r>
  </si>
  <si>
    <r>
      <rPr>
        <sz val="10"/>
        <rFont val="Arial MT"/>
        <family val="2"/>
      </rPr>
      <t>Belanja ATK peserta kegiatan Kursus Mahir Lanjutan (KML) Pramuka</t>
    </r>
  </si>
  <si>
    <t>Belanja ATK Peserta kegiatan KML</t>
  </si>
  <si>
    <r>
      <rPr>
        <sz val="10"/>
        <rFont val="Arial MT"/>
        <family val="2"/>
      </rPr>
      <t>BPU511</t>
    </r>
  </si>
  <si>
    <r>
      <rPr>
        <sz val="10"/>
        <rFont val="Arial MT"/>
        <family val="2"/>
      </rPr>
      <t>BPU512</t>
    </r>
  </si>
  <si>
    <r>
      <rPr>
        <sz val="10"/>
        <rFont val="Arial MT"/>
        <family val="2"/>
      </rPr>
      <t>Konsumsi pelaksanaan kegiatan supervisi pembelajaran semua mapel/guru di sekolah semester genap TP. 2023/2024 dan semester ganjil TP. 2022/2023</t>
    </r>
  </si>
  <si>
    <r>
      <rPr>
        <sz val="10"/>
        <rFont val="Arial MT"/>
        <family val="2"/>
      </rPr>
      <t>BPU513</t>
    </r>
  </si>
  <si>
    <r>
      <rPr>
        <sz val="10"/>
        <rFont val="Arial MT"/>
        <family val="2"/>
      </rPr>
      <t>BPU514</t>
    </r>
  </si>
  <si>
    <r>
      <rPr>
        <sz val="10"/>
        <rFont val="Arial MT"/>
        <family val="2"/>
      </rPr>
      <t>BPU515</t>
    </r>
  </si>
  <si>
    <r>
      <rPr>
        <sz val="10"/>
        <rFont val="Arial MT"/>
        <family val="2"/>
      </rPr>
      <t>BPU516</t>
    </r>
  </si>
  <si>
    <r>
      <rPr>
        <sz val="10"/>
        <rFont val="Arial MT"/>
        <family val="2"/>
      </rPr>
      <t>BPU517</t>
    </r>
  </si>
  <si>
    <r>
      <rPr>
        <sz val="10"/>
        <rFont val="Arial MT"/>
        <family val="2"/>
      </rPr>
      <t>BPU518</t>
    </r>
  </si>
  <si>
    <r>
      <rPr>
        <sz val="10"/>
        <rFont val="Arial MT"/>
        <family val="2"/>
      </rPr>
      <t>BPU519</t>
    </r>
  </si>
  <si>
    <r>
      <rPr>
        <sz val="10"/>
        <rFont val="Arial MT"/>
        <family val="2"/>
      </rPr>
      <t>BPU520</t>
    </r>
  </si>
  <si>
    <r>
      <rPr>
        <sz val="10"/>
        <rFont val="Arial MT"/>
        <family val="2"/>
      </rPr>
      <t>BPU521</t>
    </r>
  </si>
  <si>
    <r>
      <rPr>
        <sz val="10"/>
        <rFont val="Arial MT"/>
        <family val="2"/>
      </rPr>
      <t>BPU522</t>
    </r>
  </si>
  <si>
    <r>
      <rPr>
        <sz val="10"/>
        <rFont val="Arial MT"/>
        <family val="2"/>
      </rPr>
      <t>BPU523</t>
    </r>
  </si>
  <si>
    <r>
      <rPr>
        <sz val="10"/>
        <rFont val="Arial MT"/>
        <family val="2"/>
      </rPr>
      <t>BPU524</t>
    </r>
  </si>
  <si>
    <r>
      <rPr>
        <sz val="10"/>
        <rFont val="Arial MT"/>
        <family val="2"/>
      </rPr>
      <t>BPU525</t>
    </r>
  </si>
  <si>
    <r>
      <rPr>
        <sz val="10"/>
        <rFont val="Arial MT"/>
        <family val="2"/>
      </rPr>
      <t>04.06.22.</t>
    </r>
  </si>
  <si>
    <r>
      <rPr>
        <sz val="10"/>
        <rFont val="Arial MT"/>
        <family val="2"/>
      </rPr>
      <t>Koordinasi ke Dinas Pendidikan Provinsi</t>
    </r>
  </si>
  <si>
    <r>
      <rPr>
        <sz val="10"/>
        <rFont val="Arial MT"/>
        <family val="2"/>
      </rPr>
      <t>BPU526</t>
    </r>
  </si>
  <si>
    <r>
      <rPr>
        <sz val="10"/>
        <rFont val="Arial MT"/>
        <family val="2"/>
      </rPr>
      <t>BPU527</t>
    </r>
  </si>
  <si>
    <r>
      <rPr>
        <sz val="10"/>
        <rFont val="Arial MT"/>
        <family val="2"/>
      </rPr>
      <t>BPU528</t>
    </r>
  </si>
  <si>
    <r>
      <rPr>
        <sz val="10"/>
        <rFont val="Arial MT"/>
        <family val="2"/>
      </rPr>
      <t>BPU529</t>
    </r>
  </si>
  <si>
    <r>
      <rPr>
        <sz val="10"/>
        <rFont val="Arial MT"/>
        <family val="2"/>
      </rPr>
      <t>BPU530</t>
    </r>
  </si>
  <si>
    <r>
      <rPr>
        <sz val="10"/>
        <rFont val="Arial MT"/>
        <family val="2"/>
      </rPr>
      <t>BPU531</t>
    </r>
  </si>
  <si>
    <r>
      <rPr>
        <sz val="10"/>
        <rFont val="Arial MT"/>
        <family val="2"/>
      </rPr>
      <t>BPU532</t>
    </r>
  </si>
  <si>
    <r>
      <rPr>
        <sz val="10"/>
        <rFont val="Arial MT"/>
        <family val="2"/>
      </rPr>
      <t>BPU533</t>
    </r>
  </si>
  <si>
    <r>
      <rPr>
        <sz val="10"/>
        <rFont val="Arial MT"/>
        <family val="2"/>
      </rPr>
      <t>BPU534</t>
    </r>
  </si>
  <si>
    <r>
      <rPr>
        <sz val="10"/>
        <rFont val="Arial MT"/>
        <family val="2"/>
      </rPr>
      <t>BPU535</t>
    </r>
  </si>
  <si>
    <r>
      <rPr>
        <sz val="10"/>
        <rFont val="Arial MT"/>
        <family val="2"/>
      </rPr>
      <t>BPU536</t>
    </r>
  </si>
  <si>
    <r>
      <rPr>
        <sz val="10"/>
        <rFont val="Arial MT"/>
        <family val="2"/>
      </rPr>
      <t>BPU537</t>
    </r>
  </si>
  <si>
    <r>
      <rPr>
        <sz val="10"/>
        <rFont val="Arial MT"/>
        <family val="2"/>
      </rPr>
      <t>BPU538</t>
    </r>
  </si>
  <si>
    <r>
      <rPr>
        <sz val="10"/>
        <rFont val="Arial MT"/>
        <family val="2"/>
      </rPr>
      <t>BPU539</t>
    </r>
  </si>
  <si>
    <r>
      <rPr>
        <sz val="10"/>
        <rFont val="Arial MT"/>
        <family val="2"/>
      </rPr>
      <t>BPU540</t>
    </r>
  </si>
  <si>
    <r>
      <rPr>
        <sz val="10"/>
        <rFont val="Arial MT"/>
        <family val="2"/>
      </rPr>
      <t>BPU541</t>
    </r>
  </si>
  <si>
    <r>
      <rPr>
        <sz val="10"/>
        <rFont val="Arial MT"/>
        <family val="2"/>
      </rPr>
      <t>BPU542</t>
    </r>
  </si>
  <si>
    <r>
      <rPr>
        <sz val="10"/>
        <rFont val="Arial MT"/>
        <family val="2"/>
      </rPr>
      <t>BPU543</t>
    </r>
  </si>
  <si>
    <r>
      <rPr>
        <sz val="10"/>
        <rFont val="Arial MT"/>
        <family val="2"/>
      </rPr>
      <t>BPU544</t>
    </r>
  </si>
  <si>
    <r>
      <rPr>
        <sz val="10"/>
        <rFont val="Arial MT"/>
        <family val="2"/>
      </rPr>
      <t>BPU545</t>
    </r>
  </si>
  <si>
    <r>
      <rPr>
        <sz val="10"/>
        <rFont val="Arial MT"/>
        <family val="2"/>
      </rPr>
      <t>BPU546</t>
    </r>
  </si>
  <si>
    <r>
      <rPr>
        <sz val="10"/>
        <rFont val="Arial MT"/>
        <family val="2"/>
      </rPr>
      <t>BPU547</t>
    </r>
  </si>
  <si>
    <r>
      <rPr>
        <sz val="10"/>
        <rFont val="Arial MT"/>
        <family val="2"/>
      </rPr>
      <t>BPU548</t>
    </r>
  </si>
  <si>
    <r>
      <rPr>
        <sz val="10"/>
        <rFont val="Arial MT"/>
        <family val="2"/>
      </rPr>
      <t>BPU549</t>
    </r>
  </si>
  <si>
    <r>
      <rPr>
        <sz val="10"/>
        <rFont val="Arial MT"/>
        <family val="2"/>
      </rPr>
      <t>BPU550</t>
    </r>
  </si>
  <si>
    <r>
      <rPr>
        <sz val="10"/>
        <rFont val="Arial MT"/>
        <family val="2"/>
      </rPr>
      <t>BPU551</t>
    </r>
  </si>
  <si>
    <r>
      <rPr>
        <sz val="10"/>
        <rFont val="Arial MT"/>
        <family val="2"/>
      </rPr>
      <t>BPU552</t>
    </r>
  </si>
  <si>
    <r>
      <rPr>
        <sz val="10"/>
        <rFont val="Arial MT"/>
        <family val="2"/>
      </rPr>
      <t>BPU553</t>
    </r>
  </si>
  <si>
    <r>
      <rPr>
        <sz val="10"/>
        <rFont val="Arial MT"/>
        <family val="2"/>
      </rPr>
      <t>Konsumsi pada Kegiatan Hari Guru</t>
    </r>
  </si>
  <si>
    <r>
      <rPr>
        <sz val="10"/>
        <rFont val="Arial MT"/>
        <family val="2"/>
      </rPr>
      <t>BPU554</t>
    </r>
  </si>
  <si>
    <r>
      <rPr>
        <sz val="10"/>
        <rFont val="Arial MT"/>
        <family val="2"/>
      </rPr>
      <t>Air Mineral pada Kegiatan Hari Guru</t>
    </r>
  </si>
  <si>
    <r>
      <rPr>
        <sz val="10"/>
        <rFont val="Arial MT"/>
        <family val="2"/>
      </rPr>
      <t>BPU555</t>
    </r>
  </si>
  <si>
    <r>
      <rPr>
        <sz val="10"/>
        <rFont val="Arial MT"/>
        <family val="2"/>
      </rPr>
      <t>BPU556</t>
    </r>
  </si>
  <si>
    <r>
      <rPr>
        <sz val="10"/>
        <rFont val="Arial MT"/>
        <family val="2"/>
      </rPr>
      <t>BPU557</t>
    </r>
  </si>
  <si>
    <r>
      <rPr>
        <sz val="10"/>
        <rFont val="Arial MT"/>
        <family val="2"/>
      </rPr>
      <t>BPU558</t>
    </r>
  </si>
  <si>
    <r>
      <rPr>
        <sz val="10"/>
        <rFont val="Arial MT"/>
        <family val="2"/>
      </rPr>
      <t>BPU559</t>
    </r>
  </si>
  <si>
    <r>
      <rPr>
        <sz val="10"/>
        <rFont val="Arial MT"/>
        <family val="2"/>
      </rPr>
      <t>BPU560</t>
    </r>
  </si>
  <si>
    <r>
      <rPr>
        <sz val="10"/>
        <rFont val="Arial MT"/>
        <family val="2"/>
      </rPr>
      <t>08.04.11.</t>
    </r>
  </si>
  <si>
    <t>Fotocopy Ujian</t>
  </si>
  <si>
    <r>
      <rPr>
        <sz val="10"/>
        <rFont val="Arial MT"/>
        <family val="2"/>
      </rPr>
      <t>BPU562</t>
    </r>
  </si>
  <si>
    <r>
      <rPr>
        <sz val="10"/>
        <rFont val="Arial MT"/>
        <family val="2"/>
      </rPr>
      <t>BPU561</t>
    </r>
  </si>
  <si>
    <r>
      <rPr>
        <sz val="10"/>
        <rFont val="Arial MT"/>
        <family val="2"/>
      </rPr>
      <t>BPU563</t>
    </r>
  </si>
  <si>
    <r>
      <rPr>
        <sz val="10"/>
        <rFont val="Arial MT"/>
        <family val="2"/>
      </rPr>
      <t>BPU564</t>
    </r>
  </si>
  <si>
    <r>
      <rPr>
        <sz val="10"/>
        <rFont val="Arial MT"/>
        <family val="2"/>
      </rPr>
      <t>BPU565</t>
    </r>
  </si>
  <si>
    <r>
      <rPr>
        <sz val="10"/>
        <rFont val="Arial MT"/>
        <family val="2"/>
      </rPr>
      <t>BPU566</t>
    </r>
  </si>
  <si>
    <r>
      <rPr>
        <sz val="10"/>
        <rFont val="Arial MT"/>
        <family val="2"/>
      </rPr>
      <t>BPU567</t>
    </r>
  </si>
  <si>
    <r>
      <rPr>
        <sz val="10"/>
        <rFont val="Arial MT"/>
        <family val="2"/>
      </rPr>
      <t>BPU568</t>
    </r>
  </si>
  <si>
    <r>
      <rPr>
        <sz val="10"/>
        <rFont val="Arial MT"/>
        <family val="2"/>
      </rPr>
      <t>BPU569</t>
    </r>
  </si>
  <si>
    <r>
      <rPr>
        <sz val="10"/>
        <rFont val="Arial MT"/>
        <family val="2"/>
      </rPr>
      <t>BPU570</t>
    </r>
  </si>
  <si>
    <r>
      <rPr>
        <sz val="10"/>
        <rFont val="Arial MT"/>
        <family val="2"/>
      </rPr>
      <t>BPU571</t>
    </r>
  </si>
  <si>
    <r>
      <rPr>
        <sz val="10"/>
        <rFont val="Arial MT"/>
        <family val="2"/>
      </rPr>
      <t>BPU572</t>
    </r>
  </si>
  <si>
    <r>
      <rPr>
        <sz val="10"/>
        <rFont val="Arial MT"/>
        <family val="2"/>
      </rPr>
      <t>BPU573</t>
    </r>
  </si>
  <si>
    <r>
      <rPr>
        <sz val="10"/>
        <rFont val="Arial MT"/>
        <family val="2"/>
      </rPr>
      <t>BPU574</t>
    </r>
  </si>
  <si>
    <r>
      <rPr>
        <sz val="10"/>
        <rFont val="Arial MT"/>
        <family val="2"/>
      </rPr>
      <t>BPU575</t>
    </r>
  </si>
  <si>
    <r>
      <rPr>
        <sz val="10"/>
        <rFont val="Arial MT"/>
        <family val="2"/>
      </rPr>
      <t>BPU576</t>
    </r>
  </si>
  <si>
    <r>
      <rPr>
        <sz val="10"/>
        <rFont val="Arial MT"/>
        <family val="2"/>
      </rPr>
      <t>08.04.16.</t>
    </r>
  </si>
  <si>
    <r>
      <rPr>
        <sz val="10"/>
        <rFont val="Arial MT"/>
        <family val="2"/>
      </rPr>
      <t>Aqua botol pelaksanaan penilaian / ulangan akhir semester</t>
    </r>
  </si>
  <si>
    <r>
      <rPr>
        <sz val="10"/>
        <rFont val="Arial MT"/>
        <family val="2"/>
      </rPr>
      <t>Snack pelaksanaan penilaian / ulangan akhir semester</t>
    </r>
  </si>
  <si>
    <r>
      <rPr>
        <sz val="10"/>
        <rFont val="Arial MT"/>
        <family val="2"/>
      </rPr>
      <t>BPU577</t>
    </r>
  </si>
  <si>
    <t>Buku tulis bIg boss</t>
  </si>
  <si>
    <r>
      <rPr>
        <sz val="10"/>
        <rFont val="Arial MT"/>
        <family val="2"/>
      </rPr>
      <t>BPU578</t>
    </r>
  </si>
  <si>
    <t>Hadiah Lomba Trophy</t>
  </si>
  <si>
    <r>
      <rPr>
        <sz val="10"/>
        <rFont val="Arial MT"/>
        <family val="2"/>
      </rPr>
      <t>BPU579</t>
    </r>
  </si>
  <si>
    <r>
      <rPr>
        <sz val="10"/>
        <rFont val="Arial MT"/>
        <family val="2"/>
      </rPr>
      <t>BPU580</t>
    </r>
  </si>
  <si>
    <r>
      <rPr>
        <sz val="10"/>
        <rFont val="Arial MT"/>
        <family val="2"/>
      </rPr>
      <t>BPU581</t>
    </r>
  </si>
  <si>
    <r>
      <rPr>
        <sz val="10"/>
        <rFont val="Arial MT"/>
        <family val="2"/>
      </rPr>
      <t>BPU582</t>
    </r>
  </si>
  <si>
    <r>
      <rPr>
        <sz val="10"/>
        <rFont val="Arial MT"/>
        <family val="2"/>
      </rPr>
      <t>BPU583</t>
    </r>
  </si>
  <si>
    <r>
      <rPr>
        <sz val="10"/>
        <rFont val="Arial MT"/>
        <family val="2"/>
      </rPr>
      <t>BPU584</t>
    </r>
  </si>
  <si>
    <r>
      <rPr>
        <sz val="10"/>
        <rFont val="Arial MT"/>
        <family val="2"/>
      </rPr>
      <t>BPU585</t>
    </r>
  </si>
  <si>
    <r>
      <rPr>
        <sz val="10"/>
        <rFont val="Arial MT"/>
        <family val="2"/>
      </rPr>
      <t>BPU586</t>
    </r>
  </si>
  <si>
    <r>
      <rPr>
        <sz val="10"/>
        <rFont val="Arial MT"/>
        <family val="2"/>
      </rPr>
      <t>BPU587</t>
    </r>
  </si>
  <si>
    <r>
      <rPr>
        <sz val="10"/>
        <rFont val="Arial MT"/>
        <family val="2"/>
      </rPr>
      <t>BPU588</t>
    </r>
  </si>
  <si>
    <r>
      <rPr>
        <sz val="10"/>
        <rFont val="Arial MT"/>
        <family val="2"/>
      </rPr>
      <t>Snack pada kegiatan Perayaan Hari Natal dan Tahun Baru</t>
    </r>
  </si>
  <si>
    <r>
      <rPr>
        <sz val="10"/>
        <rFont val="Arial MT"/>
        <family val="2"/>
      </rPr>
      <t>Air Mineral pada kegiatan Perayaan Natal dan Tahun Baru</t>
    </r>
  </si>
  <si>
    <r>
      <rPr>
        <sz val="10"/>
        <rFont val="Arial MT"/>
        <family val="2"/>
      </rPr>
      <t>Snack GTK d an Undangan pada kegiatan Perayaan Hari Natal dan Tahun Baru</t>
    </r>
  </si>
  <si>
    <r>
      <rPr>
        <sz val="10"/>
        <rFont val="Arial MT"/>
        <family val="2"/>
      </rPr>
      <t>BPU589</t>
    </r>
  </si>
  <si>
    <r>
      <rPr>
        <sz val="10"/>
        <rFont val="Arial MT"/>
        <family val="2"/>
      </rPr>
      <t xml:space="preserve">5.1.02.03.03.00
</t>
    </r>
    <r>
      <rPr>
        <sz val="10"/>
        <rFont val="Arial MT"/>
        <family val="2"/>
      </rPr>
      <t>10</t>
    </r>
  </si>
  <si>
    <r>
      <rPr>
        <sz val="10"/>
        <rFont val="Arial MT"/>
        <family val="2"/>
      </rPr>
      <t>Biaya Sewa Gedung untuk kegiatan Perayaan hari Natal dan Tahun Baru</t>
    </r>
  </si>
  <si>
    <t>Biaya Sewa Gedung</t>
  </si>
  <si>
    <r>
      <rPr>
        <sz val="10"/>
        <rFont val="Arial MT"/>
        <family val="2"/>
      </rPr>
      <t>BPU590</t>
    </r>
  </si>
  <si>
    <r>
      <rPr>
        <sz val="10"/>
        <rFont val="Arial MT"/>
        <family val="2"/>
      </rPr>
      <t>BPU591</t>
    </r>
  </si>
  <si>
    <r>
      <rPr>
        <sz val="10"/>
        <rFont val="Arial MT"/>
        <family val="2"/>
      </rPr>
      <t>BPU592</t>
    </r>
  </si>
  <si>
    <r>
      <rPr>
        <sz val="10"/>
        <rFont val="Arial MT"/>
        <family val="2"/>
      </rPr>
      <t>BPU593</t>
    </r>
  </si>
  <si>
    <t>Nama Pekerjaan / Kategori</t>
  </si>
  <si>
    <t>Harga Satuan sebelum pajak</t>
  </si>
  <si>
    <t>Jumlah Harga Sebelum Pajak</t>
  </si>
  <si>
    <t xml:space="preserve">Harga Total Asli </t>
  </si>
  <si>
    <t>Total Harga Sebelum DPP</t>
  </si>
  <si>
    <t>Total Harga Asli</t>
  </si>
  <si>
    <t>Harga satuan asli</t>
  </si>
  <si>
    <t>01</t>
  </si>
  <si>
    <r>
      <rPr>
        <sz val="10"/>
        <color theme="1"/>
        <rFont val="Arial MT"/>
        <family val="2"/>
      </rPr>
      <t>kotak</t>
    </r>
  </si>
  <si>
    <t>02</t>
  </si>
  <si>
    <t>Air Mineral</t>
  </si>
  <si>
    <t>03</t>
  </si>
  <si>
    <t>04</t>
  </si>
  <si>
    <t>05</t>
  </si>
  <si>
    <t>06</t>
  </si>
  <si>
    <t>07</t>
  </si>
  <si>
    <t>08</t>
  </si>
  <si>
    <t>09</t>
  </si>
  <si>
    <t>Jasa Operator Dapodik</t>
  </si>
  <si>
    <t>Jasa Iuran Paket Internet</t>
  </si>
  <si>
    <t>Jasa Langganan Daya dan Jasa Isi ulang aqua galon</t>
  </si>
  <si>
    <t>Kotak</t>
  </si>
  <si>
    <t>Lembar</t>
  </si>
  <si>
    <t>Bea Materai</t>
  </si>
  <si>
    <t>Sarana Prasarana Sekolah</t>
  </si>
  <si>
    <t>Buku Tulis</t>
  </si>
  <si>
    <t>Alexander Zai</t>
  </si>
  <si>
    <t>NO Pesanan 2023</t>
  </si>
  <si>
    <t>Sumber Anggaran</t>
  </si>
  <si>
    <t>Program</t>
  </si>
  <si>
    <t>Kegiatan</t>
  </si>
  <si>
    <t>Nomor Surat persetujuan penyediaan barang dan jasa :</t>
  </si>
  <si>
    <t>No. BPU</t>
  </si>
  <si>
    <t xml:space="preserve">Satuan Pendidikan </t>
  </si>
  <si>
    <t>BPU131</t>
  </si>
  <si>
    <t>BPU132</t>
  </si>
  <si>
    <t>BPU133</t>
  </si>
  <si>
    <t>BPU134</t>
  </si>
  <si>
    <t>BPU135</t>
  </si>
  <si>
    <t>BPU136</t>
  </si>
  <si>
    <t>BPU137</t>
  </si>
  <si>
    <t>BPU138</t>
  </si>
  <si>
    <t>BPU139</t>
  </si>
  <si>
    <t>BPU140</t>
  </si>
  <si>
    <t>BPU141</t>
  </si>
  <si>
    <t>BPU142</t>
  </si>
  <si>
    <t>BPU143</t>
  </si>
  <si>
    <t>BPU144</t>
  </si>
  <si>
    <t>BPU145</t>
  </si>
  <si>
    <t>BPU146</t>
  </si>
  <si>
    <t>BPU147</t>
  </si>
  <si>
    <t>BPU148</t>
  </si>
  <si>
    <t>BPU149</t>
  </si>
  <si>
    <t>BPU150</t>
  </si>
  <si>
    <t>BPU151</t>
  </si>
  <si>
    <t>BPU152</t>
  </si>
  <si>
    <t>BPU153</t>
  </si>
  <si>
    <t>BPU154</t>
  </si>
  <si>
    <t>BPU155</t>
  </si>
  <si>
    <t>BPU156</t>
  </si>
  <si>
    <t>BPU157</t>
  </si>
  <si>
    <t>BPU158</t>
  </si>
  <si>
    <t>BPU159</t>
  </si>
  <si>
    <t>BPU160</t>
  </si>
  <si>
    <t>BPU161</t>
  </si>
  <si>
    <t>BPU162</t>
  </si>
  <si>
    <t>BPU163</t>
  </si>
  <si>
    <t>BPU164</t>
  </si>
  <si>
    <t>BPU165</t>
  </si>
  <si>
    <t>BPU166</t>
  </si>
  <si>
    <t>BPU167</t>
  </si>
  <si>
    <t>BPU168</t>
  </si>
  <si>
    <t>BPU169</t>
  </si>
  <si>
    <t>BPU170</t>
  </si>
  <si>
    <t>BPU171</t>
  </si>
  <si>
    <t>BPU172</t>
  </si>
  <si>
    <t>BPU173</t>
  </si>
  <si>
    <t>BPU174</t>
  </si>
  <si>
    <t>BPU175</t>
  </si>
  <si>
    <t>BPU176</t>
  </si>
  <si>
    <t>BPU177</t>
  </si>
  <si>
    <t>BPU178</t>
  </si>
  <si>
    <t>BPU179</t>
  </si>
  <si>
    <t>BPU180</t>
  </si>
  <si>
    <t>BPU181</t>
  </si>
  <si>
    <t>BPU182</t>
  </si>
  <si>
    <t>BPU183</t>
  </si>
  <si>
    <t>BPU184</t>
  </si>
  <si>
    <t>BPU185</t>
  </si>
  <si>
    <t>BPU186</t>
  </si>
  <si>
    <t>BPU187</t>
  </si>
  <si>
    <t>BPU188</t>
  </si>
  <si>
    <t>BPU189</t>
  </si>
  <si>
    <t>BPU190</t>
  </si>
  <si>
    <t>BPU191</t>
  </si>
  <si>
    <t>BPU192</t>
  </si>
  <si>
    <t>BPU193</t>
  </si>
  <si>
    <t>BPU194</t>
  </si>
  <si>
    <t>BPU195</t>
  </si>
  <si>
    <t>BPU196</t>
  </si>
  <si>
    <t>BPU197</t>
  </si>
  <si>
    <t>BPU198</t>
  </si>
  <si>
    <t>BPU199</t>
  </si>
  <si>
    <t>BPU200</t>
  </si>
  <si>
    <t>BPU201</t>
  </si>
  <si>
    <t>BPU202</t>
  </si>
  <si>
    <t>BPU203</t>
  </si>
  <si>
    <t>BPU204</t>
  </si>
  <si>
    <t>BPU205</t>
  </si>
  <si>
    <t>BPU206</t>
  </si>
  <si>
    <t>BPU207</t>
  </si>
  <si>
    <t>BPU208</t>
  </si>
  <si>
    <t>BPU209</t>
  </si>
  <si>
    <t>BPU210</t>
  </si>
  <si>
    <t>BPU211</t>
  </si>
  <si>
    <t>BPU212</t>
  </si>
  <si>
    <t>BPU213</t>
  </si>
  <si>
    <t>BPU214</t>
  </si>
  <si>
    <t>BPU215</t>
  </si>
  <si>
    <t>BPU216</t>
  </si>
  <si>
    <t>BPU217</t>
  </si>
  <si>
    <t>BPU218</t>
  </si>
  <si>
    <t>BPU219</t>
  </si>
  <si>
    <t>BPU220</t>
  </si>
  <si>
    <t>BPU221</t>
  </si>
  <si>
    <t>BPU222</t>
  </si>
  <si>
    <t>BPU223</t>
  </si>
  <si>
    <t>BPU224</t>
  </si>
  <si>
    <t>BPU225</t>
  </si>
  <si>
    <t>BPU226</t>
  </si>
  <si>
    <t>BPU227</t>
  </si>
  <si>
    <t>BPU228</t>
  </si>
  <si>
    <t>BPU229</t>
  </si>
  <si>
    <t>BPU230</t>
  </si>
  <si>
    <t>BPU231</t>
  </si>
  <si>
    <t>BPU232</t>
  </si>
  <si>
    <t>BPU233</t>
  </si>
  <si>
    <t>BPU234</t>
  </si>
  <si>
    <t>BPU235</t>
  </si>
  <si>
    <t>BPU236</t>
  </si>
  <si>
    <t>BPU237</t>
  </si>
  <si>
    <t>BPU238</t>
  </si>
  <si>
    <t>BPU239</t>
  </si>
  <si>
    <t>BPU240</t>
  </si>
  <si>
    <t>BPU241</t>
  </si>
  <si>
    <t>BPU242</t>
  </si>
  <si>
    <t>BPU243</t>
  </si>
  <si>
    <t>BPU244</t>
  </si>
  <si>
    <t>BPU245</t>
  </si>
  <si>
    <t>BPU246</t>
  </si>
  <si>
    <t>BPU247</t>
  </si>
  <si>
    <t>BPU248</t>
  </si>
  <si>
    <t>BPU249</t>
  </si>
  <si>
    <t>BPU250</t>
  </si>
  <si>
    <t>BPU251</t>
  </si>
  <si>
    <t>BPU252</t>
  </si>
  <si>
    <t>BPU253</t>
  </si>
  <si>
    <t>BPU254</t>
  </si>
  <si>
    <t>BPU255</t>
  </si>
  <si>
    <t>BPU256</t>
  </si>
  <si>
    <t>BPU257</t>
  </si>
  <si>
    <t>BPU258</t>
  </si>
  <si>
    <t>BPU259</t>
  </si>
  <si>
    <t>BPU260</t>
  </si>
  <si>
    <t>BPU261</t>
  </si>
  <si>
    <t>BPU262</t>
  </si>
  <si>
    <t>BPU263</t>
  </si>
  <si>
    <t>BPU264</t>
  </si>
  <si>
    <t>BPU265</t>
  </si>
  <si>
    <t>BPU266</t>
  </si>
  <si>
    <t>BPU267</t>
  </si>
  <si>
    <t>BPU268</t>
  </si>
  <si>
    <t>BPU269</t>
  </si>
  <si>
    <t>BPU270</t>
  </si>
  <si>
    <t>BPU271</t>
  </si>
  <si>
    <t>BPU272</t>
  </si>
  <si>
    <t>BPU273</t>
  </si>
  <si>
    <t>BPU274</t>
  </si>
  <si>
    <t>BPU275</t>
  </si>
  <si>
    <t>BPU276</t>
  </si>
  <si>
    <t>BPU277</t>
  </si>
  <si>
    <t>BPU278</t>
  </si>
  <si>
    <t>BPU279</t>
  </si>
  <si>
    <t>BPU280</t>
  </si>
  <si>
    <t>BPU281</t>
  </si>
  <si>
    <t>BPU282</t>
  </si>
  <si>
    <t>BPU283</t>
  </si>
  <si>
    <t>BPU284</t>
  </si>
  <si>
    <t>BPU285</t>
  </si>
  <si>
    <t>BPU286</t>
  </si>
  <si>
    <t>BPU287</t>
  </si>
  <si>
    <t>BPU288</t>
  </si>
  <si>
    <t>BPU289</t>
  </si>
  <si>
    <t>BPU290</t>
  </si>
  <si>
    <t>BPU291</t>
  </si>
  <si>
    <t>BPU292</t>
  </si>
  <si>
    <t>BPU293</t>
  </si>
  <si>
    <t>BPU294</t>
  </si>
  <si>
    <t>BPU295</t>
  </si>
  <si>
    <t>BPU296</t>
  </si>
  <si>
    <t>BPU297</t>
  </si>
  <si>
    <t>BPU298</t>
  </si>
  <si>
    <t>BPU299</t>
  </si>
  <si>
    <t>BPU300</t>
  </si>
  <si>
    <t>BPU301</t>
  </si>
  <si>
    <t>BPU302</t>
  </si>
  <si>
    <t>BPU303</t>
  </si>
  <si>
    <t>BPU304</t>
  </si>
  <si>
    <t>BPU305</t>
  </si>
  <si>
    <t>BPU306</t>
  </si>
  <si>
    <t>BPU307</t>
  </si>
  <si>
    <t>BPU308</t>
  </si>
  <si>
    <t>BPU309</t>
  </si>
  <si>
    <t>BPU310</t>
  </si>
  <si>
    <t>BPU311</t>
  </si>
  <si>
    <t>BPU312</t>
  </si>
  <si>
    <t>BPU313</t>
  </si>
  <si>
    <t>BPU314</t>
  </si>
  <si>
    <t>BPU315</t>
  </si>
  <si>
    <t>BPU316</t>
  </si>
  <si>
    <t>BPU317</t>
  </si>
  <si>
    <t>BPU318</t>
  </si>
  <si>
    <t>BPU319</t>
  </si>
  <si>
    <t>BPU320</t>
  </si>
  <si>
    <t>BPU321</t>
  </si>
  <si>
    <t>BPU322</t>
  </si>
  <si>
    <t>BPU323</t>
  </si>
  <si>
    <t>BPU324</t>
  </si>
  <si>
    <t>BPU325</t>
  </si>
  <si>
    <t>BPU326</t>
  </si>
  <si>
    <t>BPU327</t>
  </si>
  <si>
    <t>BPU328</t>
  </si>
  <si>
    <t>BPU330</t>
  </si>
  <si>
    <t>BPU331</t>
  </si>
  <si>
    <t>BPU332</t>
  </si>
  <si>
    <t>BPU333</t>
  </si>
  <si>
    <t>BPU334</t>
  </si>
  <si>
    <t>BPU335</t>
  </si>
  <si>
    <t>BPU336</t>
  </si>
  <si>
    <t>BPU337</t>
  </si>
  <si>
    <t>BPU338</t>
  </si>
  <si>
    <t>BPU339</t>
  </si>
  <si>
    <t>BPU340</t>
  </si>
  <si>
    <t>BPU341</t>
  </si>
  <si>
    <t>BPU342</t>
  </si>
  <si>
    <t>BPU343</t>
  </si>
  <si>
    <t>BPU344</t>
  </si>
  <si>
    <t>BPU345</t>
  </si>
  <si>
    <t>BPU346</t>
  </si>
  <si>
    <t>BPU347</t>
  </si>
  <si>
    <t>BPU348</t>
  </si>
  <si>
    <t>BPU349</t>
  </si>
  <si>
    <t>BPU350</t>
  </si>
  <si>
    <t>BPU351</t>
  </si>
  <si>
    <t>BPU352</t>
  </si>
  <si>
    <t>BPU353</t>
  </si>
  <si>
    <t>BPU354</t>
  </si>
  <si>
    <t>BPU355</t>
  </si>
  <si>
    <t>BPU356</t>
  </si>
  <si>
    <t>BPU357</t>
  </si>
  <si>
    <t>BPU358</t>
  </si>
  <si>
    <t>BPU359</t>
  </si>
  <si>
    <t>BPU360</t>
  </si>
  <si>
    <t>BPU361</t>
  </si>
  <si>
    <t>BPU362</t>
  </si>
  <si>
    <t>BPU363</t>
  </si>
  <si>
    <t>BPU364</t>
  </si>
  <si>
    <t>BPU365</t>
  </si>
  <si>
    <t>BPU366</t>
  </si>
  <si>
    <t>BPU367</t>
  </si>
  <si>
    <t>BPU368</t>
  </si>
  <si>
    <t>BPU369</t>
  </si>
  <si>
    <t>BPU370</t>
  </si>
  <si>
    <t>BPU371</t>
  </si>
  <si>
    <t>BPU372</t>
  </si>
  <si>
    <t>BPU373</t>
  </si>
  <si>
    <t>BPU374</t>
  </si>
  <si>
    <t>BPU375</t>
  </si>
  <si>
    <t>BPU376</t>
  </si>
  <si>
    <t>BPU377</t>
  </si>
  <si>
    <t>BPU378</t>
  </si>
  <si>
    <t>BPU379</t>
  </si>
  <si>
    <t>BPU380</t>
  </si>
  <si>
    <t>BPU381</t>
  </si>
  <si>
    <t>BPU382</t>
  </si>
  <si>
    <t>BPU383</t>
  </si>
  <si>
    <t>BPU384</t>
  </si>
  <si>
    <t>BPU385</t>
  </si>
  <si>
    <t>BPU386</t>
  </si>
  <si>
    <t>BPU387</t>
  </si>
  <si>
    <t>BPU388</t>
  </si>
  <si>
    <t>BPU389</t>
  </si>
  <si>
    <t>BPU390</t>
  </si>
  <si>
    <t>BPU391</t>
  </si>
  <si>
    <t>BPU392</t>
  </si>
  <si>
    <t>BPU393</t>
  </si>
  <si>
    <t>BPU394</t>
  </si>
  <si>
    <t>BPU395</t>
  </si>
  <si>
    <t>BPU396</t>
  </si>
  <si>
    <t>BPU397</t>
  </si>
  <si>
    <t>BPU398</t>
  </si>
  <si>
    <t>BPU399</t>
  </si>
  <si>
    <t>BPU400</t>
  </si>
  <si>
    <t>BPU401</t>
  </si>
  <si>
    <t>BPU402</t>
  </si>
  <si>
    <t>BPU403</t>
  </si>
  <si>
    <t>BPU404</t>
  </si>
  <si>
    <t>BPU405</t>
  </si>
  <si>
    <t>BPU406</t>
  </si>
  <si>
    <t>BPU407</t>
  </si>
  <si>
    <t>BPU408</t>
  </si>
  <si>
    <t>BPU409</t>
  </si>
  <si>
    <t>BPU410</t>
  </si>
  <si>
    <t>BPU411</t>
  </si>
  <si>
    <t>BPU412</t>
  </si>
  <si>
    <t>BPU413</t>
  </si>
  <si>
    <t>BPU414</t>
  </si>
  <si>
    <t>BPU415</t>
  </si>
  <si>
    <t>BPU416</t>
  </si>
  <si>
    <t>BPU417</t>
  </si>
  <si>
    <t>BPU418</t>
  </si>
  <si>
    <t>BPU419</t>
  </si>
  <si>
    <t>BPU420</t>
  </si>
  <si>
    <t>BPU421</t>
  </si>
  <si>
    <t>BPU422</t>
  </si>
  <si>
    <t>BPU423</t>
  </si>
  <si>
    <t>BPU424</t>
  </si>
  <si>
    <t>BPU425</t>
  </si>
  <si>
    <t>BPU426</t>
  </si>
  <si>
    <t>BPU427</t>
  </si>
  <si>
    <t>BPU428</t>
  </si>
  <si>
    <t>BPU429</t>
  </si>
  <si>
    <t>BPU430</t>
  </si>
  <si>
    <t>BPU431</t>
  </si>
  <si>
    <t>BPU432</t>
  </si>
  <si>
    <t>BPU433</t>
  </si>
  <si>
    <t>BPU434</t>
  </si>
  <si>
    <t>BPU435</t>
  </si>
  <si>
    <t>BPU436</t>
  </si>
  <si>
    <t>BPU437</t>
  </si>
  <si>
    <t>BPU438</t>
  </si>
  <si>
    <t>BPU439</t>
  </si>
  <si>
    <t>BPU440</t>
  </si>
  <si>
    <t>BPU441</t>
  </si>
  <si>
    <t>BPU442</t>
  </si>
  <si>
    <t>BPU443</t>
  </si>
  <si>
    <t>BPU444</t>
  </si>
  <si>
    <t>BPU445</t>
  </si>
  <si>
    <t>BPU446</t>
  </si>
  <si>
    <t>BPU447</t>
  </si>
  <si>
    <t>BPU448</t>
  </si>
  <si>
    <t>BPU449</t>
  </si>
  <si>
    <t>BPU450</t>
  </si>
  <si>
    <t>BPU451</t>
  </si>
  <si>
    <t>BPU452</t>
  </si>
  <si>
    <t>BPU453</t>
  </si>
  <si>
    <t>BPU454</t>
  </si>
  <si>
    <t>BPU455</t>
  </si>
  <si>
    <t>BPU456</t>
  </si>
  <si>
    <t>BPU457</t>
  </si>
  <si>
    <t>BPU458</t>
  </si>
  <si>
    <t>BPU459</t>
  </si>
  <si>
    <t>BPU460</t>
  </si>
  <si>
    <t>BPU461</t>
  </si>
  <si>
    <t>BPU462</t>
  </si>
  <si>
    <t>BPU463</t>
  </si>
  <si>
    <t>BPU464</t>
  </si>
  <si>
    <t>BPU465</t>
  </si>
  <si>
    <t>BPU466</t>
  </si>
  <si>
    <t>BPU467</t>
  </si>
  <si>
    <t>BPU468</t>
  </si>
  <si>
    <t>BPU469</t>
  </si>
  <si>
    <t>BPU470</t>
  </si>
  <si>
    <t>BPU471</t>
  </si>
  <si>
    <t>BPU472</t>
  </si>
  <si>
    <t>BPU473</t>
  </si>
  <si>
    <t>BPU474</t>
  </si>
  <si>
    <t>BPU475</t>
  </si>
  <si>
    <t>BPU476</t>
  </si>
  <si>
    <t>BPU477</t>
  </si>
  <si>
    <t>BPU478</t>
  </si>
  <si>
    <t>BPU479</t>
  </si>
  <si>
    <t>BPU480</t>
  </si>
  <si>
    <t>BPU481</t>
  </si>
  <si>
    <t>BPU482</t>
  </si>
  <si>
    <t>BPU483</t>
  </si>
  <si>
    <t>BPU484</t>
  </si>
  <si>
    <t>BPU485</t>
  </si>
  <si>
    <t>BPU486</t>
  </si>
  <si>
    <t>BPU487</t>
  </si>
  <si>
    <t>BPU488</t>
  </si>
  <si>
    <t>BPU489</t>
  </si>
  <si>
    <t>BPU490</t>
  </si>
  <si>
    <t>BPU491</t>
  </si>
  <si>
    <t>BPU492</t>
  </si>
  <si>
    <t>BPU493</t>
  </si>
  <si>
    <t>BPU494</t>
  </si>
  <si>
    <t>BPU495</t>
  </si>
  <si>
    <t>BPU496</t>
  </si>
  <si>
    <t>BPU497</t>
  </si>
  <si>
    <t>BPU498</t>
  </si>
  <si>
    <t>BPU499</t>
  </si>
  <si>
    <t>BPU500</t>
  </si>
  <si>
    <t>BPU501</t>
  </si>
  <si>
    <t>BPU502</t>
  </si>
  <si>
    <t>BPU503</t>
  </si>
  <si>
    <t>BPU504</t>
  </si>
  <si>
    <t>BPU505</t>
  </si>
  <si>
    <t>BPU506</t>
  </si>
  <si>
    <t>BPU507</t>
  </si>
  <si>
    <t>BPU508</t>
  </si>
  <si>
    <t>BPU509</t>
  </si>
  <si>
    <t>BPU510</t>
  </si>
  <si>
    <t>BPU511</t>
  </si>
  <si>
    <t>BPU512</t>
  </si>
  <si>
    <t>BPU513</t>
  </si>
  <si>
    <t>BPU514</t>
  </si>
  <si>
    <t>BPU515</t>
  </si>
  <si>
    <t>BPU516</t>
  </si>
  <si>
    <t>BPU517</t>
  </si>
  <si>
    <t>BPU518</t>
  </si>
  <si>
    <t>BPU519</t>
  </si>
  <si>
    <t>BPU520</t>
  </si>
  <si>
    <t>BPU521</t>
  </si>
  <si>
    <t>BPU522</t>
  </si>
  <si>
    <t>BPU523</t>
  </si>
  <si>
    <t>BPU524</t>
  </si>
  <si>
    <t>BPU525</t>
  </si>
  <si>
    <t>BPU526</t>
  </si>
  <si>
    <t>BPU527</t>
  </si>
  <si>
    <t>BPU528</t>
  </si>
  <si>
    <t>BPU529</t>
  </si>
  <si>
    <t>BPU530</t>
  </si>
  <si>
    <t>BPU531</t>
  </si>
  <si>
    <t>BPU532</t>
  </si>
  <si>
    <t>BPU533</t>
  </si>
  <si>
    <t>BPU534</t>
  </si>
  <si>
    <t>BPU535</t>
  </si>
  <si>
    <t>BPU536</t>
  </si>
  <si>
    <t>BPU537</t>
  </si>
  <si>
    <t>BPU538</t>
  </si>
  <si>
    <t>BPU539</t>
  </si>
  <si>
    <t>BPU540</t>
  </si>
  <si>
    <t>BPU541</t>
  </si>
  <si>
    <t>BPU542</t>
  </si>
  <si>
    <t>BPU543</t>
  </si>
  <si>
    <t>BPU544</t>
  </si>
  <si>
    <t>BPU545</t>
  </si>
  <si>
    <t>BPU546</t>
  </si>
  <si>
    <t>BPU547</t>
  </si>
  <si>
    <t>BPU548</t>
  </si>
  <si>
    <t>BPU549</t>
  </si>
  <si>
    <t>BPU550</t>
  </si>
  <si>
    <t>BPU551</t>
  </si>
  <si>
    <t>BPU552</t>
  </si>
  <si>
    <t>BPU553</t>
  </si>
  <si>
    <t>BPU554</t>
  </si>
  <si>
    <t>BPU555</t>
  </si>
  <si>
    <t>BPU556</t>
  </si>
  <si>
    <t>BPU557</t>
  </si>
  <si>
    <t>BPU558</t>
  </si>
  <si>
    <t>BPU559</t>
  </si>
  <si>
    <t>BPU560</t>
  </si>
  <si>
    <t>BPU561</t>
  </si>
  <si>
    <t>BPU562</t>
  </si>
  <si>
    <t>BPU563</t>
  </si>
  <si>
    <t>BPU564</t>
  </si>
  <si>
    <t>BPU565</t>
  </si>
  <si>
    <t>BPU566</t>
  </si>
  <si>
    <t>BPU567</t>
  </si>
  <si>
    <t>BPU568</t>
  </si>
  <si>
    <t>BPU569</t>
  </si>
  <si>
    <t>BPU570</t>
  </si>
  <si>
    <t>BPU571</t>
  </si>
  <si>
    <t>BPU572</t>
  </si>
  <si>
    <t>BPU573</t>
  </si>
  <si>
    <t>BPU574</t>
  </si>
  <si>
    <t>BPU575</t>
  </si>
  <si>
    <t>BPU576</t>
  </si>
  <si>
    <t>BPU577</t>
  </si>
  <si>
    <t>BPU578</t>
  </si>
  <si>
    <t>BPU579</t>
  </si>
  <si>
    <t>BPU580</t>
  </si>
  <si>
    <t>BPU581</t>
  </si>
  <si>
    <t>BPU582</t>
  </si>
  <si>
    <t>BPU583</t>
  </si>
  <si>
    <t>BPU584</t>
  </si>
  <si>
    <t>BPU585</t>
  </si>
  <si>
    <t>BPU586</t>
  </si>
  <si>
    <t>BPU587</t>
  </si>
  <si>
    <t>BPU588</t>
  </si>
  <si>
    <t>BPU589</t>
  </si>
  <si>
    <t>BPU590</t>
  </si>
  <si>
    <t>BPU591</t>
  </si>
  <si>
    <t>BPU592</t>
  </si>
  <si>
    <t>BPU593</t>
  </si>
  <si>
    <t>BPU594</t>
  </si>
  <si>
    <t>BPU595</t>
  </si>
  <si>
    <t>BPU596</t>
  </si>
  <si>
    <t>BPU597</t>
  </si>
  <si>
    <t>BPU598</t>
  </si>
  <si>
    <t>BPU599</t>
  </si>
  <si>
    <t>BPU600</t>
  </si>
  <si>
    <t>BPU601</t>
  </si>
  <si>
    <t>BPU602</t>
  </si>
  <si>
    <t>BPU603</t>
  </si>
  <si>
    <t>BPU604</t>
  </si>
  <si>
    <t>BPU605</t>
  </si>
  <si>
    <t>BPU606</t>
  </si>
  <si>
    <t>BPU607</t>
  </si>
  <si>
    <t>BPU608</t>
  </si>
  <si>
    <t>BPU609</t>
  </si>
  <si>
    <t>BPU610</t>
  </si>
  <si>
    <t>BPU611</t>
  </si>
  <si>
    <t>BPU612</t>
  </si>
  <si>
    <t>BPU613</t>
  </si>
  <si>
    <t>BPU614</t>
  </si>
  <si>
    <t>BPU615</t>
  </si>
  <si>
    <t>BPU616</t>
  </si>
  <si>
    <t>BPU617</t>
  </si>
  <si>
    <t>BPU618</t>
  </si>
  <si>
    <t>BPU619</t>
  </si>
  <si>
    <t>BPU620</t>
  </si>
  <si>
    <t>BPU621</t>
  </si>
  <si>
    <t>BPU622</t>
  </si>
  <si>
    <t>BPU623</t>
  </si>
  <si>
    <t>BPU624</t>
  </si>
  <si>
    <t>BPU625</t>
  </si>
  <si>
    <t>BPU626</t>
  </si>
  <si>
    <t>BPU627</t>
  </si>
  <si>
    <t>BPU628</t>
  </si>
  <si>
    <t>BPU629</t>
  </si>
  <si>
    <t>BPU630</t>
  </si>
  <si>
    <t>BPU631</t>
  </si>
  <si>
    <t>BPU632</t>
  </si>
  <si>
    <t>BPU633</t>
  </si>
  <si>
    <t>BPU634</t>
  </si>
  <si>
    <t>BPU635</t>
  </si>
  <si>
    <t>BPU636</t>
  </si>
  <si>
    <t>BPU637</t>
  </si>
  <si>
    <t>BPU638</t>
  </si>
  <si>
    <t>BPU639</t>
  </si>
  <si>
    <t>BPU640</t>
  </si>
  <si>
    <t>BPU641</t>
  </si>
  <si>
    <t>BPU642</t>
  </si>
  <si>
    <t>BPU643</t>
  </si>
  <si>
    <t>BPU644</t>
  </si>
  <si>
    <t>BPU645</t>
  </si>
  <si>
    <t>BPU646</t>
  </si>
  <si>
    <t>BPU647</t>
  </si>
  <si>
    <t>BPU648</t>
  </si>
  <si>
    <t>BPU649</t>
  </si>
  <si>
    <t>BPU650</t>
  </si>
  <si>
    <t>BPU651</t>
  </si>
  <si>
    <t>BPU652</t>
  </si>
  <si>
    <t>Konsumsi pembina pada kegiatan ekstrakurikuler seni dan budaya (paduan suara), paskibra, dan band musik</t>
  </si>
  <si>
    <t>08264720368</t>
  </si>
  <si>
    <t>082164895397</t>
  </si>
  <si>
    <t>Jl. Saonigeho Km. 1 Telukdalam</t>
  </si>
  <si>
    <t>CV. Optik Wehalo</t>
  </si>
  <si>
    <t>alfen Wehalo</t>
  </si>
  <si>
    <t>Jl. Saonigeho Km. 2 Telukdalam</t>
  </si>
  <si>
    <t>NO HP</t>
  </si>
  <si>
    <t>081396200383</t>
  </si>
  <si>
    <t>082272108016</t>
  </si>
  <si>
    <t>082267897161</t>
  </si>
  <si>
    <t>085270071489</t>
  </si>
  <si>
    <t>082377508391</t>
  </si>
  <si>
    <t>081269354121</t>
  </si>
  <si>
    <t>Kondisi</t>
  </si>
  <si>
    <t>B E L A N J A   S E T A H U N   S M A    N E G E R I   1   T E L U K D A L  A M    2 0 2 4</t>
  </si>
  <si>
    <t>=IFERROR(LEFT(M10; 2) &amp; TEXT(VALUE(RIGHT(M10; LEN(M10)-2))+1;"000"); "")</t>
  </si>
  <si>
    <t>=IFERROR(LEFT(M12; 3) &amp; TEXT(VALUE(RIGHT(M12; LEN(M12)-3))-1;"000"); "")</t>
  </si>
  <si>
    <t>69</t>
  </si>
  <si>
    <t>70</t>
  </si>
  <si>
    <t>71</t>
  </si>
  <si>
    <t>72</t>
  </si>
  <si>
    <t>73</t>
  </si>
  <si>
    <t>75</t>
  </si>
  <si>
    <t>76</t>
  </si>
  <si>
    <t>77</t>
  </si>
  <si>
    <t>78</t>
  </si>
  <si>
    <t>79</t>
  </si>
  <si>
    <t>80</t>
  </si>
  <si>
    <t>96</t>
  </si>
  <si>
    <t>97</t>
  </si>
  <si>
    <t>98</t>
  </si>
  <si>
    <t>99</t>
  </si>
  <si>
    <t>100</t>
  </si>
  <si>
    <t>105</t>
  </si>
  <si>
    <t>106</t>
  </si>
  <si>
    <r>
      <rPr>
        <sz val="10"/>
        <rFont val="Arial MT"/>
        <family val="2"/>
      </rPr>
      <t>BPU07</t>
    </r>
  </si>
  <si>
    <r>
      <rPr>
        <sz val="10"/>
        <rFont val="Arial MT"/>
        <family val="2"/>
      </rPr>
      <t>BNU17</t>
    </r>
  </si>
  <si>
    <r>
      <rPr>
        <sz val="10"/>
        <rFont val="Arial MT"/>
        <family val="2"/>
      </rPr>
      <t>BNU18</t>
    </r>
  </si>
  <si>
    <r>
      <rPr>
        <sz val="10"/>
        <rFont val="Arial MT"/>
        <family val="2"/>
      </rPr>
      <t>BNU35</t>
    </r>
  </si>
  <si>
    <r>
      <rPr>
        <sz val="10"/>
        <rFont val="Arial MT"/>
        <family val="2"/>
      </rPr>
      <t>BNU36</t>
    </r>
  </si>
  <si>
    <r>
      <rPr>
        <sz val="10"/>
        <rFont val="Arial MT"/>
        <family val="2"/>
      </rPr>
      <t>BNU37</t>
    </r>
  </si>
  <si>
    <r>
      <rPr>
        <sz val="10"/>
        <rFont val="Arial MT"/>
        <family val="2"/>
      </rPr>
      <t>BNU50</t>
    </r>
  </si>
  <si>
    <r>
      <rPr>
        <sz val="10"/>
        <rFont val="Arial MT"/>
        <family val="2"/>
      </rPr>
      <t>BPU53</t>
    </r>
  </si>
  <si>
    <r>
      <rPr>
        <sz val="10"/>
        <rFont val="Liberation Sans Narrow"/>
        <family val="2"/>
      </rPr>
      <t>BPU119</t>
    </r>
  </si>
  <si>
    <r>
      <rPr>
        <sz val="10"/>
        <rFont val="Liberation Sans Narrow"/>
        <family val="2"/>
      </rPr>
      <t>BPU120</t>
    </r>
  </si>
  <si>
    <r>
      <rPr>
        <sz val="10"/>
        <rFont val="Liberation Sans Narrow"/>
        <family val="2"/>
      </rPr>
      <t>BPU121</t>
    </r>
  </si>
  <si>
    <r>
      <rPr>
        <sz val="10"/>
        <rFont val="Liberation Sans Narrow"/>
        <family val="2"/>
      </rPr>
      <t>BPU122</t>
    </r>
  </si>
  <si>
    <r>
      <rPr>
        <sz val="10"/>
        <rFont val="Liberation Sans Narrow"/>
        <family val="2"/>
      </rPr>
      <t>BPU123</t>
    </r>
  </si>
  <si>
    <r>
      <rPr>
        <sz val="10"/>
        <rFont val="Liberation Sans Narrow"/>
        <family val="2"/>
      </rPr>
      <t>BPU124</t>
    </r>
  </si>
  <si>
    <r>
      <rPr>
        <sz val="10"/>
        <rFont val="Liberation Sans Narrow"/>
        <family val="2"/>
      </rPr>
      <t>BPU125</t>
    </r>
  </si>
  <si>
    <r>
      <rPr>
        <sz val="10"/>
        <rFont val="Liberation Sans Narrow"/>
        <family val="2"/>
      </rPr>
      <t>BPU126</t>
    </r>
  </si>
  <si>
    <r>
      <rPr>
        <sz val="10"/>
        <rFont val="Liberation Sans Narrow"/>
        <family val="2"/>
      </rPr>
      <t>BPU127</t>
    </r>
  </si>
  <si>
    <r>
      <rPr>
        <sz val="10"/>
        <rFont val="Liberation Sans Narrow"/>
        <family val="2"/>
      </rPr>
      <t>BPU128</t>
    </r>
  </si>
  <si>
    <r>
      <rPr>
        <sz val="10"/>
        <rFont val="Liberation Sans Narrow"/>
        <family val="2"/>
      </rPr>
      <t>BPU129</t>
    </r>
  </si>
  <si>
    <r>
      <rPr>
        <sz val="10"/>
        <rFont val="Liberation Sans Narrow"/>
        <family val="2"/>
      </rPr>
      <t>BPU130</t>
    </r>
  </si>
  <si>
    <r>
      <rPr>
        <sz val="10"/>
        <rFont val="Liberation Sans Narrow"/>
        <family val="2"/>
      </rPr>
      <t>BPU131</t>
    </r>
  </si>
  <si>
    <r>
      <rPr>
        <sz val="10"/>
        <rFont val="Liberation Sans Narrow"/>
        <family val="2"/>
      </rPr>
      <t>BPU132</t>
    </r>
  </si>
  <si>
    <r>
      <rPr>
        <sz val="10"/>
        <rFont val="Liberation Sans Narrow"/>
        <family val="2"/>
      </rPr>
      <t>BPU133</t>
    </r>
  </si>
  <si>
    <r>
      <rPr>
        <sz val="10"/>
        <rFont val="Liberation Sans Narrow"/>
        <family val="2"/>
      </rPr>
      <t>BPU134</t>
    </r>
  </si>
  <si>
    <r>
      <rPr>
        <sz val="10"/>
        <rFont val="Liberation Sans Narrow"/>
        <family val="2"/>
      </rPr>
      <t>BPU135</t>
    </r>
  </si>
  <si>
    <r>
      <rPr>
        <sz val="10"/>
        <rFont val="Liberation Sans Narrow"/>
        <family val="2"/>
      </rPr>
      <t>BPU136</t>
    </r>
  </si>
  <si>
    <r>
      <rPr>
        <sz val="10"/>
        <rFont val="Liberation Sans Narrow"/>
        <family val="2"/>
      </rPr>
      <t>BPU137</t>
    </r>
  </si>
  <si>
    <r>
      <rPr>
        <sz val="10"/>
        <rFont val="Liberation Sans Narrow"/>
        <family val="2"/>
      </rPr>
      <t>BPU138</t>
    </r>
  </si>
  <si>
    <r>
      <rPr>
        <sz val="10"/>
        <rFont val="Liberation Sans Narrow"/>
        <family val="2"/>
      </rPr>
      <t>BPU139</t>
    </r>
  </si>
  <si>
    <r>
      <rPr>
        <sz val="10"/>
        <rFont val="Liberation Sans Narrow"/>
        <family val="2"/>
      </rPr>
      <t>BPU140</t>
    </r>
  </si>
  <si>
    <r>
      <rPr>
        <sz val="10"/>
        <rFont val="Liberation Sans Narrow"/>
        <family val="2"/>
      </rPr>
      <t>BPU141</t>
    </r>
  </si>
  <si>
    <r>
      <rPr>
        <sz val="10"/>
        <rFont val="Liberation Sans Narrow"/>
        <family val="2"/>
      </rPr>
      <t>BPU142</t>
    </r>
  </si>
  <si>
    <r>
      <rPr>
        <sz val="10"/>
        <rFont val="Liberation Sans Narrow"/>
        <family val="2"/>
      </rPr>
      <t>BPU143</t>
    </r>
  </si>
  <si>
    <r>
      <rPr>
        <sz val="10"/>
        <rFont val="Liberation Sans Narrow"/>
        <family val="2"/>
      </rPr>
      <t>BPU144</t>
    </r>
  </si>
  <si>
    <r>
      <rPr>
        <sz val="10"/>
        <rFont val="Liberation Sans Narrow"/>
        <family val="2"/>
      </rPr>
      <t>BPU145</t>
    </r>
  </si>
  <si>
    <r>
      <rPr>
        <sz val="10"/>
        <rFont val="Liberation Sans Narrow"/>
        <family val="2"/>
      </rPr>
      <t>BPU146</t>
    </r>
  </si>
  <si>
    <r>
      <rPr>
        <sz val="10"/>
        <rFont val="Liberation Sans Narrow"/>
        <family val="2"/>
      </rPr>
      <t>BPU147</t>
    </r>
  </si>
  <si>
    <r>
      <rPr>
        <sz val="10"/>
        <rFont val="Liberation Sans Narrow"/>
        <family val="2"/>
      </rPr>
      <t>BPU148</t>
    </r>
  </si>
  <si>
    <r>
      <rPr>
        <sz val="10"/>
        <rFont val="Liberation Sans Narrow"/>
        <family val="2"/>
      </rPr>
      <t>BPU149</t>
    </r>
  </si>
  <si>
    <r>
      <rPr>
        <sz val="10"/>
        <rFont val="Liberation Sans Narrow"/>
        <family val="2"/>
      </rPr>
      <t>BPU150</t>
    </r>
  </si>
  <si>
    <r>
      <rPr>
        <sz val="10"/>
        <rFont val="Liberation Sans Narrow"/>
        <family val="2"/>
      </rPr>
      <t>BPU151</t>
    </r>
  </si>
  <si>
    <r>
      <rPr>
        <sz val="10"/>
        <rFont val="Liberation Sans Narrow"/>
        <family val="2"/>
      </rPr>
      <t>BPU152</t>
    </r>
  </si>
  <si>
    <r>
      <rPr>
        <sz val="10"/>
        <rFont val="Liberation Sans Narrow"/>
        <family val="2"/>
      </rPr>
      <t>BPU153</t>
    </r>
  </si>
  <si>
    <r>
      <rPr>
        <sz val="10"/>
        <rFont val="Liberation Sans Narrow"/>
        <family val="2"/>
      </rPr>
      <t>BPU154</t>
    </r>
  </si>
  <si>
    <r>
      <rPr>
        <sz val="10"/>
        <rFont val="Liberation Sans Narrow"/>
        <family val="2"/>
      </rPr>
      <t>BPU155</t>
    </r>
  </si>
  <si>
    <r>
      <rPr>
        <sz val="10"/>
        <rFont val="Liberation Sans Narrow"/>
        <family val="2"/>
      </rPr>
      <t>BPU156</t>
    </r>
  </si>
  <si>
    <r>
      <rPr>
        <sz val="10"/>
        <rFont val="Liberation Sans Narrow"/>
        <family val="2"/>
      </rPr>
      <t>BPU157</t>
    </r>
  </si>
  <si>
    <r>
      <rPr>
        <sz val="10"/>
        <rFont val="Liberation Sans Narrow"/>
        <family val="2"/>
      </rPr>
      <t>BPU158</t>
    </r>
  </si>
  <si>
    <r>
      <rPr>
        <sz val="10"/>
        <rFont val="Liberation Sans Narrow"/>
        <family val="2"/>
      </rPr>
      <t>BPU159</t>
    </r>
  </si>
  <si>
    <r>
      <rPr>
        <sz val="10"/>
        <rFont val="Liberation Sans Narrow"/>
        <family val="2"/>
      </rPr>
      <t>BPU160</t>
    </r>
  </si>
  <si>
    <r>
      <rPr>
        <sz val="10"/>
        <rFont val="Arial MT"/>
        <family val="2"/>
      </rPr>
      <t>06.05.08.</t>
    </r>
  </si>
  <si>
    <r>
      <rPr>
        <sz val="10"/>
        <rFont val="Arial MT"/>
        <family val="2"/>
      </rPr>
      <t>06.05.09.</t>
    </r>
  </si>
  <si>
    <r>
      <rPr>
        <sz val="10"/>
        <rFont val="Arial MT"/>
        <family val="2"/>
      </rPr>
      <t>03.05.02.</t>
    </r>
  </si>
  <si>
    <r>
      <rPr>
        <sz val="10"/>
        <rFont val="Arial MT"/>
        <family val="2"/>
      </rPr>
      <t>02.03.01.</t>
    </r>
  </si>
  <si>
    <r>
      <rPr>
        <sz val="10"/>
        <rFont val="Arial MT"/>
        <family val="2"/>
      </rPr>
      <t xml:space="preserve">5.1.02.01.01.00
</t>
    </r>
    <r>
      <rPr>
        <sz val="10"/>
        <rFont val="Arial MT"/>
        <family val="2"/>
      </rPr>
      <t>52</t>
    </r>
  </si>
  <si>
    <r>
      <rPr>
        <sz val="10"/>
        <rFont val="Arial MT"/>
        <family val="2"/>
      </rPr>
      <t>02.06.01.</t>
    </r>
  </si>
  <si>
    <r>
      <rPr>
        <sz val="10"/>
        <rFont val="Arial MT"/>
        <family val="2"/>
      </rPr>
      <t>04.06.13.</t>
    </r>
  </si>
  <si>
    <r>
      <rPr>
        <sz val="10"/>
        <rFont val="Arial MT"/>
        <family val="2"/>
      </rPr>
      <t>05.05.02.</t>
    </r>
  </si>
  <si>
    <r>
      <rPr>
        <sz val="10"/>
        <rFont val="Arial MT"/>
        <family val="2"/>
      </rPr>
      <t>05.08.10.</t>
    </r>
  </si>
  <si>
    <r>
      <rPr>
        <sz val="10"/>
        <rFont val="Arial MT"/>
        <family val="2"/>
      </rPr>
      <t>03.03.21.</t>
    </r>
  </si>
  <si>
    <r>
      <rPr>
        <sz val="10"/>
        <rFont val="Arial MT"/>
        <family val="2"/>
      </rPr>
      <t>06.07.01.</t>
    </r>
  </si>
  <si>
    <r>
      <rPr>
        <sz val="10"/>
        <rFont val="Arial MT"/>
        <family val="2"/>
      </rPr>
      <t>06.07.05.</t>
    </r>
  </si>
  <si>
    <r>
      <rPr>
        <sz val="10"/>
        <rFont val="Arial MT"/>
        <family val="2"/>
      </rPr>
      <t>03.03.14.</t>
    </r>
  </si>
  <si>
    <r>
      <rPr>
        <sz val="10"/>
        <rFont val="Arial MT"/>
        <family val="2"/>
      </rPr>
      <t>06.05.03.</t>
    </r>
  </si>
  <si>
    <r>
      <rPr>
        <sz val="10"/>
        <rFont val="Arial MT"/>
        <family val="2"/>
      </rPr>
      <t xml:space="preserve">5.1.02.01.01.00
</t>
    </r>
    <r>
      <rPr>
        <sz val="10"/>
        <rFont val="Arial MT"/>
        <family val="2"/>
      </rPr>
      <t>12</t>
    </r>
  </si>
  <si>
    <r>
      <rPr>
        <sz val="10"/>
        <rFont val="Arial MT"/>
        <family val="2"/>
      </rPr>
      <t>05.08.02.</t>
    </r>
  </si>
  <si>
    <r>
      <rPr>
        <sz val="10"/>
        <rFont val="Arial MT"/>
        <family val="2"/>
      </rPr>
      <t>05.08.05.</t>
    </r>
  </si>
  <si>
    <r>
      <rPr>
        <sz val="10"/>
        <rFont val="Arial MT"/>
        <family val="2"/>
      </rPr>
      <t>03.03.08.</t>
    </r>
  </si>
  <si>
    <r>
      <rPr>
        <sz val="10"/>
        <rFont val="Arial MT"/>
        <family val="2"/>
      </rPr>
      <t>04.06.07.</t>
    </r>
  </si>
  <si>
    <r>
      <rPr>
        <sz val="10"/>
        <rFont val="Arial MT"/>
        <family val="2"/>
      </rPr>
      <t>02.02.01.</t>
    </r>
  </si>
  <si>
    <r>
      <rPr>
        <sz val="10"/>
        <rFont val="Arial MT"/>
        <family val="2"/>
      </rPr>
      <t>05.09.04.</t>
    </r>
  </si>
  <si>
    <r>
      <rPr>
        <sz val="10"/>
        <rFont val="Arial MT"/>
        <family val="2"/>
      </rPr>
      <t>06.05.07.</t>
    </r>
  </si>
  <si>
    <r>
      <rPr>
        <sz val="10"/>
        <rFont val="Arial MT"/>
        <family val="2"/>
      </rPr>
      <t>06.05.05.</t>
    </r>
  </si>
  <si>
    <r>
      <rPr>
        <sz val="10"/>
        <rFont val="Arial MT"/>
        <family val="2"/>
      </rPr>
      <t>03.03.19.</t>
    </r>
  </si>
  <si>
    <r>
      <rPr>
        <sz val="10"/>
        <rFont val="Arial MT"/>
        <family val="2"/>
      </rPr>
      <t>03.04.01.</t>
    </r>
  </si>
  <si>
    <r>
      <rPr>
        <sz val="10"/>
        <rFont val="Arial MT"/>
        <family val="2"/>
      </rPr>
      <t>04.06.14.</t>
    </r>
  </si>
  <si>
    <r>
      <rPr>
        <sz val="10"/>
        <rFont val="Arial MT"/>
        <family val="2"/>
      </rPr>
      <t>04.06.27.</t>
    </r>
  </si>
  <si>
    <r>
      <rPr>
        <sz val="10"/>
        <rFont val="Arial MT"/>
        <family val="2"/>
      </rPr>
      <t>04.06.41.</t>
    </r>
  </si>
  <si>
    <r>
      <rPr>
        <sz val="10"/>
        <rFont val="Arial MT"/>
        <family val="2"/>
      </rPr>
      <t xml:space="preserve">5.2.02.10.02.00
</t>
    </r>
    <r>
      <rPr>
        <sz val="10"/>
        <rFont val="Arial MT"/>
        <family val="2"/>
      </rPr>
      <t>05</t>
    </r>
  </si>
  <si>
    <r>
      <rPr>
        <sz val="10"/>
        <rFont val="Arial MT"/>
        <family val="2"/>
      </rPr>
      <t>03.01.01.</t>
    </r>
  </si>
  <si>
    <r>
      <rPr>
        <sz val="10"/>
        <rFont val="Arial MT"/>
        <family val="2"/>
      </rPr>
      <t>08.04.05.</t>
    </r>
  </si>
  <si>
    <r>
      <rPr>
        <sz val="10"/>
        <rFont val="Arial MT"/>
        <family val="2"/>
      </rPr>
      <t>08.04.07.</t>
    </r>
  </si>
  <si>
    <r>
      <rPr>
        <sz val="10"/>
        <rFont val="Arial MT"/>
        <family val="2"/>
      </rPr>
      <t>08.04.06.</t>
    </r>
  </si>
  <si>
    <r>
      <rPr>
        <sz val="10"/>
        <rFont val="Arial MT"/>
        <family val="2"/>
      </rPr>
      <t>06.05.04.</t>
    </r>
  </si>
  <si>
    <r>
      <rPr>
        <sz val="10"/>
        <rFont val="Liberation Sans Narrow"/>
        <family val="2"/>
      </rPr>
      <t>07.12.02.</t>
    </r>
  </si>
  <si>
    <r>
      <rPr>
        <sz val="10"/>
        <rFont val="Liberation Sans Narrow"/>
        <family val="2"/>
      </rPr>
      <t xml:space="preserve">5.1.02.02.01.00
</t>
    </r>
    <r>
      <rPr>
        <sz val="10"/>
        <rFont val="Liberation Sans Narrow"/>
        <family val="2"/>
      </rPr>
      <t>26</t>
    </r>
  </si>
  <si>
    <r>
      <rPr>
        <sz val="10"/>
        <rFont val="Liberation Sans Narrow"/>
        <family val="2"/>
      </rPr>
      <t>06.05.08.</t>
    </r>
  </si>
  <si>
    <r>
      <rPr>
        <sz val="10"/>
        <rFont val="Liberation Sans Narrow"/>
        <family val="2"/>
      </rPr>
      <t xml:space="preserve">5.1.02.01.01.00
</t>
    </r>
    <r>
      <rPr>
        <sz val="10"/>
        <rFont val="Liberation Sans Narrow"/>
        <family val="2"/>
      </rPr>
      <t>24</t>
    </r>
  </si>
  <si>
    <r>
      <rPr>
        <sz val="10"/>
        <rFont val="Liberation Sans Narrow"/>
        <family val="2"/>
      </rPr>
      <t>06.05.09.</t>
    </r>
  </si>
  <si>
    <r>
      <rPr>
        <sz val="10"/>
        <rFont val="Liberation Sans Narrow"/>
        <family val="2"/>
      </rPr>
      <t xml:space="preserve">5.1.02.01.01.00
</t>
    </r>
    <r>
      <rPr>
        <sz val="10"/>
        <rFont val="Liberation Sans Narrow"/>
        <family val="2"/>
      </rPr>
      <t>30</t>
    </r>
  </si>
  <si>
    <r>
      <rPr>
        <sz val="10"/>
        <rFont val="Liberation Sans Narrow"/>
        <family val="2"/>
      </rPr>
      <t>06.05.02.</t>
    </r>
  </si>
  <si>
    <r>
      <rPr>
        <sz val="10"/>
        <rFont val="Liberation Sans Narrow"/>
        <family val="2"/>
      </rPr>
      <t xml:space="preserve">5.1.02.01.01.00
</t>
    </r>
    <r>
      <rPr>
        <sz val="10"/>
        <rFont val="Liberation Sans Narrow"/>
        <family val="2"/>
      </rPr>
      <t>52</t>
    </r>
  </si>
  <si>
    <r>
      <rPr>
        <sz val="10"/>
        <rFont val="Liberation Sans Narrow"/>
        <family val="2"/>
      </rPr>
      <t>02.06.01.</t>
    </r>
  </si>
  <si>
    <r>
      <rPr>
        <sz val="10"/>
        <rFont val="Liberation Sans Narrow"/>
        <family val="2"/>
      </rPr>
      <t xml:space="preserve">5.1.02.01.01.00
</t>
    </r>
    <r>
      <rPr>
        <sz val="10"/>
        <rFont val="Liberation Sans Narrow"/>
        <family val="2"/>
      </rPr>
      <t>26</t>
    </r>
  </si>
  <si>
    <r>
      <rPr>
        <sz val="10"/>
        <rFont val="Liberation Sans Narrow"/>
        <family val="2"/>
      </rPr>
      <t>03.03.21.</t>
    </r>
  </si>
  <si>
    <r>
      <rPr>
        <sz val="10"/>
        <rFont val="Liberation Sans Narrow"/>
        <family val="2"/>
      </rPr>
      <t>04.06.13.</t>
    </r>
  </si>
  <si>
    <r>
      <rPr>
        <sz val="10"/>
        <rFont val="Liberation Sans Narrow"/>
        <family val="2"/>
      </rPr>
      <t>03.03.11.</t>
    </r>
  </si>
  <si>
    <r>
      <rPr>
        <sz val="10"/>
        <rFont val="Liberation Sans Narrow"/>
        <family val="2"/>
      </rPr>
      <t>05.05.02.</t>
    </r>
  </si>
  <si>
    <r>
      <rPr>
        <sz val="10"/>
        <rFont val="Liberation Sans Narrow"/>
        <family val="2"/>
      </rPr>
      <t>06.07.01.</t>
    </r>
  </si>
  <si>
    <r>
      <rPr>
        <sz val="10"/>
        <rFont val="Liberation Sans Narrow"/>
        <family val="2"/>
      </rPr>
      <t xml:space="preserve">5.1.02.02.01.00
</t>
    </r>
    <r>
      <rPr>
        <sz val="10"/>
        <rFont val="Liberation Sans Narrow"/>
        <family val="2"/>
      </rPr>
      <t>61</t>
    </r>
  </si>
  <si>
    <r>
      <rPr>
        <sz val="10"/>
        <rFont val="Liberation Sans Narrow"/>
        <family val="2"/>
      </rPr>
      <t>06.07.05.</t>
    </r>
  </si>
  <si>
    <r>
      <rPr>
        <sz val="10"/>
        <rFont val="Liberation Sans Narrow"/>
        <family val="2"/>
      </rPr>
      <t xml:space="preserve">5.1.02.02.01.00
</t>
    </r>
    <r>
      <rPr>
        <sz val="10"/>
        <rFont val="Liberation Sans Narrow"/>
        <family val="2"/>
      </rPr>
      <t>63</t>
    </r>
  </si>
  <si>
    <r>
      <rPr>
        <sz val="10"/>
        <rFont val="Liberation Sans Narrow"/>
        <family val="2"/>
      </rPr>
      <t>06.05.03.</t>
    </r>
  </si>
  <si>
    <r>
      <rPr>
        <sz val="10"/>
        <rFont val="Liberation Sans Narrow"/>
        <family val="2"/>
      </rPr>
      <t xml:space="preserve">5.1.02.02.01.00
</t>
    </r>
    <r>
      <rPr>
        <sz val="10"/>
        <rFont val="Liberation Sans Narrow"/>
        <family val="2"/>
      </rPr>
      <t>27</t>
    </r>
  </si>
  <si>
    <r>
      <rPr>
        <sz val="10"/>
        <rFont val="Liberation Sans Narrow"/>
        <family val="2"/>
      </rPr>
      <t>05.08.10.</t>
    </r>
  </si>
  <si>
    <r>
      <rPr>
        <sz val="10"/>
        <rFont val="Liberation Sans Narrow"/>
        <family val="2"/>
      </rPr>
      <t xml:space="preserve">5.1.02.01.01.00
</t>
    </r>
    <r>
      <rPr>
        <sz val="10"/>
        <rFont val="Liberation Sans Narrow"/>
        <family val="2"/>
      </rPr>
      <t>31</t>
    </r>
  </si>
  <si>
    <t>1410/2024</t>
  </si>
  <si>
    <r>
      <rPr>
        <sz val="10"/>
        <rFont val="Arial MT"/>
        <family val="2"/>
      </rPr>
      <t>hardisk</t>
    </r>
  </si>
  <si>
    <r>
      <rPr>
        <sz val="10"/>
        <rFont val="Arial MT"/>
        <family val="2"/>
      </rPr>
      <t>Stofmap Transparan tali</t>
    </r>
  </si>
  <si>
    <r>
      <rPr>
        <sz val="10"/>
        <rFont val="Arial MT"/>
        <family val="2"/>
      </rPr>
      <t>Amplop Coklat Merk : GSU Ukuran Folio polos</t>
    </r>
  </si>
  <si>
    <r>
      <rPr>
        <sz val="10"/>
        <rFont val="Arial MT"/>
        <family val="2"/>
      </rPr>
      <t>Stapler HD-10--</t>
    </r>
  </si>
  <si>
    <r>
      <rPr>
        <sz val="10"/>
        <rFont val="Arial MT"/>
        <family val="2"/>
      </rPr>
      <t>Kertas Lain-Lain Kertas Buffalo</t>
    </r>
  </si>
  <si>
    <r>
      <rPr>
        <sz val="10"/>
        <rFont val="Arial MT"/>
        <family val="2"/>
      </rPr>
      <t>Bantalan Cap Kecil</t>
    </r>
  </si>
  <si>
    <r>
      <rPr>
        <sz val="10"/>
        <rFont val="Arial MT"/>
        <family val="2"/>
      </rPr>
      <t>Tinta Printer Canon 741 Warna-741 Warna</t>
    </r>
  </si>
  <si>
    <r>
      <rPr>
        <sz val="10"/>
        <rFont val="Arial MT"/>
        <family val="2"/>
      </rPr>
      <t>Ballpoint Boldiner Standar</t>
    </r>
  </si>
  <si>
    <r>
      <rPr>
        <sz val="10"/>
        <rFont val="Arial MT"/>
        <family val="2"/>
      </rPr>
      <t>Stapler Stapler No, 50 MAX</t>
    </r>
  </si>
  <si>
    <r>
      <rPr>
        <sz val="10"/>
        <rFont val="Arial MT"/>
        <family val="2"/>
      </rPr>
      <t>Lakban Hitam--</t>
    </r>
  </si>
  <si>
    <r>
      <rPr>
        <sz val="10"/>
        <rFont val="Arial MT"/>
        <family val="2"/>
      </rPr>
      <t>Lakban Hitam uk 2 " Warna hitam uk. 2 "</t>
    </r>
  </si>
  <si>
    <r>
      <rPr>
        <sz val="10"/>
        <rFont val="Arial MT"/>
        <family val="2"/>
      </rPr>
      <t>Lem Fox isi 500 gram--</t>
    </r>
  </si>
  <si>
    <r>
      <rPr>
        <sz val="10"/>
        <rFont val="Arial MT"/>
        <family val="2"/>
      </rPr>
      <t>Buku Ekspedisi 100</t>
    </r>
  </si>
  <si>
    <r>
      <rPr>
        <sz val="10"/>
        <rFont val="Arial MT"/>
        <family val="2"/>
      </rPr>
      <t>Materai 10.000</t>
    </r>
  </si>
  <si>
    <r>
      <rPr>
        <sz val="10"/>
        <rFont val="Arial MT"/>
        <family val="2"/>
      </rPr>
      <t>Amplop Panjang Putih Polos Merk : Jaya Ukuran : 11 x 23 cm</t>
    </r>
  </si>
  <si>
    <r>
      <rPr>
        <sz val="10"/>
        <rFont val="Arial MT"/>
        <family val="2"/>
      </rPr>
      <t>canon catridge 741-catridge 741</t>
    </r>
  </si>
  <si>
    <r>
      <rPr>
        <sz val="10"/>
        <rFont val="Arial MT"/>
        <family val="2"/>
      </rPr>
      <t>Baterey Tanggung</t>
    </r>
  </si>
  <si>
    <r>
      <rPr>
        <sz val="10"/>
        <rFont val="Arial MT"/>
        <family val="2"/>
      </rPr>
      <t>C. Tinta Printer EPSON Toner Epson 664 Black</t>
    </r>
  </si>
  <si>
    <r>
      <rPr>
        <sz val="10"/>
        <rFont val="Arial MT"/>
        <family val="2"/>
      </rPr>
      <t>Isi Staples Sedang</t>
    </r>
  </si>
  <si>
    <r>
      <rPr>
        <sz val="10"/>
        <rFont val="Arial MT"/>
        <family val="2"/>
      </rPr>
      <t>Box File Merk : Bantex Ukuran : 115x270x325 mm</t>
    </r>
  </si>
  <si>
    <r>
      <rPr>
        <sz val="10"/>
        <rFont val="Arial MT"/>
        <family val="2"/>
      </rPr>
      <t>Catridge Printer Epson T 014--</t>
    </r>
  </si>
  <si>
    <r>
      <rPr>
        <sz val="10"/>
        <rFont val="Arial MT"/>
        <family val="2"/>
      </rPr>
      <t>USB FLASH DISK USB/Flash Disk 4GB</t>
    </r>
  </si>
  <si>
    <r>
      <rPr>
        <sz val="10"/>
        <rFont val="Arial MT"/>
        <family val="2"/>
      </rPr>
      <t>gunting kertas-ukuran : panjang 21cm x lebar 8cm, stainless steel</t>
    </r>
  </si>
  <si>
    <r>
      <rPr>
        <sz val="10"/>
        <rFont val="Arial MT"/>
        <family val="2"/>
      </rPr>
      <t>Ballpoint Standard AE7</t>
    </r>
  </si>
  <si>
    <r>
      <rPr>
        <sz val="10"/>
        <rFont val="Arial MT"/>
        <family val="2"/>
      </rPr>
      <t>lakban hitam-ukuran : lebar 2 inch, panjang 12m, bahan : kain</t>
    </r>
  </si>
  <si>
    <r>
      <rPr>
        <sz val="10"/>
        <rFont val="Arial MT"/>
        <family val="2"/>
      </rPr>
      <t>Lakban Besar</t>
    </r>
  </si>
  <si>
    <r>
      <rPr>
        <sz val="10"/>
        <rFont val="Arial MT"/>
        <family val="2"/>
      </rPr>
      <t>Buku Induk/Inventaris 35 cm x 50 cm</t>
    </r>
  </si>
  <si>
    <r>
      <rPr>
        <sz val="10"/>
        <rFont val="Arial MT"/>
        <family val="2"/>
      </rPr>
      <t>Tinta Printer Canon 740 Hitam-740 Hitam</t>
    </r>
  </si>
  <si>
    <r>
      <rPr>
        <sz val="10"/>
        <rFont val="Arial MT"/>
        <family val="2"/>
      </rPr>
      <t>Kertas HVS 60 gram Merk : Paper One HVS F4 uk. 8.27"x11.69"</t>
    </r>
  </si>
  <si>
    <r>
      <rPr>
        <sz val="10"/>
        <rFont val="Arial MT"/>
        <family val="2"/>
      </rPr>
      <t>Isi Staples besar</t>
    </r>
  </si>
  <si>
    <r>
      <rPr>
        <sz val="10"/>
        <rFont val="Arial MT"/>
        <family val="2"/>
      </rPr>
      <t>Gayung</t>
    </r>
  </si>
  <si>
    <r>
      <rPr>
        <sz val="10"/>
        <rFont val="Arial MT"/>
        <family val="2"/>
      </rPr>
      <t>Kain Lap  Bahan : Katun bermotif kotak-kotak</t>
    </r>
  </si>
  <si>
    <r>
      <rPr>
        <sz val="10"/>
        <rFont val="Arial MT"/>
        <family val="2"/>
      </rPr>
      <t>Serok Sampah--</t>
    </r>
  </si>
  <si>
    <r>
      <rPr>
        <sz val="10"/>
        <rFont val="Arial MT"/>
        <family val="2"/>
      </rPr>
      <t>Perlengkapan Kebersihan Pembersih Lantai Super Pel Varian 800ml</t>
    </r>
  </si>
  <si>
    <r>
      <rPr>
        <sz val="10"/>
        <rFont val="Arial MT"/>
        <family val="2"/>
      </rPr>
      <t>Serok Air Besar--</t>
    </r>
  </si>
  <si>
    <r>
      <rPr>
        <sz val="10"/>
        <rFont val="Arial MT"/>
        <family val="2"/>
      </rPr>
      <t>Perlengkapan Kebersihan Pembersih Pakaian Sunlight Refil 800ml</t>
    </r>
  </si>
  <si>
    <r>
      <rPr>
        <sz val="10"/>
        <rFont val="Arial MT"/>
        <family val="2"/>
      </rPr>
      <t>Tisu--</t>
    </r>
  </si>
  <si>
    <r>
      <rPr>
        <sz val="10"/>
        <rFont val="Arial MT"/>
        <family val="2"/>
      </rPr>
      <t>Cairan Pembersih Kaca</t>
    </r>
  </si>
  <si>
    <r>
      <rPr>
        <sz val="10"/>
        <rFont val="Arial MT"/>
        <family val="2"/>
      </rPr>
      <t>Sikat Pembersih</t>
    </r>
  </si>
  <si>
    <r>
      <rPr>
        <sz val="10"/>
        <rFont val="Arial MT"/>
        <family val="2"/>
      </rPr>
      <t>Hand Sanitizer-Unit</t>
    </r>
  </si>
  <si>
    <r>
      <rPr>
        <sz val="10"/>
        <rFont val="Arial MT"/>
        <family val="2"/>
      </rPr>
      <t>Sikat WC Type : Gagang Panjang</t>
    </r>
  </si>
  <si>
    <r>
      <rPr>
        <sz val="10"/>
        <rFont val="Arial MT"/>
        <family val="2"/>
      </rPr>
      <t>Obat Magh</t>
    </r>
  </si>
  <si>
    <r>
      <rPr>
        <sz val="10"/>
        <rFont val="Arial MT"/>
        <family val="2"/>
      </rPr>
      <t>Obat Diare/sakit perut</t>
    </r>
  </si>
  <si>
    <r>
      <rPr>
        <sz val="10"/>
        <rFont val="Arial MT"/>
        <family val="2"/>
      </rPr>
      <t>Antiseptic Obat Luar</t>
    </r>
  </si>
  <si>
    <r>
      <rPr>
        <sz val="10"/>
        <rFont val="Arial MT"/>
        <family val="2"/>
      </rPr>
      <t>Kudapan pada Kegiatan Rapat  penyusunan program kurikulum Semester Ganjil/Genap TP 2024/2025</t>
    </r>
  </si>
  <si>
    <r>
      <rPr>
        <sz val="10"/>
        <rFont val="Arial MT"/>
        <family val="2"/>
      </rPr>
      <t>Konsumsi pada Kegiatan Rapat  penyusunan program kurikulum Semester Ganjil/Genap TP 2024/2025</t>
    </r>
  </si>
  <si>
    <r>
      <rPr>
        <sz val="10"/>
        <rFont val="Arial MT"/>
        <family val="2"/>
      </rPr>
      <t>Kudapan pada Kegiatan diskusi kolaborasi pengembangan RPP dalam Komunitas Belajar (termasuk KKG/MGMP/MGMPS/MGPMPK)</t>
    </r>
  </si>
  <si>
    <r>
      <rPr>
        <sz val="10"/>
        <rFont val="Arial MT"/>
        <family val="2"/>
      </rPr>
      <t>Konsumsi Kegiatan diskusi kolaborasi pengembangan RPP dalam Komunitas Belajar (termasuk KKG/MGMP/MGMPS/MGPMPK)</t>
    </r>
  </si>
  <si>
    <r>
      <rPr>
        <sz val="10"/>
        <rFont val="Arial MT"/>
        <family val="2"/>
      </rPr>
      <t>Kudapan pada kegiatan Rapat Penyusunan KKM</t>
    </r>
  </si>
  <si>
    <r>
      <rPr>
        <sz val="10"/>
        <rFont val="Arial MT"/>
        <family val="2"/>
      </rPr>
      <t>Konsumsi pada kegiatan Rapat Penyusunan KKM</t>
    </r>
  </si>
  <si>
    <r>
      <rPr>
        <sz val="10"/>
        <rFont val="Arial MT"/>
        <family val="2"/>
      </rPr>
      <t>Kudapan pada Kegiatan Pelatihan Peningkatan Kompetensi Guru untuk memperkuat numerasi</t>
    </r>
  </si>
  <si>
    <r>
      <rPr>
        <sz val="10"/>
        <rFont val="Arial MT"/>
        <family val="2"/>
      </rPr>
      <t>Konsumsi pada Kegiatan Pelatihan Peningkatan Kompetensi Guru untuk memperkuat numerasi</t>
    </r>
  </si>
  <si>
    <r>
      <rPr>
        <sz val="10"/>
        <rFont val="Arial MT"/>
        <family val="2"/>
      </rPr>
      <t>Air Mineral pada pelaksanaan kegiatan bulanan Gerakan Bersih Lingkungan Sekolah</t>
    </r>
  </si>
  <si>
    <r>
      <rPr>
        <sz val="10"/>
        <rFont val="Arial MT"/>
        <family val="2"/>
      </rPr>
      <t>bola lampu hannock-45 watt</t>
    </r>
  </si>
  <si>
    <r>
      <rPr>
        <sz val="10"/>
        <rFont val="Arial MT"/>
        <family val="2"/>
      </rPr>
      <t>Spanduk Uk. 1 x 6 meter-</t>
    </r>
  </si>
  <si>
    <r>
      <rPr>
        <sz val="10"/>
        <rFont val="Arial MT"/>
        <family val="2"/>
      </rPr>
      <t>Kudapan Pada Kegiatan Syukuran Hari Raya Natal dan Tahun Baru 2024</t>
    </r>
  </si>
  <si>
    <r>
      <rPr>
        <sz val="10"/>
        <rFont val="Arial MT"/>
        <family val="2"/>
      </rPr>
      <t>Konsumsi Pada Kegiatan Syukuran Hari Raya Natal dan Tahun Baru 2024</t>
    </r>
  </si>
  <si>
    <r>
      <rPr>
        <sz val="10"/>
        <rFont val="Arial MT"/>
        <family val="2"/>
      </rPr>
      <t>Sewa Gedung Pada Kegiatan Syukuran Hari Raya Natal dan Tahun Baru 2024</t>
    </r>
  </si>
  <si>
    <r>
      <rPr>
        <sz val="10"/>
        <rFont val="Arial MT"/>
        <family val="2"/>
      </rPr>
      <t>Biaya Rekening Listrik--</t>
    </r>
  </si>
  <si>
    <r>
      <rPr>
        <sz val="10"/>
        <rFont val="Arial MT"/>
        <family val="2"/>
      </rPr>
      <t>Biaya Langganan Internet--</t>
    </r>
  </si>
  <si>
    <r>
      <rPr>
        <sz val="10"/>
        <rFont val="Arial MT"/>
        <family val="2"/>
      </rPr>
      <t>Kudapan pada Kegiatan rubrik/Ibadah Bulanan</t>
    </r>
  </si>
  <si>
    <r>
      <rPr>
        <sz val="10"/>
        <rFont val="Arial MT"/>
        <family val="2"/>
      </rPr>
      <t>Belanja Jasa Tenaga Operator Komputer--</t>
    </r>
  </si>
  <si>
    <r>
      <rPr>
        <sz val="10"/>
        <rFont val="Arial MT"/>
        <family val="2"/>
      </rPr>
      <t>Satuan Biaya Konsumsi Makanan dan Minuman Fasilitas Pelayanan Urusan Pendidikan Biasa, Makan - Provinsi Sumatera Utara--</t>
    </r>
  </si>
  <si>
    <r>
      <rPr>
        <sz val="10"/>
        <rFont val="Arial MT"/>
        <family val="2"/>
      </rPr>
      <t>Satuan Biaya Konsumsi Makanan dan Minuman Fasilitas Pelayanan Urusan Pendidikan Biasa, Kudapan (Snack) - Provinsi Sumatera Utara--</t>
    </r>
  </si>
  <si>
    <r>
      <rPr>
        <sz val="10"/>
        <rFont val="Arial MT"/>
        <family val="2"/>
      </rPr>
      <t>Kudapan Rapat Rutin Bulanan</t>
    </r>
  </si>
  <si>
    <r>
      <rPr>
        <sz val="10"/>
        <rFont val="Arial MT"/>
        <family val="2"/>
      </rPr>
      <t>Kudapan pada Kegiatan Rapat Penyusunan Program Kesiswaan TP 2024/2025</t>
    </r>
  </si>
  <si>
    <r>
      <rPr>
        <sz val="10"/>
        <rFont val="Arial MT"/>
        <family val="2"/>
      </rPr>
      <t>Konsumsi pada Kegiatan Rapat Penyusunan Program Kesiswaan TP 2024/2025</t>
    </r>
  </si>
  <si>
    <r>
      <rPr>
        <sz val="10"/>
        <rFont val="Arial MT"/>
        <family val="2"/>
      </rPr>
      <t>Kudapan pada Kegiatan Bimtek Tenaga Pelaksana Sekolah (Tenaga Ekstrakurikuler, TU, Laboratorium, Perustakaan, dan UKS)</t>
    </r>
  </si>
  <si>
    <r>
      <rPr>
        <sz val="10"/>
        <rFont val="Arial MT"/>
        <family val="2"/>
      </rPr>
      <t>Konsumsi pada Kegiatan Bimtek Tenaga Pelaksana Sekolah (Tenaga Ekstrakurikuler, TU, Laboratorium, Perustakaan, dan UKS)</t>
    </r>
  </si>
  <si>
    <r>
      <rPr>
        <sz val="10"/>
        <rFont val="Arial MT"/>
        <family val="2"/>
      </rPr>
      <t>Upah Tukang Perbaikan Pintu dan Jendela Kelas</t>
    </r>
  </si>
  <si>
    <r>
      <rPr>
        <sz val="10"/>
        <rFont val="Arial MT"/>
        <family val="2"/>
      </rPr>
      <t>Kudapan pada Kegiatan Sosialisasi pemberdayaan perpustakaan terutama untuk pengembangan minat baca peserta didik</t>
    </r>
  </si>
  <si>
    <r>
      <rPr>
        <sz val="10"/>
        <rFont val="Arial MT"/>
        <family val="2"/>
      </rPr>
      <t>Konsumsi pada Kegiatan Sosialisasi pemberdayaan perpustakaan terutama untuk pengembangan minat baca peserta didik</t>
    </r>
  </si>
  <si>
    <t>Lakban Bening K</t>
  </si>
  <si>
    <r>
      <rPr>
        <sz val="10"/>
        <rFont val="Arial MT"/>
        <family val="2"/>
      </rPr>
      <t>Batu Kerikil</t>
    </r>
  </si>
  <si>
    <r>
      <rPr>
        <sz val="10"/>
        <rFont val="Arial MT"/>
        <family val="2"/>
      </rPr>
      <t>Semen</t>
    </r>
  </si>
  <si>
    <r>
      <rPr>
        <sz val="10"/>
        <rFont val="Arial MT"/>
        <family val="2"/>
      </rPr>
      <t>Pasir</t>
    </r>
  </si>
  <si>
    <r>
      <rPr>
        <sz val="10"/>
        <rFont val="Arial MT"/>
        <family val="2"/>
      </rPr>
      <t>Lemari Besi/ Metal/ Lemari Arsip 4 Laci-</t>
    </r>
  </si>
  <si>
    <r>
      <rPr>
        <sz val="10"/>
        <rFont val="Arial MT"/>
        <family val="2"/>
      </rPr>
      <t>Printer Epson 2 Unit</t>
    </r>
  </si>
  <si>
    <r>
      <rPr>
        <sz val="10"/>
        <rFont val="Arial MT"/>
        <family val="2"/>
      </rPr>
      <t>Pantograf</t>
    </r>
  </si>
  <si>
    <r>
      <rPr>
        <sz val="10"/>
        <rFont val="Arial MT"/>
        <family val="2"/>
      </rPr>
      <t>kursi--</t>
    </r>
  </si>
  <si>
    <r>
      <rPr>
        <sz val="10"/>
        <rFont val="Arial MT"/>
        <family val="2"/>
      </rPr>
      <t>Biaya Lomba OSN 2024</t>
    </r>
  </si>
  <si>
    <r>
      <rPr>
        <sz val="10"/>
        <rFont val="Arial MT"/>
        <family val="2"/>
      </rPr>
      <t>Konsumsi Pada Kegiatan Halal Bihalal Umat Muslim</t>
    </r>
  </si>
  <si>
    <r>
      <rPr>
        <sz val="10"/>
        <rFont val="Arial MT"/>
        <family val="2"/>
      </rPr>
      <t>Kudapan pada Kegiatan Workshop Peningkatan Kompetensi Guru Menggunakan Metode/Strategi Pembelajaran</t>
    </r>
  </si>
  <si>
    <r>
      <rPr>
        <sz val="10"/>
        <rFont val="Arial MT"/>
        <family val="2"/>
      </rPr>
      <t>Konsumsi pada Kegiatan Workshop Peningkatan Kompetensi Guru Menggunakan Metode/Strategi Pembelajaran</t>
    </r>
  </si>
  <si>
    <r>
      <rPr>
        <sz val="10"/>
        <rFont val="Arial MT"/>
        <family val="2"/>
      </rPr>
      <t>Kudapan pada Kegiatan Workshop Peningkatan Kompetensi Guru "Prinsip Pembelajaran dan Asesmen"</t>
    </r>
  </si>
  <si>
    <r>
      <rPr>
        <sz val="10"/>
        <rFont val="Arial MT"/>
        <family val="2"/>
      </rPr>
      <t>Konsumsi pada Kegiatan Workshop Peningkatan Kompetensi Guru "Prinsip Pembelajaran dan Asesmen"</t>
    </r>
  </si>
  <si>
    <r>
      <rPr>
        <sz val="10"/>
        <rFont val="Arial MT"/>
        <family val="2"/>
      </rPr>
      <t>Kudapan pada kegiatan Workshop Peningkatan Kompetensi Guru untuk memahami tentang perundungan, kekerasan, dan kekerasan seksual</t>
    </r>
  </si>
  <si>
    <r>
      <rPr>
        <sz val="10"/>
        <rFont val="Arial MT"/>
        <family val="2"/>
      </rPr>
      <t>Konsumsi pada kegiatan Workshop Peningkatan Kompetensi Guru untuk memahami tentang perundungan, kekerasan, dan kekerasan seksual</t>
    </r>
  </si>
  <si>
    <r>
      <rPr>
        <sz val="10"/>
        <rFont val="Arial MT"/>
        <family val="2"/>
      </rPr>
      <t>Server</t>
    </r>
  </si>
  <si>
    <r>
      <rPr>
        <sz val="10"/>
        <rFont val="Arial MT"/>
        <family val="2"/>
      </rPr>
      <t>Biaya Lomba MTQ 2024</t>
    </r>
  </si>
  <si>
    <r>
      <rPr>
        <sz val="10"/>
        <rFont val="Arial MT"/>
        <family val="2"/>
      </rPr>
      <t>Kudapan pada Kegiatan Lomba Olimpiade Sains</t>
    </r>
  </si>
  <si>
    <r>
      <rPr>
        <sz val="10"/>
        <rFont val="Arial MT"/>
        <family val="2"/>
      </rPr>
      <t>Konsumsi pada kegiatan penyusunan soal penilaian sumatif Kelas X, XI, XII</t>
    </r>
  </si>
  <si>
    <r>
      <rPr>
        <sz val="10"/>
        <rFont val="Arial MT"/>
        <family val="2"/>
      </rPr>
      <t>Kudapan pada kegiatan penyusunan soal penilaian sumatif Kelas X, XI, XII</t>
    </r>
  </si>
  <si>
    <r>
      <rPr>
        <sz val="10"/>
        <rFont val="Arial MT"/>
        <family val="2"/>
      </rPr>
      <t>lemari-lemari penyimpanan alat</t>
    </r>
  </si>
  <si>
    <r>
      <rPr>
        <sz val="10"/>
        <rFont val="Arial MT"/>
        <family val="2"/>
      </rPr>
      <t>Papan Visual</t>
    </r>
  </si>
  <si>
    <r>
      <rPr>
        <sz val="10"/>
        <rFont val="Arial MT"/>
        <family val="2"/>
      </rPr>
      <t>Kudapan pada kegiatan Sumatif Akhir Semester Kelas X, XI, XII</t>
    </r>
  </si>
  <si>
    <r>
      <rPr>
        <sz val="10"/>
        <rFont val="Arial MT"/>
        <family val="2"/>
      </rPr>
      <t>Konsumsi pada kegiatan Sumatif Akhir Semester Kelas X, XI, XII</t>
    </r>
  </si>
  <si>
    <r>
      <rPr>
        <sz val="10"/>
        <rFont val="Arial MT"/>
        <family val="2"/>
      </rPr>
      <t>Kudapan pada Kegiatan Pelaksanaan Monitoring Program/Kegiatan Sekolah</t>
    </r>
  </si>
  <si>
    <r>
      <rPr>
        <sz val="10"/>
        <rFont val="Arial MT"/>
        <family val="2"/>
      </rPr>
      <t>Konsumsi pada Kegiatan Pelaksanaan Monitoring Program/Kegiatan Sekolah</t>
    </r>
  </si>
  <si>
    <r>
      <rPr>
        <sz val="10"/>
        <rFont val="Liberation Sans Narrow"/>
        <family val="2"/>
      </rPr>
      <t>Air Mineral pada kegiatan Penyusunan dan Pelaporan RKAS</t>
    </r>
  </si>
  <si>
    <r>
      <rPr>
        <sz val="10"/>
        <rFont val="Liberation Sans Narrow"/>
        <family val="2"/>
      </rPr>
      <t>Kudapan pada kegiatan Penyusunan dan Pelaporan RKAS</t>
    </r>
  </si>
  <si>
    <r>
      <rPr>
        <sz val="10"/>
        <rFont val="Liberation Sans Narrow"/>
        <family val="2"/>
      </rPr>
      <t>Konsumsi pada kegiatan Penyusunan dan Pelaporan RKAS</t>
    </r>
  </si>
  <si>
    <r>
      <rPr>
        <sz val="10"/>
        <rFont val="Liberation Sans Narrow"/>
        <family val="2"/>
      </rPr>
      <t>Kudapan pada Kegiatan diskusi kolaborasi pengembangan RPP dalam Komunitas Belajar (termasuk KKG/MGMP/MGMPS/MGPMPK)</t>
    </r>
  </si>
  <si>
    <r>
      <rPr>
        <sz val="10"/>
        <rFont val="Liberation Sans Narrow"/>
        <family val="2"/>
      </rPr>
      <t>Konsumsi Kegiatan diskusi kolaborasi pengembangan RPP dalam Komunitas Belajar (termasuk KKG/MGMP/MGMPS/MGPMPK)</t>
    </r>
  </si>
  <si>
    <r>
      <rPr>
        <sz val="10"/>
        <rFont val="Liberation Sans Narrow"/>
        <family val="2"/>
      </rPr>
      <t>Kertas Lain-Lain Kertas Buffalo</t>
    </r>
  </si>
  <si>
    <r>
      <rPr>
        <sz val="10"/>
        <rFont val="Liberation Sans Narrow"/>
        <family val="2"/>
      </rPr>
      <t>Plastik Mika</t>
    </r>
  </si>
  <si>
    <r>
      <rPr>
        <sz val="10"/>
        <rFont val="Liberation Sans Narrow"/>
        <family val="2"/>
      </rPr>
      <t>Kertas StensiI</t>
    </r>
  </si>
  <si>
    <r>
      <rPr>
        <sz val="10"/>
        <rFont val="Liberation Sans Narrow"/>
        <family val="2"/>
      </rPr>
      <t>Kertas Post-It Warna Warni  Sign Here</t>
    </r>
  </si>
  <si>
    <r>
      <rPr>
        <sz val="10"/>
        <rFont val="Liberation Sans Narrow"/>
        <family val="2"/>
      </rPr>
      <t>Kertas Warna Blank Folio, Ukuran : 8,5 x 14",  70 gram</t>
    </r>
  </si>
  <si>
    <r>
      <rPr>
        <sz val="10"/>
        <rFont val="Liberation Sans Narrow"/>
        <family val="2"/>
      </rPr>
      <t>Kertas HVS 60 gram Merk : Paper One HVS F4 uk. 8.27"x11.69"</t>
    </r>
  </si>
  <si>
    <r>
      <rPr>
        <sz val="10"/>
        <rFont val="Liberation Sans Narrow"/>
        <family val="2"/>
      </rPr>
      <t>Handsoap/Pencuci Tangan</t>
    </r>
  </si>
  <si>
    <r>
      <rPr>
        <sz val="10"/>
        <rFont val="Liberation Sans Narrow"/>
        <family val="2"/>
      </rPr>
      <t>Perlengkapan Kebersihan Pembersih Lantai Super Pel Varian 800ml</t>
    </r>
  </si>
  <si>
    <r>
      <rPr>
        <sz val="10"/>
        <rFont val="Liberation Sans Narrow"/>
        <family val="2"/>
      </rPr>
      <t>Pengharum Ruangan</t>
    </r>
  </si>
  <si>
    <r>
      <rPr>
        <sz val="10"/>
        <rFont val="Liberation Sans Narrow"/>
        <family val="2"/>
      </rPr>
      <t>Perlengkapan Kebersihan Pembersih Pakaian Sunlight Refil 800ml</t>
    </r>
  </si>
  <si>
    <r>
      <rPr>
        <sz val="10"/>
        <rFont val="Liberation Sans Narrow"/>
        <family val="2"/>
      </rPr>
      <t>vixal 500ml</t>
    </r>
  </si>
  <si>
    <r>
      <rPr>
        <sz val="10"/>
        <rFont val="Liberation Sans Narrow"/>
        <family val="2"/>
      </rPr>
      <t>Spon Cuci</t>
    </r>
  </si>
  <si>
    <r>
      <rPr>
        <sz val="10"/>
        <rFont val="Liberation Sans Narrow"/>
        <family val="2"/>
      </rPr>
      <t>Tisu--</t>
    </r>
  </si>
  <si>
    <r>
      <rPr>
        <sz val="10"/>
        <rFont val="Liberation Sans Narrow"/>
        <family val="2"/>
      </rPr>
      <t>Cairan Pembersih Kaca</t>
    </r>
  </si>
  <si>
    <r>
      <rPr>
        <sz val="10"/>
        <rFont val="Liberation Sans Narrow"/>
        <family val="2"/>
      </rPr>
      <t>Hand Sanitizer-Unit</t>
    </r>
  </si>
  <si>
    <r>
      <rPr>
        <sz val="10"/>
        <rFont val="Liberation Sans Narrow"/>
        <family val="2"/>
      </rPr>
      <t>Spanduk Uk. 1 x 6 meter-</t>
    </r>
  </si>
  <si>
    <r>
      <rPr>
        <sz val="10"/>
        <rFont val="Liberation Sans Narrow"/>
        <family val="2"/>
      </rPr>
      <t>Binder Klip  nomor 111</t>
    </r>
  </si>
  <si>
    <r>
      <rPr>
        <sz val="10"/>
        <rFont val="Liberation Sans Narrow"/>
        <family val="2"/>
      </rPr>
      <t>Ballpoint Drawing Pen 0,1 Snowman</t>
    </r>
  </si>
  <si>
    <r>
      <rPr>
        <sz val="10"/>
        <rFont val="Liberation Sans Narrow"/>
        <family val="2"/>
      </rPr>
      <t>Stofmap Transparan tali</t>
    </r>
  </si>
  <si>
    <r>
      <rPr>
        <sz val="10"/>
        <rFont val="Liberation Sans Narrow"/>
        <family val="2"/>
      </rPr>
      <t>Amplop Coklat Merk : GSU Ukuran Folio polos</t>
    </r>
  </si>
  <si>
    <r>
      <rPr>
        <sz val="10"/>
        <rFont val="Liberation Sans Narrow"/>
        <family val="2"/>
      </rPr>
      <t>Binder Klip  nomor 107</t>
    </r>
  </si>
  <si>
    <r>
      <rPr>
        <sz val="10"/>
        <rFont val="Liberation Sans Narrow"/>
        <family val="2"/>
      </rPr>
      <t>Amplop Coklat Merk : Garda Ukuran Cabinet</t>
    </r>
  </si>
  <si>
    <r>
      <rPr>
        <sz val="10"/>
        <rFont val="Liberation Sans Narrow"/>
        <family val="2"/>
      </rPr>
      <t>Kertas Label</t>
    </r>
  </si>
  <si>
    <r>
      <rPr>
        <sz val="10"/>
        <rFont val="Liberation Sans Narrow"/>
        <family val="2"/>
      </rPr>
      <t>Binder Klip Merk : KENKO nomor 105</t>
    </r>
  </si>
  <si>
    <r>
      <rPr>
        <sz val="10"/>
        <rFont val="Liberation Sans Narrow"/>
        <family val="2"/>
      </rPr>
      <t>Ballpoint Pilot G2</t>
    </r>
  </si>
  <si>
    <r>
      <rPr>
        <sz val="10"/>
        <rFont val="Liberation Sans Narrow"/>
        <family val="2"/>
      </rPr>
      <t>Ballpoint Boldiner Standar</t>
    </r>
  </si>
  <si>
    <r>
      <rPr>
        <sz val="10"/>
        <rFont val="Liberation Sans Narrow"/>
        <family val="2"/>
      </rPr>
      <t>Map Binder</t>
    </r>
  </si>
  <si>
    <r>
      <rPr>
        <sz val="10"/>
        <rFont val="Liberation Sans Narrow"/>
        <family val="2"/>
      </rPr>
      <t>Amplop Coklat Merk : GSU Ukuran : 1/2 folio, bergaris</t>
    </r>
  </si>
  <si>
    <r>
      <rPr>
        <sz val="10"/>
        <rFont val="Liberation Sans Narrow"/>
        <family val="2"/>
      </rPr>
      <t>Binder Klip  nomor 260</t>
    </r>
  </si>
  <si>
    <r>
      <rPr>
        <sz val="10"/>
        <rFont val="Liberation Sans Narrow"/>
        <family val="2"/>
      </rPr>
      <t>Stofmap Transparan</t>
    </r>
  </si>
  <si>
    <r>
      <rPr>
        <sz val="10"/>
        <rFont val="Liberation Sans Narrow"/>
        <family val="2"/>
      </rPr>
      <t>Amplop Panjang Putih Polos Merk : Jaya Ukuran : 11 x 23 cm</t>
    </r>
  </si>
  <si>
    <r>
      <rPr>
        <sz val="10"/>
        <rFont val="Liberation Sans Narrow"/>
        <family val="2"/>
      </rPr>
      <t>Binder Klip  nomor 200</t>
    </r>
  </si>
  <si>
    <r>
      <rPr>
        <sz val="10"/>
        <rFont val="Liberation Sans Narrow"/>
        <family val="2"/>
      </rPr>
      <t>Sampul Plastik</t>
    </r>
  </si>
  <si>
    <r>
      <rPr>
        <sz val="10"/>
        <rFont val="Liberation Sans Narrow"/>
        <family val="2"/>
      </rPr>
      <t>Box File Merk : Bantex Ukuran : 115x270x325 mm</t>
    </r>
  </si>
  <si>
    <r>
      <rPr>
        <sz val="10"/>
        <rFont val="Liberation Sans Narrow"/>
        <family val="2"/>
      </rPr>
      <t>Ballpoint Standard AE7</t>
    </r>
  </si>
  <si>
    <r>
      <rPr>
        <sz val="10"/>
        <rFont val="Liberation Sans Narrow"/>
        <family val="2"/>
      </rPr>
      <t>Stofmap Kertas</t>
    </r>
  </si>
  <si>
    <r>
      <rPr>
        <sz val="10"/>
        <rFont val="Liberation Sans Narrow"/>
        <family val="2"/>
      </rPr>
      <t>Binder Klip Ordner</t>
    </r>
  </si>
  <si>
    <r>
      <rPr>
        <sz val="10"/>
        <rFont val="Liberation Sans Narrow"/>
        <family val="2"/>
      </rPr>
      <t>Tinta Printer Canon 741 Warna-741 Warna</t>
    </r>
  </si>
  <si>
    <r>
      <rPr>
        <sz val="10"/>
        <rFont val="Liberation Sans Narrow"/>
        <family val="2"/>
      </rPr>
      <t>Tinta Printer Canon 740 Hitam-740 Hitam</t>
    </r>
  </si>
  <si>
    <r>
      <rPr>
        <sz val="10"/>
        <rFont val="Liberation Sans Narrow"/>
        <family val="2"/>
      </rPr>
      <t>C. Tinta Printer EPSON Tinta Printer Epson Blue</t>
    </r>
  </si>
  <si>
    <r>
      <rPr>
        <sz val="10"/>
        <rFont val="Liberation Sans Narrow"/>
        <family val="2"/>
      </rPr>
      <t>C. Tinta Printer EPSON Tinta Printer Epson Yellow</t>
    </r>
  </si>
  <si>
    <r>
      <rPr>
        <sz val="10"/>
        <rFont val="Liberation Sans Narrow"/>
        <family val="2"/>
      </rPr>
      <t>C. Tinta Printer EPSON Toner Epson 664 Black</t>
    </r>
  </si>
  <si>
    <r>
      <rPr>
        <sz val="10"/>
        <rFont val="Liberation Sans Narrow"/>
        <family val="2"/>
      </rPr>
      <t>C. Tinta Printer EPSON Tinta Printer Epson Read</t>
    </r>
  </si>
  <si>
    <r>
      <rPr>
        <sz val="10"/>
        <rFont val="Liberation Sans Narrow"/>
        <family val="2"/>
      </rPr>
      <t>canon catridge 741-catridge 741</t>
    </r>
  </si>
  <si>
    <r>
      <rPr>
        <sz val="10"/>
        <rFont val="Liberation Sans Narrow"/>
        <family val="2"/>
      </rPr>
      <t>Kain Lap  Bahan : Katun bermotif kotak-kotak</t>
    </r>
  </si>
  <si>
    <r>
      <rPr>
        <sz val="10"/>
        <rFont val="Liberation Sans Narrow"/>
        <family val="2"/>
      </rPr>
      <t>Serok Sampah--</t>
    </r>
  </si>
  <si>
    <r>
      <rPr>
        <sz val="10"/>
        <rFont val="Liberation Sans Narrow"/>
        <family val="2"/>
      </rPr>
      <t>Alat Pel lantai besar</t>
    </r>
  </si>
  <si>
    <r>
      <rPr>
        <sz val="10"/>
        <rFont val="Liberation Sans Narrow"/>
        <family val="2"/>
      </rPr>
      <t>Serok Air Besar--</t>
    </r>
  </si>
  <si>
    <r>
      <rPr>
        <sz val="10"/>
        <rFont val="Liberation Sans Narrow"/>
        <family val="2"/>
      </rPr>
      <t>Tempat sampah</t>
    </r>
  </si>
  <si>
    <r>
      <rPr>
        <sz val="10"/>
        <rFont val="Liberation Sans Narrow"/>
        <family val="2"/>
      </rPr>
      <t>Alat Pel</t>
    </r>
  </si>
  <si>
    <r>
      <rPr>
        <sz val="10"/>
        <rFont val="Liberation Sans Narrow"/>
        <family val="2"/>
      </rPr>
      <t>Kertas HVS 80 gram Merk : Paper One A4, Ukuran : 8,27" x 11,69", Isi : 500 lembar</t>
    </r>
  </si>
  <si>
    <r>
      <rPr>
        <sz val="10"/>
        <rFont val="Liberation Sans Narrow"/>
        <family val="2"/>
      </rPr>
      <t>Kudapan pada Kegiatan Pelatihan Peningkatan Kompetensi Guru untuk memperkuat numerasi</t>
    </r>
  </si>
  <si>
    <r>
      <rPr>
        <sz val="10"/>
        <rFont val="Liberation Sans Narrow"/>
        <family val="2"/>
      </rPr>
      <t>Konsumsi pada Kegiatan Pelatihan Peningkatan Kompetensi Guru untuk memperkuat numerasi</t>
    </r>
  </si>
  <si>
    <r>
      <rPr>
        <sz val="10"/>
        <rFont val="Liberation Sans Narrow"/>
        <family val="2"/>
      </rPr>
      <t>Gayung</t>
    </r>
  </si>
  <si>
    <r>
      <rPr>
        <sz val="10"/>
        <rFont val="Liberation Sans Narrow"/>
        <family val="2"/>
      </rPr>
      <t>Sapu</t>
    </r>
  </si>
  <si>
    <r>
      <rPr>
        <sz val="10"/>
        <rFont val="Liberation Sans Narrow"/>
        <family val="2"/>
      </rPr>
      <t>Sikat Pembersih</t>
    </r>
  </si>
  <si>
    <r>
      <rPr>
        <sz val="10"/>
        <rFont val="Liberation Sans Narrow"/>
        <family val="2"/>
      </rPr>
      <t>Sapu Lidi</t>
    </r>
  </si>
  <si>
    <r>
      <rPr>
        <sz val="10"/>
        <rFont val="Liberation Sans Narrow"/>
        <family val="2"/>
      </rPr>
      <t>Sikat WC Type : Gagang Panjang</t>
    </r>
  </si>
  <si>
    <r>
      <rPr>
        <sz val="10"/>
        <rFont val="Liberation Sans Narrow"/>
        <family val="2"/>
      </rPr>
      <t>Biaya Rekening Listrik--</t>
    </r>
  </si>
  <si>
    <r>
      <rPr>
        <sz val="10"/>
        <rFont val="Liberation Sans Narrow"/>
        <family val="2"/>
      </rPr>
      <t>Biaya Langganan Internet--</t>
    </r>
  </si>
  <si>
    <r>
      <rPr>
        <sz val="10"/>
        <rFont val="Liberation Sans Narrow"/>
        <family val="2"/>
      </rPr>
      <t>Catridge Printer Epson T 014--</t>
    </r>
  </si>
  <si>
    <r>
      <rPr>
        <sz val="10"/>
        <rFont val="Liberation Sans Narrow"/>
        <family val="2"/>
      </rPr>
      <t>Materai 10.000</t>
    </r>
  </si>
  <si>
    <r>
      <rPr>
        <sz val="10"/>
        <rFont val="Liberation Sans Narrow"/>
        <family val="2"/>
      </rPr>
      <t>hardisk</t>
    </r>
  </si>
  <si>
    <r>
      <rPr>
        <sz val="10"/>
        <rFont val="Liberation Sans Narrow"/>
        <family val="2"/>
      </rPr>
      <t>Stempel Cap</t>
    </r>
  </si>
  <si>
    <r>
      <rPr>
        <sz val="10"/>
        <rFont val="Liberation Sans Narrow"/>
        <family val="2"/>
      </rPr>
      <t>Stapler HD-10--</t>
    </r>
  </si>
  <si>
    <r>
      <rPr>
        <sz val="10"/>
        <rFont val="Liberation Sans Narrow"/>
        <family val="2"/>
      </rPr>
      <t>Bantalan Cap Kecil</t>
    </r>
  </si>
  <si>
    <r>
      <rPr>
        <sz val="10"/>
        <rFont val="Liberation Sans Narrow"/>
        <family val="2"/>
      </rPr>
      <t>Baterey Kecil</t>
    </r>
  </si>
  <si>
    <r>
      <rPr>
        <sz val="10"/>
        <rFont val="Liberation Sans Narrow"/>
        <family val="2"/>
      </rPr>
      <t>Bantalan Cap Besar</t>
    </r>
  </si>
  <si>
    <r>
      <rPr>
        <sz val="10"/>
        <rFont val="Liberation Sans Narrow"/>
        <family val="2"/>
      </rPr>
      <t>Spidol Refil Spidol White Board Snowman</t>
    </r>
  </si>
  <si>
    <r>
      <rPr>
        <sz val="10"/>
        <rFont val="Liberation Sans Narrow"/>
        <family val="2"/>
      </rPr>
      <t>Stempel Manual</t>
    </r>
  </si>
  <si>
    <r>
      <rPr>
        <sz val="10"/>
        <rFont val="Liberation Sans Narrow"/>
        <family val="2"/>
      </rPr>
      <t>Stapler Stapler No, 50 MAX</t>
    </r>
  </si>
  <si>
    <r>
      <rPr>
        <sz val="10"/>
        <rFont val="Liberation Sans Narrow"/>
        <family val="2"/>
      </rPr>
      <t>Lakban Hitam--</t>
    </r>
  </si>
  <si>
    <r>
      <rPr>
        <sz val="10"/>
        <rFont val="Liberation Sans Narrow"/>
        <family val="2"/>
      </rPr>
      <t>Paper Clip No 1  Paper Clip No 3</t>
    </r>
  </si>
  <si>
    <r>
      <rPr>
        <sz val="10"/>
        <rFont val="Liberation Sans Narrow"/>
        <family val="2"/>
      </rPr>
      <t>Lakban Hitam uk 2 " Warna hitam uk. 2 "</t>
    </r>
  </si>
  <si>
    <r>
      <rPr>
        <sz val="10"/>
        <rFont val="Liberation Sans Narrow"/>
        <family val="2"/>
      </rPr>
      <t>Spidol White board</t>
    </r>
  </si>
  <si>
    <r>
      <rPr>
        <sz val="10"/>
        <rFont val="Liberation Sans Narrow"/>
        <family val="2"/>
      </rPr>
      <t>Pisau Cutter Kenko L-500</t>
    </r>
  </si>
  <si>
    <r>
      <rPr>
        <sz val="10"/>
        <rFont val="Liberation Sans Narrow"/>
        <family val="2"/>
      </rPr>
      <t>Lem Fox isi 500 gram--</t>
    </r>
  </si>
  <si>
    <r>
      <rPr>
        <sz val="10"/>
        <rFont val="Liberation Sans Narrow"/>
        <family val="2"/>
      </rPr>
      <t>Buku Ekspedisi 100</t>
    </r>
  </si>
  <si>
    <r>
      <rPr>
        <sz val="10"/>
        <rFont val="Liberation Sans Narrow"/>
        <family val="2"/>
      </rPr>
      <t>PAPER CLIP  Paper Clip No 1</t>
    </r>
  </si>
  <si>
    <r>
      <rPr>
        <sz val="10"/>
        <rFont val="Liberation Sans Narrow"/>
        <family val="2"/>
      </rPr>
      <t>Tinta Stempel</t>
    </r>
  </si>
  <si>
    <r>
      <rPr>
        <sz val="10"/>
        <rFont val="Liberation Sans Narrow"/>
        <family val="2"/>
      </rPr>
      <t>Baterey Tanggung</t>
    </r>
  </si>
  <si>
    <r>
      <rPr>
        <sz val="10"/>
        <rFont val="Liberation Sans Narrow"/>
        <family val="2"/>
      </rPr>
      <t>USB FLASH DISK USB/Flash Disk 4GB</t>
    </r>
  </si>
  <si>
    <r>
      <rPr>
        <sz val="10"/>
        <rFont val="Liberation Sans Narrow"/>
        <family val="2"/>
      </rPr>
      <t>Lakban warna Uk 2" Warna Coklat Cofiie</t>
    </r>
  </si>
  <si>
    <r>
      <rPr>
        <sz val="10"/>
        <rFont val="Liberation Sans Narrow"/>
        <family val="2"/>
      </rPr>
      <t>gunting kertas-ukuran : panjang 21cm x lebar 8cm, stainless steel</t>
    </r>
  </si>
  <si>
    <r>
      <rPr>
        <sz val="10"/>
        <rFont val="Liberation Sans Narrow"/>
        <family val="2"/>
      </rPr>
      <t>lakban hitam-ukuran : lebar 2 inch, panjang 12m, bahan : kain</t>
    </r>
  </si>
  <si>
    <r>
      <rPr>
        <sz val="10"/>
        <rFont val="Liberation Sans Narrow"/>
        <family val="2"/>
      </rPr>
      <t>Lakban Besar</t>
    </r>
  </si>
  <si>
    <r>
      <rPr>
        <sz val="10"/>
        <rFont val="Liberation Sans Narrow"/>
        <family val="2"/>
      </rPr>
      <t>Buku Induk/Inventaris 35 cm x 50 cm</t>
    </r>
  </si>
  <si>
    <r>
      <rPr>
        <sz val="10"/>
        <rFont val="Liberation Sans Narrow"/>
        <family val="2"/>
      </rPr>
      <t>Air Mineral pada pelaksanaan kegiatan bulanan Gerakan Bersih Lingkungan Sekolah</t>
    </r>
  </si>
  <si>
    <r>
      <rPr>
        <sz val="10"/>
        <rFont val="Liberation Sans Narrow"/>
        <family val="2"/>
      </rPr>
      <t>Belanja Jasa Tenaga Operator Komputer--</t>
    </r>
  </si>
  <si>
    <r>
      <rPr>
        <sz val="10"/>
        <rFont val="Liberation Sans Narrow"/>
        <family val="2"/>
      </rPr>
      <t>Kudapan Rapat Rutin Bulanan</t>
    </r>
  </si>
  <si>
    <r>
      <rPr>
        <sz val="10"/>
        <rFont val="Liberation Sans Narrow"/>
        <family val="2"/>
      </rPr>
      <t>bola lampu hannock-45 watt</t>
    </r>
  </si>
  <si>
    <r>
      <rPr>
        <sz val="10"/>
        <rFont val="Liberation Sans Narrow"/>
        <family val="2"/>
      </rPr>
      <t>Isi Staples Sedang</t>
    </r>
  </si>
  <si>
    <r>
      <rPr>
        <sz val="10"/>
        <rFont val="Liberation Sans Narrow"/>
        <family val="2"/>
      </rPr>
      <t>Isi Staples besar</t>
    </r>
  </si>
  <si>
    <r>
      <rPr>
        <sz val="10"/>
        <rFont val="Liberation Sans Narrow"/>
        <family val="2"/>
      </rPr>
      <t>Foto Copy Filio dan Kuarto</t>
    </r>
  </si>
  <si>
    <r>
      <rPr>
        <sz val="10"/>
        <rFont val="Liberation Sans Narrow"/>
        <family val="2"/>
      </rPr>
      <t>Kudapan pada Kegiatan rubrik/Ibadah Bulanan</t>
    </r>
  </si>
  <si>
    <r>
      <rPr>
        <sz val="10"/>
        <rFont val="Liberation Sans Narrow"/>
        <family val="2"/>
      </rPr>
      <t>Kudapan pada Kegiatan Ekstrakurikuler Sanggar Budaya Mengubah Pola Pikir Bullying: Mendorong Empati dan Kesadaran</t>
    </r>
  </si>
  <si>
    <r>
      <rPr>
        <sz val="10"/>
        <rFont val="Liberation Sans Narrow"/>
        <family val="2"/>
      </rPr>
      <t>Konsumsi pada Kegiatan Ekstrakurikuler Sanggar Budaya Mengubah Pola Pikir Bullying: Mendorong Empati dan Kesadaran</t>
    </r>
  </si>
  <si>
    <r>
      <rPr>
        <sz val="10"/>
        <rFont val="Liberation Sans Narrow"/>
        <family val="2"/>
      </rPr>
      <t>Kudapan Pada Kegiatan Hari Merdeka Republik Indonesia</t>
    </r>
  </si>
  <si>
    <r>
      <rPr>
        <sz val="10"/>
        <rFont val="Liberation Sans Narrow"/>
        <family val="2"/>
      </rPr>
      <t>Konsumsi Pada Kegiatan Hari Merdeka Republik Indonesia</t>
    </r>
  </si>
  <si>
    <r>
      <rPr>
        <sz val="10"/>
        <rFont val="Arial MT"/>
        <family val="2"/>
      </rPr>
      <t>buah</t>
    </r>
  </si>
  <si>
    <t>Bahan dan Alat Kebersihan</t>
  </si>
  <si>
    <t>Penggandaan dan Percetakan (ATK)</t>
  </si>
  <si>
    <t>Obat-obatan</t>
  </si>
  <si>
    <t>Kue</t>
  </si>
  <si>
    <t>Nasi kotak</t>
  </si>
  <si>
    <t>Aqua Cup</t>
  </si>
  <si>
    <t>Bahan dan Peralatan Listrik</t>
  </si>
  <si>
    <t>Langganan Listrik</t>
  </si>
  <si>
    <t>Langganan Indihome</t>
  </si>
  <si>
    <t>Elektronik</t>
  </si>
  <si>
    <t>Peralatan Sarana dan Prasarana</t>
  </si>
  <si>
    <t>Bahan Bangunan</t>
  </si>
  <si>
    <t>Peraga Pembelajaran</t>
  </si>
  <si>
    <t>Jasa Perbaikan Pintu dan Jendela</t>
  </si>
  <si>
    <t>Jasa Sewa Gedung</t>
  </si>
  <si>
    <t>Tiket Pesawat</t>
  </si>
  <si>
    <t>Ongkos Darat</t>
  </si>
  <si>
    <t>Uang Saku Pembimbing</t>
  </si>
  <si>
    <t>Lomba Kegiatan OSN Tk. Kabupaten</t>
  </si>
  <si>
    <t>Biaya Lomba MTQ Tk.Kabupaten</t>
  </si>
  <si>
    <t>Jasa Pengecatan Dinding Sekolah</t>
  </si>
  <si>
    <t>Sampul Rapor</t>
  </si>
  <si>
    <t>Bahan Praktek Lab</t>
  </si>
  <si>
    <t>Perbaikan Proyektor</t>
  </si>
  <si>
    <r>
      <t>Amplop (Merk</t>
    </r>
    <r>
      <rPr>
        <sz val="10"/>
        <color rgb="FF474747"/>
        <rFont val="Arial"/>
        <family val="2"/>
      </rPr>
      <t> : Amplop </t>
    </r>
    <r>
      <rPr>
        <b/>
        <sz val="10"/>
        <color rgb="FF767676"/>
        <rFont val="Arial"/>
        <family val="2"/>
      </rPr>
      <t>Garda Ukuran</t>
    </r>
    <r>
      <rPr>
        <sz val="10"/>
        <color rgb="FF474747"/>
        <rFont val="Arial"/>
        <family val="2"/>
      </rPr>
      <t> : Super </t>
    </r>
    <r>
      <rPr>
        <b/>
        <sz val="10"/>
        <color rgb="FF767676"/>
        <rFont val="Arial"/>
        <family val="2"/>
      </rPr>
      <t>Kabinet</t>
    </r>
    <r>
      <rPr>
        <sz val="10"/>
        <color rgb="FF474747"/>
        <rFont val="Arial"/>
        <family val="2"/>
      </rPr>
      <t> Warna : Coklat polos Isi / Pack :100 pcs </t>
    </r>
    <r>
      <rPr>
        <b/>
        <sz val="10"/>
        <color rgb="FF767676"/>
        <rFont val="Arial"/>
        <family val="2"/>
      </rPr>
      <t>Ukuran</t>
    </r>
    <r>
      <rPr>
        <sz val="10"/>
        <color rgb="FF474747"/>
        <rFont val="Arial"/>
        <family val="2"/>
      </rPr>
      <t> : 14 cm x 27 cm)</t>
    </r>
  </si>
  <si>
    <t>Amplop Coklat Merk : GSU Ukuran : 1/2 folio, bergaris</t>
  </si>
  <si>
    <t>Amplop Coklat (Merk : GSU Ukuran : 1/2 folio, bergaris)</t>
  </si>
  <si>
    <t>Amplop Coklat Folio (Berat: 1000 gram. Panjang: 25 cm. Lebar: 5 cm. Tinggi: 35 cm)</t>
  </si>
  <si>
    <t xml:space="preserve"> Amplop Panjang Putih Polos (Merk : Jaya Ukuran : 11 x 23 cm)</t>
  </si>
  <si>
    <t>Ballpoint Standard AE7</t>
  </si>
  <si>
    <r>
      <t>Ballpoint Standard AE7 (Jenis Barang: Pulpen Merk: </t>
    </r>
    <r>
      <rPr>
        <b/>
        <sz val="11"/>
        <color rgb="FF767676"/>
        <rFont val="Arial"/>
        <family val="2"/>
      </rPr>
      <t>Standard</t>
    </r>
    <r>
      <rPr>
        <sz val="11"/>
        <color rgb="FF474747"/>
        <rFont val="Arial"/>
        <family val="2"/>
      </rPr>
      <t> Tipe: </t>
    </r>
    <r>
      <rPr>
        <b/>
        <sz val="11"/>
        <color rgb="FF767676"/>
        <rFont val="Arial"/>
        <family val="2"/>
      </rPr>
      <t>AE-7</t>
    </r>
    <r>
      <rPr>
        <sz val="11"/>
        <color rgb="FF474747"/>
        <rFont val="Arial"/>
        <family val="2"/>
      </rPr>
      <t> Ukuran: 0.5 mm; Warna Tinta, hitam)</t>
    </r>
  </si>
  <si>
    <t>Bantalan Cap Kecil</t>
  </si>
  <si>
    <t>Bantalan Cap Kecil (Ukuran: ± 10cm x 7cm x 1cm)</t>
  </si>
  <si>
    <t>Baterey Tanggung</t>
  </si>
  <si>
    <t>Baterey Tanggung (Ukuran Sedang Tanggung R14C Biru 1.5V Brand : ABC Type : R14C 1.5V ukuran : tanggung Panjang : 5cm.)</t>
  </si>
  <si>
    <t xml:space="preserve">Binder Clip merk kenko NO 105 (Length 5.0cm, Width 5.0cm, Height 5.0cm, Weight 5gr)  </t>
  </si>
  <si>
    <t>Tinta Printer Epson 664 Merah (Length 5.0Cm, Width 5.0Cm, Height 5.0Cm, Weight 5Gr)</t>
  </si>
  <si>
    <t>canon catridge 741-catridge 741</t>
  </si>
  <si>
    <t>canon catridge 741 (Merek: canon Tipe Catridge 741)</t>
  </si>
  <si>
    <t>Catridge Printer Epson T 014--</t>
  </si>
  <si>
    <t>Catridge Printer (Merek: Epson Tipe: T 014)</t>
  </si>
  <si>
    <t>hardisk (Merek: Siagate, Kapasitas: 4 TB)</t>
  </si>
  <si>
    <t>Lakban Bening Besar (Brand : Daimaru • Ukuran : 48 mm x 109 Yard)</t>
  </si>
  <si>
    <t>Lakban Bening Sedang (Ukuran: 2 inchi x 100 yard (48 mm x 100 yard), Diameter luar: 10,7 cm)</t>
  </si>
  <si>
    <t>Lakban Hitam Besar (Brand : Daimaru • Ukuran : 48 mm x 109 Yard)</t>
  </si>
  <si>
    <t>Lakban Warna Uk 2" Warna Hitam (Ukuran 90Yard Lebar : 48Mm)</t>
  </si>
  <si>
    <t>lakban hitam-ukuran : lebar 2 inch, panjang 12m, bahan : kain</t>
  </si>
  <si>
    <t>Lakban Hitam Kecil (ukuran : lebar 2 inch, panjang 12m, bahan : kain)</t>
  </si>
  <si>
    <t>Materai 10.000 (Segi Empat dengan Ukuran 21 x 28,95 mm)</t>
  </si>
  <si>
    <r>
      <t>Stapler HD-10 (Merk : MAX Ukuran : 3.5 x </t>
    </r>
    <r>
      <rPr>
        <b/>
        <sz val="10"/>
        <color rgb="FF767676"/>
        <rFont val="Arial"/>
        <family val="2"/>
      </rPr>
      <t>10</t>
    </r>
    <r>
      <rPr>
        <sz val="10"/>
        <color rgb="FF474747"/>
        <rFont val="Arial"/>
        <family val="2"/>
      </rPr>
      <t> cm)</t>
    </r>
  </si>
  <si>
    <t>Stapler Stapler No, 50 MAX</t>
  </si>
  <si>
    <t>Stofmap Transparan tali</t>
  </si>
  <si>
    <t>Stofmap Transparan tali (Merk : Jenia Tipe : 2 Kancing + Tali Ukuran : 255 x 375 mm Bahan : Plastik PP 0,14 Micron)</t>
  </si>
  <si>
    <t>Tinta Printer Canon Aiflo Hitam (Length 5.0cm, Width 5.0cm, Height 5.0cm, Weight 5gr)</t>
  </si>
  <si>
    <t>Tinta Printer Canon Aiflo Warna (Length 5.0cm, Width 5.0cm, Height 5.0cm, Weight 5gr)</t>
  </si>
  <si>
    <t>USB Flash Disk/Flash Disk 4gb (Ukuran 50 X 15 X 6 Mm, Berat 26 Gr)</t>
  </si>
  <si>
    <t>Sapu Lidi (Bahan Lidi, Panjang 120 cm, Berat 500gr)</t>
  </si>
  <si>
    <t xml:space="preserve">Gayung Lion Stars (Isi: 1,5 liter, diameter: 14 cm dan tinggi 13 cm)
 </t>
  </si>
  <si>
    <t>Kain Lap (Bahan: Katun, Motif: Kotak-Kotak)</t>
  </si>
  <si>
    <t>Super Pel (Merek: Super Pel, Varian 800ml/Refill)</t>
  </si>
  <si>
    <t>Serok Air Besar (Merk : Dragon Ukuran : Lebar Karet 40 Cm Panjang Gagang 110 Cm. Berat: 2000 gr)</t>
  </si>
  <si>
    <t>Pengharum Ruangan (Stella Pengharum Ruangan Gantung Lavender 42 g)</t>
  </si>
  <si>
    <t>Sunlight (Merk: Sunlight, Varian 800ml/Refill)</t>
  </si>
  <si>
    <t>Spon Cuci (ukuran tebal 3 cm, panjang 7cm x 9cm)</t>
  </si>
  <si>
    <t>Cling (Merek: Cling, Varian: Ocean Fresh 425 ml)</t>
  </si>
  <si>
    <t>Alat Pel (Merek Nagata, Tipe 405 MF Ukuran (MM) : 160 x 40 x 1680)</t>
  </si>
  <si>
    <t>Sikat Pembersih (Bahan: Platik Nylon, Gagang: Plat Besi, Panjang 110cm - 120cm, Lebar kepala sikat 18cm, Berat 1000gr)</t>
  </si>
  <si>
    <t>Sikat WC (Dimensi Panjang Brush: 39 cm, Diameter Brush: 7 cm, Holder: 12 x 16 x 9 cm)</t>
  </si>
  <si>
    <t>Hand Sanitizer (Kemasan Botol 500ml)</t>
  </si>
  <si>
    <t>Lakban Bening B</t>
  </si>
  <si>
    <t>Resto JFC Esther</t>
  </si>
  <si>
    <t>Limaati Daeli</t>
  </si>
  <si>
    <t>Gestiwan Bazikho</t>
  </si>
  <si>
    <t>Pieter B.P. Loi</t>
  </si>
  <si>
    <t>UD. BALIZATO</t>
  </si>
  <si>
    <t>082166506229</t>
  </si>
  <si>
    <t>081375309828</t>
  </si>
  <si>
    <t>082166714290</t>
  </si>
  <si>
    <t>081370034744</t>
  </si>
  <si>
    <t>085297578868</t>
  </si>
  <si>
    <t>Toko 1</t>
  </si>
  <si>
    <t>Alamat</t>
  </si>
  <si>
    <t>Telepon</t>
  </si>
  <si>
    <t>Rumah Makan Imanuel</t>
  </si>
  <si>
    <t>CV. Marsatu Jaya Badiri</t>
  </si>
  <si>
    <t>Elisander Zai, S.Th</t>
  </si>
  <si>
    <t>082324886081</t>
  </si>
  <si>
    <t>Jl. Saonigeho Km. 1 Kel. Pasar Telukdalam - Nias Selatan</t>
  </si>
  <si>
    <t>081264720368</t>
  </si>
  <si>
    <t>085261247862</t>
  </si>
  <si>
    <t>Marusaha S. Simanjuntak</t>
  </si>
  <si>
    <t>Jl. Oswald Siahaan No. 6A Aek Tolang Pandan</t>
  </si>
  <si>
    <t>Jl. Imam Bonjol, Ps. Tlk. Dalam, Kec. Tlk. Dalam, Kabupaten Nias Selatan, Sumatera Utara 22865</t>
  </si>
  <si>
    <t>082259370739</t>
  </si>
  <si>
    <t>Toko Kue Neng Geulis</t>
  </si>
  <si>
    <t>David J. Sitinjak, S.Pd</t>
  </si>
  <si>
    <t>BANK SUMUT</t>
  </si>
  <si>
    <t>NAMA TOKO DAN ALAMAT DAN JENIS BELANJA</t>
  </si>
  <si>
    <t>Peralatan Elektronik</t>
  </si>
  <si>
    <t>Jasa Operator Sekolah</t>
  </si>
  <si>
    <r>
      <rPr>
        <sz val="10"/>
        <rFont val="Arial MT"/>
        <family val="2"/>
      </rPr>
      <t>5.1.02.01.01.00</t>
    </r>
    <r>
      <rPr>
        <sz val="10"/>
        <rFont val="Arial MT"/>
        <family val="2"/>
      </rPr>
      <t>24</t>
    </r>
  </si>
  <si>
    <t>vixal 500ml</t>
  </si>
  <si>
    <t>Ballpoint Pilot Balliner Warna Hitam</t>
  </si>
  <si>
    <t>Spidol Refil Spidol White Board Snowman</t>
  </si>
  <si>
    <t>buku harian guru</t>
  </si>
  <si>
    <t>C. Tinta Printer EPSON Tinta Printer Epson Black</t>
  </si>
  <si>
    <t>Ballpoint Pilot G2</t>
  </si>
  <si>
    <t>Buku Catatan Kelas</t>
  </si>
  <si>
    <t>Ballpoint Drawing Pen 0,1 Snowman</t>
  </si>
  <si>
    <t>lem fox</t>
  </si>
  <si>
    <t>Binder Klip  nomor 111</t>
  </si>
  <si>
    <t>Binder Klip  nomor 200</t>
  </si>
  <si>
    <t>Kertas HVS 80 gram Merk : Paper One A4, Ukuran : 8,27" x 11,69", Isi : 500 lembar</t>
  </si>
  <si>
    <t>Kertas Warna Blank Folio, Ukuran : 8,5 x 14",  70 gram</t>
  </si>
  <si>
    <t>Buku Agenda</t>
  </si>
  <si>
    <t>PAPER CLIP  Paper Clip No 1</t>
  </si>
  <si>
    <t>Tinta Stempel</t>
  </si>
  <si>
    <t>Stempel Cap</t>
  </si>
  <si>
    <t>Stempel Manual</t>
  </si>
  <si>
    <t>C. Tinta Printer EPSON Tinta Printer Epson Read</t>
  </si>
  <si>
    <t>C. Tinta Printer EPSON Tinta Printer Epson Yellow</t>
  </si>
  <si>
    <t>Map Binder</t>
  </si>
  <si>
    <t>Stapler Strapler Kecil JOYKO</t>
  </si>
  <si>
    <t>Binder Klip Ordner</t>
  </si>
  <si>
    <t>C. Tinta Printer EPSON Tinta Printer Epson Blue</t>
  </si>
  <si>
    <t>Baju Katak Karate</t>
  </si>
  <si>
    <t>Ring dan Jaring Basket</t>
  </si>
  <si>
    <t>Transportasi kegiatan Kursus Mahir Lanjutan (KML) Pramuka</t>
  </si>
  <si>
    <t>Koordinasi ke Dinas Pendidikan Provinsi</t>
  </si>
  <si>
    <t>Pembersih Lantai (Merk vixal, Kemasan Botol, isi  500ml)</t>
  </si>
  <si>
    <t>Alat dan Bahan Kebersihan</t>
  </si>
  <si>
    <t>Aqua Botol</t>
  </si>
  <si>
    <t>bola lampu hannock-45 watt</t>
  </si>
  <si>
    <t>PPh 23 2%</t>
  </si>
  <si>
    <t>Lakban Bening Besar</t>
  </si>
  <si>
    <t>=IF(B12="Nasi Kotak";G80="Harga Total");"Total sebelum PPN"</t>
  </si>
  <si>
    <t>=IF(OR(B12:B79="Nasi Kotak";B12:B79="Kue"; B12:B79="Aqua Botol";B12:B79="Aqua Cup"); "Harga Total"; "Harga sebelum PPN")</t>
  </si>
  <si>
    <t>Tabel Bantu</t>
  </si>
  <si>
    <t>NO Pesan</t>
  </si>
  <si>
    <t>No. Urut</t>
  </si>
  <si>
    <t>No BAST</t>
  </si>
  <si>
    <t>Kode Kegiatan</t>
  </si>
  <si>
    <t>Uraian</t>
  </si>
  <si>
    <t>Kategori</t>
  </si>
  <si>
    <t>Spesiifikasi</t>
  </si>
  <si>
    <t>Tarif Harga</t>
  </si>
  <si>
    <t>Toko</t>
  </si>
  <si>
    <t>No. Hp</t>
  </si>
  <si>
    <t>Total Harga DPP</t>
  </si>
  <si>
    <t>Bulan</t>
  </si>
  <si>
    <t>06.05.</t>
  </si>
  <si>
    <t>06.05.08.</t>
  </si>
  <si>
    <r>
      <t>5.1.02.01.01.00</t>
    </r>
    <r>
      <rPr>
        <sz val="10"/>
        <rFont val="Arial MT"/>
        <family val="2"/>
      </rPr>
      <t>24</t>
    </r>
  </si>
  <si>
    <t>Ballpoint Drawing Pen 0,1 Snowman (Dimensi, 1cm x 1cm x 1cm. Berat, 50g)</t>
  </si>
  <si>
    <t>Hardisk Siagate (Kapasitas 2TB -Port USB 3.0 -2.5 Inch)</t>
  </si>
  <si>
    <t>Stempel Otomatis Diameter 40mm</t>
  </si>
  <si>
    <t>Amplop Coklat GSU Polos (Panjang: 25 cm. Lebar: 5 cm. Tinggi: 35 cm. Berat: 1000 gram)</t>
  </si>
  <si>
    <t xml:space="preserve">Lakban Bening </t>
  </si>
  <si>
    <t>Binder Klip 107 (Merk : Joyko. Size : 40 x 19 x 17 mm. Berat : 0.1 kg.)</t>
  </si>
  <si>
    <t>Amplop Coklat (Merk : Garda Ukuran Cabinet. Ukuran : 110 x 240 mm. Isi : 100 lbr)</t>
  </si>
  <si>
    <t>Kertas Label (Dimensi, 14cm x 20.5cm x 0.2cm. Berat, 50g. Kertas Sticker label kecil panjang no 99 (0,5cm x 3,5cm))</t>
  </si>
  <si>
    <t>Binder Klip (Merk : Kenko Nomor 105 - Bahan : Besi - Ukuran : 15 x 25 mm - Isi : 12 Pcs - Berat : 35 Gram)</t>
  </si>
  <si>
    <t>Stempel Kayu(Bahan: Kayu. Ukuran: 40mm)</t>
  </si>
  <si>
    <t>Amplop Coklat (Merk : GSU. Ukuran: 1/2 Folio. Isi: 100 Lbr)</t>
  </si>
  <si>
    <t>Pisau Cutter L-500 (Merk: Kenko. Dimension: 15.50cm x 2.70cm x 1.00cm. Weight: 71.00g)</t>
  </si>
  <si>
    <t>Binder Klip  nomor 260 (Merk: Kenko. size : 9,5cm x 5cm x 15cm Weight : 268 gram)</t>
  </si>
  <si>
    <t>Materai 10.000 (Dimensi, 3.2Cm X 4.7Cm X 0Cm. Berat, 5Gr)</t>
  </si>
  <si>
    <t>Kertas Post-it/Sticky Note (ukuran: 2 x 4.8 cm)</t>
  </si>
  <si>
    <t>Lakban Bening Kecil</t>
  </si>
  <si>
    <t>Box File (Merk : Bantex Ukuran : 115x270x325 mm)</t>
  </si>
  <si>
    <t xml:space="preserve"> Lakban Hitam besar Kain (Daimaru 2 inch / 48 mm x 12 m)</t>
  </si>
  <si>
    <r>
      <t>5.1.02.01.01.00</t>
    </r>
    <r>
      <rPr>
        <sz val="10"/>
        <rFont val="Arial MT"/>
        <family val="2"/>
      </rPr>
      <t>30</t>
    </r>
  </si>
  <si>
    <t>Alat Kebersihan</t>
  </si>
  <si>
    <t>Gayung biasa (Diameter 14 cm x tinggi 13 cm, Kapasitas 1,5 lt, Berat Asli 150gram, Bahan Tebal tidak mudah pecah, Plastik Tidak Berbau)</t>
  </si>
  <si>
    <t>Kain Lap/Serbet (Ukuran : 50 cmx 50 cm)</t>
  </si>
  <si>
    <t>Sapu Lantai (Sapu Lantai Nylon Plastik Dengan Gagang (Warna), Ukuran (P x L x T) : 43 x 28 x 105 cm)</t>
  </si>
  <si>
    <t>Super Pel 800ml (Dimensi, 22cm x 12cm x 26cm. Berat, 800g.)</t>
  </si>
  <si>
    <t>Serok Air Besar (Ukuran: 40 cm (lebar karet) 40 x 120 cm )</t>
  </si>
  <si>
    <t>Stella pengharum ruangan sachet (Panjang : 10 cm, Lebar : 7 cm, Tinggi : 10 cm, Berat 10 Gr</t>
  </si>
  <si>
    <t>Sunlight Refil 800ml (Dimensi, 6cm x 15cm x 22cm. Berat, 800g.)</t>
  </si>
  <si>
    <t>Spon Cuci (G Spons Busa Cuci Piring Minyak Dua Sisi / Sponge Cuci Piring 2 sisi / Spons Abu Dua sisi Anti Minyak)</t>
  </si>
  <si>
    <t>Pembersih Kaca (Merk: CLING. Isi: 450ml. Dimensi 25 cm x 13 cm x 13 cm )</t>
  </si>
  <si>
    <t>Alat Pel (Merk: Dragon. Ukuran 18cm)</t>
  </si>
  <si>
    <t>Sikat Pembersih (merk: Nagoya. Panjang Gagang: 110cm. Lebar Kepala Sapu: 24cm)</t>
  </si>
  <si>
    <t>Hand Sanitizer (Merk: SOS. Isi: 300ml</t>
  </si>
  <si>
    <t>Sikal Closet (Lion Star BR-66 Bathroom Brush 201,  Dimensi : 150 x 70 x H 500 mm)</t>
  </si>
  <si>
    <r>
      <t>5.1.02.01.01.00</t>
    </r>
    <r>
      <rPr>
        <sz val="10"/>
        <rFont val="Arial MT"/>
        <family val="2"/>
      </rPr>
      <t>37</t>
    </r>
  </si>
  <si>
    <t>03.05.</t>
  </si>
  <si>
    <t>Obat-obatan keperluan UKS</t>
  </si>
  <si>
    <t xml:space="preserve">Perban Kain Kasa </t>
  </si>
  <si>
    <t>Kapas Pembalut 1000 gr</t>
  </si>
  <si>
    <t>Panadol/paramex/pondstan/asam mefenamat</t>
  </si>
  <si>
    <t>Apotik Glory</t>
  </si>
  <si>
    <t>Jl. Nari-nari Pasar Telukdalam, Telukdalam Kab. Nias Selatan</t>
  </si>
  <si>
    <r>
      <t>5.1.02.01.01.00</t>
    </r>
    <r>
      <rPr>
        <sz val="10"/>
        <rFont val="Arial MT"/>
        <family val="2"/>
      </rPr>
      <t>52</t>
    </r>
  </si>
  <si>
    <t>02.03.</t>
  </si>
  <si>
    <t>Kue Kotak</t>
  </si>
  <si>
    <t>Jl. Jend A. Yani No. 89 Kelurahan Pasar Telukdalam - Nias Selatan</t>
  </si>
  <si>
    <t>Nasi putih;Sop daging; Sayur; Berat 1000gr; Dimensi; (PxLxT) 25cmx25cmx10cm</t>
  </si>
  <si>
    <t>Jl. Saonigeho Km. 5 Telukdalam, Kab. Nias Selatan</t>
  </si>
  <si>
    <t>02.06.</t>
  </si>
  <si>
    <t>08.04.</t>
  </si>
  <si>
    <t>10</t>
  </si>
  <si>
    <t>04.06.</t>
  </si>
  <si>
    <t>11</t>
  </si>
  <si>
    <t>12</t>
  </si>
  <si>
    <t>05.05.</t>
  </si>
  <si>
    <t>13</t>
  </si>
  <si>
    <r>
      <t>5.1.02.01.01.00</t>
    </r>
    <r>
      <rPr>
        <sz val="10"/>
        <rFont val="Arial MT"/>
        <family val="2"/>
      </rPr>
      <t>31</t>
    </r>
  </si>
  <si>
    <t>05.08.</t>
  </si>
  <si>
    <t>14</t>
  </si>
  <si>
    <r>
      <t>5.1.02.01.01.00</t>
    </r>
    <r>
      <rPr>
        <sz val="10"/>
        <rFont val="Arial MT"/>
        <family val="2"/>
      </rPr>
      <t>26</t>
    </r>
  </si>
  <si>
    <t>03.03.</t>
  </si>
  <si>
    <t>Percetakan</t>
  </si>
  <si>
    <t>Spanduk (Ukuran 2 X 4 m)</t>
  </si>
  <si>
    <t>UD. Balizato</t>
  </si>
  <si>
    <t>Pieter Buala P. Loi</t>
  </si>
  <si>
    <t>15</t>
  </si>
  <si>
    <t>16</t>
  </si>
  <si>
    <t>17</t>
  </si>
  <si>
    <r>
      <t>5.1.02.02.05.00</t>
    </r>
    <r>
      <rPr>
        <sz val="10"/>
        <rFont val="Arial MT"/>
        <family val="2"/>
      </rPr>
      <t>09</t>
    </r>
  </si>
  <si>
    <t>Alat dan bahan Kebersihan</t>
  </si>
  <si>
    <t>Riama Siahaan</t>
  </si>
  <si>
    <t>082370389806</t>
  </si>
  <si>
    <t>Desa Fanayama, Kec. Fanayama, Kab. Nias Selatan</t>
  </si>
  <si>
    <t>18</t>
  </si>
  <si>
    <t>06.07.</t>
  </si>
  <si>
    <t>Jasa PLN</t>
  </si>
  <si>
    <t>Jasa Listrik 4400 VA</t>
  </si>
  <si>
    <t>PLN</t>
  </si>
  <si>
    <t>19</t>
  </si>
  <si>
    <t>Jasa Internet</t>
  </si>
  <si>
    <t>Jasa Indihome Unlimited</t>
  </si>
  <si>
    <t>20</t>
  </si>
  <si>
    <t>21</t>
  </si>
  <si>
    <t>Jasa Tenaga Operator</t>
  </si>
  <si>
    <t xml:space="preserve"> Biaya Jasa Operator Sekolah</t>
  </si>
  <si>
    <t>22</t>
  </si>
  <si>
    <t>Penggandaan</t>
  </si>
  <si>
    <t>Fotocopy ukuran A4/F4</t>
  </si>
  <si>
    <r>
      <rPr>
        <sz val="10"/>
        <rFont val="Arial MT"/>
        <family val="2"/>
      </rPr>
      <t>BNU03</t>
    </r>
  </si>
  <si>
    <r>
      <rPr>
        <sz val="10"/>
        <rFont val="Arial MT"/>
        <family val="2"/>
      </rPr>
      <t xml:space="preserve">5.1.02.02.01.00
</t>
    </r>
    <r>
      <rPr>
        <sz val="10"/>
        <rFont val="Arial MT"/>
        <family val="2"/>
      </rPr>
      <t>13</t>
    </r>
  </si>
  <si>
    <t>07.12.</t>
  </si>
  <si>
    <r>
      <rPr>
        <sz val="10"/>
        <rFont val="Arial MT"/>
        <family val="2"/>
      </rPr>
      <t>07.12.01.</t>
    </r>
  </si>
  <si>
    <r>
      <rPr>
        <sz val="10"/>
        <rFont val="Arial MT"/>
        <family val="2"/>
      </rPr>
      <t>Selatieli Nehe</t>
    </r>
  </si>
  <si>
    <t>Jasa Tenaga Pengajar</t>
  </si>
  <si>
    <t>Honor Guru Tidak Tetap Sekolah (GTTS)</t>
  </si>
  <si>
    <t>GTTS dan PTTS</t>
  </si>
  <si>
    <r>
      <rPr>
        <sz val="10"/>
        <rFont val="Arial MT"/>
        <family val="2"/>
      </rPr>
      <t>BNU04</t>
    </r>
  </si>
  <si>
    <r>
      <rPr>
        <sz val="10"/>
        <rFont val="Arial MT"/>
        <family val="2"/>
      </rPr>
      <t>Arifin Metodi Bate'e</t>
    </r>
  </si>
  <si>
    <r>
      <rPr>
        <sz val="10"/>
        <rFont val="Arial MT"/>
        <family val="2"/>
      </rPr>
      <t>BNU05</t>
    </r>
  </si>
  <si>
    <r>
      <rPr>
        <sz val="10"/>
        <rFont val="Arial MT"/>
        <family val="2"/>
      </rPr>
      <t>Ferdiwati Wau</t>
    </r>
  </si>
  <si>
    <r>
      <rPr>
        <sz val="10"/>
        <rFont val="Arial MT"/>
        <family val="2"/>
      </rPr>
      <t>BNU06</t>
    </r>
  </si>
  <si>
    <r>
      <rPr>
        <sz val="10"/>
        <rFont val="Arial MT"/>
        <family val="2"/>
      </rPr>
      <t>Noni Alfanita Sarumaha, S.Pd</t>
    </r>
  </si>
  <si>
    <r>
      <rPr>
        <sz val="10"/>
        <rFont val="Arial MT"/>
        <family val="2"/>
      </rPr>
      <t>BNU07</t>
    </r>
  </si>
  <si>
    <r>
      <rPr>
        <sz val="10"/>
        <rFont val="Arial MT"/>
        <family val="2"/>
      </rPr>
      <t>EMILA HAFO</t>
    </r>
  </si>
  <si>
    <r>
      <rPr>
        <sz val="10"/>
        <rFont val="Arial MT"/>
        <family val="2"/>
      </rPr>
      <t>BNU08</t>
    </r>
  </si>
  <si>
    <r>
      <rPr>
        <sz val="10"/>
        <rFont val="Arial MT"/>
        <family val="2"/>
      </rPr>
      <t>Asep Nurhidayat</t>
    </r>
  </si>
  <si>
    <r>
      <rPr>
        <sz val="10"/>
        <rFont val="Arial MT"/>
        <family val="2"/>
      </rPr>
      <t>BNU09</t>
    </r>
  </si>
  <si>
    <r>
      <rPr>
        <sz val="10"/>
        <rFont val="Arial MT"/>
        <family val="2"/>
      </rPr>
      <t xml:space="preserve">5.1.02.02.01.00
</t>
    </r>
    <r>
      <rPr>
        <sz val="10"/>
        <rFont val="Arial MT"/>
        <family val="2"/>
      </rPr>
      <t>26</t>
    </r>
  </si>
  <si>
    <r>
      <rPr>
        <sz val="10"/>
        <rFont val="Arial MT"/>
        <family val="2"/>
      </rPr>
      <t>07.12.02.</t>
    </r>
  </si>
  <si>
    <r>
      <rPr>
        <sz val="10"/>
        <rFont val="Arial MT"/>
        <family val="2"/>
      </rPr>
      <t>Estera Nehe</t>
    </r>
  </si>
  <si>
    <t>Jasa Tenaga TU</t>
  </si>
  <si>
    <t>Honor Pegawai Tidak Tetap Sekolah (PTTS)</t>
  </si>
  <si>
    <r>
      <rPr>
        <sz val="10"/>
        <rFont val="Arial MT"/>
        <family val="2"/>
      </rPr>
      <t>BNU10</t>
    </r>
  </si>
  <si>
    <r>
      <rPr>
        <sz val="10"/>
        <rFont val="Arial MT"/>
        <family val="2"/>
      </rPr>
      <t>Hatieli Buulolo</t>
    </r>
  </si>
  <si>
    <r>
      <rPr>
        <sz val="10"/>
        <rFont val="Arial MT"/>
        <family val="2"/>
      </rPr>
      <t>BNU11</t>
    </r>
  </si>
  <si>
    <r>
      <rPr>
        <sz val="10"/>
        <rFont val="Arial MT"/>
        <family val="2"/>
      </rPr>
      <t>David J. Sitinjak</t>
    </r>
  </si>
  <si>
    <r>
      <rPr>
        <sz val="10"/>
        <rFont val="Arial MT"/>
        <family val="2"/>
      </rPr>
      <t>BNU12</t>
    </r>
  </si>
  <si>
    <r>
      <rPr>
        <sz val="10"/>
        <rFont val="Arial MT"/>
        <family val="2"/>
      </rPr>
      <t>Siona Ziraluo</t>
    </r>
  </si>
  <si>
    <r>
      <rPr>
        <sz val="10"/>
        <rFont val="Arial MT"/>
        <family val="2"/>
      </rPr>
      <t>BNU13</t>
    </r>
  </si>
  <si>
    <r>
      <rPr>
        <sz val="10"/>
        <rFont val="Arial MT"/>
        <family val="2"/>
      </rPr>
      <t>Merdina Ziraluo</t>
    </r>
  </si>
  <si>
    <r>
      <rPr>
        <sz val="10"/>
        <rFont val="Arial MT"/>
        <family val="2"/>
      </rPr>
      <t>BNU14</t>
    </r>
  </si>
  <si>
    <r>
      <rPr>
        <sz val="10"/>
        <rFont val="Arial MT"/>
        <family val="2"/>
      </rPr>
      <t xml:space="preserve">5.1.02.02.01.00
</t>
    </r>
    <r>
      <rPr>
        <sz val="10"/>
        <rFont val="Arial MT"/>
        <family val="2"/>
      </rPr>
      <t>30</t>
    </r>
  </si>
  <si>
    <r>
      <rPr>
        <sz val="10"/>
        <rFont val="Arial MT"/>
        <family val="2"/>
      </rPr>
      <t>07.12.04.</t>
    </r>
  </si>
  <si>
    <r>
      <rPr>
        <sz val="10"/>
        <rFont val="Arial MT"/>
        <family val="2"/>
      </rPr>
      <t>Fransiskus Lombu</t>
    </r>
  </si>
  <si>
    <t>Jasa Tenaga Kebersihan</t>
  </si>
  <si>
    <t>Honorarius Pegawai Kebersihan Sekolah</t>
  </si>
  <si>
    <t>Pegawai Kebersihan</t>
  </si>
  <si>
    <r>
      <rPr>
        <sz val="10"/>
        <rFont val="Arial MT"/>
        <family val="2"/>
      </rPr>
      <t>BNU15</t>
    </r>
  </si>
  <si>
    <t>05.09.</t>
  </si>
  <si>
    <r>
      <rPr>
        <sz val="10"/>
        <rFont val="Arial MT"/>
        <family val="2"/>
      </rPr>
      <t>05.09.02.</t>
    </r>
  </si>
  <si>
    <r>
      <rPr>
        <sz val="10"/>
        <rFont val="Arial MT"/>
        <family val="2"/>
      </rPr>
      <t>Laptop</t>
    </r>
  </si>
  <si>
    <t>Peralatan Multimedia</t>
  </si>
  <si>
    <t>Marusaha Simanjuntak</t>
  </si>
  <si>
    <t>085277086701</t>
  </si>
  <si>
    <t>Jl. Oswald Siahaan No. 6A. Aek Tolang Pandan</t>
  </si>
  <si>
    <r>
      <rPr>
        <sz val="10"/>
        <rFont val="Arial MT"/>
        <family val="2"/>
      </rPr>
      <t>BNU16</t>
    </r>
  </si>
  <si>
    <r>
      <rPr>
        <sz val="10"/>
        <rFont val="Arial MT"/>
        <family val="2"/>
      </rPr>
      <t>05.09.05.</t>
    </r>
  </si>
  <si>
    <r>
      <rPr>
        <sz val="10"/>
        <rFont val="Arial MT"/>
        <family val="2"/>
      </rPr>
      <t>Proyektor</t>
    </r>
  </si>
  <si>
    <t>40</t>
  </si>
  <si>
    <t>Binder Klip (Merk : Kenko - Bahan : Besi - Ukuran : 15 x 25 mm (No. 105) - Isi : 12 Pcs - Berat : 35 Gram)</t>
  </si>
  <si>
    <t>41</t>
  </si>
  <si>
    <t>42</t>
  </si>
  <si>
    <r>
      <rPr>
        <sz val="10"/>
        <rFont val="Arial MT"/>
        <family val="2"/>
      </rPr>
      <t>BNU19</t>
    </r>
  </si>
  <si>
    <r>
      <rPr>
        <sz val="10"/>
        <rFont val="Arial MT"/>
        <family val="2"/>
      </rPr>
      <t>Passive Speaker</t>
    </r>
  </si>
  <si>
    <t>Sarana Prsasrana</t>
  </si>
  <si>
    <r>
      <rPr>
        <sz val="10"/>
        <rFont val="Arial MT"/>
        <family val="2"/>
      </rPr>
      <t>BNU20</t>
    </r>
  </si>
  <si>
    <r>
      <rPr>
        <sz val="10"/>
        <rFont val="Arial MT"/>
        <family val="2"/>
      </rPr>
      <t xml:space="preserve">5.2.05.02.01.00
</t>
    </r>
    <r>
      <rPr>
        <sz val="10"/>
        <rFont val="Arial MT"/>
        <family val="2"/>
      </rPr>
      <t>01</t>
    </r>
  </si>
  <si>
    <r>
      <rPr>
        <sz val="10"/>
        <rFont val="Arial MT"/>
        <family val="2"/>
      </rPr>
      <t>microphone wireless-mic sennheiser skm 5300 wireless microphone ( gold edition )</t>
    </r>
  </si>
  <si>
    <t>43</t>
  </si>
  <si>
    <r>
      <rPr>
        <sz val="10"/>
        <rFont val="Arial MT"/>
        <family val="2"/>
      </rPr>
      <t>BNU21</t>
    </r>
  </si>
  <si>
    <r>
      <rPr>
        <sz val="10"/>
        <rFont val="Arial MT"/>
        <family val="2"/>
      </rPr>
      <t xml:space="preserve">5.2.04.02.06.00
</t>
    </r>
    <r>
      <rPr>
        <sz val="10"/>
        <rFont val="Arial MT"/>
        <family val="2"/>
      </rPr>
      <t>05</t>
    </r>
  </si>
  <si>
    <r>
      <rPr>
        <sz val="10"/>
        <rFont val="Arial MT"/>
        <family val="2"/>
      </rPr>
      <t>05.08.04.</t>
    </r>
  </si>
  <si>
    <r>
      <rPr>
        <sz val="10"/>
        <rFont val="Arial MT"/>
        <family val="2"/>
      </rPr>
      <t>Dispencer</t>
    </r>
  </si>
  <si>
    <t>44</t>
  </si>
  <si>
    <r>
      <rPr>
        <sz val="10"/>
        <rFont val="Arial MT"/>
        <family val="2"/>
      </rPr>
      <t>BNU22</t>
    </r>
  </si>
  <si>
    <r>
      <rPr>
        <sz val="10"/>
        <rFont val="Arial MT"/>
        <family val="2"/>
      </rPr>
      <t>Pengadaan Gagang Pintu Satu Set</t>
    </r>
  </si>
  <si>
    <t>45</t>
  </si>
  <si>
    <t>46</t>
  </si>
  <si>
    <t>47</t>
  </si>
  <si>
    <t>48</t>
  </si>
  <si>
    <t>49</t>
  </si>
  <si>
    <t>50</t>
  </si>
  <si>
    <t>51</t>
  </si>
  <si>
    <t>52</t>
  </si>
  <si>
    <t>53</t>
  </si>
  <si>
    <t>54</t>
  </si>
  <si>
    <t>55</t>
  </si>
  <si>
    <r>
      <rPr>
        <sz val="10"/>
        <rFont val="Arial MT"/>
        <family val="2"/>
      </rPr>
      <t>BNU23</t>
    </r>
  </si>
  <si>
    <t>56</t>
  </si>
  <si>
    <r>
      <rPr>
        <sz val="10"/>
        <rFont val="Arial MT"/>
        <family val="2"/>
      </rPr>
      <t>BNU24</t>
    </r>
  </si>
  <si>
    <t>57</t>
  </si>
  <si>
    <r>
      <rPr>
        <sz val="10"/>
        <rFont val="Arial MT"/>
        <family val="2"/>
      </rPr>
      <t>BNU25</t>
    </r>
  </si>
  <si>
    <t>58</t>
  </si>
  <si>
    <r>
      <rPr>
        <sz val="10"/>
        <rFont val="Arial MT"/>
        <family val="2"/>
      </rPr>
      <t>BNU26</t>
    </r>
  </si>
  <si>
    <t>59</t>
  </si>
  <si>
    <r>
      <rPr>
        <sz val="10"/>
        <rFont val="Arial MT"/>
        <family val="2"/>
      </rPr>
      <t>BNU27</t>
    </r>
  </si>
  <si>
    <t>60</t>
  </si>
  <si>
    <r>
      <rPr>
        <sz val="10"/>
        <rFont val="Arial MT"/>
        <family val="2"/>
      </rPr>
      <t>BNU28</t>
    </r>
  </si>
  <si>
    <t>61</t>
  </si>
  <si>
    <r>
      <rPr>
        <sz val="10"/>
        <rFont val="Arial MT"/>
        <family val="2"/>
      </rPr>
      <t>BNU29</t>
    </r>
  </si>
  <si>
    <t>62</t>
  </si>
  <si>
    <r>
      <rPr>
        <sz val="10"/>
        <rFont val="Arial MT"/>
        <family val="2"/>
      </rPr>
      <t>BNU30</t>
    </r>
  </si>
  <si>
    <t>63</t>
  </si>
  <si>
    <r>
      <rPr>
        <sz val="10"/>
        <rFont val="Arial MT"/>
        <family val="2"/>
      </rPr>
      <t>BNU31</t>
    </r>
  </si>
  <si>
    <t>64</t>
  </si>
  <si>
    <r>
      <rPr>
        <sz val="10"/>
        <rFont val="Arial MT"/>
        <family val="2"/>
      </rPr>
      <t>BNU32</t>
    </r>
  </si>
  <si>
    <t>65</t>
  </si>
  <si>
    <r>
      <rPr>
        <sz val="10"/>
        <rFont val="Arial MT"/>
        <family val="2"/>
      </rPr>
      <t>BNU33</t>
    </r>
  </si>
  <si>
    <t>66</t>
  </si>
  <si>
    <r>
      <rPr>
        <sz val="10"/>
        <rFont val="Arial MT"/>
        <family val="2"/>
      </rPr>
      <t>BNU34</t>
    </r>
  </si>
  <si>
    <t>67</t>
  </si>
  <si>
    <t>Jasa Pemeliharaan</t>
  </si>
  <si>
    <t>Jasa Perbaikan Pintu dan Jendela Kelas</t>
  </si>
  <si>
    <t>Marselinus Bago</t>
  </si>
  <si>
    <t>081376852210</t>
  </si>
  <si>
    <t>68</t>
  </si>
  <si>
    <t>BPU41</t>
  </si>
  <si>
    <t>02.02.</t>
  </si>
  <si>
    <t xml:space="preserve">Kudapan pada Kegiatan Sosialisasi pemberdayaan perpustakaan terutama untuk pengembangan minat baca peserta didik
</t>
  </si>
  <si>
    <t>74</t>
  </si>
  <si>
    <r>
      <rPr>
        <sz val="10"/>
        <rFont val="Arial MT"/>
        <family val="2"/>
      </rPr>
      <t xml:space="preserve">5.1.02.03.02.01
</t>
    </r>
    <r>
      <rPr>
        <sz val="10"/>
        <rFont val="Arial MT"/>
        <family val="2"/>
      </rPr>
      <t>15</t>
    </r>
  </si>
  <si>
    <r>
      <rPr>
        <sz val="10"/>
        <rFont val="Arial MT"/>
        <family val="2"/>
      </rPr>
      <t xml:space="preserve">5.1.02.02.04.03
</t>
    </r>
    <r>
      <rPr>
        <sz val="10"/>
        <rFont val="Arial MT"/>
        <family val="2"/>
      </rPr>
      <t>14</t>
    </r>
  </si>
  <si>
    <t>Peralatan Pembelajaran</t>
  </si>
  <si>
    <t xml:space="preserve">Pasir laut kasar </t>
  </si>
  <si>
    <t>Batu kerikil 5, 7</t>
  </si>
  <si>
    <t>Semen Padang berat 50 kg</t>
  </si>
  <si>
    <t>81</t>
  </si>
  <si>
    <t>82</t>
  </si>
  <si>
    <r>
      <rPr>
        <sz val="10"/>
        <rFont val="Arial MT"/>
        <family val="2"/>
      </rPr>
      <t>BNU38</t>
    </r>
  </si>
  <si>
    <t>83</t>
  </si>
  <si>
    <r>
      <rPr>
        <sz val="10"/>
        <rFont val="Arial MT"/>
        <family val="2"/>
      </rPr>
      <t>BNU39</t>
    </r>
  </si>
  <si>
    <t>84</t>
  </si>
  <si>
    <r>
      <rPr>
        <sz val="10"/>
        <rFont val="Arial MT"/>
        <family val="2"/>
      </rPr>
      <t>BNU40</t>
    </r>
  </si>
  <si>
    <t>Ferdiwati Wau</t>
  </si>
  <si>
    <t>85</t>
  </si>
  <si>
    <r>
      <rPr>
        <sz val="10"/>
        <rFont val="Arial MT"/>
        <family val="2"/>
      </rPr>
      <t>BNU41</t>
    </r>
  </si>
  <si>
    <t>86</t>
  </si>
  <si>
    <r>
      <rPr>
        <sz val="10"/>
        <rFont val="Arial MT"/>
        <family val="2"/>
      </rPr>
      <t>BNU42</t>
    </r>
  </si>
  <si>
    <t>87</t>
  </si>
  <si>
    <r>
      <rPr>
        <sz val="10"/>
        <rFont val="Arial MT"/>
        <family val="2"/>
      </rPr>
      <t>BNU43</t>
    </r>
  </si>
  <si>
    <t>88</t>
  </si>
  <si>
    <r>
      <rPr>
        <sz val="10"/>
        <rFont val="Arial MT"/>
        <family val="2"/>
      </rPr>
      <t>BNU44</t>
    </r>
  </si>
  <si>
    <t>89</t>
  </si>
  <si>
    <r>
      <rPr>
        <sz val="10"/>
        <rFont val="Arial MT"/>
        <family val="2"/>
      </rPr>
      <t>BNU45</t>
    </r>
  </si>
  <si>
    <t>90</t>
  </si>
  <si>
    <r>
      <rPr>
        <sz val="10"/>
        <rFont val="Arial MT"/>
        <family val="2"/>
      </rPr>
      <t>BNU46</t>
    </r>
  </si>
  <si>
    <t>91</t>
  </si>
  <si>
    <r>
      <rPr>
        <sz val="10"/>
        <rFont val="Arial MT"/>
        <family val="2"/>
      </rPr>
      <t>BNU47</t>
    </r>
  </si>
  <si>
    <t>92</t>
  </si>
  <si>
    <r>
      <rPr>
        <sz val="10"/>
        <rFont val="Arial MT"/>
        <family val="2"/>
      </rPr>
      <t>BNU48</t>
    </r>
  </si>
  <si>
    <t>93</t>
  </si>
  <si>
    <r>
      <rPr>
        <sz val="10"/>
        <rFont val="Arial MT"/>
        <family val="2"/>
      </rPr>
      <t>BNU49</t>
    </r>
  </si>
  <si>
    <t>94</t>
  </si>
  <si>
    <t>95</t>
  </si>
  <si>
    <r>
      <rPr>
        <sz val="10"/>
        <rFont val="Arial MT"/>
        <family val="2"/>
      </rPr>
      <t>Biaya Transportasi darat Lomba FLSSN Tingkat Propinsi 2023</t>
    </r>
  </si>
  <si>
    <t>Transportasi</t>
  </si>
  <si>
    <r>
      <rPr>
        <sz val="10"/>
        <rFont val="Arial MT"/>
        <family val="2"/>
      </rPr>
      <t>Biaya Transportasi Udara Lomba FLSSN Tingkat Propinsi 2023</t>
    </r>
  </si>
  <si>
    <r>
      <rPr>
        <sz val="10"/>
        <rFont val="Arial MT"/>
        <family val="2"/>
      </rPr>
      <t>Biaya Penginapan Peserta Lomba FLSSN Tingkat Propinsi 2023 Selama 4 Hari</t>
    </r>
  </si>
  <si>
    <t>101</t>
  </si>
  <si>
    <r>
      <rPr>
        <sz val="10"/>
        <rFont val="Arial MT"/>
        <family val="2"/>
      </rPr>
      <t>Honor Pembimbing Lomba FLSSN Tingkat Propinsi 2023 Selama 4 Hari</t>
    </r>
  </si>
  <si>
    <t>Jasa Pendamping</t>
  </si>
  <si>
    <t>102</t>
  </si>
  <si>
    <r>
      <rPr>
        <sz val="10"/>
        <rFont val="Arial MT"/>
        <family val="2"/>
      </rPr>
      <t>Uang Saku Siswa Peserta Lomba FLSSN Tingkat Propinsi 2023 Selama 4 Hari</t>
    </r>
  </si>
  <si>
    <t>Uang Harian Siswa</t>
  </si>
  <si>
    <t>103</t>
  </si>
  <si>
    <t>Perlombaan</t>
  </si>
  <si>
    <t>Biaya Kegiatan Lomba OSN 2024</t>
  </si>
  <si>
    <t>104</t>
  </si>
  <si>
    <t>BPU61</t>
  </si>
  <si>
    <t>107</t>
  </si>
  <si>
    <t>108</t>
  </si>
  <si>
    <t>109</t>
  </si>
  <si>
    <t>110</t>
  </si>
  <si>
    <t>111</t>
  </si>
  <si>
    <t>112</t>
  </si>
  <si>
    <t>03.04.</t>
  </si>
  <si>
    <t>113</t>
  </si>
  <si>
    <t>114</t>
  </si>
  <si>
    <t>115</t>
  </si>
  <si>
    <t>116</t>
  </si>
  <si>
    <t>117</t>
  </si>
  <si>
    <t>118</t>
  </si>
  <si>
    <t>119</t>
  </si>
  <si>
    <t>120</t>
  </si>
  <si>
    <t>121</t>
  </si>
  <si>
    <t>122</t>
  </si>
  <si>
    <t>123</t>
  </si>
  <si>
    <r>
      <rPr>
        <sz val="10"/>
        <rFont val="Arial MT"/>
        <family val="2"/>
      </rPr>
      <t>BNU51</t>
    </r>
  </si>
  <si>
    <t>124</t>
  </si>
  <si>
    <r>
      <rPr>
        <sz val="10"/>
        <rFont val="Arial MT"/>
        <family val="2"/>
      </rPr>
      <t>BNU52</t>
    </r>
  </si>
  <si>
    <t>125</t>
  </si>
  <si>
    <r>
      <rPr>
        <sz val="10"/>
        <rFont val="Arial MT"/>
        <family val="2"/>
      </rPr>
      <t>BNU53</t>
    </r>
  </si>
  <si>
    <t>126</t>
  </si>
  <si>
    <r>
      <rPr>
        <sz val="10"/>
        <rFont val="Arial MT"/>
        <family val="2"/>
      </rPr>
      <t>BNU54</t>
    </r>
  </si>
  <si>
    <t>127</t>
  </si>
  <si>
    <r>
      <rPr>
        <sz val="10"/>
        <rFont val="Arial MT"/>
        <family val="2"/>
      </rPr>
      <t>BNU55</t>
    </r>
  </si>
  <si>
    <t>128</t>
  </si>
  <si>
    <r>
      <rPr>
        <sz val="10"/>
        <rFont val="Arial MT"/>
        <family val="2"/>
      </rPr>
      <t>BNU56</t>
    </r>
  </si>
  <si>
    <t>129</t>
  </si>
  <si>
    <r>
      <rPr>
        <sz val="10"/>
        <rFont val="Arial MT"/>
        <family val="2"/>
      </rPr>
      <t>BNU57</t>
    </r>
  </si>
  <si>
    <t>130</t>
  </si>
  <si>
    <r>
      <rPr>
        <sz val="10"/>
        <rFont val="Arial MT"/>
        <family val="2"/>
      </rPr>
      <t>BNU58</t>
    </r>
  </si>
  <si>
    <t>131</t>
  </si>
  <si>
    <r>
      <rPr>
        <sz val="10"/>
        <rFont val="Arial MT"/>
        <family val="2"/>
      </rPr>
      <t>BNU59</t>
    </r>
  </si>
  <si>
    <t>132</t>
  </si>
  <si>
    <r>
      <rPr>
        <sz val="10"/>
        <rFont val="Arial MT"/>
        <family val="2"/>
      </rPr>
      <t>BNU60</t>
    </r>
  </si>
  <si>
    <t>133</t>
  </si>
  <si>
    <r>
      <rPr>
        <sz val="10"/>
        <rFont val="Arial MT"/>
        <family val="2"/>
      </rPr>
      <t>BNU61</t>
    </r>
  </si>
  <si>
    <t>134</t>
  </si>
  <si>
    <r>
      <rPr>
        <sz val="10"/>
        <rFont val="Arial MT"/>
        <family val="2"/>
      </rPr>
      <t>BNU62</t>
    </r>
  </si>
  <si>
    <t>135</t>
  </si>
  <si>
    <t>136</t>
  </si>
  <si>
    <t>Server PC Fortress (Core i5, Windows 10 Pro, 64 Bit, RAM 64, Hdd 500GB, 1 Port)</t>
  </si>
  <si>
    <t>137</t>
  </si>
  <si>
    <t>Biaya Kegiatan Lomba MTQ 2024</t>
  </si>
  <si>
    <t>138</t>
  </si>
  <si>
    <t>139</t>
  </si>
  <si>
    <t>140</t>
  </si>
  <si>
    <t>141</t>
  </si>
  <si>
    <t>03.01.</t>
  </si>
  <si>
    <t>142</t>
  </si>
  <si>
    <t>143</t>
  </si>
  <si>
    <t>144</t>
  </si>
  <si>
    <t>145</t>
  </si>
  <si>
    <t>146</t>
  </si>
  <si>
    <t>147</t>
  </si>
  <si>
    <t>148</t>
  </si>
  <si>
    <t>149</t>
  </si>
  <si>
    <t>150</t>
  </si>
  <si>
    <t>151</t>
  </si>
  <si>
    <t>152</t>
  </si>
  <si>
    <t>153</t>
  </si>
  <si>
    <t>154</t>
  </si>
  <si>
    <r>
      <rPr>
        <sz val="10"/>
        <rFont val="Arial MT"/>
        <family val="2"/>
      </rPr>
      <t>BNU63</t>
    </r>
  </si>
  <si>
    <t>155</t>
  </si>
  <si>
    <r>
      <rPr>
        <sz val="10"/>
        <rFont val="Arial MT"/>
        <family val="2"/>
      </rPr>
      <t>BNU64</t>
    </r>
  </si>
  <si>
    <t>156</t>
  </si>
  <si>
    <r>
      <rPr>
        <sz val="10"/>
        <rFont val="Arial MT"/>
        <family val="2"/>
      </rPr>
      <t>BNU65</t>
    </r>
  </si>
  <si>
    <t>157</t>
  </si>
  <si>
    <r>
      <rPr>
        <sz val="10"/>
        <rFont val="Arial MT"/>
        <family val="2"/>
      </rPr>
      <t>BNU66</t>
    </r>
  </si>
  <si>
    <t>158</t>
  </si>
  <si>
    <r>
      <rPr>
        <sz val="10"/>
        <rFont val="Arial MT"/>
        <family val="2"/>
      </rPr>
      <t>BNU67</t>
    </r>
  </si>
  <si>
    <t>159</t>
  </si>
  <si>
    <r>
      <rPr>
        <sz val="10"/>
        <rFont val="Arial MT"/>
        <family val="2"/>
      </rPr>
      <t>BNU68</t>
    </r>
  </si>
  <si>
    <t>160</t>
  </si>
  <si>
    <r>
      <rPr>
        <sz val="10"/>
        <rFont val="Arial MT"/>
        <family val="2"/>
      </rPr>
      <t>BNU69</t>
    </r>
  </si>
  <si>
    <t>161</t>
  </si>
  <si>
    <r>
      <rPr>
        <sz val="10"/>
        <rFont val="Arial MT"/>
        <family val="2"/>
      </rPr>
      <t>BNU70</t>
    </r>
  </si>
  <si>
    <t>162</t>
  </si>
  <si>
    <r>
      <rPr>
        <sz val="10"/>
        <rFont val="Arial MT"/>
        <family val="2"/>
      </rPr>
      <t>BNU71</t>
    </r>
  </si>
  <si>
    <t>163</t>
  </si>
  <si>
    <r>
      <rPr>
        <sz val="10"/>
        <rFont val="Arial MT"/>
        <family val="2"/>
      </rPr>
      <t>BNU72</t>
    </r>
  </si>
  <si>
    <t>164</t>
  </si>
  <si>
    <r>
      <rPr>
        <sz val="10"/>
        <rFont val="Arial MT"/>
        <family val="2"/>
      </rPr>
      <t>BNU73</t>
    </r>
  </si>
  <si>
    <t>165</t>
  </si>
  <si>
    <r>
      <rPr>
        <sz val="10"/>
        <rFont val="Arial MT"/>
        <family val="2"/>
      </rPr>
      <t>BNU74</t>
    </r>
  </si>
  <si>
    <t>166</t>
  </si>
  <si>
    <t>167</t>
  </si>
  <si>
    <t>Papan Visual (Ukuran 180 x 100 Cm)</t>
  </si>
  <si>
    <t>168</t>
  </si>
  <si>
    <t>169</t>
  </si>
  <si>
    <t>170</t>
  </si>
  <si>
    <t>171</t>
  </si>
  <si>
    <t>172</t>
  </si>
  <si>
    <t>173</t>
  </si>
  <si>
    <t>174</t>
  </si>
  <si>
    <t>175</t>
  </si>
  <si>
    <t>176</t>
  </si>
  <si>
    <t>177</t>
  </si>
  <si>
    <t>178</t>
  </si>
  <si>
    <t>179</t>
  </si>
  <si>
    <t>180</t>
  </si>
  <si>
    <t>181</t>
  </si>
  <si>
    <t>182</t>
  </si>
  <si>
    <t>183</t>
  </si>
  <si>
    <t>184</t>
  </si>
  <si>
    <r>
      <rPr>
        <sz val="10"/>
        <rFont val="Arial MT"/>
        <family val="2"/>
      </rPr>
      <t>BNU75</t>
    </r>
  </si>
  <si>
    <t>185</t>
  </si>
  <si>
    <r>
      <rPr>
        <sz val="10"/>
        <rFont val="Arial MT"/>
        <family val="2"/>
      </rPr>
      <t>BNU76</t>
    </r>
  </si>
  <si>
    <t>186</t>
  </si>
  <si>
    <r>
      <rPr>
        <sz val="10"/>
        <rFont val="Arial MT"/>
        <family val="2"/>
      </rPr>
      <t>BNU77</t>
    </r>
  </si>
  <si>
    <t>187</t>
  </si>
  <si>
    <r>
      <rPr>
        <sz val="10"/>
        <rFont val="Arial MT"/>
        <family val="2"/>
      </rPr>
      <t>BNU78</t>
    </r>
  </si>
  <si>
    <t>188</t>
  </si>
  <si>
    <r>
      <rPr>
        <sz val="10"/>
        <rFont val="Arial MT"/>
        <family val="2"/>
      </rPr>
      <t>BNU79</t>
    </r>
  </si>
  <si>
    <t>189</t>
  </si>
  <si>
    <r>
      <rPr>
        <sz val="10"/>
        <rFont val="Arial MT"/>
        <family val="2"/>
      </rPr>
      <t>BNU80</t>
    </r>
  </si>
  <si>
    <t>190</t>
  </si>
  <si>
    <r>
      <rPr>
        <sz val="10"/>
        <rFont val="Arial MT"/>
        <family val="2"/>
      </rPr>
      <t>BNU81</t>
    </r>
  </si>
  <si>
    <t>191</t>
  </si>
  <si>
    <r>
      <rPr>
        <sz val="10"/>
        <rFont val="Arial MT"/>
        <family val="2"/>
      </rPr>
      <t>BNU82</t>
    </r>
  </si>
  <si>
    <t>192</t>
  </si>
  <si>
    <r>
      <rPr>
        <sz val="10"/>
        <rFont val="Arial MT"/>
        <family val="2"/>
      </rPr>
      <t>BNU83</t>
    </r>
  </si>
  <si>
    <t>193</t>
  </si>
  <si>
    <r>
      <rPr>
        <sz val="10"/>
        <rFont val="Arial MT"/>
        <family val="2"/>
      </rPr>
      <t>BNU84</t>
    </r>
  </si>
  <si>
    <t>194</t>
  </si>
  <si>
    <r>
      <rPr>
        <sz val="10"/>
        <rFont val="Arial MT"/>
        <family val="2"/>
      </rPr>
      <t>BNU85</t>
    </r>
  </si>
  <si>
    <t>195</t>
  </si>
  <si>
    <t>196</t>
  </si>
  <si>
    <t>197</t>
  </si>
  <si>
    <t>198</t>
  </si>
  <si>
    <r>
      <rPr>
        <sz val="10"/>
        <rFont val="Liberation Sans Narrow"/>
        <family val="2"/>
      </rPr>
      <t>BNU86</t>
    </r>
  </si>
  <si>
    <r>
      <rPr>
        <sz val="10"/>
        <rFont val="Liberation Sans Narrow"/>
        <family val="2"/>
      </rPr>
      <t>Estera Nehe</t>
    </r>
  </si>
  <si>
    <t>199</t>
  </si>
  <si>
    <r>
      <rPr>
        <sz val="10"/>
        <rFont val="Liberation Sans Narrow"/>
        <family val="2"/>
      </rPr>
      <t>BNU87</t>
    </r>
  </si>
  <si>
    <r>
      <rPr>
        <sz val="10"/>
        <rFont val="Liberation Sans Narrow"/>
        <family val="2"/>
      </rPr>
      <t>Hatieli Buulolo</t>
    </r>
  </si>
  <si>
    <t>200</t>
  </si>
  <si>
    <r>
      <rPr>
        <sz val="10"/>
        <rFont val="Liberation Sans Narrow"/>
        <family val="2"/>
      </rPr>
      <t>BNU88</t>
    </r>
  </si>
  <si>
    <r>
      <rPr>
        <sz val="10"/>
        <rFont val="Liberation Sans Narrow"/>
        <family val="2"/>
      </rPr>
      <t>David J. Sitinjak</t>
    </r>
  </si>
  <si>
    <t>201</t>
  </si>
  <si>
    <r>
      <rPr>
        <sz val="10"/>
        <rFont val="Liberation Sans Narrow"/>
        <family val="2"/>
      </rPr>
      <t>BNU89</t>
    </r>
  </si>
  <si>
    <r>
      <rPr>
        <sz val="10"/>
        <rFont val="Liberation Sans Narrow"/>
        <family val="2"/>
      </rPr>
      <t>Siona Ziraluo</t>
    </r>
  </si>
  <si>
    <t>202</t>
  </si>
  <si>
    <r>
      <rPr>
        <sz val="10"/>
        <rFont val="Liberation Sans Narrow"/>
        <family val="2"/>
      </rPr>
      <t>BNU90</t>
    </r>
  </si>
  <si>
    <r>
      <rPr>
        <sz val="10"/>
        <rFont val="Liberation Sans Narrow"/>
        <family val="2"/>
      </rPr>
      <t>Merdina Ziraluo</t>
    </r>
  </si>
  <si>
    <t>203</t>
  </si>
  <si>
    <t>Aqua Botol Sedang</t>
  </si>
  <si>
    <t>Aqua Botol 600ml</t>
  </si>
  <si>
    <t>204</t>
  </si>
  <si>
    <t>205</t>
  </si>
  <si>
    <t>206</t>
  </si>
  <si>
    <t>207</t>
  </si>
  <si>
    <t>208</t>
  </si>
  <si>
    <t>209</t>
  </si>
  <si>
    <t>210</t>
  </si>
  <si>
    <t>211</t>
  </si>
  <si>
    <t>212</t>
  </si>
  <si>
    <t>213</t>
  </si>
  <si>
    <t>214</t>
  </si>
  <si>
    <t>215</t>
  </si>
  <si>
    <r>
      <rPr>
        <sz val="10"/>
        <rFont val="Liberation Sans Narrow"/>
        <family val="2"/>
      </rPr>
      <t>Lakban Bening</t>
    </r>
  </si>
  <si>
    <t>216</t>
  </si>
  <si>
    <t>217</t>
  </si>
  <si>
    <t>218</t>
  </si>
  <si>
    <t>219</t>
  </si>
  <si>
    <t>220</t>
  </si>
  <si>
    <t>221</t>
  </si>
  <si>
    <t>222</t>
  </si>
  <si>
    <t>223</t>
  </si>
  <si>
    <r>
      <rPr>
        <sz val="10"/>
        <rFont val="Liberation Sans Narrow"/>
        <family val="2"/>
      </rPr>
      <t>03.03.14.</t>
    </r>
  </si>
  <si>
    <t>224</t>
  </si>
  <si>
    <t>225</t>
  </si>
  <si>
    <t>226</t>
  </si>
  <si>
    <t>227</t>
  </si>
  <si>
    <t>228</t>
  </si>
  <si>
    <t>229</t>
  </si>
  <si>
    <t>230</t>
  </si>
  <si>
    <t>231</t>
  </si>
  <si>
    <t>232</t>
  </si>
  <si>
    <t>233</t>
  </si>
  <si>
    <t>234</t>
  </si>
  <si>
    <r>
      <rPr>
        <sz val="10"/>
        <rFont val="Arial MT"/>
        <family val="2"/>
      </rPr>
      <t>bola futsal-futsal ball f9f1500 -molten</t>
    </r>
  </si>
  <si>
    <t>Alat Olahraga</t>
  </si>
  <si>
    <t>Bola Futsal (diameter antara 20cm, berat 400gram)</t>
  </si>
  <si>
    <r>
      <rPr>
        <sz val="10"/>
        <rFont val="Arial MT"/>
        <family val="2"/>
      </rPr>
      <t>Bola Basket-</t>
    </r>
  </si>
  <si>
    <t>Bola Basket (ukuran keliling 75 cm dan berat 600gram)</t>
  </si>
  <si>
    <r>
      <rPr>
        <sz val="10"/>
        <rFont val="Arial MT"/>
        <family val="2"/>
      </rPr>
      <t>Bola Voly-</t>
    </r>
  </si>
  <si>
    <t>Bola Voly (berdiameter 18 cm, keliling 65cm, berat 260 gram)</t>
  </si>
  <si>
    <t>235</t>
  </si>
  <si>
    <r>
      <rPr>
        <sz val="10"/>
        <rFont val="Arial MT"/>
        <family val="2"/>
      </rPr>
      <t xml:space="preserve">5.1.02.01.02.00
</t>
    </r>
    <r>
      <rPr>
        <sz val="10"/>
        <rFont val="Arial MT"/>
        <family val="2"/>
      </rPr>
      <t>03</t>
    </r>
  </si>
  <si>
    <r>
      <rPr>
        <sz val="10"/>
        <rFont val="Arial MT"/>
        <family val="2"/>
      </rPr>
      <t>Foto dan Bingkai Presiden, Gubernur dan para wakil</t>
    </r>
  </si>
  <si>
    <t>Sarana dan Prsasrana</t>
  </si>
  <si>
    <t>Foto dan Bingkai (Ukuran P 46 x L 36)</t>
  </si>
  <si>
    <t>236</t>
  </si>
  <si>
    <r>
      <rPr>
        <sz val="10"/>
        <rFont val="Arial MT"/>
        <family val="2"/>
      </rPr>
      <t>BNU91</t>
    </r>
  </si>
  <si>
    <r>
      <rPr>
        <sz val="10"/>
        <rFont val="Arial MT"/>
        <family val="2"/>
      </rPr>
      <t xml:space="preserve">5.2.05.01.01.00
</t>
    </r>
    <r>
      <rPr>
        <sz val="10"/>
        <rFont val="Arial MT"/>
        <family val="2"/>
      </rPr>
      <t>01</t>
    </r>
  </si>
  <si>
    <t>05.02.</t>
  </si>
  <si>
    <r>
      <rPr>
        <sz val="10"/>
        <rFont val="Arial MT"/>
        <family val="2"/>
      </rPr>
      <t>Buku Ajar Informatika Tingkat SMA/MA Kelas 12</t>
    </r>
  </si>
  <si>
    <t>Buku</t>
  </si>
  <si>
    <r>
      <rPr>
        <sz val="10"/>
        <rFont val="Arial MT"/>
        <family val="2"/>
      </rPr>
      <t xml:space="preserve">5.2.05.01.01.00
</t>
    </r>
    <r>
      <rPr>
        <sz val="10"/>
        <rFont val="Arial MT"/>
        <family val="2"/>
      </rPr>
      <t>03</t>
    </r>
  </si>
  <si>
    <r>
      <rPr>
        <sz val="10"/>
        <rFont val="Arial MT"/>
        <family val="2"/>
      </rPr>
      <t>Agama Islam - Buku</t>
    </r>
  </si>
  <si>
    <r>
      <rPr>
        <sz val="10"/>
        <rFont val="Arial MT"/>
        <family val="2"/>
      </rPr>
      <t>Agama Kristen - Buku</t>
    </r>
  </si>
  <si>
    <r>
      <rPr>
        <sz val="10"/>
        <rFont val="Arial MT"/>
        <family val="2"/>
      </rPr>
      <t xml:space="preserve">5.2.05.01.01.00
</t>
    </r>
    <r>
      <rPr>
        <sz val="10"/>
        <rFont val="Arial MT"/>
        <family val="2"/>
      </rPr>
      <t>04</t>
    </r>
  </si>
  <si>
    <r>
      <rPr>
        <sz val="10"/>
        <rFont val="Arial MT"/>
        <family val="2"/>
      </rPr>
      <t>Sosiologi - Buku</t>
    </r>
  </si>
  <si>
    <r>
      <rPr>
        <sz val="10"/>
        <rFont val="Arial MT"/>
        <family val="2"/>
      </rPr>
      <t>Sejarah - Buku</t>
    </r>
  </si>
  <si>
    <r>
      <rPr>
        <sz val="10"/>
        <rFont val="Arial MT"/>
        <family val="2"/>
      </rPr>
      <t>Ekonomi - Buku</t>
    </r>
  </si>
  <si>
    <r>
      <rPr>
        <sz val="10"/>
        <rFont val="Arial MT"/>
        <family val="2"/>
      </rPr>
      <t>Geografi - Buku</t>
    </r>
  </si>
  <si>
    <t>237</t>
  </si>
  <si>
    <r>
      <rPr>
        <sz val="10"/>
        <rFont val="Arial MT"/>
        <family val="2"/>
      </rPr>
      <t>BNU92</t>
    </r>
  </si>
  <si>
    <r>
      <rPr>
        <sz val="10"/>
        <rFont val="Arial MT"/>
        <family val="2"/>
      </rPr>
      <t xml:space="preserve">5.2.05.01.01.00
</t>
    </r>
    <r>
      <rPr>
        <sz val="10"/>
        <rFont val="Arial MT"/>
        <family val="2"/>
      </rPr>
      <t>06</t>
    </r>
  </si>
  <si>
    <r>
      <rPr>
        <sz val="10"/>
        <rFont val="Arial MT"/>
        <family val="2"/>
      </rPr>
      <t>Kimia - Buku</t>
    </r>
  </si>
  <si>
    <r>
      <rPr>
        <sz val="10"/>
        <rFont val="Arial MT"/>
        <family val="2"/>
      </rPr>
      <t>BUKU - FISIKA</t>
    </r>
  </si>
  <si>
    <r>
      <rPr>
        <sz val="10"/>
        <rFont val="Arial MT"/>
        <family val="2"/>
      </rPr>
      <t>Buku - Biologi</t>
    </r>
  </si>
  <si>
    <r>
      <rPr>
        <sz val="10"/>
        <rFont val="Arial MT"/>
        <family val="2"/>
      </rPr>
      <t xml:space="preserve">5.2.05.01.01.00
</t>
    </r>
    <r>
      <rPr>
        <sz val="10"/>
        <rFont val="Arial MT"/>
        <family val="2"/>
      </rPr>
      <t>05</t>
    </r>
  </si>
  <si>
    <r>
      <rPr>
        <sz val="10"/>
        <rFont val="Arial MT"/>
        <family val="2"/>
      </rPr>
      <t>Pengetahuan Bahasa Indonesia - Buku</t>
    </r>
  </si>
  <si>
    <r>
      <rPr>
        <sz val="10"/>
        <rFont val="Arial MT"/>
        <family val="2"/>
      </rPr>
      <t>Pengetahuan Bahasa Inggris - Buku</t>
    </r>
  </si>
  <si>
    <r>
      <rPr>
        <sz val="10"/>
        <rFont val="Arial MT"/>
        <family val="2"/>
      </rPr>
      <t>BUKU - PPKN</t>
    </r>
  </si>
  <si>
    <r>
      <rPr>
        <sz val="10"/>
        <rFont val="Arial MT"/>
        <family val="2"/>
      </rPr>
      <t>Biologi. Antropologi - Buku</t>
    </r>
  </si>
  <si>
    <t>238</t>
  </si>
  <si>
    <r>
      <rPr>
        <sz val="10"/>
        <rFont val="Arial MT"/>
        <family val="2"/>
      </rPr>
      <t>BNU93</t>
    </r>
  </si>
  <si>
    <r>
      <rPr>
        <sz val="10"/>
        <rFont val="Arial MT"/>
        <family val="2"/>
      </rPr>
      <t>Buku Peta (Atlas)</t>
    </r>
  </si>
  <si>
    <r>
      <rPr>
        <sz val="10"/>
        <rFont val="Arial MT"/>
        <family val="2"/>
      </rPr>
      <t>Buku Matematika dan Pengetahuan Alam-Buku Perpustakaan</t>
    </r>
  </si>
  <si>
    <r>
      <rPr>
        <sz val="10"/>
        <rFont val="Arial MT"/>
        <family val="2"/>
      </rPr>
      <t xml:space="preserve">5.2.05.01.01.00
</t>
    </r>
    <r>
      <rPr>
        <sz val="10"/>
        <rFont val="Arial MT"/>
        <family val="2"/>
      </rPr>
      <t>08</t>
    </r>
  </si>
  <si>
    <r>
      <rPr>
        <sz val="10"/>
        <rFont val="Arial MT"/>
        <family val="2"/>
      </rPr>
      <t>Buku - Dasar-Dasar Seni Rupa</t>
    </r>
  </si>
  <si>
    <r>
      <rPr>
        <sz val="10"/>
        <rFont val="Arial MT"/>
        <family val="2"/>
      </rPr>
      <t>05.02.04.</t>
    </r>
  </si>
  <si>
    <r>
      <rPr>
        <sz val="10"/>
        <rFont val="Arial MT"/>
        <family val="2"/>
      </rPr>
      <t>Buku - Pendidikan Jasmani, Olahraga dan Kesehatan</t>
    </r>
  </si>
  <si>
    <r>
      <rPr>
        <sz val="10"/>
        <rFont val="Arial MT"/>
        <family val="2"/>
      </rPr>
      <t>Buku Ilmu Agama-Buku Agama</t>
    </r>
  </si>
  <si>
    <r>
      <rPr>
        <sz val="10"/>
        <rFont val="Arial MT"/>
        <family val="2"/>
      </rPr>
      <t>Musik - Buku</t>
    </r>
  </si>
  <si>
    <t>239</t>
  </si>
  <si>
    <t>Jerjak Besi Uk. 100cmx60cm</t>
  </si>
  <si>
    <t>Jerjak Besi</t>
  </si>
  <si>
    <r>
      <rPr>
        <sz val="10"/>
        <rFont val="Arial MT"/>
        <family val="2"/>
      </rPr>
      <t>Jerjak Besi Uk. 100cmx60cm</t>
    </r>
  </si>
  <si>
    <t>240</t>
  </si>
  <si>
    <t>241</t>
  </si>
  <si>
    <t>242</t>
  </si>
  <si>
    <t>243</t>
  </si>
  <si>
    <t>244</t>
  </si>
  <si>
    <r>
      <rPr>
        <sz val="10"/>
        <rFont val="Arial MT"/>
        <family val="2"/>
      </rPr>
      <t>Cat Vinilex Putih 25 kg--</t>
    </r>
  </si>
  <si>
    <t>245</t>
  </si>
  <si>
    <r>
      <rPr>
        <sz val="10"/>
        <rFont val="Arial MT"/>
        <family val="2"/>
      </rPr>
      <t>Belanja Jasa Tenaga Pelayanan Umum--</t>
    </r>
  </si>
  <si>
    <t>Pengecatan</t>
  </si>
  <si>
    <t>Jasa Pengecatan Sekolah</t>
  </si>
  <si>
    <t>Zefrianus Zai</t>
  </si>
  <si>
    <t>081265764940</t>
  </si>
  <si>
    <t>Desa Hilinamazaua, Kec. Onolalu, Kab. Nias Selatan</t>
  </si>
  <si>
    <t>246</t>
  </si>
  <si>
    <t>247</t>
  </si>
  <si>
    <t>248</t>
  </si>
  <si>
    <t>249</t>
  </si>
  <si>
    <r>
      <rPr>
        <sz val="10"/>
        <rFont val="Arial MT"/>
        <family val="2"/>
      </rPr>
      <t>BNU94</t>
    </r>
  </si>
  <si>
    <r>
      <rPr>
        <sz val="10"/>
        <rFont val="Arial MT"/>
        <family val="2"/>
      </rPr>
      <t>Sampul Rapor/Buku rapor</t>
    </r>
  </si>
  <si>
    <t>250</t>
  </si>
  <si>
    <r>
      <rPr>
        <sz val="10"/>
        <rFont val="Arial MT"/>
        <family val="2"/>
      </rPr>
      <t xml:space="preserve">5.1.02.01.01.00
</t>
    </r>
    <r>
      <rPr>
        <sz val="10"/>
        <rFont val="Arial MT"/>
        <family val="2"/>
      </rPr>
      <t>25</t>
    </r>
  </si>
  <si>
    <r>
      <rPr>
        <sz val="10"/>
        <rFont val="Arial MT"/>
        <family val="2"/>
      </rPr>
      <t>05.02.01.</t>
    </r>
  </si>
  <si>
    <r>
      <rPr>
        <sz val="10"/>
        <rFont val="Arial MT"/>
        <family val="2"/>
      </rPr>
      <t>Sampul Buku Transparan</t>
    </r>
  </si>
  <si>
    <t>Pemeliharaan</t>
  </si>
  <si>
    <t>Sampul Buku (Ukuran 21,3 x 33,2 Cm)</t>
  </si>
  <si>
    <t>251</t>
  </si>
  <si>
    <r>
      <rPr>
        <sz val="10"/>
        <rFont val="Arial MT"/>
        <family val="2"/>
      </rPr>
      <t xml:space="preserve">5.2.02.08.01.00
</t>
    </r>
    <r>
      <rPr>
        <sz val="10"/>
        <rFont val="Arial MT"/>
        <family val="2"/>
      </rPr>
      <t>13</t>
    </r>
  </si>
  <si>
    <r>
      <rPr>
        <sz val="10"/>
        <rFont val="Arial MT"/>
        <family val="2"/>
      </rPr>
      <t>Pita ukuran (meteran)</t>
    </r>
  </si>
  <si>
    <t>Alat Praktikum</t>
  </si>
  <si>
    <t>Pita ukuran/meteran (Dimensi produk : 42 x 31.5 x 4.5 cm)</t>
  </si>
  <si>
    <r>
      <rPr>
        <sz val="10"/>
        <rFont val="Arial MT"/>
        <family val="2"/>
      </rPr>
      <t>Alat Perekal Alumunium Foil</t>
    </r>
  </si>
  <si>
    <t>Alat Perekat Aluminium Foil (Model : FS 800H Daya : 1050 W Panjang segel : 80 Cm Lebar Segel : 0,1 0,4 mm)</t>
  </si>
  <si>
    <r>
      <rPr>
        <sz val="10"/>
        <rFont val="Arial MT"/>
        <family val="2"/>
      </rPr>
      <t>Voltmeter</t>
    </r>
  </si>
  <si>
    <t>Voltmeter DC - 15 Volt</t>
  </si>
  <si>
    <r>
      <rPr>
        <sz val="10"/>
        <rFont val="Arial MT"/>
        <family val="2"/>
      </rPr>
      <t xml:space="preserve">5.2.02.08.01.00
</t>
    </r>
    <r>
      <rPr>
        <sz val="10"/>
        <rFont val="Arial MT"/>
        <family val="2"/>
      </rPr>
      <t>20</t>
    </r>
  </si>
  <si>
    <r>
      <rPr>
        <sz val="10"/>
        <rFont val="Arial MT"/>
        <family val="2"/>
      </rPr>
      <t>Buret/Peralatan Titrasi</t>
    </r>
  </si>
  <si>
    <t>Buret/Peralatan Titrasi 50 ml</t>
  </si>
  <si>
    <t>252</t>
  </si>
  <si>
    <r>
      <rPr>
        <sz val="10"/>
        <rFont val="Arial MT"/>
        <family val="2"/>
      </rPr>
      <t xml:space="preserve">5.1.02.03.02.04
</t>
    </r>
    <r>
      <rPr>
        <sz val="10"/>
        <rFont val="Arial MT"/>
        <family val="2"/>
      </rPr>
      <t>11</t>
    </r>
  </si>
  <si>
    <r>
      <rPr>
        <sz val="10"/>
        <rFont val="Arial MT"/>
        <family val="2"/>
      </rPr>
      <t>Biaya Jasa Perbaikan dan Penukaran Sperpat Baru Proyektor yang Rusak</t>
    </r>
  </si>
  <si>
    <t>Jasa Service Proyektor</t>
  </si>
  <si>
    <t>ServiceProjector.Net</t>
  </si>
  <si>
    <t>Dondi Sitompul</t>
  </si>
  <si>
    <t>085261840009</t>
  </si>
  <si>
    <t>Jl. Waringin No. 45B, Medan-Petisah</t>
  </si>
  <si>
    <t>253</t>
  </si>
  <si>
    <r>
      <rPr>
        <sz val="10"/>
        <rFont val="Arial MT"/>
        <family val="2"/>
      </rPr>
      <t>BNU95</t>
    </r>
  </si>
  <si>
    <t>254</t>
  </si>
  <si>
    <t>255</t>
  </si>
  <si>
    <t>256</t>
  </si>
  <si>
    <r>
      <rPr>
        <sz val="10"/>
        <rFont val="Arial MT"/>
        <family val="2"/>
      </rPr>
      <t>BNU96</t>
    </r>
  </si>
  <si>
    <t>257</t>
  </si>
  <si>
    <t>258</t>
  </si>
  <si>
    <t>259</t>
  </si>
  <si>
    <r>
      <rPr>
        <sz val="10"/>
        <rFont val="Arial MT"/>
        <family val="2"/>
      </rPr>
      <t>BNU97</t>
    </r>
  </si>
  <si>
    <t>260</t>
  </si>
  <si>
    <t>261</t>
  </si>
  <si>
    <t>262</t>
  </si>
  <si>
    <r>
      <rPr>
        <sz val="10"/>
        <rFont val="Arial MT"/>
        <family val="2"/>
      </rPr>
      <t>BNU98</t>
    </r>
  </si>
  <si>
    <t>263</t>
  </si>
  <si>
    <t>264</t>
  </si>
  <si>
    <t>265</t>
  </si>
  <si>
    <r>
      <rPr>
        <sz val="10"/>
        <rFont val="Arial MT"/>
        <family val="2"/>
      </rPr>
      <t>BNU99</t>
    </r>
  </si>
  <si>
    <t>266</t>
  </si>
  <si>
    <t>267</t>
  </si>
  <si>
    <t>268</t>
  </si>
  <si>
    <r>
      <rPr>
        <sz val="10"/>
        <rFont val="Arial MT"/>
        <family val="2"/>
      </rPr>
      <t>BNU100</t>
    </r>
  </si>
  <si>
    <t>269</t>
  </si>
  <si>
    <t>270</t>
  </si>
  <si>
    <t>271</t>
  </si>
  <si>
    <r>
      <rPr>
        <sz val="10"/>
        <rFont val="Arial MT"/>
        <family val="2"/>
      </rPr>
      <t>BNU101</t>
    </r>
  </si>
  <si>
    <t>272</t>
  </si>
  <si>
    <t>273</t>
  </si>
  <si>
    <r>
      <rPr>
        <sz val="10"/>
        <rFont val="Arial MT"/>
        <family val="2"/>
      </rPr>
      <t>BNU102</t>
    </r>
  </si>
  <si>
    <t>274</t>
  </si>
  <si>
    <t>275</t>
  </si>
  <si>
    <r>
      <rPr>
        <sz val="10"/>
        <rFont val="Arial MT"/>
        <family val="2"/>
      </rPr>
      <t>BNU103</t>
    </r>
  </si>
  <si>
    <t>276</t>
  </si>
  <si>
    <t>277</t>
  </si>
  <si>
    <r>
      <rPr>
        <sz val="10"/>
        <rFont val="Arial MT"/>
        <family val="2"/>
      </rPr>
      <t>BNU104</t>
    </r>
  </si>
  <si>
    <t>278</t>
  </si>
  <si>
    <t>279</t>
  </si>
  <si>
    <r>
      <rPr>
        <sz val="10"/>
        <rFont val="Arial MT"/>
        <family val="2"/>
      </rPr>
      <t>BNU105</t>
    </r>
  </si>
  <si>
    <t>280</t>
  </si>
  <si>
    <t>281</t>
  </si>
  <si>
    <r>
      <rPr>
        <sz val="10"/>
        <rFont val="Arial MT"/>
        <family val="2"/>
      </rPr>
      <t>BNU106</t>
    </r>
  </si>
  <si>
    <r>
      <rPr>
        <sz val="10"/>
        <rFont val="Arial MT"/>
        <family val="2"/>
      </rPr>
      <t>Oksilia Buulolo, S.S</t>
    </r>
  </si>
  <si>
    <t>282</t>
  </si>
  <si>
    <t>283</t>
  </si>
  <si>
    <t>284</t>
  </si>
  <si>
    <r>
      <rPr>
        <sz val="10"/>
        <rFont val="Arial MT"/>
        <family val="2"/>
      </rPr>
      <t>BNU107</t>
    </r>
  </si>
  <si>
    <r>
      <rPr>
        <sz val="10"/>
        <rFont val="Arial MT"/>
        <family val="2"/>
      </rPr>
      <t>Novika Efdimasari Halawa, S.S.I</t>
    </r>
  </si>
  <si>
    <t>285</t>
  </si>
  <si>
    <t>286</t>
  </si>
  <si>
    <t>287</t>
  </si>
  <si>
    <r>
      <rPr>
        <sz val="10"/>
        <rFont val="Arial MT"/>
        <family val="2"/>
      </rPr>
      <t>BNU108</t>
    </r>
  </si>
  <si>
    <r>
      <rPr>
        <sz val="10"/>
        <rFont val="Arial MT"/>
        <family val="2"/>
      </rPr>
      <t>Zefrianus Zai</t>
    </r>
  </si>
  <si>
    <t>Pegawai Sarana Prasarana</t>
  </si>
  <si>
    <t>288</t>
  </si>
  <si>
    <t>289</t>
  </si>
  <si>
    <t>290</t>
  </si>
  <si>
    <t>291</t>
  </si>
  <si>
    <r>
      <rPr>
        <sz val="10"/>
        <rFont val="Arial MT"/>
        <family val="2"/>
      </rPr>
      <t>Thomas Hondro</t>
    </r>
  </si>
  <si>
    <t>292</t>
  </si>
  <si>
    <t>293</t>
  </si>
  <si>
    <t>294</t>
  </si>
  <si>
    <t>295</t>
  </si>
  <si>
    <t>296</t>
  </si>
  <si>
    <t>297</t>
  </si>
  <si>
    <t>298</t>
  </si>
  <si>
    <t>299</t>
  </si>
  <si>
    <t>Listrik</t>
  </si>
  <si>
    <t>300</t>
  </si>
  <si>
    <t>301</t>
  </si>
  <si>
    <r>
      <rPr>
        <sz val="10"/>
        <rFont val="Arial MT"/>
        <family val="2"/>
      </rPr>
      <t>03.03.02.</t>
    </r>
  </si>
  <si>
    <r>
      <rPr>
        <sz val="10"/>
        <rFont val="Arial MT"/>
        <family val="2"/>
      </rPr>
      <t>Kudapan pada Kegiatan Bimtek Literasi dan Numerasi</t>
    </r>
  </si>
  <si>
    <t>302</t>
  </si>
  <si>
    <r>
      <rPr>
        <sz val="10"/>
        <rFont val="Arial MT"/>
        <family val="2"/>
      </rPr>
      <t>Konsumsi pada Kegiatan Bimtek Literasi dan Numerasi</t>
    </r>
  </si>
  <si>
    <t>303</t>
  </si>
  <si>
    <t>304</t>
  </si>
  <si>
    <t>305</t>
  </si>
  <si>
    <t>306</t>
  </si>
  <si>
    <t>307</t>
  </si>
  <si>
    <t>308</t>
  </si>
  <si>
    <t>309</t>
  </si>
  <si>
    <t>310</t>
  </si>
  <si>
    <t>311</t>
  </si>
  <si>
    <r>
      <rPr>
        <sz val="10"/>
        <rFont val="Arial MT"/>
        <family val="2"/>
      </rPr>
      <t>BNU109</t>
    </r>
  </si>
  <si>
    <t>312</t>
  </si>
  <si>
    <r>
      <rPr>
        <sz val="10"/>
        <rFont val="Arial MT"/>
        <family val="2"/>
      </rPr>
      <t>BNU110</t>
    </r>
  </si>
  <si>
    <t>313</t>
  </si>
  <si>
    <r>
      <rPr>
        <sz val="10"/>
        <rFont val="Arial MT"/>
        <family val="2"/>
      </rPr>
      <t>BNU111</t>
    </r>
  </si>
  <si>
    <t>314</t>
  </si>
  <si>
    <r>
      <rPr>
        <sz val="10"/>
        <rFont val="Arial MT"/>
        <family val="2"/>
      </rPr>
      <t>BNU112</t>
    </r>
  </si>
  <si>
    <t>315</t>
  </si>
  <si>
    <r>
      <rPr>
        <sz val="10"/>
        <rFont val="Arial MT"/>
        <family val="2"/>
      </rPr>
      <t>BNU113</t>
    </r>
  </si>
  <si>
    <t>316</t>
  </si>
  <si>
    <r>
      <rPr>
        <sz val="10"/>
        <rFont val="Arial MT"/>
        <family val="2"/>
      </rPr>
      <t>BNU114</t>
    </r>
  </si>
  <si>
    <t>317</t>
  </si>
  <si>
    <r>
      <rPr>
        <sz val="10"/>
        <rFont val="Arial MT"/>
        <family val="2"/>
      </rPr>
      <t>BNU115</t>
    </r>
  </si>
  <si>
    <t>318</t>
  </si>
  <si>
    <r>
      <rPr>
        <sz val="10"/>
        <rFont val="Arial MT"/>
        <family val="2"/>
      </rPr>
      <t>BNU116</t>
    </r>
  </si>
  <si>
    <t>319</t>
  </si>
  <si>
    <r>
      <rPr>
        <sz val="10"/>
        <rFont val="Arial MT"/>
        <family val="2"/>
      </rPr>
      <t>BNU117</t>
    </r>
  </si>
  <si>
    <t>320</t>
  </si>
  <si>
    <r>
      <rPr>
        <sz val="10"/>
        <rFont val="Arial MT"/>
        <family val="2"/>
      </rPr>
      <t>BNU118</t>
    </r>
  </si>
  <si>
    <t>321</t>
  </si>
  <si>
    <r>
      <rPr>
        <sz val="10"/>
        <rFont val="Arial MT"/>
        <family val="2"/>
      </rPr>
      <t>BNU119</t>
    </r>
  </si>
  <si>
    <t>322</t>
  </si>
  <si>
    <r>
      <rPr>
        <sz val="10"/>
        <rFont val="Arial MT"/>
        <family val="2"/>
      </rPr>
      <t>BNU120</t>
    </r>
  </si>
  <si>
    <t>323</t>
  </si>
  <si>
    <r>
      <rPr>
        <sz val="10"/>
        <rFont val="Arial MT"/>
        <family val="2"/>
      </rPr>
      <t>BNU121</t>
    </r>
  </si>
  <si>
    <t>324</t>
  </si>
  <si>
    <r>
      <rPr>
        <sz val="10"/>
        <rFont val="Arial MT"/>
        <family val="2"/>
      </rPr>
      <t>BNU122</t>
    </r>
  </si>
  <si>
    <t>325</t>
  </si>
  <si>
    <t>326</t>
  </si>
  <si>
    <t>327</t>
  </si>
  <si>
    <r>
      <rPr>
        <sz val="10"/>
        <rFont val="Arial MT"/>
        <family val="2"/>
      </rPr>
      <t>BPU251</t>
    </r>
  </si>
  <si>
    <t>328</t>
  </si>
  <si>
    <r>
      <rPr>
        <sz val="10"/>
        <rFont val="Arial MT"/>
        <family val="2"/>
      </rPr>
      <t>BPU252</t>
    </r>
  </si>
  <si>
    <t>329</t>
  </si>
  <si>
    <r>
      <rPr>
        <sz val="10"/>
        <rFont val="Arial MT"/>
        <family val="2"/>
      </rPr>
      <t>BPU253</t>
    </r>
  </si>
  <si>
    <t>330</t>
  </si>
  <si>
    <r>
      <rPr>
        <sz val="10"/>
        <rFont val="Arial MT"/>
        <family val="2"/>
      </rPr>
      <t>BPU254</t>
    </r>
  </si>
  <si>
    <t>331</t>
  </si>
  <si>
    <r>
      <rPr>
        <sz val="10"/>
        <rFont val="Arial MT"/>
        <family val="2"/>
      </rPr>
      <t>BPU255</t>
    </r>
  </si>
  <si>
    <t>332</t>
  </si>
  <si>
    <r>
      <rPr>
        <sz val="10"/>
        <rFont val="Arial MT"/>
        <family val="2"/>
      </rPr>
      <t>BPU256</t>
    </r>
  </si>
  <si>
    <r>
      <rPr>
        <sz val="10"/>
        <rFont val="Arial MT"/>
        <family val="2"/>
      </rPr>
      <t>03.03.12.</t>
    </r>
  </si>
  <si>
    <r>
      <rPr>
        <sz val="10"/>
        <rFont val="Arial MT"/>
        <family val="2"/>
      </rPr>
      <t>Kudapan pada Kegiatan  Sosialisasi Pencegahan Penyalahgunaan Narkoba, Seks Bebas, dan Pernikahan Dini</t>
    </r>
  </si>
  <si>
    <t>333</t>
  </si>
  <si>
    <r>
      <rPr>
        <sz val="10"/>
        <rFont val="Arial MT"/>
        <family val="2"/>
      </rPr>
      <t>BPU257</t>
    </r>
  </si>
  <si>
    <r>
      <rPr>
        <sz val="10"/>
        <rFont val="Arial MT"/>
        <family val="2"/>
      </rPr>
      <t>Konsumsi pada Kegiatan  Sosialisasi Pencegahan Penyalahgunaan Narkoba, Seks Bebas, dan Pernikahan Dini</t>
    </r>
  </si>
  <si>
    <t>334</t>
  </si>
  <si>
    <r>
      <rPr>
        <sz val="10"/>
        <rFont val="Arial MT"/>
        <family val="2"/>
      </rPr>
      <t>BPU258</t>
    </r>
  </si>
  <si>
    <t>335</t>
  </si>
  <si>
    <r>
      <rPr>
        <sz val="10"/>
        <rFont val="Arial MT"/>
        <family val="2"/>
      </rPr>
      <t>BPU259</t>
    </r>
  </si>
  <si>
    <t>336</t>
  </si>
  <si>
    <r>
      <rPr>
        <sz val="10"/>
        <rFont val="Arial MT"/>
        <family val="2"/>
      </rPr>
      <t>BPU260</t>
    </r>
  </si>
  <si>
    <t>337</t>
  </si>
  <si>
    <r>
      <rPr>
        <sz val="10"/>
        <rFont val="Arial MT"/>
        <family val="2"/>
      </rPr>
      <t>BPU261</t>
    </r>
  </si>
  <si>
    <t>338</t>
  </si>
  <si>
    <r>
      <rPr>
        <sz val="10"/>
        <rFont val="Arial MT"/>
        <family val="2"/>
      </rPr>
      <t>BPU262</t>
    </r>
  </si>
  <si>
    <t>339</t>
  </si>
  <si>
    <r>
      <rPr>
        <sz val="10"/>
        <rFont val="Arial MT"/>
        <family val="2"/>
      </rPr>
      <t>BPU263</t>
    </r>
  </si>
  <si>
    <t>340</t>
  </si>
  <si>
    <r>
      <rPr>
        <sz val="10"/>
        <rFont val="Arial MT"/>
        <family val="2"/>
      </rPr>
      <t>BNU123</t>
    </r>
  </si>
  <si>
    <t>341</t>
  </si>
  <si>
    <r>
      <rPr>
        <sz val="10"/>
        <rFont val="Arial MT"/>
        <family val="2"/>
      </rPr>
      <t>BNU124</t>
    </r>
  </si>
  <si>
    <t>342</t>
  </si>
  <si>
    <r>
      <rPr>
        <sz val="10"/>
        <rFont val="Arial MT"/>
        <family val="2"/>
      </rPr>
      <t>BNU125</t>
    </r>
  </si>
  <si>
    <t>343</t>
  </si>
  <si>
    <r>
      <rPr>
        <sz val="10"/>
        <rFont val="Arial MT"/>
        <family val="2"/>
      </rPr>
      <t>BNU126</t>
    </r>
  </si>
  <si>
    <t>344</t>
  </si>
  <si>
    <r>
      <rPr>
        <sz val="10"/>
        <rFont val="Arial MT"/>
        <family val="2"/>
      </rPr>
      <t>BNU127</t>
    </r>
  </si>
  <si>
    <t>345</t>
  </si>
  <si>
    <r>
      <rPr>
        <sz val="10"/>
        <rFont val="Arial MT"/>
        <family val="2"/>
      </rPr>
      <t>BNU128</t>
    </r>
  </si>
  <si>
    <t>346</t>
  </si>
  <si>
    <r>
      <rPr>
        <sz val="10"/>
        <rFont val="Arial MT"/>
        <family val="2"/>
      </rPr>
      <t>BNU129</t>
    </r>
  </si>
  <si>
    <t>347</t>
  </si>
  <si>
    <r>
      <rPr>
        <sz val="10"/>
        <rFont val="Arial MT"/>
        <family val="2"/>
      </rPr>
      <t>BNU130</t>
    </r>
  </si>
  <si>
    <t>348</t>
  </si>
  <si>
    <r>
      <rPr>
        <sz val="10"/>
        <rFont val="Arial MT"/>
        <family val="2"/>
      </rPr>
      <t>BNU131</t>
    </r>
  </si>
  <si>
    <t>349</t>
  </si>
  <si>
    <r>
      <rPr>
        <sz val="10"/>
        <rFont val="Arial MT"/>
        <family val="2"/>
      </rPr>
      <t>BNU132</t>
    </r>
  </si>
  <si>
    <t>350</t>
  </si>
  <si>
    <r>
      <rPr>
        <sz val="10"/>
        <rFont val="Arial MT"/>
        <family val="2"/>
      </rPr>
      <t>BNU133</t>
    </r>
  </si>
  <si>
    <t>351</t>
  </si>
  <si>
    <r>
      <rPr>
        <sz val="10"/>
        <rFont val="Arial MT"/>
        <family val="2"/>
      </rPr>
      <t>BNU134</t>
    </r>
  </si>
  <si>
    <t>352</t>
  </si>
  <si>
    <r>
      <rPr>
        <sz val="10"/>
        <rFont val="Arial MT"/>
        <family val="2"/>
      </rPr>
      <t>BNU135</t>
    </r>
  </si>
  <si>
    <t>353</t>
  </si>
  <si>
    <r>
      <rPr>
        <sz val="10"/>
        <rFont val="Arial MT"/>
        <family val="2"/>
      </rPr>
      <t>BNU136</t>
    </r>
  </si>
  <si>
    <t>354</t>
  </si>
  <si>
    <r>
      <rPr>
        <sz val="10"/>
        <rFont val="Arial MT"/>
        <family val="2"/>
      </rPr>
      <t>BPU264</t>
    </r>
  </si>
  <si>
    <t>355</t>
  </si>
  <si>
    <r>
      <rPr>
        <sz val="10"/>
        <rFont val="Arial MT"/>
        <family val="2"/>
      </rPr>
      <t>BPU265</t>
    </r>
  </si>
  <si>
    <t>356</t>
  </si>
  <si>
    <r>
      <rPr>
        <sz val="10"/>
        <rFont val="Arial MT"/>
        <family val="2"/>
      </rPr>
      <t>BPU266</t>
    </r>
  </si>
  <si>
    <t>357</t>
  </si>
  <si>
    <r>
      <rPr>
        <sz val="10"/>
        <rFont val="Arial MT"/>
        <family val="2"/>
      </rPr>
      <t>BPU267</t>
    </r>
  </si>
  <si>
    <t>358</t>
  </si>
  <si>
    <r>
      <rPr>
        <sz val="10"/>
        <rFont val="Arial MT"/>
        <family val="2"/>
      </rPr>
      <t>BPU278</t>
    </r>
  </si>
  <si>
    <t>359</t>
  </si>
  <si>
    <r>
      <rPr>
        <sz val="10"/>
        <rFont val="Arial MT"/>
        <family val="2"/>
      </rPr>
      <t>BPU279</t>
    </r>
  </si>
  <si>
    <t>360</t>
  </si>
  <si>
    <r>
      <rPr>
        <sz val="10"/>
        <rFont val="Arial MT"/>
        <family val="2"/>
      </rPr>
      <t>BPU280</t>
    </r>
  </si>
  <si>
    <t>361</t>
  </si>
  <si>
    <r>
      <rPr>
        <sz val="10"/>
        <rFont val="Arial MT"/>
        <family val="2"/>
      </rPr>
      <t>BPU281</t>
    </r>
  </si>
  <si>
    <t>362</t>
  </si>
  <si>
    <r>
      <rPr>
        <sz val="10"/>
        <rFont val="Arial MT"/>
        <family val="2"/>
      </rPr>
      <t>BPU282</t>
    </r>
  </si>
  <si>
    <t>363</t>
  </si>
  <si>
    <r>
      <rPr>
        <sz val="10"/>
        <rFont val="Arial MT"/>
        <family val="2"/>
      </rPr>
      <t>BPU283</t>
    </r>
  </si>
  <si>
    <t>364</t>
  </si>
  <si>
    <r>
      <rPr>
        <sz val="10"/>
        <rFont val="Arial MT"/>
        <family val="2"/>
      </rPr>
      <t>BPU284</t>
    </r>
  </si>
  <si>
    <t>365</t>
  </si>
  <si>
    <r>
      <rPr>
        <sz val="10"/>
        <rFont val="Arial MT"/>
        <family val="2"/>
      </rPr>
      <t>BPU285</t>
    </r>
  </si>
  <si>
    <t>366</t>
  </si>
  <si>
    <r>
      <rPr>
        <sz val="10"/>
        <rFont val="Arial MT"/>
        <family val="2"/>
      </rPr>
      <t>BPU286</t>
    </r>
  </si>
  <si>
    <t>367</t>
  </si>
  <si>
    <r>
      <rPr>
        <sz val="10"/>
        <rFont val="Arial MT"/>
        <family val="2"/>
      </rPr>
      <t>BPU287</t>
    </r>
  </si>
  <si>
    <t>368</t>
  </si>
  <si>
    <r>
      <rPr>
        <sz val="10"/>
        <rFont val="Arial MT"/>
        <family val="2"/>
      </rPr>
      <t>BPU288</t>
    </r>
  </si>
  <si>
    <t>369</t>
  </si>
  <si>
    <r>
      <rPr>
        <sz val="10"/>
        <rFont val="Arial MT"/>
        <family val="2"/>
      </rPr>
      <t>BPU289</t>
    </r>
  </si>
  <si>
    <t>370</t>
  </si>
  <si>
    <r>
      <rPr>
        <sz val="10"/>
        <rFont val="Arial MT"/>
        <family val="2"/>
      </rPr>
      <t>BPU290</t>
    </r>
  </si>
  <si>
    <r>
      <rPr>
        <sz val="10"/>
        <rFont val="Arial MT"/>
        <family val="2"/>
      </rPr>
      <t>Kudapan pada kegiatan Penyusunan dan Pelaporan RKAS</t>
    </r>
  </si>
  <si>
    <t>371</t>
  </si>
  <si>
    <r>
      <rPr>
        <sz val="10"/>
        <rFont val="Arial MT"/>
        <family val="2"/>
      </rPr>
      <t>BPU291</t>
    </r>
  </si>
  <si>
    <r>
      <rPr>
        <sz val="10"/>
        <rFont val="Arial MT"/>
        <family val="2"/>
      </rPr>
      <t>Konsumsi pada kegiatan Penyusunan dan Pelaporan RKAS</t>
    </r>
  </si>
  <si>
    <t>372</t>
  </si>
  <si>
    <r>
      <rPr>
        <sz val="10"/>
        <rFont val="Arial MT"/>
        <family val="2"/>
      </rPr>
      <t>BPU292</t>
    </r>
  </si>
  <si>
    <t>373</t>
  </si>
  <si>
    <r>
      <rPr>
        <sz val="10"/>
        <rFont val="Arial MT"/>
        <family val="2"/>
      </rPr>
      <t>BNU137</t>
    </r>
  </si>
  <si>
    <t>374</t>
  </si>
  <si>
    <r>
      <rPr>
        <sz val="10"/>
        <rFont val="Arial MT"/>
        <family val="2"/>
      </rPr>
      <t>BNU138</t>
    </r>
  </si>
  <si>
    <t>375</t>
  </si>
  <si>
    <r>
      <rPr>
        <sz val="10"/>
        <rFont val="Arial MT"/>
        <family val="2"/>
      </rPr>
      <t>BNU139</t>
    </r>
  </si>
  <si>
    <t>376</t>
  </si>
  <si>
    <r>
      <rPr>
        <sz val="10"/>
        <rFont val="Arial MT"/>
        <family val="2"/>
      </rPr>
      <t>BNU140</t>
    </r>
  </si>
  <si>
    <t>377</t>
  </si>
  <si>
    <r>
      <rPr>
        <sz val="10"/>
        <rFont val="Arial MT"/>
        <family val="2"/>
      </rPr>
      <t>BNU141</t>
    </r>
  </si>
  <si>
    <t>378</t>
  </si>
  <si>
    <r>
      <rPr>
        <sz val="10"/>
        <rFont val="Arial MT"/>
        <family val="2"/>
      </rPr>
      <t>BNU142</t>
    </r>
  </si>
  <si>
    <t>379</t>
  </si>
  <si>
    <r>
      <rPr>
        <sz val="10"/>
        <rFont val="Arial MT"/>
        <family val="2"/>
      </rPr>
      <t>BNU143</t>
    </r>
  </si>
  <si>
    <t>380</t>
  </si>
  <si>
    <r>
      <rPr>
        <sz val="10"/>
        <rFont val="Arial MT"/>
        <family val="2"/>
      </rPr>
      <t>BNU144</t>
    </r>
  </si>
  <si>
    <t>381</t>
  </si>
  <si>
    <r>
      <rPr>
        <sz val="10"/>
        <rFont val="Arial MT"/>
        <family val="2"/>
      </rPr>
      <t>BNU145</t>
    </r>
  </si>
  <si>
    <t>382</t>
  </si>
  <si>
    <r>
      <rPr>
        <sz val="10"/>
        <rFont val="Arial MT"/>
        <family val="2"/>
      </rPr>
      <t>BNU146</t>
    </r>
  </si>
  <si>
    <t>383</t>
  </si>
  <si>
    <r>
      <rPr>
        <sz val="10"/>
        <rFont val="Arial MT"/>
        <family val="2"/>
      </rPr>
      <t>BNU147</t>
    </r>
  </si>
  <si>
    <t>384</t>
  </si>
  <si>
    <r>
      <rPr>
        <sz val="10"/>
        <rFont val="Arial MT"/>
        <family val="2"/>
      </rPr>
      <t>BNU148</t>
    </r>
  </si>
  <si>
    <t>385</t>
  </si>
  <si>
    <r>
      <rPr>
        <sz val="10"/>
        <rFont val="Arial MT"/>
        <family val="2"/>
      </rPr>
      <t>BNU149</t>
    </r>
  </si>
  <si>
    <t>386</t>
  </si>
  <si>
    <r>
      <rPr>
        <sz val="10"/>
        <rFont val="Arial MT"/>
        <family val="2"/>
      </rPr>
      <t>BNU150</t>
    </r>
  </si>
  <si>
    <t>387</t>
  </si>
  <si>
    <r>
      <rPr>
        <sz val="10"/>
        <rFont val="Arial MT"/>
        <family val="2"/>
      </rPr>
      <t>BPU293</t>
    </r>
  </si>
  <si>
    <t>388</t>
  </si>
  <si>
    <r>
      <rPr>
        <sz val="10"/>
        <rFont val="Arial MT"/>
        <family val="2"/>
      </rPr>
      <t>BPU294</t>
    </r>
  </si>
  <si>
    <t>389</t>
  </si>
  <si>
    <r>
      <rPr>
        <sz val="10"/>
        <rFont val="Arial MT"/>
        <family val="2"/>
      </rPr>
      <t>BPU295</t>
    </r>
  </si>
  <si>
    <t>390</t>
  </si>
  <si>
    <r>
      <rPr>
        <sz val="10"/>
        <rFont val="Arial MT"/>
        <family val="2"/>
      </rPr>
      <t>BPU296</t>
    </r>
  </si>
  <si>
    <t>391</t>
  </si>
  <si>
    <r>
      <rPr>
        <sz val="10"/>
        <rFont val="Arial MT"/>
        <family val="2"/>
      </rPr>
      <t>BPU297</t>
    </r>
  </si>
  <si>
    <t>kotak</t>
  </si>
  <si>
    <t>buah</t>
  </si>
  <si>
    <t>lusin</t>
  </si>
  <si>
    <t>bungkus</t>
  </si>
  <si>
    <t>pasang</t>
  </si>
  <si>
    <t>botol</t>
  </si>
  <si>
    <t>lembar</t>
  </si>
  <si>
    <t>rim</t>
  </si>
  <si>
    <t>pak</t>
  </si>
  <si>
    <t>unit</t>
  </si>
  <si>
    <t>dus</t>
  </si>
  <si>
    <t>bulan</t>
  </si>
  <si>
    <t>jpl</t>
  </si>
  <si>
    <t>hari</t>
  </si>
  <si>
    <t>m3</t>
  </si>
  <si>
    <t>paket</t>
  </si>
  <si>
    <t>orang</t>
  </si>
  <si>
    <t>rol</t>
  </si>
  <si>
    <t>Apotik Anugrah</t>
  </si>
  <si>
    <t>Indihome</t>
  </si>
  <si>
    <t>Biaya Langganan Internet--</t>
  </si>
  <si>
    <t>Gestiwan Zebua</t>
  </si>
  <si>
    <t>Jl. Jend A. Yani Kelurahan Pasar Telukdalam - Nias Selatan</t>
  </si>
  <si>
    <t>Balai Persekutuan BKPN</t>
  </si>
  <si>
    <t>GBI Jl. Baru Telukdalam</t>
  </si>
  <si>
    <t>Pdt. GBI</t>
  </si>
  <si>
    <t>Gedung Gereja</t>
  </si>
  <si>
    <t>Jalan Baru Kel. Pasar Telukdalam</t>
  </si>
  <si>
    <t>PPN 11%</t>
  </si>
  <si>
    <t>Jl. Saonigeho Km. 1  Kel. Pasar Telukdalam - Nias Selatan</t>
  </si>
  <si>
    <t>CV. Marusaha Jaya Badiri</t>
  </si>
  <si>
    <t>BPU01</t>
  </si>
  <si>
    <t>Plastik Mika</t>
  </si>
  <si>
    <t>Lakban Bening</t>
  </si>
  <si>
    <t>BPU02</t>
  </si>
  <si>
    <t>Spon Cuci</t>
  </si>
  <si>
    <t>BPU03</t>
  </si>
  <si>
    <t>BPU04</t>
  </si>
  <si>
    <t>BPU05</t>
  </si>
  <si>
    <t>BPU06</t>
  </si>
  <si>
    <t>02.06.01.</t>
  </si>
  <si>
    <t>BPU07</t>
  </si>
  <si>
    <t>BPU08</t>
  </si>
  <si>
    <t>BPU09</t>
  </si>
  <si>
    <t>BPU10</t>
  </si>
  <si>
    <t>BPU11</t>
  </si>
  <si>
    <t>BPU12</t>
  </si>
  <si>
    <t>05.05.02.</t>
  </si>
  <si>
    <t>BPU13</t>
  </si>
  <si>
    <t>BPU14</t>
  </si>
  <si>
    <t>BPU15</t>
  </si>
  <si>
    <t>BPU16</t>
  </si>
  <si>
    <t>BPU17</t>
  </si>
  <si>
    <t>BPU18</t>
  </si>
  <si>
    <t>BPU19</t>
  </si>
  <si>
    <t>BPU20</t>
  </si>
  <si>
    <t>BPU21</t>
  </si>
  <si>
    <t>BPU22</t>
  </si>
  <si>
    <t>Foto Copy Filio dan Kuarto</t>
  </si>
  <si>
    <t>BNU03</t>
  </si>
  <si>
    <t>BNU04</t>
  </si>
  <si>
    <t>BNU05</t>
  </si>
  <si>
    <t>BNU06</t>
  </si>
  <si>
    <t>BNU07</t>
  </si>
  <si>
    <t>BNU08</t>
  </si>
  <si>
    <t>BNU09</t>
  </si>
  <si>
    <t>BNU10</t>
  </si>
  <si>
    <t>BNU11</t>
  </si>
  <si>
    <t>BNU12</t>
  </si>
  <si>
    <t>BNU13</t>
  </si>
  <si>
    <t>BNU14</t>
  </si>
  <si>
    <t>BPU23</t>
  </si>
  <si>
    <t>BPU24</t>
  </si>
  <si>
    <t>BPU25</t>
  </si>
  <si>
    <t>BNU15</t>
  </si>
  <si>
    <t>BNU16</t>
  </si>
  <si>
    <t>BNU17</t>
  </si>
  <si>
    <t>BNU18</t>
  </si>
  <si>
    <t>BNU19</t>
  </si>
  <si>
    <t>BNU20</t>
  </si>
  <si>
    <t>BNU21</t>
  </si>
  <si>
    <t>BNU22</t>
  </si>
  <si>
    <t>BPU26</t>
  </si>
  <si>
    <t>BPU27</t>
  </si>
  <si>
    <t>BPU28</t>
  </si>
  <si>
    <t>BPU29</t>
  </si>
  <si>
    <t>BPU30</t>
  </si>
  <si>
    <t>BPU31</t>
  </si>
  <si>
    <t>BPU32</t>
  </si>
  <si>
    <t>BPU33</t>
  </si>
  <si>
    <t>BPU34</t>
  </si>
  <si>
    <t>BPU35</t>
  </si>
  <si>
    <t>BNU23</t>
  </si>
  <si>
    <t>BNU24</t>
  </si>
  <si>
    <t>BNU25</t>
  </si>
  <si>
    <t>BNU26</t>
  </si>
  <si>
    <t>BNU27</t>
  </si>
  <si>
    <t>BNU28</t>
  </si>
  <si>
    <t>BNU29</t>
  </si>
  <si>
    <t>BNU30</t>
  </si>
  <si>
    <t>BNU31</t>
  </si>
  <si>
    <t>BNU32</t>
  </si>
  <si>
    <t>BNU33</t>
  </si>
  <si>
    <t>BNU34</t>
  </si>
  <si>
    <t>BPU36</t>
  </si>
  <si>
    <t>BPU37</t>
  </si>
  <si>
    <t>BPU38</t>
  </si>
  <si>
    <t>BPU39</t>
  </si>
  <si>
    <t>BPU40</t>
  </si>
  <si>
    <t>BPU42</t>
  </si>
  <si>
    <t>BPU43</t>
  </si>
  <si>
    <t>BNU35</t>
  </si>
  <si>
    <t>BNU36</t>
  </si>
  <si>
    <t>BNU37</t>
  </si>
  <si>
    <t>BPU44</t>
  </si>
  <si>
    <t>BPU45</t>
  </si>
  <si>
    <t>BPU46</t>
  </si>
  <si>
    <t>BPU47</t>
  </si>
  <si>
    <t>BPU48</t>
  </si>
  <si>
    <t>BNU50</t>
  </si>
  <si>
    <t>BNU38</t>
  </si>
  <si>
    <t>BNU39</t>
  </si>
  <si>
    <t>BNU40</t>
  </si>
  <si>
    <t>BNU41</t>
  </si>
  <si>
    <t>BNU42</t>
  </si>
  <si>
    <t>BNU43</t>
  </si>
  <si>
    <t>BNU44</t>
  </si>
  <si>
    <t>BNU45</t>
  </si>
  <si>
    <t>BNU46</t>
  </si>
  <si>
    <t>BNU47</t>
  </si>
  <si>
    <t>BNU48</t>
  </si>
  <si>
    <t>BNU49</t>
  </si>
  <si>
    <t>BPU49</t>
  </si>
  <si>
    <t>BPU50</t>
  </si>
  <si>
    <t>BPU51</t>
  </si>
  <si>
    <t>BPU52</t>
  </si>
  <si>
    <t>BPU53</t>
  </si>
  <si>
    <t>BPU54</t>
  </si>
  <si>
    <t>BNU51</t>
  </si>
  <si>
    <t>BNU52</t>
  </si>
  <si>
    <t>BNU53</t>
  </si>
  <si>
    <t>BNU54</t>
  </si>
  <si>
    <t>BNU55</t>
  </si>
  <si>
    <t>No Pesanan</t>
  </si>
  <si>
    <t>Kepada Yth.</t>
  </si>
  <si>
    <t>Cq. Penanggungjawab Kegiatan</t>
  </si>
  <si>
    <t xml:space="preserve">di </t>
  </si>
  <si>
    <t>Tempat</t>
  </si>
  <si>
    <t>Perihal</t>
  </si>
  <si>
    <t>Dengan hormat,</t>
  </si>
  <si>
    <t>DAFTAR KUANTITAS DAN HARGA</t>
  </si>
  <si>
    <t xml:space="preserve">Terbilang : </t>
  </si>
  <si>
    <t xml:space="preserve"> </t>
  </si>
  <si>
    <t>Pesanan</t>
  </si>
  <si>
    <t>NIS : 300010         NPSN : 10258246        Terakreditasi A           NSS: 301071701001</t>
  </si>
  <si>
    <t>Cetak Terakhir</t>
  </si>
  <si>
    <t>Materai</t>
  </si>
  <si>
    <t>Lebih dari 6</t>
  </si>
  <si>
    <t>FLS2N</t>
  </si>
  <si>
    <t>100-105</t>
  </si>
  <si>
    <t>Pembersih</t>
  </si>
  <si>
    <t>Servis Proyektor Kosong</t>
  </si>
  <si>
    <t>DINAS PENDIDIKAN</t>
  </si>
  <si>
    <t>CABDIS PENDIDIKAN WILAYAH XIV</t>
  </si>
  <si>
    <r>
      <rPr>
        <b/>
        <sz val="10"/>
        <rFont val="Arial"/>
        <family val="2"/>
      </rPr>
      <t>No. Urut</t>
    </r>
  </si>
  <si>
    <r>
      <rPr>
        <b/>
        <sz val="10"/>
        <rFont val="Arial Narrow"/>
        <family val="2"/>
      </rPr>
      <t>Kode Rekening</t>
    </r>
  </si>
  <si>
    <r>
      <rPr>
        <b/>
        <sz val="10"/>
        <rFont val="Arial Narrow"/>
        <family val="2"/>
      </rPr>
      <t>Kode Program</t>
    </r>
  </si>
  <si>
    <t>Tgl Perencanaan</t>
  </si>
  <si>
    <t>Tgl Pesan</t>
  </si>
  <si>
    <t>No Pesan</t>
  </si>
  <si>
    <t>Tgl BAST</t>
  </si>
  <si>
    <t>Tgl Bayar</t>
  </si>
  <si>
    <r>
      <rPr>
        <b/>
        <sz val="10"/>
        <rFont val="Arial"/>
        <family val="2"/>
      </rPr>
      <t>Uraian</t>
    </r>
  </si>
  <si>
    <r>
      <rPr>
        <b/>
        <sz val="10"/>
        <rFont val="Arial"/>
        <family val="2"/>
      </rPr>
      <t>Rincian Perhitungan</t>
    </r>
  </si>
  <si>
    <r>
      <rPr>
        <b/>
        <sz val="10"/>
        <rFont val="Arial"/>
        <family val="2"/>
      </rPr>
      <t>Jumlah</t>
    </r>
  </si>
  <si>
    <t>Realisasi</t>
  </si>
  <si>
    <t>Toko/orang</t>
  </si>
  <si>
    <t>Masuk BKU</t>
  </si>
  <si>
    <r>
      <rPr>
        <b/>
        <sz val="10"/>
        <rFont val="Arial"/>
        <family val="2"/>
      </rPr>
      <t>Volume</t>
    </r>
  </si>
  <si>
    <r>
      <rPr>
        <b/>
        <sz val="10"/>
        <rFont val="Arial"/>
        <family val="2"/>
      </rPr>
      <t>Satuan</t>
    </r>
  </si>
  <si>
    <r>
      <rPr>
        <b/>
        <sz val="9"/>
        <rFont val="Arial"/>
        <family val="2"/>
      </rPr>
      <t>Tarif Harga</t>
    </r>
  </si>
  <si>
    <r>
      <rPr>
        <sz val="10"/>
        <rFont val="Arial Narrow"/>
        <family val="2"/>
      </rPr>
      <t>5.1.02.01.01.0052</t>
    </r>
  </si>
  <si>
    <t>06/01/2025</t>
  </si>
  <si>
    <t>23/01/2025</t>
  </si>
  <si>
    <r>
      <rPr>
        <sz val="10"/>
        <rFont val="Arial"/>
        <family val="2"/>
      </rPr>
      <t>Air Mineral pada pelaksanaan kegiatan bulanan Gerakan Bersih Lingkungan Sekolah</t>
    </r>
  </si>
  <si>
    <r>
      <rPr>
        <sz val="10"/>
        <rFont val="Arial"/>
        <family val="2"/>
      </rPr>
      <t>dus</t>
    </r>
  </si>
  <si>
    <t>MASUK BKU</t>
  </si>
  <si>
    <r>
      <rPr>
        <sz val="10"/>
        <rFont val="Arial Narrow"/>
        <family val="2"/>
      </rPr>
      <t>5.1.02.01.01.0012</t>
    </r>
  </si>
  <si>
    <r>
      <rPr>
        <sz val="10"/>
        <rFont val="Arial"/>
        <family val="2"/>
      </rPr>
      <t>05. 08. 01.</t>
    </r>
  </si>
  <si>
    <t>07/01/2025</t>
  </si>
  <si>
    <r>
      <rPr>
        <sz val="10"/>
        <rFont val="Arial"/>
        <family val="2"/>
      </rPr>
      <t>Perbaikan dan Pengaspalan Jalan Sekolah</t>
    </r>
  </si>
  <si>
    <r>
      <rPr>
        <sz val="10"/>
        <rFont val="Arial"/>
        <family val="2"/>
      </rPr>
      <t>kegiatan</t>
    </r>
  </si>
  <si>
    <r>
      <rPr>
        <sz val="10"/>
        <rFont val="Arial Narrow"/>
        <family val="2"/>
      </rPr>
      <t>5.1.02.01.01.0031</t>
    </r>
  </si>
  <si>
    <r>
      <rPr>
        <sz val="10"/>
        <rFont val="Arial"/>
        <family val="2"/>
      </rPr>
      <t>05. 08. 10.</t>
    </r>
  </si>
  <si>
    <r>
      <rPr>
        <sz val="10"/>
        <rFont val="Arial"/>
        <family val="2"/>
      </rPr>
      <t>bola lampu hannock-45 watt</t>
    </r>
  </si>
  <si>
    <r>
      <rPr>
        <sz val="10"/>
        <rFont val="Arial"/>
        <family val="2"/>
      </rPr>
      <t>buah</t>
    </r>
  </si>
  <si>
    <r>
      <rPr>
        <sz val="10"/>
        <rFont val="Arial Narrow"/>
        <family val="2"/>
      </rPr>
      <t>5.1.02.01.01.0024</t>
    </r>
  </si>
  <si>
    <r>
      <rPr>
        <sz val="10"/>
        <rFont val="Arial"/>
        <family val="2"/>
      </rPr>
      <t>06. 05. 08.</t>
    </r>
  </si>
  <si>
    <r>
      <rPr>
        <sz val="10"/>
        <rFont val="Arial"/>
        <family val="2"/>
      </rPr>
      <t>Plastik Mika</t>
    </r>
  </si>
  <si>
    <r>
      <rPr>
        <sz val="10"/>
        <rFont val="Arial"/>
        <family val="2"/>
      </rPr>
      <t>bungkus</t>
    </r>
  </si>
  <si>
    <r>
      <rPr>
        <sz val="10"/>
        <rFont val="Arial"/>
        <family val="2"/>
      </rPr>
      <t>Kertas Warna Blank Folio, Ukuran : 8,5 x 14",  70 gram</t>
    </r>
  </si>
  <si>
    <r>
      <rPr>
        <sz val="10"/>
        <rFont val="Arial"/>
        <family val="2"/>
      </rPr>
      <t>rim</t>
    </r>
  </si>
  <si>
    <r>
      <rPr>
        <sz val="10"/>
        <rFont val="Arial"/>
        <family val="2"/>
      </rPr>
      <t>Kertas Lain-Lain Kertas Buffalo</t>
    </r>
  </si>
  <si>
    <r>
      <rPr>
        <sz val="10"/>
        <rFont val="Arial"/>
        <family val="2"/>
      </rPr>
      <t>Kertas Post-It Warna Warni  Sign Here</t>
    </r>
  </si>
  <si>
    <r>
      <rPr>
        <sz val="10"/>
        <rFont val="Arial"/>
        <family val="2"/>
      </rPr>
      <t>Kertas HVS 60 gram Merk : Paper One HVS F4 uk. 8.27"x11.69"</t>
    </r>
  </si>
  <si>
    <r>
      <rPr>
        <sz val="10"/>
        <rFont val="Arial"/>
        <family val="2"/>
      </rPr>
      <t>Kertas HVS 80 gram Merk : Paper One A4, Ukuran : 8,27" x 11,69", Isi : 500 lembar</t>
    </r>
  </si>
  <si>
    <r>
      <rPr>
        <sz val="10"/>
        <rFont val="Arial"/>
        <family val="2"/>
      </rPr>
      <t>Kertas StensiI</t>
    </r>
  </si>
  <si>
    <r>
      <rPr>
        <sz val="10"/>
        <rFont val="Arial"/>
        <family val="2"/>
      </rPr>
      <t>Kertas Label</t>
    </r>
  </si>
  <si>
    <r>
      <rPr>
        <sz val="10"/>
        <rFont val="Arial"/>
        <family val="2"/>
      </rPr>
      <t>lembar</t>
    </r>
  </si>
  <si>
    <r>
      <rPr>
        <sz val="10"/>
        <rFont val="Arial"/>
        <family val="2"/>
      </rPr>
      <t>Amplop Coklat Merk : GSU Ukuran : 1/2 folio, bergaris</t>
    </r>
  </si>
  <si>
    <r>
      <rPr>
        <sz val="10"/>
        <rFont val="Arial"/>
        <family val="2"/>
      </rPr>
      <t>Amplop Coklat Merk : Garda Ukuran Cabinet</t>
    </r>
  </si>
  <si>
    <r>
      <rPr>
        <sz val="10"/>
        <rFont val="Arial"/>
        <family val="2"/>
      </rPr>
      <t>Amplop Coklat Merk : GSU Ukuran Folio polos</t>
    </r>
  </si>
  <si>
    <r>
      <rPr>
        <sz val="10"/>
        <rFont val="Arial"/>
        <family val="2"/>
      </rPr>
      <t>Amplop Panjang Putih Polos Merk : Jaya Ukuran : 11 x 23 cm</t>
    </r>
  </si>
  <si>
    <r>
      <rPr>
        <sz val="10"/>
        <rFont val="Arial"/>
        <family val="2"/>
      </rPr>
      <t>kotak</t>
    </r>
  </si>
  <si>
    <r>
      <rPr>
        <sz val="10"/>
        <rFont val="Arial"/>
        <family val="2"/>
      </rPr>
      <t>Ballpoint Boldiner Standar</t>
    </r>
  </si>
  <si>
    <r>
      <rPr>
        <sz val="10"/>
        <rFont val="Arial"/>
        <family val="2"/>
      </rPr>
      <t>lusin</t>
    </r>
  </si>
  <si>
    <r>
      <rPr>
        <sz val="10"/>
        <rFont val="Arial"/>
        <family val="2"/>
      </rPr>
      <t>Ballpoint Drawing Pen 0,1 Snowman</t>
    </r>
  </si>
  <si>
    <r>
      <rPr>
        <sz val="10"/>
        <rFont val="Arial"/>
        <family val="2"/>
      </rPr>
      <t>Ballpoint Standard AE7</t>
    </r>
  </si>
  <si>
    <r>
      <rPr>
        <sz val="10"/>
        <rFont val="Arial"/>
        <family val="2"/>
      </rPr>
      <t>Ballpoint Pilot G2</t>
    </r>
  </si>
  <si>
    <r>
      <rPr>
        <sz val="10"/>
        <rFont val="Arial"/>
        <family val="2"/>
      </rPr>
      <t>Binder Klip  nomor 107</t>
    </r>
  </si>
  <si>
    <r>
      <rPr>
        <sz val="10"/>
        <rFont val="Arial"/>
        <family val="2"/>
      </rPr>
      <t>Binder Klip  nomor 111</t>
    </r>
  </si>
  <si>
    <r>
      <rPr>
        <sz val="10"/>
        <rFont val="Arial"/>
        <family val="2"/>
      </rPr>
      <t>Binder Klip  nomor 200</t>
    </r>
  </si>
  <si>
    <r>
      <rPr>
        <sz val="10"/>
        <rFont val="Arial"/>
        <family val="2"/>
      </rPr>
      <t>Binder Klip  nomor 260</t>
    </r>
  </si>
  <si>
    <r>
      <rPr>
        <sz val="10"/>
        <rFont val="Arial"/>
        <family val="2"/>
      </rPr>
      <t>Binder Klip Merk : KENKO nomor 105</t>
    </r>
  </si>
  <si>
    <r>
      <rPr>
        <sz val="10"/>
        <rFont val="Arial"/>
        <family val="2"/>
      </rPr>
      <t>Map Binder</t>
    </r>
  </si>
  <si>
    <r>
      <rPr>
        <sz val="10"/>
        <rFont val="Arial"/>
        <family val="2"/>
      </rPr>
      <t>Stofmap Kertas</t>
    </r>
  </si>
  <si>
    <r>
      <rPr>
        <sz val="10"/>
        <rFont val="Arial"/>
        <family val="2"/>
      </rPr>
      <t>pak</t>
    </r>
  </si>
  <si>
    <r>
      <rPr>
        <sz val="10"/>
        <rFont val="Arial"/>
        <family val="2"/>
      </rPr>
      <t>Stofmap Transparan tali</t>
    </r>
  </si>
  <si>
    <r>
      <rPr>
        <sz val="10"/>
        <rFont val="Arial"/>
        <family val="2"/>
      </rPr>
      <t>Stofmap Transparan</t>
    </r>
  </si>
  <si>
    <r>
      <rPr>
        <sz val="10"/>
        <rFont val="Arial"/>
        <family val="2"/>
      </rPr>
      <t>Binder Klip Ordner</t>
    </r>
  </si>
  <si>
    <r>
      <rPr>
        <sz val="10"/>
        <rFont val="Arial"/>
        <family val="2"/>
      </rPr>
      <t>Box File Merk : Bantex Ukuran : 115x270x325 mm</t>
    </r>
  </si>
  <si>
    <r>
      <rPr>
        <sz val="10"/>
        <rFont val="Arial"/>
        <family val="2"/>
      </rPr>
      <t>Sampul Plastik</t>
    </r>
  </si>
  <si>
    <r>
      <rPr>
        <sz val="10"/>
        <rFont val="Arial"/>
        <family val="2"/>
      </rPr>
      <t>Tinta Printer Canon 740 Hitam-740 Hitam</t>
    </r>
  </si>
  <si>
    <r>
      <rPr>
        <sz val="10"/>
        <rFont val="Arial"/>
        <family val="2"/>
      </rPr>
      <t>botol</t>
    </r>
  </si>
  <si>
    <r>
      <rPr>
        <sz val="10"/>
        <rFont val="Arial"/>
        <family val="2"/>
      </rPr>
      <t>Tinta Printer Canon 741 Warna-741 Warna</t>
    </r>
  </si>
  <si>
    <r>
      <rPr>
        <sz val="10"/>
        <rFont val="Arial"/>
        <family val="2"/>
      </rPr>
      <t>C. Tinta Printer EPSON Toner Epson 664 Black</t>
    </r>
  </si>
  <si>
    <r>
      <rPr>
        <sz val="10"/>
        <rFont val="Arial"/>
        <family val="2"/>
      </rPr>
      <t>C. Tinta Printer EPSON Tinta Printer Epson Yellow</t>
    </r>
  </si>
  <si>
    <r>
      <rPr>
        <sz val="10"/>
        <rFont val="Arial"/>
        <family val="2"/>
      </rPr>
      <t>C. Tinta Printer EPSON Tinta Printer Epson Blue</t>
    </r>
  </si>
  <si>
    <r>
      <rPr>
        <sz val="10"/>
        <rFont val="Arial"/>
        <family val="2"/>
      </rPr>
      <t>C. Tinta Printer EPSON Tinta Printer Epson Read</t>
    </r>
  </si>
  <si>
    <r>
      <rPr>
        <sz val="10"/>
        <rFont val="Arial"/>
        <family val="2"/>
      </rPr>
      <t>canon catridge 741-catridge 741</t>
    </r>
  </si>
  <si>
    <r>
      <rPr>
        <sz val="10"/>
        <rFont val="Arial"/>
        <family val="2"/>
      </rPr>
      <t>Catridge Printer Epson T 014--</t>
    </r>
  </si>
  <si>
    <r>
      <rPr>
        <sz val="10"/>
        <rFont val="Arial"/>
        <family val="2"/>
      </rPr>
      <t>Lakban Besar</t>
    </r>
  </si>
  <si>
    <r>
      <rPr>
        <sz val="10"/>
        <rFont val="Arial"/>
        <family val="2"/>
      </rPr>
      <t>Lakban Bening</t>
    </r>
  </si>
  <si>
    <r>
      <rPr>
        <sz val="10"/>
        <rFont val="Arial"/>
        <family val="2"/>
      </rPr>
      <t>Lakban Hitam--</t>
    </r>
  </si>
  <si>
    <r>
      <rPr>
        <sz val="10"/>
        <rFont val="Arial"/>
        <family val="2"/>
      </rPr>
      <t>lakban hitam-ukuran : lebar 2 inch, panjang 12m, bahan : kain</t>
    </r>
  </si>
  <si>
    <r>
      <rPr>
        <sz val="10"/>
        <rFont val="Arial"/>
        <family val="2"/>
      </rPr>
      <t>Lakban Hitam uk 2 " Warna hitam uk. 2 "</t>
    </r>
  </si>
  <si>
    <r>
      <rPr>
        <sz val="10"/>
        <rFont val="Arial"/>
        <family val="2"/>
      </rPr>
      <t>Lakban warna Uk 2" Warna Coklat Cofiie</t>
    </r>
  </si>
  <si>
    <r>
      <rPr>
        <sz val="10"/>
        <rFont val="Arial"/>
        <family val="2"/>
      </rPr>
      <t>Spidol Refil Spidol White Board Snowman</t>
    </r>
  </si>
  <si>
    <r>
      <rPr>
        <sz val="10"/>
        <rFont val="Arial"/>
        <family val="2"/>
      </rPr>
      <t>Spidol White board</t>
    </r>
  </si>
  <si>
    <r>
      <rPr>
        <sz val="10"/>
        <rFont val="Arial"/>
        <family val="2"/>
      </rPr>
      <t>Stapler HD-10--</t>
    </r>
  </si>
  <si>
    <r>
      <rPr>
        <sz val="10"/>
        <rFont val="Arial"/>
        <family val="2"/>
      </rPr>
      <t>Stapler Stapler No, 50 MAX</t>
    </r>
  </si>
  <si>
    <r>
      <rPr>
        <sz val="10"/>
        <rFont val="Arial"/>
        <family val="2"/>
      </rPr>
      <t>Lem Fox isi 500 gram--</t>
    </r>
  </si>
  <si>
    <r>
      <rPr>
        <sz val="10"/>
        <rFont val="Arial"/>
        <family val="2"/>
      </rPr>
      <t>PAPER CLIP  Paper Clip No 1</t>
    </r>
  </si>
  <si>
    <r>
      <rPr>
        <sz val="10"/>
        <rFont val="Arial"/>
        <family val="2"/>
      </rPr>
      <t>Paper Clip No 1  Paper Clip No 3</t>
    </r>
  </si>
  <si>
    <r>
      <rPr>
        <sz val="10"/>
        <rFont val="Arial"/>
        <family val="2"/>
      </rPr>
      <t>Penghapus White Board</t>
    </r>
  </si>
  <si>
    <r>
      <rPr>
        <sz val="10"/>
        <rFont val="Arial"/>
        <family val="2"/>
      </rPr>
      <t>Isi Staples Sedang</t>
    </r>
  </si>
  <si>
    <r>
      <rPr>
        <sz val="10"/>
        <rFont val="Arial"/>
        <family val="2"/>
      </rPr>
      <t>Isi Staples besar</t>
    </r>
  </si>
  <si>
    <r>
      <rPr>
        <sz val="10"/>
        <rFont val="Arial"/>
        <family val="2"/>
      </rPr>
      <t>gunting kertas-ukuran : panjang 21cm x lebar 8cm, stainless steel</t>
    </r>
  </si>
  <si>
    <r>
      <rPr>
        <sz val="10"/>
        <rFont val="Arial"/>
        <family val="2"/>
      </rPr>
      <t>Pisau Cutter Kenko L-500</t>
    </r>
  </si>
  <si>
    <r>
      <rPr>
        <sz val="10"/>
        <rFont val="Arial"/>
        <family val="2"/>
      </rPr>
      <t>Buku Induk/Inventaris 35 cm x 50 cm</t>
    </r>
  </si>
  <si>
    <r>
      <rPr>
        <sz val="10"/>
        <rFont val="Arial"/>
        <family val="2"/>
      </rPr>
      <t>Buku Ekspedisi 100</t>
    </r>
  </si>
  <si>
    <r>
      <rPr>
        <sz val="10"/>
        <rFont val="Arial"/>
        <family val="2"/>
      </rPr>
      <t>Baterey Kecil</t>
    </r>
  </si>
  <si>
    <r>
      <rPr>
        <sz val="10"/>
        <rFont val="Arial"/>
        <family val="2"/>
      </rPr>
      <t>pasang</t>
    </r>
  </si>
  <si>
    <r>
      <rPr>
        <sz val="10"/>
        <rFont val="Arial"/>
        <family val="2"/>
      </rPr>
      <t>Baterey Tanggung</t>
    </r>
  </si>
  <si>
    <r>
      <rPr>
        <sz val="10"/>
        <rFont val="Arial"/>
        <family val="2"/>
      </rPr>
      <t>Bantalan Cap Besar</t>
    </r>
  </si>
  <si>
    <r>
      <rPr>
        <sz val="10"/>
        <rFont val="Arial"/>
        <family val="2"/>
      </rPr>
      <t>Bantalan Cap Kecil</t>
    </r>
  </si>
  <si>
    <r>
      <rPr>
        <sz val="10"/>
        <rFont val="Arial"/>
        <family val="2"/>
      </rPr>
      <t>USB FLASH DISK USB/Flash Disk 4GB</t>
    </r>
  </si>
  <si>
    <r>
      <rPr>
        <sz val="10"/>
        <rFont val="Arial"/>
        <family val="2"/>
      </rPr>
      <t>Stempel Manual</t>
    </r>
  </si>
  <si>
    <r>
      <rPr>
        <sz val="10"/>
        <rFont val="Arial"/>
        <family val="2"/>
      </rPr>
      <t>Stempel Cap</t>
    </r>
  </si>
  <si>
    <r>
      <rPr>
        <sz val="10"/>
        <rFont val="Arial"/>
        <family val="2"/>
      </rPr>
      <t>Tinta Stempel</t>
    </r>
  </si>
  <si>
    <r>
      <rPr>
        <sz val="10"/>
        <rFont val="Arial"/>
        <family val="2"/>
      </rPr>
      <t>Materai 10.000</t>
    </r>
  </si>
  <si>
    <r>
      <rPr>
        <sz val="10"/>
        <rFont val="Arial Narrow"/>
        <family val="2"/>
      </rPr>
      <t>5.1.02.01.01.0026</t>
    </r>
  </si>
  <si>
    <r>
      <rPr>
        <sz val="10"/>
        <rFont val="Arial"/>
        <family val="2"/>
      </rPr>
      <t>Foto Copy Filio dan Kuarto</t>
    </r>
  </si>
  <si>
    <r>
      <rPr>
        <sz val="10"/>
        <rFont val="Arial"/>
        <family val="2"/>
      </rPr>
      <t>06. 05. 09.</t>
    </r>
  </si>
  <si>
    <r>
      <rPr>
        <sz val="10"/>
        <rFont val="Arial"/>
        <family val="2"/>
      </rPr>
      <t>Jasa pengantar barang berupa alat-alat kebrsihan</t>
    </r>
  </si>
  <si>
    <r>
      <rPr>
        <sz val="10"/>
        <rFont val="Arial Narrow"/>
        <family val="2"/>
      </rPr>
      <t>5.1.02.01.01.0030</t>
    </r>
  </si>
  <si>
    <r>
      <rPr>
        <sz val="10"/>
        <rFont val="Arial"/>
        <family val="2"/>
      </rPr>
      <t>Sapu</t>
    </r>
  </si>
  <si>
    <r>
      <rPr>
        <sz val="10"/>
        <rFont val="Arial"/>
        <family val="2"/>
      </rPr>
      <t>Sapu Lidi</t>
    </r>
  </si>
  <si>
    <r>
      <rPr>
        <sz val="10"/>
        <rFont val="Arial"/>
        <family val="2"/>
      </rPr>
      <t>Sikat Pembersih</t>
    </r>
  </si>
  <si>
    <r>
      <rPr>
        <sz val="10"/>
        <rFont val="Arial"/>
        <family val="2"/>
      </rPr>
      <t>Sikat WC Type : Gagang Panjang</t>
    </r>
  </si>
  <si>
    <r>
      <rPr>
        <sz val="10"/>
        <rFont val="Arial"/>
        <family val="2"/>
      </rPr>
      <t>Alat Pel</t>
    </r>
  </si>
  <si>
    <r>
      <rPr>
        <sz val="10"/>
        <rFont val="Arial"/>
        <family val="2"/>
      </rPr>
      <t>Alat Pel lantai besar</t>
    </r>
  </si>
  <si>
    <r>
      <rPr>
        <sz val="10"/>
        <rFont val="Arial"/>
        <family val="2"/>
      </rPr>
      <t>Serok Air Besar--</t>
    </r>
  </si>
  <si>
    <r>
      <rPr>
        <sz val="10"/>
        <rFont val="Arial"/>
        <family val="2"/>
      </rPr>
      <t>Kain Lap  Bahan : Katun bermotif kotak-kotak</t>
    </r>
  </si>
  <si>
    <r>
      <rPr>
        <sz val="10"/>
        <rFont val="Arial"/>
        <family val="2"/>
      </rPr>
      <t>Serok Sampah--</t>
    </r>
  </si>
  <si>
    <r>
      <rPr>
        <sz val="10"/>
        <rFont val="Arial"/>
        <family val="2"/>
      </rPr>
      <t>Tempat sampah</t>
    </r>
  </si>
  <si>
    <r>
      <rPr>
        <sz val="10"/>
        <rFont val="Arial"/>
        <family val="2"/>
      </rPr>
      <t>Gayung</t>
    </r>
  </si>
  <si>
    <r>
      <rPr>
        <sz val="10"/>
        <rFont val="Arial"/>
        <family val="2"/>
      </rPr>
      <t>Tisu--</t>
    </r>
  </si>
  <si>
    <r>
      <rPr>
        <sz val="10"/>
        <rFont val="Arial"/>
        <family val="2"/>
      </rPr>
      <t>vixal 500ml</t>
    </r>
  </si>
  <si>
    <r>
      <rPr>
        <sz val="10"/>
        <rFont val="Arial"/>
        <family val="2"/>
      </rPr>
      <t>Perlengkapan Kebersihan Pembersih Lantai Super Pel Varian 800ml</t>
    </r>
  </si>
  <si>
    <r>
      <rPr>
        <sz val="10"/>
        <rFont val="Arial"/>
        <family val="2"/>
      </rPr>
      <t>Cairan Pembersih Kaca</t>
    </r>
  </si>
  <si>
    <r>
      <rPr>
        <sz val="10"/>
        <rFont val="Arial"/>
        <family val="2"/>
      </rPr>
      <t>Perlengkapan Kebersihan Pembersih Pakaian Sunlight Refil 800ml</t>
    </r>
  </si>
  <si>
    <r>
      <rPr>
        <sz val="10"/>
        <rFont val="Arial"/>
        <family val="2"/>
      </rPr>
      <t>Spon Cuci</t>
    </r>
  </si>
  <si>
    <r>
      <rPr>
        <sz val="10"/>
        <rFont val="Arial"/>
        <family val="2"/>
      </rPr>
      <t>Handsoap/Pencuci Tangan</t>
    </r>
  </si>
  <si>
    <r>
      <rPr>
        <sz val="10"/>
        <rFont val="Arial"/>
        <family val="2"/>
      </rPr>
      <t>Pengharum Ruangan</t>
    </r>
  </si>
  <si>
    <r>
      <rPr>
        <sz val="10"/>
        <rFont val="Arial"/>
        <family val="2"/>
      </rPr>
      <t>Hand Sanitizer-Unit</t>
    </r>
  </si>
  <si>
    <r>
      <rPr>
        <sz val="10"/>
        <rFont val="Arial"/>
        <family val="2"/>
      </rPr>
      <t>unit</t>
    </r>
  </si>
  <si>
    <r>
      <rPr>
        <sz val="10"/>
        <rFont val="Arial"/>
        <family val="2"/>
      </rPr>
      <t>02. 03. 01.</t>
    </r>
  </si>
  <si>
    <t>08/01/2025</t>
  </si>
  <si>
    <r>
      <rPr>
        <sz val="10"/>
        <rFont val="Arial"/>
        <family val="2"/>
      </rPr>
      <t>Kudapan pada Kegiatan Rapat  penyusunan program kurikulum Semester Ganjil/Genap TP 2024/2025</t>
    </r>
  </si>
  <si>
    <r>
      <rPr>
        <sz val="10"/>
        <rFont val="Arial"/>
        <family val="2"/>
      </rPr>
      <t>Konsumsi pada Kegiatan Rapat  penyusunan program kurikulum Semester Ganjil/Genap TP 2024/2025</t>
    </r>
  </si>
  <si>
    <r>
      <rPr>
        <sz val="10"/>
        <rFont val="Arial Narrow"/>
        <family val="2"/>
      </rPr>
      <t>5.1.02.04.01.0001</t>
    </r>
  </si>
  <si>
    <r>
      <rPr>
        <sz val="10"/>
        <rFont val="Arial"/>
        <family val="2"/>
      </rPr>
      <t>06. 05. 02.</t>
    </r>
  </si>
  <si>
    <t>09/01/2025</t>
  </si>
  <si>
    <r>
      <rPr>
        <sz val="10"/>
        <rFont val="Arial"/>
        <family val="2"/>
      </rPr>
      <t>Satuan Biaya Transportasi Udara Dalam Wilayah Provinsi ke Kabupaten/Kota se Sumatera Utara (Kabupaten/Kota Yang Sudah Ada Fasilitas Bandar Udara) - Medan -Gunung Sitoli ( Bandara Binaka )-NaN</t>
    </r>
  </si>
  <si>
    <r>
      <rPr>
        <sz val="10"/>
        <rFont val="Arial"/>
        <family val="2"/>
      </rPr>
      <t>orang / kali</t>
    </r>
  </si>
  <si>
    <t>NR. Simanullang</t>
  </si>
  <si>
    <r>
      <rPr>
        <sz val="10"/>
        <rFont val="Arial"/>
        <family val="2"/>
      </rPr>
      <t>Uang Harian Perjalanan Dinas Dalam Negeri Luar Kota - Provinsi Sumatera Utara--</t>
    </r>
  </si>
  <si>
    <r>
      <rPr>
        <sz val="10"/>
        <rFont val="Arial"/>
        <family val="2"/>
      </rPr>
      <t>orang / hari</t>
    </r>
  </si>
  <si>
    <r>
      <rPr>
        <sz val="10"/>
        <rFont val="Arial"/>
        <family val="2"/>
      </rPr>
      <t>Satuan Penginapan Perjalanan Dinas Dalam Negeri Golongan I/II - Provinsi Sumatera Utara--</t>
    </r>
  </si>
  <si>
    <r>
      <rPr>
        <sz val="10"/>
        <rFont val="Arial Narrow"/>
        <family val="2"/>
      </rPr>
      <t>5.1.02.02.01.0035</t>
    </r>
  </si>
  <si>
    <r>
      <rPr>
        <sz val="10"/>
        <rFont val="Arial"/>
        <family val="2"/>
      </rPr>
      <t>Jasa Perbaikan dan Pemeliharaan Listrik Sekolah</t>
    </r>
  </si>
  <si>
    <r>
      <rPr>
        <sz val="10"/>
        <rFont val="Arial"/>
        <family val="2"/>
      </rPr>
      <t>04. 06. 13.</t>
    </r>
  </si>
  <si>
    <t>10/01/2025</t>
  </si>
  <si>
    <t>11/01/2025</t>
  </si>
  <si>
    <r>
      <rPr>
        <sz val="10"/>
        <rFont val="Arial"/>
        <family val="2"/>
      </rPr>
      <t>Kudapan pada Kegiatan Pelatihan Peningkatan Kompetensi Guru untuk memperkuat numerasi</t>
    </r>
  </si>
  <si>
    <r>
      <rPr>
        <sz val="10"/>
        <rFont val="Arial"/>
        <family val="2"/>
      </rPr>
      <t>Konsumsi pada Kegiatan Pelatihan Peningkatan Kompetensi Guru untuk memperkuat numerasi</t>
    </r>
  </si>
  <si>
    <t>13/01/2025</t>
  </si>
  <si>
    <t>14/01/2025</t>
  </si>
  <si>
    <r>
      <rPr>
        <sz val="10"/>
        <rFont val="Arial"/>
        <family val="2"/>
      </rPr>
      <t>Kudapan pada Kegiatan diskusi kolaborasi pengembangan RPP dalam Komunitas Belajar (termasuk KKG/MGMP/MGMPS/MGPMPK)</t>
    </r>
  </si>
  <si>
    <r>
      <rPr>
        <sz val="10"/>
        <rFont val="Arial"/>
        <family val="2"/>
      </rPr>
      <t>Konsumsi Kegiatan diskusi kolaborasi pengembangan RPP dalam Komunitas Belajar (termasuk KKG/MGMP/MGMPS/MGPMPK)</t>
    </r>
  </si>
  <si>
    <r>
      <rPr>
        <sz val="10"/>
        <rFont val="Arial"/>
        <family val="2"/>
      </rPr>
      <t>03. 03. 21.</t>
    </r>
  </si>
  <si>
    <t>17/01/2025</t>
  </si>
  <si>
    <t>18/01/2025</t>
  </si>
  <si>
    <r>
      <rPr>
        <sz val="10"/>
        <rFont val="Arial"/>
        <family val="2"/>
      </rPr>
      <t>Spanduk Uk. 1 x 6 meter-</t>
    </r>
  </si>
  <si>
    <r>
      <rPr>
        <sz val="10"/>
        <rFont val="Arial"/>
        <family val="2"/>
      </rPr>
      <t>Konsumsi Pada Kegiatan Syukuran Hari Raya Natal dan Tahun Baru 2024</t>
    </r>
  </si>
  <si>
    <r>
      <rPr>
        <sz val="10"/>
        <rFont val="Arial"/>
        <family val="2"/>
      </rPr>
      <t>06. 05. 01.</t>
    </r>
  </si>
  <si>
    <t>20/01/2025</t>
  </si>
  <si>
    <r>
      <rPr>
        <sz val="10"/>
        <rFont val="Arial"/>
        <family val="2"/>
      </rPr>
      <t>Nasi Kotak Penyusunan RKAS Tahun 2025</t>
    </r>
  </si>
  <si>
    <r>
      <rPr>
        <sz val="10"/>
        <rFont val="Arial"/>
        <family val="2"/>
      </rPr>
      <t>Kudapan Penyusunan RKAS Tahun 2025</t>
    </r>
  </si>
  <si>
    <r>
      <rPr>
        <sz val="10"/>
        <rFont val="Arial"/>
        <family val="2"/>
      </rPr>
      <t>08. 04. 10.</t>
    </r>
  </si>
  <si>
    <t>21/01/2025</t>
  </si>
  <si>
    <r>
      <rPr>
        <sz val="10"/>
        <rFont val="Arial"/>
        <family val="2"/>
      </rPr>
      <t>Kudapan pada kegiatan Rapat Penyusunan KKM</t>
    </r>
  </si>
  <si>
    <r>
      <rPr>
        <sz val="10"/>
        <rFont val="Arial"/>
        <family val="2"/>
      </rPr>
      <t>Konsumsi pada kegiatan Rapat Penyusunan KKM</t>
    </r>
  </si>
  <si>
    <r>
      <rPr>
        <sz val="10"/>
        <rFont val="Arial Narrow"/>
        <family val="2"/>
      </rPr>
      <t>5.1.02.02.01.0061</t>
    </r>
  </si>
  <si>
    <r>
      <rPr>
        <sz val="10"/>
        <rFont val="Arial"/>
        <family val="2"/>
      </rPr>
      <t>06. 07. 01.</t>
    </r>
  </si>
  <si>
    <r>
      <rPr>
        <sz val="10"/>
        <rFont val="Arial"/>
        <family val="2"/>
      </rPr>
      <t>Biaya Rekening Listrik--</t>
    </r>
  </si>
  <si>
    <r>
      <rPr>
        <sz val="10"/>
        <rFont val="Arial"/>
        <family val="2"/>
      </rPr>
      <t>bulan</t>
    </r>
  </si>
  <si>
    <r>
      <rPr>
        <sz val="10"/>
        <rFont val="Arial Narrow"/>
        <family val="2"/>
      </rPr>
      <t>5.1.02.02.01.0063</t>
    </r>
  </si>
  <si>
    <r>
      <rPr>
        <sz val="10"/>
        <rFont val="Arial"/>
        <family val="2"/>
      </rPr>
      <t>06. 07. 05.</t>
    </r>
  </si>
  <si>
    <r>
      <rPr>
        <sz val="10"/>
        <rFont val="Arial"/>
        <family val="2"/>
      </rPr>
      <t>Biaya Langganan Internet--</t>
    </r>
  </si>
  <si>
    <r>
      <rPr>
        <sz val="10"/>
        <rFont val="Arial"/>
        <family val="2"/>
      </rPr>
      <t>03. 03. 14.</t>
    </r>
  </si>
  <si>
    <t>24/01/2025</t>
  </si>
  <si>
    <t>25/01/2025</t>
  </si>
  <si>
    <r>
      <rPr>
        <sz val="10"/>
        <rFont val="Arial"/>
        <family val="2"/>
      </rPr>
      <t>Kudapan pada Kegiatan rubrik/Ibadah Bulanan</t>
    </r>
  </si>
  <si>
    <r>
      <rPr>
        <sz val="10"/>
        <rFont val="Arial"/>
        <family val="2"/>
      </rPr>
      <t>Kudapan Rapat Rutin Bulanan</t>
    </r>
  </si>
  <si>
    <r>
      <rPr>
        <sz val="10"/>
        <rFont val="Arial"/>
        <family val="2"/>
      </rPr>
      <t>05. 05. 02.</t>
    </r>
  </si>
  <si>
    <t>01/02/2025</t>
  </si>
  <si>
    <t>04/02/2025</t>
  </si>
  <si>
    <r>
      <rPr>
        <sz val="10"/>
        <rFont val="Arial"/>
        <family val="2"/>
      </rPr>
      <t>03. 03. 08.</t>
    </r>
  </si>
  <si>
    <t>03/02/2025</t>
  </si>
  <si>
    <r>
      <rPr>
        <sz val="10"/>
        <rFont val="Arial"/>
        <family val="2"/>
      </rPr>
      <t>Kudapan pada Kegiatan Rapat Penyusunan Program Kesiswaan TP 2024/2025</t>
    </r>
  </si>
  <si>
    <r>
      <rPr>
        <sz val="10"/>
        <rFont val="Arial"/>
        <family val="2"/>
      </rPr>
      <t>Konsumsi pada Kegiatan Rapat Penyusunan Program Kesiswaan TP 2024/2025</t>
    </r>
  </si>
  <si>
    <r>
      <rPr>
        <sz val="10"/>
        <rFont val="Arial Narrow"/>
        <family val="2"/>
      </rPr>
      <t>5.1.02.02.01.0013</t>
    </r>
  </si>
  <si>
    <t>05/02/2025</t>
  </si>
  <si>
    <r>
      <rPr>
        <sz val="10"/>
        <rFont val="Arial"/>
        <family val="2"/>
      </rPr>
      <t>Selatieli Nehe</t>
    </r>
  </si>
  <si>
    <r>
      <rPr>
        <sz val="10"/>
        <rFont val="Arial"/>
        <family val="2"/>
      </rPr>
      <t>jpl</t>
    </r>
  </si>
  <si>
    <r>
      <rPr>
        <sz val="10"/>
        <rFont val="Arial"/>
        <family val="2"/>
      </rPr>
      <t>07. 12. 01.</t>
    </r>
  </si>
  <si>
    <r>
      <rPr>
        <sz val="10"/>
        <rFont val="Arial"/>
        <family val="2"/>
      </rPr>
      <t>Arifin Metodi Bate'e</t>
    </r>
  </si>
  <si>
    <r>
      <rPr>
        <sz val="10"/>
        <rFont val="Arial"/>
        <family val="2"/>
      </rPr>
      <t>Ferdiwati Wau</t>
    </r>
  </si>
  <si>
    <r>
      <rPr>
        <sz val="10"/>
        <rFont val="Arial"/>
        <family val="2"/>
      </rPr>
      <t>Noni Alfanita Sarumaha, S.Pd</t>
    </r>
  </si>
  <si>
    <r>
      <rPr>
        <sz val="10"/>
        <rFont val="Arial"/>
        <family val="2"/>
      </rPr>
      <t>EMILA HAFO</t>
    </r>
  </si>
  <si>
    <r>
      <rPr>
        <sz val="10"/>
        <rFont val="Arial"/>
        <family val="2"/>
      </rPr>
      <t>Asep Nurhidayat</t>
    </r>
  </si>
  <si>
    <r>
      <rPr>
        <sz val="10"/>
        <rFont val="Arial"/>
        <family val="2"/>
      </rPr>
      <t>Amonius Dakhi</t>
    </r>
  </si>
  <si>
    <r>
      <rPr>
        <sz val="10"/>
        <rFont val="Arial"/>
        <family val="2"/>
      </rPr>
      <t>orang / jam pelajaran</t>
    </r>
  </si>
  <si>
    <r>
      <rPr>
        <sz val="10"/>
        <rFont val="Arial"/>
        <family val="2"/>
      </rPr>
      <t>NELPI KARIANA WATI GOHAE</t>
    </r>
  </si>
  <si>
    <r>
      <rPr>
        <sz val="10"/>
        <rFont val="Arial"/>
        <family val="2"/>
      </rPr>
      <t>MERCY GRACE KARTIKA SARI ZAGOTO (1558776677230122)</t>
    </r>
  </si>
  <si>
    <r>
      <rPr>
        <sz val="10"/>
        <rFont val="Arial Narrow"/>
        <family val="2"/>
      </rPr>
      <t>5.1.02.02.01.0026</t>
    </r>
  </si>
  <si>
    <r>
      <rPr>
        <sz val="10"/>
        <rFont val="Arial"/>
        <family val="2"/>
      </rPr>
      <t>07. 12. 02.</t>
    </r>
  </si>
  <si>
    <r>
      <rPr>
        <sz val="10"/>
        <rFont val="Arial"/>
        <family val="2"/>
      </rPr>
      <t>Estera Nehe</t>
    </r>
  </si>
  <si>
    <r>
      <rPr>
        <sz val="10"/>
        <rFont val="Arial"/>
        <family val="2"/>
      </rPr>
      <t>Hatieli Buulolo</t>
    </r>
  </si>
  <si>
    <r>
      <rPr>
        <sz val="10"/>
        <rFont val="Arial"/>
        <family val="2"/>
      </rPr>
      <t>David J. Sitinjak</t>
    </r>
  </si>
  <si>
    <r>
      <rPr>
        <sz val="10"/>
        <rFont val="Arial"/>
        <family val="2"/>
      </rPr>
      <t>Siona Ziraluo</t>
    </r>
  </si>
  <si>
    <r>
      <rPr>
        <sz val="10"/>
        <rFont val="Arial"/>
        <family val="2"/>
      </rPr>
      <t>Merdina Ziraluo</t>
    </r>
  </si>
  <si>
    <r>
      <rPr>
        <sz val="10"/>
        <rFont val="Arial"/>
        <family val="2"/>
      </rPr>
      <t>Oksilia Buulolo, S.S</t>
    </r>
  </si>
  <si>
    <r>
      <rPr>
        <sz val="10"/>
        <rFont val="Arial"/>
        <family val="2"/>
      </rPr>
      <t>bulan/orang</t>
    </r>
  </si>
  <si>
    <r>
      <rPr>
        <sz val="10"/>
        <rFont val="Arial"/>
        <family val="2"/>
      </rPr>
      <t>Novika Efdimasari Halawa, S.S.I</t>
    </r>
  </si>
  <si>
    <r>
      <rPr>
        <sz val="10"/>
        <rFont val="Arial Narrow"/>
        <family val="2"/>
      </rPr>
      <t>5.1.02.02.01.0016</t>
    </r>
  </si>
  <si>
    <r>
      <rPr>
        <sz val="10"/>
        <rFont val="Arial"/>
        <family val="2"/>
      </rPr>
      <t>07. 12. 04.</t>
    </r>
  </si>
  <si>
    <r>
      <rPr>
        <sz val="10"/>
        <rFont val="Arial"/>
        <family val="2"/>
      </rPr>
      <t>Zefrianus Zai</t>
    </r>
  </si>
  <si>
    <r>
      <rPr>
        <sz val="10"/>
        <rFont val="Arial Narrow"/>
        <family val="2"/>
      </rPr>
      <t>5.1.02.02.01.0030</t>
    </r>
  </si>
  <si>
    <r>
      <rPr>
        <sz val="10"/>
        <rFont val="Arial"/>
        <family val="2"/>
      </rPr>
      <t>Thomas Hondro</t>
    </r>
  </si>
  <si>
    <t>20/02/2025</t>
  </si>
  <si>
    <t>21/02/2025</t>
  </si>
  <si>
    <t>22/02/2025</t>
  </si>
  <si>
    <r>
      <rPr>
        <sz val="10"/>
        <rFont val="Arial"/>
        <family val="2"/>
      </rPr>
      <t>04. 06. 07.</t>
    </r>
  </si>
  <si>
    <t>24/02/2025</t>
  </si>
  <si>
    <r>
      <rPr>
        <sz val="10"/>
        <rFont val="Arial"/>
        <family val="2"/>
      </rPr>
      <t>Kudapan pada Kegiatan Bimtek Tenaga Pelaksana Sekolah (Tenaga Ekstrakurikuler, TU, Laboratorium, Perustakaan, dan UKS)</t>
    </r>
  </si>
  <si>
    <t>27/02/2025</t>
  </si>
  <si>
    <t>28/02/2025</t>
  </si>
  <si>
    <t>02. 02. 01.</t>
  </si>
  <si>
    <t>03/03/2025</t>
  </si>
  <si>
    <r>
      <rPr>
        <sz val="10"/>
        <rFont val="Arial"/>
        <family val="2"/>
      </rPr>
      <t>Kudapan pada Kegiatan Sosialisasi pemberdayaan perpustakaan terutama untuk pengembangan minat baca peserta didik</t>
    </r>
  </si>
  <si>
    <r>
      <rPr>
        <sz val="10"/>
        <rFont val="Arial"/>
        <family val="2"/>
      </rPr>
      <t>02. 02. 01.</t>
    </r>
  </si>
  <si>
    <r>
      <rPr>
        <sz val="10"/>
        <rFont val="Arial"/>
        <family val="2"/>
      </rPr>
      <t>Nasi Kotak  pada kegiatan Peningkatan kompetensi guru untuk pembelajaran berorientasi pada peserta didik</t>
    </r>
  </si>
  <si>
    <r>
      <rPr>
        <sz val="10"/>
        <rFont val="Arial Narrow"/>
        <family val="2"/>
      </rPr>
      <t>5.2.05.01.01.0001</t>
    </r>
  </si>
  <si>
    <t>11/03/2025</t>
  </si>
  <si>
    <t>12/03/2025</t>
  </si>
  <si>
    <t>17/03/2025</t>
  </si>
  <si>
    <r>
      <rPr>
        <sz val="10"/>
        <rFont val="Arial"/>
        <family val="2"/>
      </rPr>
      <t>eksemplar</t>
    </r>
  </si>
  <si>
    <r>
      <rPr>
        <sz val="10"/>
        <rFont val="Arial"/>
        <family val="2"/>
      </rPr>
      <t>05. 02. 03.</t>
    </r>
  </si>
  <si>
    <t>15/03/2025</t>
  </si>
  <si>
    <r>
      <rPr>
        <sz val="10"/>
        <rFont val="Arial"/>
        <family val="2"/>
      </rPr>
      <t>05. 08. 02.</t>
    </r>
  </si>
  <si>
    <t>18/03/2025</t>
  </si>
  <si>
    <r>
      <rPr>
        <sz val="10"/>
        <rFont val="Arial"/>
        <family val="2"/>
      </rPr>
      <t>Jasa Pebaikan Pagar Besi Sekolah</t>
    </r>
  </si>
  <si>
    <r>
      <rPr>
        <sz val="10"/>
        <rFont val="Arial Narrow"/>
        <family val="2"/>
      </rPr>
      <t>5.1.02.01.01.0036</t>
    </r>
  </si>
  <si>
    <t>25/03/2025</t>
  </si>
  <si>
    <r>
      <rPr>
        <sz val="10"/>
        <rFont val="Arial"/>
        <family val="2"/>
      </rPr>
      <t>Pengadaan Kursi Guru</t>
    </r>
  </si>
  <si>
    <r>
      <rPr>
        <sz val="10"/>
        <rFont val="Arial"/>
        <family val="2"/>
      </rPr>
      <t>Jasa Angkutan Kursi Guru</t>
    </r>
  </si>
  <si>
    <r>
      <rPr>
        <sz val="10"/>
        <rFont val="Arial Narrow"/>
        <family val="2"/>
      </rPr>
      <t>5.1.02.01.01.0055</t>
    </r>
  </si>
  <si>
    <r>
      <rPr>
        <sz val="10"/>
        <rFont val="Arial"/>
        <family val="2"/>
      </rPr>
      <t>Satuan Biaya Konsumsi Makanan dan Minuman Fasilitas Pelayanan Urusan Pendidikan Biasa, Kudapan (Snack) - Provinsi Sumatera Utara--</t>
    </r>
  </si>
  <si>
    <r>
      <rPr>
        <sz val="10"/>
        <rFont val="Arial"/>
        <family val="2"/>
      </rPr>
      <t>06. 05. 05.</t>
    </r>
  </si>
  <si>
    <r>
      <rPr>
        <sz val="10"/>
        <rFont val="Arial"/>
        <family val="2"/>
      </rPr>
      <t>Satuan Biaya Konsumsi Makanan dan Minuman Fasilitas Pelayanan Urusan Pendidikan Biasa, Makan - Provinsi Sumatera Utara--</t>
    </r>
  </si>
  <si>
    <t>20/03/2025</t>
  </si>
  <si>
    <r>
      <rPr>
        <sz val="10"/>
        <rFont val="Arial"/>
        <family val="2"/>
      </rPr>
      <t>Nasi Kotak pada kegiatan Peningkatan kompetensi guru untuk pembelajaran berorientasi pada peserta didik</t>
    </r>
  </si>
  <si>
    <r>
      <rPr>
        <sz val="10"/>
        <rFont val="Arial"/>
        <family val="2"/>
      </rPr>
      <t>Kudapan Peningkatan kompetensi guru untuk pembelajaran berorientasi pada peserta didik</t>
    </r>
  </si>
  <si>
    <t>21/03/2025</t>
  </si>
  <si>
    <t>22/03/2025</t>
  </si>
  <si>
    <r>
      <rPr>
        <sz val="10"/>
        <rFont val="Arial MT"/>
        <family val="2"/>
      </rPr>
      <t>5.1.02.01.01.0031</t>
    </r>
  </si>
  <si>
    <r>
      <rPr>
        <sz val="10"/>
        <rFont val="Arial MT"/>
        <family val="2"/>
      </rPr>
      <t>05. 08. 10.</t>
    </r>
  </si>
  <si>
    <r>
      <rPr>
        <sz val="10"/>
        <rFont val="Arial MT"/>
        <family val="2"/>
      </rPr>
      <t>5.1.02.01.01.0052</t>
    </r>
  </si>
  <si>
    <r>
      <rPr>
        <sz val="10"/>
        <rFont val="Arial MT"/>
        <family val="2"/>
      </rPr>
      <t>05. 05. 02.</t>
    </r>
  </si>
  <si>
    <r>
      <rPr>
        <sz val="10"/>
        <rFont val="Arial MT"/>
        <family val="2"/>
      </rPr>
      <t>dus</t>
    </r>
  </si>
  <si>
    <r>
      <rPr>
        <sz val="10"/>
        <rFont val="Arial MT"/>
        <family val="2"/>
      </rPr>
      <t>5.1.02.01.01.0012</t>
    </r>
  </si>
  <si>
    <r>
      <rPr>
        <sz val="10"/>
        <rFont val="Arial MT"/>
        <family val="2"/>
      </rPr>
      <t>05. 08. 02.</t>
    </r>
  </si>
  <si>
    <r>
      <rPr>
        <sz val="10"/>
        <rFont val="Arial MT"/>
        <family val="2"/>
      </rPr>
      <t>Kalsiboard</t>
    </r>
  </si>
  <si>
    <r>
      <rPr>
        <sz val="10"/>
        <rFont val="Arial MT"/>
        <family val="2"/>
      </rPr>
      <t>lembar</t>
    </r>
  </si>
  <si>
    <r>
      <rPr>
        <sz val="10"/>
        <rFont val="Arial MT"/>
        <family val="2"/>
      </rPr>
      <t>5.1.02.01.01.0024</t>
    </r>
  </si>
  <si>
    <r>
      <rPr>
        <sz val="10"/>
        <rFont val="Arial MT"/>
        <family val="2"/>
      </rPr>
      <t>06. 05. 08.</t>
    </r>
  </si>
  <si>
    <r>
      <rPr>
        <sz val="10"/>
        <rFont val="Arial MT"/>
        <family val="2"/>
      </rPr>
      <t>rim</t>
    </r>
  </si>
  <si>
    <r>
      <rPr>
        <sz val="10"/>
        <rFont val="Arial MT"/>
        <family val="2"/>
      </rPr>
      <t>pak</t>
    </r>
  </si>
  <si>
    <r>
      <rPr>
        <sz val="10"/>
        <rFont val="Arial MT"/>
        <family val="2"/>
      </rPr>
      <t>pasang</t>
    </r>
  </si>
  <si>
    <r>
      <rPr>
        <sz val="10"/>
        <rFont val="Arial MT"/>
        <family val="2"/>
      </rPr>
      <t>5.1.02.01.01.0026</t>
    </r>
  </si>
  <si>
    <r>
      <rPr>
        <sz val="10"/>
        <rFont val="Arial MT"/>
        <family val="2"/>
      </rPr>
      <t>5.1.02.01.01.0030</t>
    </r>
  </si>
  <si>
    <r>
      <rPr>
        <sz val="10"/>
        <rFont val="Arial MT"/>
        <family val="2"/>
      </rPr>
      <t>06. 05. 09.</t>
    </r>
  </si>
  <si>
    <t>09/04/2025</t>
  </si>
  <si>
    <t>10/04/2025</t>
  </si>
  <si>
    <r>
      <rPr>
        <sz val="10"/>
        <rFont val="Arial"/>
        <family val="2"/>
      </rPr>
      <t>Meja Siswa</t>
    </r>
  </si>
  <si>
    <r>
      <rPr>
        <sz val="10"/>
        <rFont val="Arial"/>
        <family val="2"/>
      </rPr>
      <t>Jasa Angkutan Meja Siswa</t>
    </r>
  </si>
  <si>
    <r>
      <rPr>
        <sz val="10"/>
        <rFont val="Arial MT"/>
        <family val="2"/>
      </rPr>
      <t>04. 06. 27.</t>
    </r>
  </si>
  <si>
    <r>
      <rPr>
        <sz val="10"/>
        <rFont val="Arial MT"/>
        <family val="2"/>
      </rPr>
      <t>03. 03. 14.</t>
    </r>
  </si>
  <si>
    <r>
      <rPr>
        <sz val="10"/>
        <rFont val="Arial MT"/>
        <family val="2"/>
      </rPr>
      <t>5.1.02.01.01.0055</t>
    </r>
  </si>
  <si>
    <r>
      <rPr>
        <sz val="10"/>
        <rFont val="Arial MT"/>
        <family val="2"/>
      </rPr>
      <t>03. 04. 01.</t>
    </r>
  </si>
  <si>
    <r>
      <rPr>
        <sz val="10"/>
        <rFont val="Arial MT"/>
        <family val="2"/>
      </rPr>
      <t>04. 06. 14.</t>
    </r>
  </si>
  <si>
    <r>
      <rPr>
        <sz val="10"/>
        <rFont val="Arial MT"/>
        <family val="2"/>
      </rPr>
      <t>03. 03. 21.</t>
    </r>
  </si>
  <si>
    <t>15/04/2025</t>
  </si>
  <si>
    <r>
      <rPr>
        <sz val="10"/>
        <rFont val="Arial MT"/>
        <family val="2"/>
      </rPr>
      <t>Jasa Perbaikan dinding kelas</t>
    </r>
  </si>
  <si>
    <r>
      <rPr>
        <sz val="10"/>
        <rFont val="Arial Narrow"/>
        <family val="2"/>
      </rPr>
      <t>5.2.05.01.01.0007</t>
    </r>
  </si>
  <si>
    <r>
      <rPr>
        <sz val="10"/>
        <rFont val="Arial"/>
        <family val="2"/>
      </rPr>
      <t>05. 02. 05.</t>
    </r>
  </si>
  <si>
    <t>16/04/2025</t>
  </si>
  <si>
    <r>
      <rPr>
        <sz val="10"/>
        <rFont val="Arial"/>
        <family val="2"/>
      </rPr>
      <t>Buku Literasi - Buku Bacaan Umum SMA/SMK (Paket)</t>
    </r>
  </si>
  <si>
    <r>
      <rPr>
        <sz val="10"/>
        <rFont val="Arial"/>
        <family val="2"/>
      </rPr>
      <t>paket</t>
    </r>
  </si>
  <si>
    <r>
      <rPr>
        <sz val="10"/>
        <rFont val="Arial MT"/>
        <family val="2"/>
      </rPr>
      <t>Besi Anti Maling Lampu</t>
    </r>
  </si>
  <si>
    <r>
      <rPr>
        <sz val="10"/>
        <rFont val="Arial MT"/>
        <family val="2"/>
      </rPr>
      <t>Besi Anti Maling Proyektor</t>
    </r>
  </si>
  <si>
    <t>23/04/2025</t>
  </si>
  <si>
    <r>
      <rPr>
        <sz val="10"/>
        <rFont val="Arial MT"/>
        <family val="2"/>
      </rPr>
      <t>Jasa Pemasangan Anti maling</t>
    </r>
  </si>
  <si>
    <r>
      <rPr>
        <sz val="10"/>
        <rFont val="Arial MT"/>
        <family val="2"/>
      </rPr>
      <t>5.1.02.02.01.0061</t>
    </r>
  </si>
  <si>
    <r>
      <rPr>
        <sz val="10"/>
        <rFont val="Arial MT"/>
        <family val="2"/>
      </rPr>
      <t>06. 07. 01.</t>
    </r>
  </si>
  <si>
    <r>
      <rPr>
        <sz val="10"/>
        <rFont val="Arial MT"/>
        <family val="2"/>
      </rPr>
      <t>5.1.02.02.01.0063</t>
    </r>
  </si>
  <si>
    <r>
      <rPr>
        <sz val="10"/>
        <rFont val="Arial MT"/>
        <family val="2"/>
      </rPr>
      <t>06. 07. 05.</t>
    </r>
  </si>
  <si>
    <r>
      <rPr>
        <sz val="10"/>
        <rFont val="Arial"/>
        <family val="2"/>
      </rPr>
      <t>Pengadaan Meja Guru</t>
    </r>
  </si>
  <si>
    <r>
      <rPr>
        <sz val="10"/>
        <rFont val="Arial MT"/>
        <family val="2"/>
      </rPr>
      <t>5.1.02.02.01.0013</t>
    </r>
  </si>
  <si>
    <r>
      <rPr>
        <sz val="10"/>
        <rFont val="Arial MT"/>
        <family val="2"/>
      </rPr>
      <t>07. 12. 01.</t>
    </r>
  </si>
  <si>
    <r>
      <rPr>
        <sz val="10"/>
        <rFont val="Arial MT"/>
        <family val="2"/>
      </rPr>
      <t>jpl</t>
    </r>
  </si>
  <si>
    <r>
      <rPr>
        <sz val="10"/>
        <rFont val="Arial MT"/>
        <family val="2"/>
      </rPr>
      <t>Amonius Dakhi</t>
    </r>
  </si>
  <si>
    <r>
      <rPr>
        <sz val="10"/>
        <rFont val="Arial MT"/>
        <family val="2"/>
      </rPr>
      <t>orang / jam pelajaran</t>
    </r>
  </si>
  <si>
    <r>
      <rPr>
        <sz val="10"/>
        <rFont val="Arial MT"/>
        <family val="2"/>
      </rPr>
      <t>NELPI KARIANA WATI GOHAE</t>
    </r>
  </si>
  <si>
    <r>
      <rPr>
        <sz val="10"/>
        <rFont val="Arial MT"/>
        <family val="2"/>
      </rPr>
      <t>MERCY GRACE KARTIKA SARI ZAGOTO (1558776677230122)</t>
    </r>
  </si>
  <si>
    <r>
      <rPr>
        <sz val="10"/>
        <rFont val="Arial MT"/>
        <family val="2"/>
      </rPr>
      <t>5.1.02.02.01.0026</t>
    </r>
  </si>
  <si>
    <r>
      <rPr>
        <sz val="10"/>
        <rFont val="Arial MT"/>
        <family val="2"/>
      </rPr>
      <t>07. 12. 02.</t>
    </r>
  </si>
  <si>
    <r>
      <rPr>
        <sz val="10"/>
        <rFont val="Arial MT"/>
        <family val="2"/>
      </rPr>
      <t>bulan/orang</t>
    </r>
  </si>
  <si>
    <r>
      <rPr>
        <sz val="10"/>
        <rFont val="Arial MT"/>
        <family val="2"/>
      </rPr>
      <t>5.1.02.02.01.0016</t>
    </r>
  </si>
  <si>
    <r>
      <rPr>
        <sz val="10"/>
        <rFont val="Arial MT"/>
        <family val="2"/>
      </rPr>
      <t>07. 12. 04.</t>
    </r>
  </si>
  <si>
    <r>
      <rPr>
        <sz val="10"/>
        <rFont val="Arial MT"/>
        <family val="2"/>
      </rPr>
      <t>5.1.02.02.01.0030</t>
    </r>
  </si>
  <si>
    <r>
      <rPr>
        <sz val="10"/>
        <rFont val="Arial MT"/>
        <family val="2"/>
      </rPr>
      <t>06. 05. 02.</t>
    </r>
  </si>
  <si>
    <t>14/03/2025</t>
  </si>
  <si>
    <r>
      <rPr>
        <sz val="10"/>
        <rFont val="Arial"/>
        <family val="2"/>
      </rPr>
      <t>PROYEK PENGUATAN PROFIL PELAJAR PANCASILA (P5) KELAS 10 SMA</t>
    </r>
  </si>
  <si>
    <r>
      <rPr>
        <sz val="10"/>
        <rFont val="Arial"/>
        <family val="2"/>
      </rPr>
      <t>PROYEK PENGUATAN PROFIL PELAJAR PANCASILA (P5) KELAS 11 SMA</t>
    </r>
  </si>
  <si>
    <r>
      <rPr>
        <sz val="10"/>
        <rFont val="Arial"/>
        <family val="2"/>
      </rPr>
      <t>Buku Perpustakaan-Buku Perpustakaan</t>
    </r>
  </si>
  <si>
    <t>Cling</t>
  </si>
  <si>
    <t>Sunlight</t>
  </si>
  <si>
    <t>Dettol</t>
  </si>
  <si>
    <t>SOS</t>
  </si>
  <si>
    <t>Kue Besar</t>
  </si>
  <si>
    <t>Gaji Guru Tidak Tetap Sekolah</t>
  </si>
  <si>
    <t>Gaji Pegawai Tidak Tetap Sekolah</t>
  </si>
  <si>
    <t>Buku Paket</t>
  </si>
  <si>
    <t>Bola Lampu</t>
  </si>
  <si>
    <t>Super Pel</t>
  </si>
  <si>
    <t>Jasa Langganan Listrik</t>
  </si>
  <si>
    <t>Jasa Langganan Indihome</t>
  </si>
  <si>
    <t>Super Pell</t>
  </si>
  <si>
    <t>Meja Siswa</t>
  </si>
  <si>
    <t>Bayar Jasa angkut meja siswa</t>
  </si>
  <si>
    <t>Kursi Guru</t>
  </si>
  <si>
    <t>Meja Guru</t>
  </si>
  <si>
    <t>Bayar Jasa angkut kursi guru</t>
  </si>
  <si>
    <t>Langganan jasa Listrik</t>
  </si>
  <si>
    <t>Langganan jasa Indihome</t>
  </si>
  <si>
    <t>Besi</t>
  </si>
  <si>
    <t>Bayar Jasa Perbaikan</t>
  </si>
  <si>
    <t>Langanan Jasa Listrik</t>
  </si>
  <si>
    <t>Langganan Jasa Indihome</t>
  </si>
  <si>
    <t>Kategori Belanja</t>
  </si>
  <si>
    <t>Jasa Angkutan</t>
  </si>
  <si>
    <t>Honorarium</t>
  </si>
  <si>
    <t>Buku Paket Siswa dan Guru</t>
  </si>
  <si>
    <t>Peralatan Sekolah</t>
  </si>
  <si>
    <t>Bahan /Alat Pemeliharaan</t>
  </si>
  <si>
    <t>BNU01</t>
  </si>
  <si>
    <t>BNU02</t>
  </si>
  <si>
    <t>Lakban Bening Sedang</t>
  </si>
  <si>
    <t>Lakban 45 MM x 50 Meter daimaru / 2 Inch x 50 M</t>
  </si>
  <si>
    <t>Isolasi Bening Sedang Mpi Solatip 24 X 72 Yard 1 Inc</t>
  </si>
  <si>
    <t>Kertas HVS 70 gram Sinar Dunia A4, Ukuran : 8,27" x 11,69"</t>
  </si>
  <si>
    <t>Ud. BALIZATO</t>
  </si>
  <si>
    <t>CV. GORIYAKU WIRATRADE</t>
  </si>
  <si>
    <t>Pengusaha</t>
  </si>
  <si>
    <t>No HP</t>
  </si>
  <si>
    <t>ü</t>
  </si>
  <si>
    <t>Alamat Surat Balasan Toko</t>
  </si>
  <si>
    <t>Telukdalam</t>
  </si>
  <si>
    <t>Medan</t>
  </si>
  <si>
    <t>Jl. Saonigeho Km. 2 Telukdalam - Nias Selatan</t>
  </si>
  <si>
    <t>Jln Ahmad Yani No.89 Kel. Pasar Telukdalam, Nias Selatan</t>
  </si>
  <si>
    <r>
      <t xml:space="preserve">Jl. Pendidikan No. 13 Kelurahan Pasar Telukdalam Kecamatan Telukdalam Kabupaten Nias Selatan; Telp/HP: 081370904506; Kode Pos: 22865 
Email: </t>
    </r>
    <r>
      <rPr>
        <sz val="8"/>
        <color theme="8" tint="-0.249977111117893"/>
        <rFont val="Cambria"/>
        <family val="1"/>
      </rPr>
      <t>smansatelukdalam1987@gmail.com</t>
    </r>
    <r>
      <rPr>
        <sz val="8"/>
        <color theme="1"/>
        <rFont val="Cambria"/>
        <family val="1"/>
      </rPr>
      <t xml:space="preserve"> ; website: www.smansatelukdalam.sch.id
</t>
    </r>
  </si>
  <si>
    <t>Kepala SMA Negeri 1 Telukdalam</t>
  </si>
  <si>
    <t>Data Sekolah</t>
  </si>
  <si>
    <t>Nama Sekolah</t>
  </si>
  <si>
    <t>Alamat Sekolah</t>
  </si>
  <si>
    <t>NPSN</t>
  </si>
  <si>
    <t>Kepala Sekolah</t>
  </si>
  <si>
    <t>19691208 200502 2 001</t>
  </si>
  <si>
    <t>Bendahara</t>
  </si>
  <si>
    <t>19861005 201903 1 009</t>
  </si>
  <si>
    <t>19800301 201001 2 016</t>
  </si>
  <si>
    <t>Bantuan Operasional Satuan Pendidikan (BOSP) 2025</t>
  </si>
  <si>
    <t>Jl. Pendidikan No. 13 Kelurahan Pasar Telukdalam Kecamatan Teluk Dalam</t>
  </si>
  <si>
    <t>Nursari Rindu Simanullang, S.Pd., M.M.</t>
  </si>
  <si>
    <t>Estera Nehe, S.Pd.</t>
  </si>
  <si>
    <t>Uraian Kegiatan</t>
  </si>
  <si>
    <t>Jenis</t>
  </si>
  <si>
    <r>
      <rPr>
        <sz val="16"/>
        <color theme="1"/>
        <rFont val="Times New Roman"/>
        <family val="1"/>
      </rPr>
      <t>PEMERINTAH PROVINSI SUMATERA UTARA</t>
    </r>
    <r>
      <rPr>
        <sz val="16"/>
        <color theme="1"/>
        <rFont val="Cambria"/>
        <family val="1"/>
      </rPr>
      <t xml:space="preserve">
</t>
    </r>
  </si>
  <si>
    <r>
      <rPr>
        <sz val="16"/>
        <color theme="1"/>
        <rFont val="Times New Roman"/>
        <family val="1"/>
      </rPr>
      <t xml:space="preserve">PEMERINTAH PROVINSI SUMATERA UTARA
</t>
    </r>
    <r>
      <rPr>
        <sz val="16"/>
        <color theme="1"/>
        <rFont val="Cambria"/>
        <family val="1"/>
      </rPr>
      <t xml:space="preserve">
</t>
    </r>
  </si>
  <si>
    <r>
      <rPr>
        <sz val="16"/>
        <color theme="1"/>
        <rFont val="Times New Roman"/>
        <family val="1"/>
      </rPr>
      <t>PEMERINTAH PROVINSI SUMATERA UTARA</t>
    </r>
    <r>
      <rPr>
        <b/>
        <sz val="16"/>
        <color theme="1"/>
        <rFont val="Times New Roman"/>
        <family val="1"/>
      </rPr>
      <t xml:space="preserve">
</t>
    </r>
    <r>
      <rPr>
        <b/>
        <sz val="16"/>
        <color theme="1"/>
        <rFont val="Cambria"/>
        <family val="1"/>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</si>
</sst>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1" formatCode="_-* #,##0_-;\-* #,##0_-;_-* &quot;-&quot;_-;_-@_-"/>
    <numFmt numFmtId="44" formatCode="_-&quot;Rp&quot;* #,##0.00_-;\-&quot;Rp&quot;* #,##0.00_-;_-&quot;Rp&quot;* &quot;-&quot;??_-;_-@_-"/>
    <numFmt numFmtId="43" formatCode="_-* #,##0.00_-;\-* #,##0.00_-;_-* &quot;-&quot;??_-;_-@_-"/>
    <numFmt numFmtId="164" formatCode="_(* #,##0_);_(* \(#,##0\);_(* &quot;-&quot;_);_(@_)"/>
    <numFmt numFmtId="165" formatCode="dd\-mm\-yyyy;@"/>
    <numFmt numFmtId="166" formatCode="[$-F800]dddd\,\ mmmm\ dd\,\ yyyy"/>
    <numFmt numFmtId="167" formatCode="@\ * &quot;:&quot;"/>
    <numFmt numFmtId="168" formatCode="[$-421]dd\ mmmm\ yyyy;@"/>
    <numFmt numFmtId="169" formatCode="_-[$Rp-421]* #,##0_-;\-[$Rp-421]* #,##0_-;_-[$Rp-421]* &quot;-&quot;??_-;_-@_-"/>
    <numFmt numFmtId="170" formatCode="@\ * \:"/>
    <numFmt numFmtId="171" formatCode="_-* #,##0_-;\-* #,##0_-;_-* &quot;-&quot;??_-;_-@_-"/>
    <numFmt numFmtId="172" formatCode="_-[$Rp-3809]* #,##0_-;\-[$Rp-3809]* #,##0_-;_-[$Rp-3809]* &quot;-&quot;??_-;_-@_-"/>
    <numFmt numFmtId="173" formatCode="_-&quot;Rp&quot;* #,##0_-;\-&quot;Rp&quot;* #,##0_-;_-&quot;Rp&quot;* &quot;-&quot;??_-;_-@_-"/>
    <numFmt numFmtId="174" formatCode="dd/mm/yyyy;@"/>
    <numFmt numFmtId="175" formatCode="[$-13809]dd/mm/yy;@"/>
    <numFmt numFmtId="176" formatCode="[$-13809]dd/mm/yyyy;@"/>
    <numFmt numFmtId="177" formatCode="@\ * \:\ "/>
    <numFmt numFmtId="178" formatCode="0."/>
  </numFmts>
  <fonts count="132">
    <font>
      <sz val="11"/>
      <color theme="1"/>
      <name val="Calibri"/>
      <family val="2"/>
      <charset val="1"/>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charset val="1"/>
      <scheme val="minor"/>
    </font>
    <font>
      <sz val="11"/>
      <color theme="1"/>
      <name val="Calibri"/>
      <family val="2"/>
      <scheme val="minor"/>
    </font>
    <font>
      <b/>
      <sz val="10"/>
      <color rgb="FF000000"/>
      <name val="Times New Roman"/>
      <family val="1"/>
    </font>
    <font>
      <b/>
      <sz val="11"/>
      <color theme="1"/>
      <name val="Calibri"/>
      <family val="2"/>
      <scheme val="minor"/>
    </font>
    <font>
      <sz val="10"/>
      <name val="Arial MT"/>
      <family val="2"/>
    </font>
    <font>
      <sz val="10"/>
      <name val="Arial MT"/>
    </font>
    <font>
      <sz val="10"/>
      <color rgb="FF000000"/>
      <name val="Arial MT"/>
      <family val="2"/>
    </font>
    <font>
      <sz val="10"/>
      <color theme="1"/>
      <name val="Times New Roman"/>
      <family val="1"/>
    </font>
    <font>
      <sz val="11"/>
      <name val="Times New Roman"/>
      <family val="1"/>
    </font>
    <font>
      <sz val="11"/>
      <color rgb="FF000000"/>
      <name val="Times New Roman"/>
      <family val="1"/>
    </font>
    <font>
      <sz val="11"/>
      <color theme="1"/>
      <name val="Times New Roman"/>
      <family val="1"/>
    </font>
    <font>
      <sz val="8"/>
      <name val="Calibri"/>
      <family val="2"/>
      <charset val="1"/>
      <scheme val="minor"/>
    </font>
    <font>
      <sz val="10"/>
      <color rgb="FF000000"/>
      <name val="Times New Roman"/>
      <family val="1"/>
    </font>
    <font>
      <b/>
      <sz val="11"/>
      <color rgb="FF000000"/>
      <name val="Times New Roman"/>
      <family val="1"/>
    </font>
    <font>
      <b/>
      <sz val="10"/>
      <name val="Georgia"/>
      <family val="1"/>
    </font>
    <font>
      <sz val="10"/>
      <color rgb="FF000000"/>
      <name val="Times New Roman"/>
      <family val="1"/>
      <charset val="1"/>
    </font>
    <font>
      <b/>
      <sz val="11"/>
      <color theme="1"/>
      <name val="Times New Roman"/>
      <family val="1"/>
    </font>
    <font>
      <b/>
      <sz val="11"/>
      <name val="Times New Roman"/>
      <family val="1"/>
    </font>
    <font>
      <sz val="8"/>
      <color theme="1"/>
      <name val="Times New Roman"/>
      <family val="1"/>
    </font>
    <font>
      <b/>
      <u/>
      <sz val="11"/>
      <color theme="1"/>
      <name val="Times New Roman"/>
      <family val="1"/>
    </font>
    <font>
      <b/>
      <sz val="10"/>
      <color theme="1"/>
      <name val="Times New Roman"/>
      <family val="1"/>
    </font>
    <font>
      <b/>
      <sz val="12"/>
      <color theme="1"/>
      <name val="Times New Roman"/>
      <family val="1"/>
    </font>
    <font>
      <sz val="9"/>
      <color theme="1"/>
      <name val="Times New Roman"/>
      <family val="1"/>
    </font>
    <font>
      <sz val="12"/>
      <color theme="1"/>
      <name val="Times New Roman"/>
      <family val="1"/>
    </font>
    <font>
      <b/>
      <sz val="12"/>
      <color theme="1"/>
      <name val="Calibri"/>
      <family val="2"/>
      <scheme val="minor"/>
    </font>
    <font>
      <sz val="10"/>
      <name val="Times New Roman"/>
      <family val="1"/>
    </font>
    <font>
      <sz val="10"/>
      <name val="Georgia"/>
      <family val="1"/>
    </font>
    <font>
      <b/>
      <sz val="16"/>
      <color rgb="FF000000"/>
      <name val="Times New Roman"/>
      <family val="1"/>
    </font>
    <font>
      <b/>
      <u/>
      <sz val="12"/>
      <color theme="1"/>
      <name val="Times New Roman"/>
      <family val="1"/>
    </font>
    <font>
      <b/>
      <sz val="14"/>
      <color theme="1"/>
      <name val="Calibri"/>
      <family val="2"/>
      <scheme val="minor"/>
    </font>
    <font>
      <b/>
      <sz val="14"/>
      <color theme="1"/>
      <name val="Times New Roman"/>
      <family val="1"/>
    </font>
    <font>
      <b/>
      <sz val="8"/>
      <color theme="1"/>
      <name val="Arial"/>
      <family val="2"/>
    </font>
    <font>
      <b/>
      <sz val="20"/>
      <color theme="1"/>
      <name val="Times New Roman"/>
      <family val="1"/>
    </font>
    <font>
      <b/>
      <i/>
      <sz val="11"/>
      <color theme="1"/>
      <name val="Times New Roman"/>
      <family val="1"/>
    </font>
    <font>
      <sz val="11"/>
      <color rgb="FF000000"/>
      <name val="Times New Roman"/>
      <family val="1"/>
      <charset val="1"/>
    </font>
    <font>
      <b/>
      <u/>
      <sz val="16"/>
      <color theme="1"/>
      <name val="Times New Roman"/>
      <family val="1"/>
    </font>
    <font>
      <sz val="12"/>
      <color rgb="FF000000"/>
      <name val="Times New Roman"/>
      <family val="1"/>
    </font>
    <font>
      <u/>
      <sz val="12"/>
      <color theme="1"/>
      <name val="Times New Roman"/>
      <family val="1"/>
    </font>
    <font>
      <b/>
      <sz val="10"/>
      <name val="Georgia"/>
      <family val="1"/>
      <charset val="1"/>
    </font>
    <font>
      <b/>
      <sz val="12"/>
      <name val="Times New Roman"/>
      <family val="1"/>
      <charset val="1"/>
    </font>
    <font>
      <b/>
      <sz val="16"/>
      <name val="Georgia"/>
      <family val="1"/>
    </font>
    <font>
      <b/>
      <u/>
      <sz val="12"/>
      <color rgb="FF000000"/>
      <name val="Times New Roman"/>
      <family val="1"/>
    </font>
    <font>
      <sz val="12"/>
      <name val="Times New Roman"/>
      <family val="1"/>
    </font>
    <font>
      <sz val="11"/>
      <name val="Georgia"/>
      <family val="1"/>
      <charset val="1"/>
    </font>
    <font>
      <sz val="11"/>
      <name val="Times New Roman"/>
      <family val="1"/>
      <charset val="1"/>
    </font>
    <font>
      <b/>
      <sz val="14"/>
      <color rgb="FF000000"/>
      <name val="Times New Roman"/>
      <family val="1"/>
    </font>
    <font>
      <b/>
      <sz val="18"/>
      <color theme="1"/>
      <name val="Times New Roman"/>
      <family val="1"/>
    </font>
    <font>
      <sz val="12"/>
      <color theme="1"/>
      <name val="Calibri"/>
      <family val="2"/>
      <scheme val="minor"/>
    </font>
    <font>
      <b/>
      <i/>
      <sz val="18"/>
      <color rgb="FF000000"/>
      <name val="Times New Roman"/>
      <family val="1"/>
    </font>
    <font>
      <b/>
      <sz val="10"/>
      <name val="Times New Roman"/>
      <family val="1"/>
    </font>
    <font>
      <b/>
      <sz val="8"/>
      <color theme="1"/>
      <name val="Times New Roman"/>
      <family val="1"/>
    </font>
    <font>
      <b/>
      <u/>
      <sz val="11"/>
      <color rgb="FF000000"/>
      <name val="Times New Roman"/>
      <family val="1"/>
    </font>
    <font>
      <b/>
      <u/>
      <sz val="10"/>
      <color rgb="FF000000"/>
      <name val="Times New Roman"/>
      <family val="1"/>
    </font>
    <font>
      <b/>
      <u/>
      <sz val="10"/>
      <color theme="1"/>
      <name val="Times New Roman"/>
      <family val="1"/>
    </font>
    <font>
      <b/>
      <i/>
      <sz val="16"/>
      <color rgb="FF000000"/>
      <name val="Times New Roman"/>
      <family val="1"/>
    </font>
    <font>
      <b/>
      <i/>
      <sz val="14"/>
      <color theme="1"/>
      <name val="Calibri"/>
      <family val="2"/>
      <scheme val="minor"/>
    </font>
    <font>
      <b/>
      <i/>
      <sz val="10"/>
      <color theme="1"/>
      <name val="Times New Roman"/>
      <family val="1"/>
    </font>
    <font>
      <u/>
      <sz val="11"/>
      <color theme="1"/>
      <name val="Times New Roman"/>
      <family val="1"/>
    </font>
    <font>
      <b/>
      <sz val="12"/>
      <color rgb="FF000000"/>
      <name val="Times New Roman"/>
      <family val="1"/>
    </font>
    <font>
      <sz val="10"/>
      <color rgb="FF000000"/>
      <name val="Arial MT"/>
    </font>
    <font>
      <sz val="10"/>
      <color rgb="FF1C1C1C"/>
      <name val="Inherit"/>
    </font>
    <font>
      <b/>
      <sz val="9"/>
      <color rgb="FF000000"/>
      <name val="Times New Roman"/>
      <family val="1"/>
    </font>
    <font>
      <sz val="9"/>
      <color rgb="FF000000"/>
      <name val="Times New Roman"/>
      <family val="1"/>
    </font>
    <font>
      <sz val="10"/>
      <color theme="1"/>
      <name val="Arial MT"/>
      <family val="2"/>
    </font>
    <font>
      <sz val="10"/>
      <color theme="1"/>
      <name val="Arial MT"/>
    </font>
    <font>
      <b/>
      <sz val="19"/>
      <color theme="1"/>
      <name val="Times New Roman"/>
      <family val="1"/>
    </font>
    <font>
      <sz val="11"/>
      <color theme="0"/>
      <name val="Times New Roman"/>
      <family val="1"/>
    </font>
    <font>
      <b/>
      <sz val="36"/>
      <color rgb="FF000000"/>
      <name val="Times New Roman"/>
      <family val="1"/>
    </font>
    <font>
      <sz val="11"/>
      <name val="Arial MT"/>
    </font>
    <font>
      <sz val="10"/>
      <name val="Liberation Sans Narrow"/>
    </font>
    <font>
      <sz val="10"/>
      <name val="Liberation Sans Narrow"/>
      <family val="2"/>
    </font>
    <font>
      <sz val="10"/>
      <color rgb="FF000000"/>
      <name val="Liberation Sans Narrow"/>
      <family val="2"/>
    </font>
    <font>
      <b/>
      <sz val="10"/>
      <color rgb="FF767676"/>
      <name val="Arial"/>
      <family val="2"/>
    </font>
    <font>
      <sz val="10"/>
      <color rgb="FF474747"/>
      <name val="Arial"/>
      <family val="2"/>
    </font>
    <font>
      <sz val="11"/>
      <color rgb="FF474747"/>
      <name val="Arial"/>
      <family val="2"/>
    </font>
    <font>
      <b/>
      <sz val="11"/>
      <color rgb="FF767676"/>
      <name val="Arial"/>
      <family val="2"/>
    </font>
    <font>
      <sz val="10"/>
      <color rgb="FF040C28"/>
      <name val="Arial"/>
      <family val="2"/>
    </font>
    <font>
      <sz val="10"/>
      <color theme="0"/>
      <name val="Times New Roman"/>
      <family val="1"/>
    </font>
    <font>
      <b/>
      <i/>
      <sz val="22"/>
      <color theme="1"/>
      <name val="Times New Roman"/>
      <family val="1"/>
    </font>
    <font>
      <b/>
      <i/>
      <sz val="9"/>
      <color theme="1"/>
      <name val="Calibri"/>
      <family val="2"/>
      <scheme val="minor"/>
    </font>
    <font>
      <sz val="10"/>
      <color theme="1"/>
      <name val="Arial"/>
      <family val="2"/>
    </font>
    <font>
      <sz val="10"/>
      <color theme="1"/>
      <name val="Calibri "/>
    </font>
    <font>
      <sz val="18"/>
      <color theme="1"/>
      <name val="Times New Roman"/>
      <family val="1"/>
    </font>
    <font>
      <b/>
      <sz val="24"/>
      <color rgb="FF000000"/>
      <name val="Times New Roman"/>
      <family val="1"/>
    </font>
    <font>
      <b/>
      <i/>
      <u/>
      <sz val="11"/>
      <color theme="1"/>
      <name val="Times New Roman"/>
      <family val="1"/>
    </font>
    <font>
      <b/>
      <u/>
      <sz val="14"/>
      <color theme="1"/>
      <name val="Times New Roman"/>
      <family val="1"/>
    </font>
    <font>
      <b/>
      <u/>
      <sz val="11"/>
      <name val="Times New Roman"/>
      <family val="1"/>
    </font>
    <font>
      <b/>
      <sz val="16"/>
      <color theme="1"/>
      <name val="Times New Roman"/>
      <family val="1"/>
    </font>
    <font>
      <b/>
      <sz val="18"/>
      <color theme="1"/>
      <name val="Cambria"/>
      <family val="1"/>
    </font>
    <font>
      <b/>
      <sz val="10"/>
      <name val="Arial"/>
      <family val="2"/>
    </font>
    <font>
      <b/>
      <sz val="10"/>
      <name val="Arial Narrow"/>
      <family val="2"/>
    </font>
    <font>
      <b/>
      <sz val="9"/>
      <name val="Arial"/>
      <family val="2"/>
    </font>
    <font>
      <sz val="10"/>
      <color rgb="FF000000"/>
      <name val="Arial"/>
      <family val="2"/>
    </font>
    <font>
      <sz val="10"/>
      <name val="Arial Narrow"/>
      <family val="2"/>
    </font>
    <font>
      <sz val="10"/>
      <name val="Arial"/>
      <family val="2"/>
    </font>
    <font>
      <sz val="10"/>
      <name val="Arial"/>
      <family val="2"/>
      <charset val="1"/>
    </font>
    <font>
      <sz val="11"/>
      <color theme="1"/>
      <name val="Wingdings"/>
      <charset val="2"/>
    </font>
    <font>
      <sz val="16"/>
      <color theme="1"/>
      <name val="Times New Roman"/>
      <family val="1"/>
      <charset val="1"/>
    </font>
    <font>
      <sz val="16"/>
      <color theme="1"/>
      <name val="Times New Roman"/>
      <family val="1"/>
    </font>
    <font>
      <b/>
      <sz val="16"/>
      <color theme="1"/>
      <name val="Cambria"/>
      <family val="1"/>
    </font>
    <font>
      <b/>
      <sz val="10"/>
      <color theme="1"/>
      <name val="Cambria"/>
      <family val="1"/>
    </font>
    <font>
      <sz val="8"/>
      <color theme="1"/>
      <name val="Cambria"/>
      <family val="1"/>
    </font>
    <font>
      <sz val="8"/>
      <color theme="8" tint="-0.249977111117893"/>
      <name val="Cambria"/>
      <family val="1"/>
    </font>
    <font>
      <b/>
      <sz val="34"/>
      <color theme="1"/>
      <name val="Times New Roman"/>
      <family val="1"/>
    </font>
    <font>
      <b/>
      <sz val="11"/>
      <color theme="1"/>
      <name val="Cambria"/>
      <family val="1"/>
    </font>
    <font>
      <sz val="11"/>
      <color theme="1"/>
      <name val="Cambria"/>
      <family val="1"/>
    </font>
    <font>
      <sz val="10"/>
      <color theme="1"/>
      <name val="Cambria"/>
      <family val="1"/>
    </font>
    <font>
      <sz val="11"/>
      <color rgb="FF000000"/>
      <name val="Cambria"/>
      <family val="1"/>
    </font>
    <font>
      <b/>
      <sz val="9"/>
      <name val="Times New Roman"/>
      <family val="1"/>
    </font>
    <font>
      <b/>
      <i/>
      <sz val="12"/>
      <color theme="1"/>
      <name val="Times New Roman"/>
      <family val="1"/>
    </font>
    <font>
      <b/>
      <i/>
      <sz val="16"/>
      <color theme="1"/>
      <name val="Times New Roman"/>
      <family val="1"/>
    </font>
    <font>
      <b/>
      <sz val="16"/>
      <color rgb="FFFF0000"/>
      <name val="Times New Roman"/>
      <family val="1"/>
    </font>
    <font>
      <b/>
      <sz val="16"/>
      <color theme="0"/>
      <name val="Times New Roman"/>
      <family val="1"/>
    </font>
    <font>
      <b/>
      <sz val="16"/>
      <color rgb="FFC00000"/>
      <name val="Times New Roman"/>
      <family val="1"/>
    </font>
    <font>
      <sz val="18"/>
      <color rgb="FFC00000"/>
      <name val="Times New Roman"/>
      <family val="1"/>
    </font>
    <font>
      <sz val="18"/>
      <color theme="0"/>
      <name val="Times New Roman"/>
      <family val="1"/>
    </font>
    <font>
      <b/>
      <i/>
      <sz val="20"/>
      <color rgb="FF000000"/>
      <name val="Times New Roman"/>
      <family val="1"/>
    </font>
    <font>
      <b/>
      <sz val="20"/>
      <color rgb="FFC00000"/>
      <name val="Times New Roman"/>
      <family val="1"/>
    </font>
    <font>
      <b/>
      <sz val="20"/>
      <color theme="0"/>
      <name val="Times New Roman"/>
      <family val="1"/>
    </font>
    <font>
      <b/>
      <i/>
      <sz val="20"/>
      <color theme="1"/>
      <name val="Times New Roman"/>
      <family val="1"/>
    </font>
    <font>
      <sz val="20"/>
      <color theme="0"/>
      <name val="Times New Roman"/>
      <family val="1"/>
    </font>
    <font>
      <sz val="20"/>
      <color rgb="FFC00000"/>
      <name val="Times New Roman"/>
      <family val="1"/>
    </font>
    <font>
      <sz val="16"/>
      <color theme="1"/>
      <name val="Cambria"/>
      <family val="1"/>
    </font>
    <font>
      <b/>
      <sz val="16"/>
      <color theme="1"/>
      <name val="Times New Roman"/>
      <family val="1"/>
      <charset val="1"/>
    </font>
  </fonts>
  <fills count="23">
    <fill>
      <patternFill patternType="none"/>
    </fill>
    <fill>
      <patternFill patternType="gray125"/>
    </fill>
    <fill>
      <patternFill patternType="solid">
        <fgColor rgb="FF92D050"/>
        <bgColor indexed="64"/>
      </patternFill>
    </fill>
    <fill>
      <patternFill patternType="solid">
        <fgColor theme="5" tint="0.39997558519241921"/>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0"/>
        <bgColor indexed="64"/>
      </patternFill>
    </fill>
    <fill>
      <patternFill patternType="solid">
        <fgColor rgb="FF00B0F0"/>
        <bgColor indexed="64"/>
      </patternFill>
    </fill>
    <fill>
      <patternFill patternType="solid">
        <fgColor rgb="FFFF000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5"/>
        <bgColor indexed="64"/>
      </patternFill>
    </fill>
    <fill>
      <patternFill patternType="solid">
        <fgColor theme="9" tint="0.79998168889431442"/>
        <bgColor indexed="64"/>
      </patternFill>
    </fill>
    <fill>
      <patternFill patternType="solid">
        <fgColor rgb="FF50F828"/>
        <bgColor indexed="64"/>
      </patternFill>
    </fill>
    <fill>
      <patternFill patternType="solid">
        <fgColor theme="6" tint="-0.249977111117893"/>
        <bgColor indexed="64"/>
      </patternFill>
    </fill>
    <fill>
      <patternFill patternType="solid">
        <fgColor theme="2"/>
        <bgColor indexed="64"/>
      </patternFill>
    </fill>
    <fill>
      <patternFill patternType="solid">
        <fgColor theme="6"/>
        <bgColor indexed="64"/>
      </patternFill>
    </fill>
    <fill>
      <patternFill patternType="solid">
        <fgColor theme="4" tint="0.59999389629810485"/>
        <bgColor indexed="64"/>
      </patternFill>
    </fill>
  </fills>
  <borders count="7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style="thin">
        <color auto="1"/>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rgb="FF000000"/>
      </left>
      <right/>
      <top style="thin">
        <color indexed="64"/>
      </top>
      <bottom/>
      <diagonal/>
    </border>
    <border>
      <left style="thick">
        <color indexed="64"/>
      </left>
      <right style="thin">
        <color indexed="64"/>
      </right>
      <top style="thin">
        <color indexed="64"/>
      </top>
      <bottom/>
      <diagonal/>
    </border>
    <border>
      <left style="thin">
        <color auto="1"/>
      </left>
      <right style="thick">
        <color indexed="64"/>
      </right>
      <top style="thin">
        <color auto="1"/>
      </top>
      <bottom style="thin">
        <color auto="1"/>
      </bottom>
      <diagonal/>
    </border>
    <border>
      <left/>
      <right/>
      <top/>
      <bottom style="double">
        <color auto="1"/>
      </bottom>
      <diagonal/>
    </border>
    <border>
      <left style="thick">
        <color auto="1"/>
      </left>
      <right/>
      <top/>
      <bottom style="thin">
        <color indexed="64"/>
      </bottom>
      <diagonal/>
    </border>
    <border>
      <left/>
      <right style="thick">
        <color auto="1"/>
      </right>
      <top style="thin">
        <color indexed="64"/>
      </top>
      <bottom style="thin">
        <color indexed="64"/>
      </bottom>
      <diagonal/>
    </border>
    <border>
      <left/>
      <right/>
      <top style="thin">
        <color rgb="FF000000"/>
      </top>
      <bottom style="thin">
        <color rgb="FF000000"/>
      </bottom>
      <diagonal/>
    </border>
    <border>
      <left/>
      <right/>
      <top style="thin">
        <color indexed="64"/>
      </top>
      <bottom style="thin">
        <color rgb="FF000000"/>
      </bottom>
      <diagonal/>
    </border>
    <border>
      <left style="thin">
        <color rgb="FF000000"/>
      </left>
      <right/>
      <top style="thin">
        <color rgb="FF000000"/>
      </top>
      <bottom style="thin">
        <color auto="1"/>
      </bottom>
      <diagonal/>
    </border>
    <border>
      <left/>
      <right style="thin">
        <color rgb="FF000000"/>
      </right>
      <top style="thin">
        <color rgb="FF000000"/>
      </top>
      <bottom style="thin">
        <color auto="1"/>
      </bottom>
      <diagonal/>
    </border>
    <border>
      <left style="thick">
        <color indexed="64"/>
      </left>
      <right/>
      <top style="thin">
        <color indexed="64"/>
      </top>
      <bottom style="thin">
        <color auto="1"/>
      </bottom>
      <diagonal/>
    </border>
    <border>
      <left style="thin">
        <color auto="1"/>
      </left>
      <right style="thin">
        <color auto="1"/>
      </right>
      <top/>
      <bottom style="thin">
        <color auto="1"/>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auto="1"/>
      </left>
      <right/>
      <top style="thin">
        <color auto="1"/>
      </top>
      <bottom/>
      <diagonal/>
    </border>
    <border>
      <left/>
      <right/>
      <top style="thick">
        <color indexed="64"/>
      </top>
      <bottom style="thin">
        <color indexed="64"/>
      </bottom>
      <diagonal/>
    </border>
    <border>
      <left style="thin">
        <color auto="1"/>
      </left>
      <right style="thin">
        <color auto="1"/>
      </right>
      <top style="thick">
        <color auto="1"/>
      </top>
      <bottom style="thin">
        <color auto="1"/>
      </bottom>
      <diagonal/>
    </border>
    <border>
      <left/>
      <right style="thin">
        <color auto="1"/>
      </right>
      <top/>
      <bottom style="thick">
        <color indexed="64"/>
      </bottom>
      <diagonal/>
    </border>
    <border>
      <left style="thin">
        <color auto="1"/>
      </left>
      <right style="thin">
        <color auto="1"/>
      </right>
      <top/>
      <bottom/>
      <diagonal/>
    </border>
    <border>
      <left/>
      <right style="thick">
        <color auto="1"/>
      </right>
      <top style="thin">
        <color auto="1"/>
      </top>
      <bottom/>
      <diagonal/>
    </border>
    <border>
      <left style="thick">
        <color indexed="64"/>
      </left>
      <right style="thin">
        <color indexed="64"/>
      </right>
      <top/>
      <bottom style="thick">
        <color indexed="64"/>
      </bottom>
      <diagonal/>
    </border>
    <border>
      <left style="thin">
        <color auto="1"/>
      </left>
      <right style="thin">
        <color auto="1"/>
      </right>
      <top/>
      <bottom style="thick">
        <color indexed="64"/>
      </bottom>
      <diagonal/>
    </border>
    <border>
      <left style="thin">
        <color auto="1"/>
      </left>
      <right/>
      <top/>
      <bottom style="thick">
        <color indexed="64"/>
      </bottom>
      <diagonal/>
    </border>
    <border>
      <left style="thin">
        <color rgb="FF000000"/>
      </left>
      <right style="thin">
        <color rgb="FF000000"/>
      </right>
      <top style="thin">
        <color rgb="FF000000"/>
      </top>
      <bottom/>
      <diagonal/>
    </border>
    <border>
      <left style="thin">
        <color rgb="FF000000"/>
      </left>
      <right style="thin">
        <color indexed="64"/>
      </right>
      <top style="thin">
        <color rgb="FF000000"/>
      </top>
      <bottom/>
      <diagonal/>
    </border>
    <border>
      <left style="thin">
        <color indexed="64"/>
      </left>
      <right style="thin">
        <color rgb="FF000000"/>
      </right>
      <top style="thin">
        <color rgb="FF000000"/>
      </top>
      <bottom/>
      <diagonal/>
    </border>
    <border>
      <left style="thin">
        <color rgb="FF000000"/>
      </left>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indexed="64"/>
      </right>
      <top/>
      <bottom style="thin">
        <color rgb="FF000000"/>
      </bottom>
      <diagonal/>
    </border>
    <border>
      <left style="thin">
        <color indexed="64"/>
      </left>
      <right style="thin">
        <color indexed="64"/>
      </right>
      <top/>
      <bottom style="thin">
        <color rgb="FF000000"/>
      </bottom>
      <diagonal/>
    </border>
    <border>
      <left style="thin">
        <color indexed="64"/>
      </left>
      <right style="thin">
        <color rgb="FF000000"/>
      </right>
      <top/>
      <bottom style="thin">
        <color rgb="FF000000"/>
      </bottom>
      <diagonal/>
    </border>
    <border>
      <left/>
      <right/>
      <top style="thin">
        <color rgb="FF000000"/>
      </top>
      <bottom/>
      <diagonal/>
    </border>
    <border>
      <left/>
      <right/>
      <top/>
      <bottom style="thin">
        <color rgb="FF000000"/>
      </bottom>
      <diagonal/>
    </border>
    <border>
      <left style="thick">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right style="thin">
        <color indexed="64"/>
      </right>
      <top style="thick">
        <color indexed="64"/>
      </top>
      <bottom style="thin">
        <color indexed="64"/>
      </bottom>
      <diagonal/>
    </border>
    <border>
      <left/>
      <right style="thick">
        <color auto="1"/>
      </right>
      <top style="thick">
        <color indexed="64"/>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0">
    <xf numFmtId="0" fontId="0" fillId="0" borderId="0"/>
    <xf numFmtId="43" fontId="8" fillId="0" borderId="0" applyFont="0" applyFill="0" applyBorder="0" applyAlignment="0" applyProtection="0"/>
    <xf numFmtId="0" fontId="9" fillId="0" borderId="0"/>
    <xf numFmtId="0" fontId="8" fillId="0" borderId="0"/>
    <xf numFmtId="0" fontId="8" fillId="0" borderId="0"/>
    <xf numFmtId="0" fontId="8" fillId="0" borderId="0"/>
    <xf numFmtId="0" fontId="20" fillId="0" borderId="0"/>
    <xf numFmtId="0" fontId="20" fillId="0" borderId="0"/>
    <xf numFmtId="44" fontId="20" fillId="0" borderId="0" applyFont="0" applyFill="0" applyBorder="0" applyAlignment="0" applyProtection="0"/>
    <xf numFmtId="0" fontId="9" fillId="0" borderId="0"/>
    <xf numFmtId="41" fontId="9" fillId="0" borderId="0" applyFont="0" applyFill="0" applyBorder="0" applyAlignment="0" applyProtection="0"/>
    <xf numFmtId="44" fontId="8" fillId="0" borderId="0" applyFont="0" applyFill="0" applyBorder="0" applyAlignment="0" applyProtection="0"/>
    <xf numFmtId="0" fontId="7" fillId="0" borderId="0"/>
    <xf numFmtId="0" fontId="6" fillId="0" borderId="0"/>
    <xf numFmtId="164" fontId="8" fillId="0" borderId="0" applyFont="0" applyFill="0" applyBorder="0" applyAlignment="0" applyProtection="0"/>
    <xf numFmtId="0" fontId="6" fillId="0" borderId="0"/>
    <xf numFmtId="41" fontId="8" fillId="0" borderId="0" applyFont="0" applyFill="0" applyBorder="0" applyAlignment="0" applyProtection="0"/>
    <xf numFmtId="0" fontId="20" fillId="0" borderId="0"/>
    <xf numFmtId="0" fontId="3" fillId="0" borderId="0"/>
    <xf numFmtId="0" fontId="3" fillId="0" borderId="0"/>
  </cellStyleXfs>
  <cellXfs count="1221">
    <xf numFmtId="0" fontId="0" fillId="0" borderId="0" xfId="0"/>
    <xf numFmtId="0" fontId="20" fillId="0" borderId="0" xfId="6" applyAlignment="1">
      <alignment vertical="top"/>
    </xf>
    <xf numFmtId="0" fontId="20" fillId="0" borderId="0" xfId="6" applyAlignment="1">
      <alignment horizontal="left" vertical="top"/>
    </xf>
    <xf numFmtId="0" fontId="20" fillId="0" borderId="0" xfId="6" applyAlignment="1">
      <alignment horizontal="center" vertical="center"/>
    </xf>
    <xf numFmtId="0" fontId="20" fillId="0" borderId="0" xfId="6" applyAlignment="1">
      <alignment horizontal="left" vertical="center"/>
    </xf>
    <xf numFmtId="0" fontId="20" fillId="0" borderId="0" xfId="6" applyAlignment="1">
      <alignment vertical="center"/>
    </xf>
    <xf numFmtId="0" fontId="18" fillId="0" borderId="0" xfId="9" applyFont="1"/>
    <xf numFmtId="0" fontId="26" fillId="0" borderId="0" xfId="9" applyFont="1"/>
    <xf numFmtId="0" fontId="9" fillId="0" borderId="0" xfId="9"/>
    <xf numFmtId="0" fontId="31" fillId="0" borderId="0" xfId="9" applyFont="1"/>
    <xf numFmtId="0" fontId="31" fillId="0" borderId="21" xfId="9" applyFont="1" applyBorder="1"/>
    <xf numFmtId="0" fontId="11" fillId="0" borderId="0" xfId="9" applyFont="1"/>
    <xf numFmtId="0" fontId="18" fillId="0" borderId="0" xfId="9" applyFont="1" applyAlignment="1">
      <alignment vertical="center"/>
    </xf>
    <xf numFmtId="0" fontId="24" fillId="0" borderId="0" xfId="9" applyFont="1" applyAlignment="1">
      <alignment vertical="center"/>
    </xf>
    <xf numFmtId="0" fontId="16" fillId="0" borderId="1" xfId="9" applyFont="1" applyBorder="1"/>
    <xf numFmtId="0" fontId="31" fillId="0" borderId="1" xfId="9" applyFont="1" applyBorder="1" applyAlignment="1">
      <alignment vertical="center"/>
    </xf>
    <xf numFmtId="0" fontId="31" fillId="0" borderId="24" xfId="9" applyFont="1" applyBorder="1" applyAlignment="1">
      <alignment vertical="center"/>
    </xf>
    <xf numFmtId="0" fontId="12" fillId="0" borderId="28" xfId="9" applyFont="1" applyBorder="1" applyAlignment="1">
      <alignment vertical="top"/>
    </xf>
    <xf numFmtId="0" fontId="13" fillId="0" borderId="14" xfId="9" applyFont="1" applyBorder="1" applyAlignment="1">
      <alignment vertical="top"/>
    </xf>
    <xf numFmtId="0" fontId="13" fillId="0" borderId="12" xfId="9" applyFont="1" applyBorder="1" applyAlignment="1">
      <alignment vertical="top"/>
    </xf>
    <xf numFmtId="0" fontId="12" fillId="0" borderId="8" xfId="9" applyFont="1" applyBorder="1" applyAlignment="1">
      <alignment vertical="top"/>
    </xf>
    <xf numFmtId="0" fontId="13" fillId="0" borderId="0" xfId="9" applyFont="1" applyAlignment="1">
      <alignment vertical="top"/>
    </xf>
    <xf numFmtId="0" fontId="13" fillId="0" borderId="15" xfId="9" applyFont="1" applyBorder="1" applyAlignment="1">
      <alignment vertical="top"/>
    </xf>
    <xf numFmtId="0" fontId="13" fillId="0" borderId="8" xfId="9" applyFont="1" applyBorder="1" applyAlignment="1">
      <alignment vertical="top"/>
    </xf>
    <xf numFmtId="170" fontId="24" fillId="0" borderId="14" xfId="9" applyNumberFormat="1" applyFont="1" applyBorder="1" applyAlignment="1">
      <alignment horizontal="center" vertical="top"/>
    </xf>
    <xf numFmtId="1" fontId="15" fillId="0" borderId="0" xfId="9" applyNumberFormat="1" applyFont="1" applyAlignment="1">
      <alignment vertical="center" wrapText="1"/>
    </xf>
    <xf numFmtId="168" fontId="15" fillId="0" borderId="0" xfId="9" applyNumberFormat="1" applyFont="1" applyAlignment="1">
      <alignment vertical="center" wrapText="1"/>
    </xf>
    <xf numFmtId="0" fontId="27" fillId="0" borderId="0" xfId="0" applyFont="1" applyAlignment="1">
      <alignment vertical="center"/>
    </xf>
    <xf numFmtId="0" fontId="18" fillId="0" borderId="0" xfId="0" applyFont="1" applyAlignment="1">
      <alignment vertical="center"/>
    </xf>
    <xf numFmtId="0" fontId="18" fillId="0" borderId="0" xfId="0" applyFont="1"/>
    <xf numFmtId="171" fontId="20" fillId="0" borderId="0" xfId="1" quotePrefix="1" applyNumberFormat="1" applyFont="1" applyBorder="1" applyAlignment="1">
      <alignment horizontal="left" vertical="top"/>
    </xf>
    <xf numFmtId="0" fontId="0" fillId="2" borderId="0" xfId="0" applyFill="1"/>
    <xf numFmtId="0" fontId="0" fillId="4" borderId="0" xfId="0" applyFill="1"/>
    <xf numFmtId="0" fontId="0" fillId="5" borderId="0" xfId="0" applyFill="1"/>
    <xf numFmtId="0" fontId="0" fillId="7" borderId="0" xfId="0" applyFill="1"/>
    <xf numFmtId="0" fontId="0" fillId="8" borderId="0" xfId="0" applyFill="1"/>
    <xf numFmtId="0" fontId="0" fillId="9" borderId="0" xfId="0" applyFill="1"/>
    <xf numFmtId="0" fontId="18" fillId="0" borderId="0" xfId="3" applyFont="1"/>
    <xf numFmtId="0" fontId="18" fillId="0" borderId="0" xfId="3" applyFont="1" applyAlignment="1">
      <alignment horizontal="left"/>
    </xf>
    <xf numFmtId="0" fontId="27" fillId="0" borderId="0" xfId="3" applyFont="1" applyAlignment="1">
      <alignment horizontal="center"/>
    </xf>
    <xf numFmtId="0" fontId="24" fillId="0" borderId="0" xfId="0" applyFont="1" applyAlignment="1">
      <alignment vertical="center"/>
    </xf>
    <xf numFmtId="0" fontId="46" fillId="0" borderId="1" xfId="6" applyFont="1" applyBorder="1" applyAlignment="1">
      <alignment horizontal="center" vertical="center" wrapText="1"/>
    </xf>
    <xf numFmtId="0" fontId="23" fillId="0" borderId="0" xfId="7" applyFont="1" applyAlignment="1">
      <alignment vertical="top" wrapText="1"/>
    </xf>
    <xf numFmtId="166" fontId="42" fillId="0" borderId="0" xfId="6" quotePrefix="1" applyNumberFormat="1" applyFont="1" applyAlignment="1">
      <alignment horizontal="center" vertical="center"/>
    </xf>
    <xf numFmtId="0" fontId="42" fillId="0" borderId="0" xfId="6" applyFont="1" applyAlignment="1">
      <alignment vertical="top"/>
    </xf>
    <xf numFmtId="166" fontId="42" fillId="0" borderId="0" xfId="6" applyNumberFormat="1" applyFont="1" applyAlignment="1">
      <alignment horizontal="left" vertical="top"/>
    </xf>
    <xf numFmtId="0" fontId="42" fillId="0" borderId="0" xfId="6" applyFont="1" applyAlignment="1">
      <alignment horizontal="left" vertical="top"/>
    </xf>
    <xf numFmtId="168" fontId="42" fillId="0" borderId="0" xfId="6" applyNumberFormat="1" applyFont="1" applyAlignment="1">
      <alignment horizontal="left" vertical="top"/>
    </xf>
    <xf numFmtId="0" fontId="42" fillId="0" borderId="0" xfId="6" applyFont="1" applyAlignment="1">
      <alignment horizontal="center"/>
    </xf>
    <xf numFmtId="0" fontId="42" fillId="0" borderId="0" xfId="6" quotePrefix="1" applyFont="1" applyAlignment="1">
      <alignment horizontal="left" vertical="top"/>
    </xf>
    <xf numFmtId="0" fontId="17" fillId="0" borderId="0" xfId="6" applyFont="1" applyAlignment="1">
      <alignment horizontal="center" vertical="top"/>
    </xf>
    <xf numFmtId="0" fontId="17" fillId="0" borderId="0" xfId="6" applyFont="1" applyAlignment="1">
      <alignment vertical="top"/>
    </xf>
    <xf numFmtId="0" fontId="17" fillId="0" borderId="0" xfId="6" applyFont="1" applyAlignment="1">
      <alignment horizontal="left" vertical="top"/>
    </xf>
    <xf numFmtId="166" fontId="17" fillId="0" borderId="0" xfId="6" applyNumberFormat="1" applyFont="1" applyAlignment="1">
      <alignment vertical="top"/>
    </xf>
    <xf numFmtId="0" fontId="17" fillId="0" borderId="0" xfId="6" applyFont="1" applyAlignment="1">
      <alignment horizontal="center" vertical="center"/>
    </xf>
    <xf numFmtId="0" fontId="17" fillId="0" borderId="0" xfId="6" applyFont="1" applyAlignment="1">
      <alignment vertical="center"/>
    </xf>
    <xf numFmtId="0" fontId="17" fillId="0" borderId="0" xfId="6" applyFont="1" applyAlignment="1">
      <alignment horizontal="left" vertical="center"/>
    </xf>
    <xf numFmtId="0" fontId="18" fillId="0" borderId="0" xfId="0" applyFont="1" applyAlignment="1">
      <alignment horizontal="center" vertical="center"/>
    </xf>
    <xf numFmtId="0" fontId="18" fillId="0" borderId="0" xfId="0" applyFont="1" applyAlignment="1">
      <alignment horizontal="center"/>
    </xf>
    <xf numFmtId="0" fontId="42" fillId="0" borderId="0" xfId="6" applyFont="1" applyAlignment="1">
      <alignment vertical="top" wrapText="1"/>
    </xf>
    <xf numFmtId="0" fontId="23" fillId="0" borderId="0" xfId="7" applyFont="1" applyAlignment="1">
      <alignment horizontal="left" vertical="top"/>
    </xf>
    <xf numFmtId="0" fontId="20" fillId="0" borderId="0" xfId="7" applyAlignment="1">
      <alignment horizontal="left" vertical="top"/>
    </xf>
    <xf numFmtId="0" fontId="31" fillId="0" borderId="0" xfId="3" applyFont="1"/>
    <xf numFmtId="0" fontId="44" fillId="0" borderId="0" xfId="6" applyFont="1" applyAlignment="1">
      <alignment horizontal="left" vertical="top"/>
    </xf>
    <xf numFmtId="0" fontId="45" fillId="0" borderId="0" xfId="3" applyFont="1"/>
    <xf numFmtId="0" fontId="31" fillId="0" borderId="0" xfId="0" applyFont="1" applyAlignment="1">
      <alignment horizontal="center" vertical="center"/>
    </xf>
    <xf numFmtId="0" fontId="29" fillId="0" borderId="0" xfId="0" applyFont="1" applyAlignment="1">
      <alignment vertical="center"/>
    </xf>
    <xf numFmtId="0" fontId="25" fillId="0" borderId="5" xfId="7" applyFont="1" applyBorder="1" applyAlignment="1">
      <alignment horizontal="center" vertical="center" wrapText="1"/>
    </xf>
    <xf numFmtId="0" fontId="25" fillId="0" borderId="6" xfId="7" applyFont="1" applyBorder="1" applyAlignment="1">
      <alignment horizontal="center" vertical="center" wrapText="1"/>
    </xf>
    <xf numFmtId="0" fontId="23" fillId="0" borderId="0" xfId="7" applyFont="1" applyAlignment="1">
      <alignment vertical="top"/>
    </xf>
    <xf numFmtId="0" fontId="23" fillId="0" borderId="11" xfId="7" applyFont="1" applyBorder="1" applyAlignment="1">
      <alignment vertical="top" wrapText="1"/>
    </xf>
    <xf numFmtId="0" fontId="31" fillId="0" borderId="0" xfId="9" quotePrefix="1" applyFont="1"/>
    <xf numFmtId="0" fontId="36" fillId="0" borderId="0" xfId="9" applyFont="1"/>
    <xf numFmtId="167" fontId="31" fillId="0" borderId="0" xfId="9" applyNumberFormat="1" applyFont="1"/>
    <xf numFmtId="0" fontId="29" fillId="0" borderId="1" xfId="9" applyFont="1" applyBorder="1" applyAlignment="1">
      <alignment horizontal="center" vertical="center" wrapText="1"/>
    </xf>
    <xf numFmtId="0" fontId="18" fillId="0" borderId="22" xfId="9" applyFont="1" applyBorder="1"/>
    <xf numFmtId="0" fontId="18" fillId="0" borderId="30" xfId="9" applyFont="1" applyBorder="1"/>
    <xf numFmtId="0" fontId="18" fillId="0" borderId="21" xfId="9" applyFont="1" applyBorder="1"/>
    <xf numFmtId="0" fontId="18" fillId="0" borderId="26" xfId="9" applyFont="1" applyBorder="1"/>
    <xf numFmtId="0" fontId="18" fillId="0" borderId="27" xfId="9" applyFont="1" applyBorder="1"/>
    <xf numFmtId="0" fontId="29" fillId="0" borderId="30" xfId="9" applyFont="1" applyBorder="1" applyAlignment="1">
      <alignment horizontal="center" vertical="center" wrapText="1"/>
    </xf>
    <xf numFmtId="168" fontId="18" fillId="0" borderId="0" xfId="9" applyNumberFormat="1" applyFont="1"/>
    <xf numFmtId="0" fontId="27" fillId="0" borderId="0" xfId="9" applyFont="1"/>
    <xf numFmtId="0" fontId="33" fillId="0" borderId="0" xfId="7" applyFont="1" applyAlignment="1">
      <alignment vertical="top" wrapText="1"/>
    </xf>
    <xf numFmtId="0" fontId="42" fillId="0" borderId="0" xfId="6" quotePrefix="1" applyFont="1" applyAlignment="1">
      <alignment vertical="top"/>
    </xf>
    <xf numFmtId="0" fontId="23" fillId="0" borderId="10" xfId="7" quotePrefix="1" applyFont="1" applyBorder="1" applyAlignment="1">
      <alignment vertical="top" wrapText="1"/>
    </xf>
    <xf numFmtId="0" fontId="20" fillId="0" borderId="14" xfId="7" applyBorder="1" applyAlignment="1">
      <alignment horizontal="left" vertical="top"/>
    </xf>
    <xf numFmtId="0" fontId="18" fillId="0" borderId="26" xfId="9" applyFont="1" applyBorder="1" applyAlignment="1">
      <alignment wrapText="1"/>
    </xf>
    <xf numFmtId="0" fontId="31" fillId="0" borderId="10" xfId="9" applyFont="1" applyBorder="1" applyAlignment="1">
      <alignment horizontal="center" vertical="center" wrapText="1"/>
    </xf>
    <xf numFmtId="0" fontId="33" fillId="0" borderId="1" xfId="6" applyFont="1" applyBorder="1" applyAlignment="1">
      <alignment horizontal="center" vertical="center" wrapText="1"/>
    </xf>
    <xf numFmtId="0" fontId="36" fillId="0" borderId="0" xfId="3" applyFont="1" applyAlignment="1">
      <alignment vertical="center"/>
    </xf>
    <xf numFmtId="0" fontId="18" fillId="0" borderId="0" xfId="3" applyFont="1" applyAlignment="1">
      <alignment vertical="center"/>
    </xf>
    <xf numFmtId="0" fontId="51" fillId="0" borderId="0" xfId="7" applyFont="1" applyAlignment="1">
      <alignment horizontal="left" vertical="center"/>
    </xf>
    <xf numFmtId="0" fontId="42" fillId="0" borderId="10" xfId="7" applyFont="1" applyBorder="1" applyAlignment="1">
      <alignment vertical="top" wrapText="1"/>
    </xf>
    <xf numFmtId="0" fontId="42" fillId="0" borderId="10" xfId="7" applyFont="1" applyBorder="1" applyAlignment="1">
      <alignment vertical="top"/>
    </xf>
    <xf numFmtId="167" fontId="52" fillId="0" borderId="1" xfId="7" applyNumberFormat="1" applyFont="1" applyBorder="1" applyAlignment="1">
      <alignment vertical="top"/>
    </xf>
    <xf numFmtId="0" fontId="47" fillId="0" borderId="0" xfId="7" applyFont="1" applyAlignment="1">
      <alignment vertical="center"/>
    </xf>
    <xf numFmtId="168" fontId="23" fillId="0" borderId="11" xfId="7" quotePrefix="1" applyNumberFormat="1" applyFont="1" applyBorder="1" applyAlignment="1">
      <alignment vertical="top" wrapText="1"/>
    </xf>
    <xf numFmtId="167" fontId="42" fillId="0" borderId="10" xfId="7" applyNumberFormat="1" applyFont="1" applyBorder="1" applyAlignment="1">
      <alignment vertical="top"/>
    </xf>
    <xf numFmtId="0" fontId="20" fillId="0" borderId="11" xfId="6" applyBorder="1" applyAlignment="1">
      <alignment horizontal="left" vertical="top"/>
    </xf>
    <xf numFmtId="0" fontId="20" fillId="0" borderId="13" xfId="6" applyBorder="1" applyAlignment="1">
      <alignment horizontal="left" vertical="top"/>
    </xf>
    <xf numFmtId="0" fontId="20" fillId="0" borderId="34" xfId="6" applyBorder="1" applyAlignment="1">
      <alignment horizontal="center" vertical="center"/>
    </xf>
    <xf numFmtId="0" fontId="33" fillId="0" borderId="5" xfId="7" applyFont="1" applyBorder="1" applyAlignment="1">
      <alignment horizontal="center" vertical="center" wrapText="1"/>
    </xf>
    <xf numFmtId="0" fontId="33" fillId="0" borderId="34" xfId="7" applyFont="1" applyBorder="1" applyAlignment="1">
      <alignment horizontal="center" vertical="center" wrapText="1"/>
    </xf>
    <xf numFmtId="0" fontId="20" fillId="0" borderId="34" xfId="6" applyBorder="1" applyAlignment="1">
      <alignment horizontal="left" vertical="top"/>
    </xf>
    <xf numFmtId="171" fontId="33" fillId="0" borderId="34" xfId="1" applyNumberFormat="1" applyFont="1" applyBorder="1" applyAlignment="1">
      <alignment horizontal="center" vertical="center" wrapText="1"/>
    </xf>
    <xf numFmtId="171" fontId="33" fillId="0" borderId="7" xfId="1" applyNumberFormat="1" applyFont="1" applyBorder="1" applyAlignment="1">
      <alignment horizontal="center" vertical="center" wrapText="1"/>
    </xf>
    <xf numFmtId="171" fontId="20" fillId="0" borderId="0" xfId="1" quotePrefix="1" applyNumberFormat="1" applyFont="1" applyBorder="1" applyAlignment="1">
      <alignment horizontal="left" vertical="top" wrapText="1"/>
    </xf>
    <xf numFmtId="0" fontId="20" fillId="0" borderId="14" xfId="6" applyBorder="1" applyAlignment="1">
      <alignment horizontal="left" vertical="top"/>
    </xf>
    <xf numFmtId="172" fontId="24" fillId="0" borderId="0" xfId="3" applyNumberFormat="1" applyFont="1" applyAlignment="1">
      <alignment vertical="center"/>
    </xf>
    <xf numFmtId="0" fontId="41" fillId="0" borderId="0" xfId="3" applyFont="1" applyAlignment="1">
      <alignment horizontal="left" vertical="center"/>
    </xf>
    <xf numFmtId="166" fontId="18" fillId="0" borderId="0" xfId="3" applyNumberFormat="1" applyFont="1" applyAlignment="1">
      <alignment vertical="center"/>
    </xf>
    <xf numFmtId="0" fontId="15" fillId="0" borderId="11" xfId="3" applyFont="1" applyBorder="1"/>
    <xf numFmtId="0" fontId="15" fillId="0" borderId="10" xfId="3" applyFont="1" applyBorder="1"/>
    <xf numFmtId="0" fontId="15" fillId="0" borderId="14" xfId="3" applyFont="1" applyBorder="1"/>
    <xf numFmtId="0" fontId="20" fillId="0" borderId="12" xfId="6" applyBorder="1" applyAlignment="1">
      <alignment horizontal="left" vertical="top"/>
    </xf>
    <xf numFmtId="0" fontId="15" fillId="0" borderId="1" xfId="3" applyFont="1" applyBorder="1"/>
    <xf numFmtId="0" fontId="15" fillId="0" borderId="0" xfId="3" applyFont="1" applyAlignment="1">
      <alignment vertical="center"/>
    </xf>
    <xf numFmtId="172" fontId="15" fillId="0" borderId="0" xfId="3" applyNumberFormat="1" applyFont="1" applyAlignment="1">
      <alignment vertical="center" wrapText="1"/>
    </xf>
    <xf numFmtId="0" fontId="15" fillId="0" borderId="0" xfId="3" applyFont="1" applyAlignment="1">
      <alignment horizontal="left" vertical="center" wrapText="1"/>
    </xf>
    <xf numFmtId="0" fontId="31" fillId="0" borderId="0" xfId="0" applyFont="1"/>
    <xf numFmtId="0" fontId="33" fillId="0" borderId="14" xfId="6" quotePrefix="1" applyFont="1" applyBorder="1" applyAlignment="1">
      <alignment horizontal="center" vertical="center" wrapText="1"/>
    </xf>
    <xf numFmtId="0" fontId="33" fillId="0" borderId="14" xfId="6" applyFont="1" applyBorder="1" applyAlignment="1">
      <alignment horizontal="left" vertical="center" wrapText="1"/>
    </xf>
    <xf numFmtId="0" fontId="33" fillId="0" borderId="14" xfId="6" applyFont="1" applyBorder="1" applyAlignment="1">
      <alignment horizontal="center" vertical="center" wrapText="1"/>
    </xf>
    <xf numFmtId="0" fontId="33" fillId="0" borderId="1" xfId="6" quotePrefix="1" applyFont="1" applyBorder="1" applyAlignment="1">
      <alignment horizontal="center" vertical="center" wrapText="1"/>
    </xf>
    <xf numFmtId="0" fontId="42" fillId="0" borderId="0" xfId="7" quotePrefix="1" applyFont="1" applyAlignment="1">
      <alignment vertical="top" wrapText="1"/>
    </xf>
    <xf numFmtId="0" fontId="49" fillId="0" borderId="0" xfId="6" applyFont="1" applyAlignment="1">
      <alignment vertical="center"/>
    </xf>
    <xf numFmtId="0" fontId="31" fillId="0" borderId="30" xfId="9" applyFont="1" applyBorder="1" applyAlignment="1">
      <alignment horizontal="center" vertical="center" wrapText="1"/>
    </xf>
    <xf numFmtId="0" fontId="20" fillId="0" borderId="0" xfId="6" quotePrefix="1" applyAlignment="1">
      <alignment horizontal="left" vertical="top"/>
    </xf>
    <xf numFmtId="169" fontId="38" fillId="0" borderId="9" xfId="9" applyNumberFormat="1" applyFont="1" applyBorder="1" applyAlignment="1">
      <alignment vertical="center"/>
    </xf>
    <xf numFmtId="169" fontId="38" fillId="0" borderId="17" xfId="9" applyNumberFormat="1" applyFont="1" applyBorder="1" applyAlignment="1">
      <alignment vertical="center"/>
    </xf>
    <xf numFmtId="0" fontId="18" fillId="0" borderId="14" xfId="3" applyFont="1" applyBorder="1"/>
    <xf numFmtId="0" fontId="42" fillId="0" borderId="0" xfId="6" applyFont="1" applyAlignment="1">
      <alignment horizontal="left" vertical="top" wrapText="1"/>
    </xf>
    <xf numFmtId="0" fontId="53" fillId="0" borderId="0" xfId="6" applyFont="1" applyAlignment="1">
      <alignment vertical="center"/>
    </xf>
    <xf numFmtId="3" fontId="15" fillId="0" borderId="0" xfId="9" applyNumberFormat="1" applyFont="1"/>
    <xf numFmtId="0" fontId="0" fillId="0" borderId="0" xfId="0" applyAlignment="1">
      <alignment horizontal="center"/>
    </xf>
    <xf numFmtId="0" fontId="0" fillId="0" borderId="1" xfId="0" applyBorder="1" applyAlignment="1">
      <alignment horizontal="center"/>
    </xf>
    <xf numFmtId="0" fontId="0" fillId="0" borderId="39" xfId="0" applyBorder="1" applyAlignment="1">
      <alignment horizontal="center"/>
    </xf>
    <xf numFmtId="0" fontId="0" fillId="0" borderId="40" xfId="0" applyBorder="1" applyAlignment="1">
      <alignment horizontal="center"/>
    </xf>
    <xf numFmtId="166" fontId="42" fillId="0" borderId="0" xfId="6" quotePrefix="1" applyNumberFormat="1" applyFont="1" applyAlignment="1">
      <alignment horizontal="center" vertical="center" wrapText="1"/>
    </xf>
    <xf numFmtId="0" fontId="20" fillId="0" borderId="0" xfId="6" applyAlignment="1">
      <alignment horizontal="left" vertical="top" wrapText="1"/>
    </xf>
    <xf numFmtId="0" fontId="20" fillId="0" borderId="0" xfId="6" applyAlignment="1">
      <alignment horizontal="center" vertical="center" wrapText="1"/>
    </xf>
    <xf numFmtId="0" fontId="20" fillId="0" borderId="0" xfId="6" applyAlignment="1">
      <alignment vertical="center" wrapText="1"/>
    </xf>
    <xf numFmtId="0" fontId="20" fillId="0" borderId="0" xfId="6" applyAlignment="1">
      <alignment horizontal="left" vertical="center" wrapText="1"/>
    </xf>
    <xf numFmtId="0" fontId="18" fillId="0" borderId="0" xfId="0" applyFont="1" applyAlignment="1">
      <alignment horizontal="center" wrapText="1"/>
    </xf>
    <xf numFmtId="0" fontId="17" fillId="0" borderId="0" xfId="6" applyFont="1" applyAlignment="1">
      <alignment vertical="top" wrapText="1"/>
    </xf>
    <xf numFmtId="0" fontId="17" fillId="0" borderId="0" xfId="6" applyFont="1" applyAlignment="1">
      <alignment vertical="center" wrapText="1"/>
    </xf>
    <xf numFmtId="0" fontId="17" fillId="0" borderId="0" xfId="6" applyFont="1" applyAlignment="1">
      <alignment horizontal="left" vertical="top" wrapText="1"/>
    </xf>
    <xf numFmtId="0" fontId="17" fillId="0" borderId="0" xfId="6" applyFont="1" applyAlignment="1">
      <alignment horizontal="center" vertical="top" wrapText="1"/>
    </xf>
    <xf numFmtId="0" fontId="18" fillId="0" borderId="0" xfId="0" applyFont="1" applyAlignment="1">
      <alignment horizontal="center" vertical="center" wrapText="1"/>
    </xf>
    <xf numFmtId="0" fontId="23" fillId="0" borderId="13" xfId="7" applyFont="1" applyBorder="1" applyAlignment="1">
      <alignment horizontal="left" vertical="top" wrapText="1"/>
    </xf>
    <xf numFmtId="167" fontId="17" fillId="0" borderId="0" xfId="7" applyNumberFormat="1" applyFont="1" applyAlignment="1">
      <alignment horizontal="left" vertical="top" wrapText="1"/>
    </xf>
    <xf numFmtId="0" fontId="20" fillId="0" borderId="0" xfId="7" applyAlignment="1">
      <alignment horizontal="left" vertical="top" wrapText="1"/>
    </xf>
    <xf numFmtId="0" fontId="50" fillId="0" borderId="0" xfId="7" applyFont="1" applyAlignment="1">
      <alignment vertical="top" wrapText="1"/>
    </xf>
    <xf numFmtId="0" fontId="44" fillId="0" borderId="0" xfId="7" applyFont="1" applyAlignment="1">
      <alignment vertical="top" wrapText="1"/>
    </xf>
    <xf numFmtId="0" fontId="44" fillId="0" borderId="0" xfId="7" applyFont="1" applyAlignment="1">
      <alignment horizontal="left" vertical="top" wrapText="1"/>
    </xf>
    <xf numFmtId="0" fontId="49" fillId="0" borderId="0" xfId="7" applyFont="1" applyAlignment="1">
      <alignment vertical="top" wrapText="1"/>
    </xf>
    <xf numFmtId="170" fontId="15" fillId="0" borderId="1" xfId="3" applyNumberFormat="1" applyFont="1" applyBorder="1" applyAlignment="1">
      <alignment wrapText="1"/>
    </xf>
    <xf numFmtId="170" fontId="15" fillId="0" borderId="10" xfId="3" applyNumberFormat="1" applyFont="1" applyBorder="1" applyAlignment="1">
      <alignment wrapText="1"/>
    </xf>
    <xf numFmtId="0" fontId="18" fillId="0" borderId="0" xfId="3" applyFont="1" applyAlignment="1">
      <alignment horizontal="left" wrapText="1"/>
    </xf>
    <xf numFmtId="0" fontId="18" fillId="0" borderId="0" xfId="3" applyFont="1" applyAlignment="1">
      <alignment wrapText="1"/>
    </xf>
    <xf numFmtId="0" fontId="27" fillId="0" borderId="0" xfId="3" applyFont="1" applyAlignment="1">
      <alignment horizontal="center" wrapText="1"/>
    </xf>
    <xf numFmtId="0" fontId="17" fillId="0" borderId="0" xfId="6" applyFont="1" applyAlignment="1">
      <alignment horizontal="left" vertical="center" wrapText="1"/>
    </xf>
    <xf numFmtId="0" fontId="31" fillId="0" borderId="0" xfId="3" applyFont="1" applyAlignment="1">
      <alignment wrapText="1"/>
    </xf>
    <xf numFmtId="0" fontId="45" fillId="0" borderId="0" xfId="3" applyFont="1" applyAlignment="1">
      <alignment wrapText="1"/>
    </xf>
    <xf numFmtId="0" fontId="29" fillId="0" borderId="0" xfId="0" applyFont="1" applyAlignment="1">
      <alignment vertical="center" wrapText="1"/>
    </xf>
    <xf numFmtId="0" fontId="22" fillId="0" borderId="1" xfId="6" applyFont="1" applyBorder="1" applyAlignment="1">
      <alignment horizontal="center" vertical="center" wrapText="1"/>
    </xf>
    <xf numFmtId="0" fontId="15" fillId="0" borderId="0" xfId="9" applyFont="1"/>
    <xf numFmtId="0" fontId="28" fillId="0" borderId="0" xfId="9" applyFont="1"/>
    <xf numFmtId="0" fontId="15" fillId="0" borderId="0" xfId="9" quotePrefix="1" applyFont="1"/>
    <xf numFmtId="0" fontId="15" fillId="0" borderId="0" xfId="9" applyFont="1" applyAlignment="1">
      <alignment horizontal="left"/>
    </xf>
    <xf numFmtId="0" fontId="15" fillId="0" borderId="0" xfId="9" quotePrefix="1" applyFont="1" applyAlignment="1">
      <alignment horizontal="center"/>
    </xf>
    <xf numFmtId="165" fontId="28" fillId="0" borderId="0" xfId="9" applyNumberFormat="1" applyFont="1"/>
    <xf numFmtId="165" fontId="28" fillId="0" borderId="0" xfId="9" quotePrefix="1" applyNumberFormat="1" applyFont="1" applyAlignment="1">
      <alignment horizontal="left"/>
    </xf>
    <xf numFmtId="14" fontId="15" fillId="0" borderId="0" xfId="9" applyNumberFormat="1" applyFont="1"/>
    <xf numFmtId="0" fontId="57" fillId="0" borderId="0" xfId="9" applyFont="1" applyAlignment="1">
      <alignment horizontal="right"/>
    </xf>
    <xf numFmtId="0" fontId="54" fillId="0" borderId="0" xfId="9" quotePrefix="1" applyFont="1" applyAlignment="1">
      <alignment horizontal="left" vertical="center"/>
    </xf>
    <xf numFmtId="0" fontId="54" fillId="0" borderId="0" xfId="9" applyFont="1" applyAlignment="1">
      <alignment vertical="center"/>
    </xf>
    <xf numFmtId="0" fontId="15" fillId="0" borderId="0" xfId="9" applyFont="1" applyAlignment="1">
      <alignment vertical="center"/>
    </xf>
    <xf numFmtId="0" fontId="28" fillId="0" borderId="0" xfId="9" applyFont="1" applyAlignment="1">
      <alignment vertical="center" wrapText="1"/>
    </xf>
    <xf numFmtId="3" fontId="30" fillId="0" borderId="0" xfId="9" applyNumberFormat="1" applyFont="1" applyAlignment="1">
      <alignment vertical="center"/>
    </xf>
    <xf numFmtId="0" fontId="15" fillId="0" borderId="0" xfId="9" applyFont="1" applyAlignment="1">
      <alignment vertical="top"/>
    </xf>
    <xf numFmtId="0" fontId="15" fillId="0" borderId="0" xfId="9" applyFont="1" applyAlignment="1">
      <alignment horizontal="center"/>
    </xf>
    <xf numFmtId="0" fontId="15" fillId="0" borderId="0" xfId="9" applyFont="1" applyAlignment="1">
      <alignment horizontal="center" vertical="top"/>
    </xf>
    <xf numFmtId="0" fontId="15" fillId="0" borderId="0" xfId="9" applyFont="1" applyAlignment="1">
      <alignment horizontal="center" vertical="center"/>
    </xf>
    <xf numFmtId="0" fontId="15" fillId="0" borderId="0" xfId="9" applyFont="1" applyAlignment="1">
      <alignment wrapText="1"/>
    </xf>
    <xf numFmtId="0" fontId="15" fillId="0" borderId="0" xfId="9" applyFont="1" applyAlignment="1">
      <alignment vertical="top" wrapText="1"/>
    </xf>
    <xf numFmtId="0" fontId="15" fillId="0" borderId="22" xfId="9" applyFont="1" applyBorder="1"/>
    <xf numFmtId="3" fontId="30" fillId="0" borderId="0" xfId="9" applyNumberFormat="1" applyFont="1" applyAlignment="1">
      <alignment vertical="top" wrapText="1"/>
    </xf>
    <xf numFmtId="0" fontId="15" fillId="0" borderId="21" xfId="9" applyFont="1" applyBorder="1"/>
    <xf numFmtId="0" fontId="28" fillId="0" borderId="0" xfId="9" applyFont="1" applyAlignment="1">
      <alignment horizontal="center"/>
    </xf>
    <xf numFmtId="0" fontId="15" fillId="0" borderId="22" xfId="9" applyFont="1" applyBorder="1" applyAlignment="1">
      <alignment vertical="top"/>
    </xf>
    <xf numFmtId="0" fontId="18" fillId="0" borderId="32" xfId="9" applyFont="1" applyBorder="1"/>
    <xf numFmtId="0" fontId="15" fillId="0" borderId="0" xfId="3" applyFont="1"/>
    <xf numFmtId="0" fontId="15" fillId="0" borderId="0" xfId="3" applyFont="1" applyAlignment="1">
      <alignment wrapText="1"/>
    </xf>
    <xf numFmtId="0" fontId="15" fillId="0" borderId="0" xfId="0" applyFont="1" applyAlignment="1">
      <alignment horizontal="center" vertical="center"/>
    </xf>
    <xf numFmtId="0" fontId="28" fillId="0" borderId="0" xfId="0" applyFont="1" applyAlignment="1">
      <alignment vertical="center"/>
    </xf>
    <xf numFmtId="0" fontId="28" fillId="0" borderId="0" xfId="0" applyFont="1" applyAlignment="1">
      <alignment vertical="center" wrapText="1"/>
    </xf>
    <xf numFmtId="0" fontId="24" fillId="0" borderId="0" xfId="0" applyFont="1" applyAlignment="1">
      <alignment vertical="center" wrapText="1"/>
    </xf>
    <xf numFmtId="170" fontId="24" fillId="0" borderId="42" xfId="9" applyNumberFormat="1" applyFont="1" applyBorder="1" applyAlignment="1">
      <alignment horizontal="center" vertical="top"/>
    </xf>
    <xf numFmtId="0" fontId="15" fillId="0" borderId="0" xfId="9" quotePrefix="1" applyFont="1" applyAlignment="1">
      <alignment horizontal="center" vertical="center"/>
    </xf>
    <xf numFmtId="0" fontId="0" fillId="0" borderId="0" xfId="0" applyAlignment="1">
      <alignment wrapText="1"/>
    </xf>
    <xf numFmtId="0" fontId="18" fillId="0" borderId="11" xfId="9" applyFont="1" applyBorder="1" applyAlignment="1">
      <alignment vertical="center"/>
    </xf>
    <xf numFmtId="0" fontId="18" fillId="0" borderId="33" xfId="9" applyFont="1" applyBorder="1" applyAlignment="1">
      <alignment vertical="center"/>
    </xf>
    <xf numFmtId="1" fontId="18" fillId="0" borderId="0" xfId="9" applyNumberFormat="1" applyFont="1" applyAlignment="1">
      <alignment vertical="center" wrapText="1"/>
    </xf>
    <xf numFmtId="0" fontId="18" fillId="0" borderId="42" xfId="9" applyFont="1" applyBorder="1"/>
    <xf numFmtId="0" fontId="18" fillId="0" borderId="14" xfId="9" applyFont="1" applyBorder="1"/>
    <xf numFmtId="0" fontId="56" fillId="0" borderId="0" xfId="6" applyFont="1" applyAlignment="1">
      <alignment vertical="center"/>
    </xf>
    <xf numFmtId="0" fontId="60" fillId="0" borderId="0" xfId="6" applyFont="1" applyAlignment="1">
      <alignment vertical="center"/>
    </xf>
    <xf numFmtId="0" fontId="61" fillId="0" borderId="0" xfId="3" applyFont="1" applyAlignment="1">
      <alignment vertical="center"/>
    </xf>
    <xf numFmtId="0" fontId="60" fillId="0" borderId="0" xfId="6" applyFont="1" applyAlignment="1">
      <alignment vertical="center" wrapText="1"/>
    </xf>
    <xf numFmtId="0" fontId="65" fillId="0" borderId="0" xfId="3" applyFont="1" applyAlignment="1">
      <alignment wrapText="1"/>
    </xf>
    <xf numFmtId="172" fontId="64" fillId="0" borderId="0" xfId="3" applyNumberFormat="1" applyFont="1" applyAlignment="1">
      <alignment vertical="center"/>
    </xf>
    <xf numFmtId="166" fontId="15" fillId="0" borderId="0" xfId="3" applyNumberFormat="1" applyFont="1" applyAlignment="1">
      <alignment vertical="center"/>
    </xf>
    <xf numFmtId="0" fontId="54" fillId="0" borderId="0" xfId="9" applyFont="1" applyAlignment="1">
      <alignment horizontal="center" vertical="center"/>
    </xf>
    <xf numFmtId="0" fontId="9" fillId="0" borderId="21" xfId="9" applyBorder="1"/>
    <xf numFmtId="0" fontId="9" fillId="0" borderId="22" xfId="9" applyBorder="1"/>
    <xf numFmtId="0" fontId="9" fillId="0" borderId="0" xfId="9" applyAlignment="1">
      <alignment horizontal="center"/>
    </xf>
    <xf numFmtId="174" fontId="9" fillId="0" borderId="0" xfId="9" applyNumberFormat="1" applyAlignment="1">
      <alignment horizontal="center"/>
    </xf>
    <xf numFmtId="172" fontId="64" fillId="0" borderId="0" xfId="3" applyNumberFormat="1" applyFont="1" applyAlignment="1">
      <alignment horizontal="center" vertical="center"/>
    </xf>
    <xf numFmtId="164" fontId="0" fillId="0" borderId="0" xfId="14" applyFont="1" applyFill="1" applyBorder="1" applyAlignment="1">
      <alignment horizontal="center"/>
    </xf>
    <xf numFmtId="164" fontId="20" fillId="0" borderId="0" xfId="14" applyFont="1" applyFill="1" applyBorder="1" applyAlignment="1">
      <alignment horizontal="left" vertical="top"/>
    </xf>
    <xf numFmtId="0" fontId="0" fillId="0" borderId="0" xfId="0" applyAlignment="1">
      <alignment horizontal="center" vertical="center"/>
    </xf>
    <xf numFmtId="0" fontId="0" fillId="0" borderId="0" xfId="0" quotePrefix="1" applyAlignment="1">
      <alignment horizontal="center" vertical="center"/>
    </xf>
    <xf numFmtId="176" fontId="61" fillId="0" borderId="0" xfId="9" quotePrefix="1" applyNumberFormat="1" applyFont="1" applyAlignment="1">
      <alignment vertical="center"/>
    </xf>
    <xf numFmtId="172" fontId="15" fillId="0" borderId="0" xfId="9" applyNumberFormat="1" applyFont="1" applyAlignment="1">
      <alignment horizontal="center" vertical="top"/>
    </xf>
    <xf numFmtId="172" fontId="15" fillId="0" borderId="0" xfId="9" applyNumberFormat="1" applyFont="1" applyAlignment="1">
      <alignment horizontal="center"/>
    </xf>
    <xf numFmtId="172" fontId="17" fillId="0" borderId="0" xfId="6" applyNumberFormat="1" applyFont="1" applyAlignment="1">
      <alignment horizontal="center" vertical="top"/>
    </xf>
    <xf numFmtId="172" fontId="15" fillId="0" borderId="11" xfId="3" applyNumberFormat="1" applyFont="1" applyBorder="1" applyAlignment="1">
      <alignment horizontal="center" vertical="center"/>
    </xf>
    <xf numFmtId="0" fontId="15" fillId="0" borderId="11" xfId="9" quotePrefix="1" applyFont="1" applyBorder="1"/>
    <xf numFmtId="0" fontId="15" fillId="0" borderId="0" xfId="0" applyFont="1"/>
    <xf numFmtId="0" fontId="15" fillId="0" borderId="0" xfId="9" quotePrefix="1" applyFont="1" applyAlignment="1">
      <alignment horizontal="left" vertical="top" wrapText="1"/>
    </xf>
    <xf numFmtId="0" fontId="15" fillId="0" borderId="0" xfId="9" quotePrefix="1" applyFont="1" applyAlignment="1">
      <alignment vertical="center" wrapText="1"/>
    </xf>
    <xf numFmtId="176" fontId="20" fillId="0" borderId="0" xfId="6" applyNumberFormat="1" applyAlignment="1">
      <alignment horizontal="center" vertical="center"/>
    </xf>
    <xf numFmtId="0" fontId="42" fillId="0" borderId="0" xfId="6" applyFont="1" applyAlignment="1">
      <alignment vertical="center" wrapText="1"/>
    </xf>
    <xf numFmtId="0" fontId="20" fillId="0" borderId="0" xfId="6" quotePrefix="1" applyAlignment="1">
      <alignment horizontal="left" vertical="center"/>
    </xf>
    <xf numFmtId="0" fontId="29" fillId="0" borderId="0" xfId="9" applyFont="1"/>
    <xf numFmtId="0" fontId="24" fillId="0" borderId="1" xfId="9" applyFont="1" applyBorder="1" applyAlignment="1">
      <alignment horizontal="center" vertical="center" wrapText="1"/>
    </xf>
    <xf numFmtId="164" fontId="0" fillId="0" borderId="1" xfId="14" applyFont="1" applyFill="1" applyBorder="1" applyAlignment="1">
      <alignment horizontal="center" vertical="center"/>
    </xf>
    <xf numFmtId="164" fontId="8" fillId="0" borderId="1" xfId="14" applyFont="1" applyFill="1" applyBorder="1" applyAlignment="1">
      <alignment horizontal="center" vertical="center"/>
    </xf>
    <xf numFmtId="164" fontId="20" fillId="0" borderId="1" xfId="14" applyFont="1" applyFill="1" applyBorder="1" applyAlignment="1">
      <alignment horizontal="left" vertical="center"/>
    </xf>
    <xf numFmtId="0" fontId="24" fillId="0" borderId="23" xfId="9" applyFont="1" applyBorder="1" applyAlignment="1">
      <alignment horizontal="center" vertical="center" wrapText="1"/>
    </xf>
    <xf numFmtId="0" fontId="18" fillId="0" borderId="23" xfId="9" applyFont="1" applyBorder="1" applyAlignment="1">
      <alignment horizontal="center" vertical="center"/>
    </xf>
    <xf numFmtId="0" fontId="24" fillId="0" borderId="42" xfId="9" applyFont="1" applyBorder="1" applyAlignment="1">
      <alignment vertical="top"/>
    </xf>
    <xf numFmtId="0" fontId="18" fillId="0" borderId="0" xfId="9" applyFont="1" applyAlignment="1">
      <alignment wrapText="1"/>
    </xf>
    <xf numFmtId="0" fontId="18" fillId="0" borderId="0" xfId="9" applyFont="1" applyAlignment="1">
      <alignment vertical="top" wrapText="1"/>
    </xf>
    <xf numFmtId="0" fontId="24" fillId="0" borderId="21" xfId="9" applyFont="1" applyBorder="1" applyAlignment="1">
      <alignment vertical="top"/>
    </xf>
    <xf numFmtId="0" fontId="18" fillId="0" borderId="0" xfId="9" quotePrefix="1" applyFont="1" applyAlignment="1">
      <alignment wrapText="1"/>
    </xf>
    <xf numFmtId="0" fontId="18" fillId="0" borderId="9" xfId="9" applyFont="1" applyBorder="1" applyAlignment="1">
      <alignment wrapText="1"/>
    </xf>
    <xf numFmtId="0" fontId="18" fillId="0" borderId="9" xfId="9" applyFont="1" applyBorder="1"/>
    <xf numFmtId="172" fontId="18" fillId="0" borderId="0" xfId="9" applyNumberFormat="1" applyFont="1" applyAlignment="1">
      <alignment horizontal="center"/>
    </xf>
    <xf numFmtId="0" fontId="74" fillId="10" borderId="0" xfId="9" applyFont="1" applyFill="1" applyAlignment="1">
      <alignment wrapText="1"/>
    </xf>
    <xf numFmtId="0" fontId="74" fillId="10" borderId="0" xfId="9" applyFont="1" applyFill="1"/>
    <xf numFmtId="0" fontId="16" fillId="10" borderId="0" xfId="9" quotePrefix="1" applyFont="1" applyFill="1" applyAlignment="1">
      <alignment horizontal="left"/>
    </xf>
    <xf numFmtId="0" fontId="16" fillId="10" borderId="0" xfId="9" applyFont="1" applyFill="1"/>
    <xf numFmtId="0" fontId="16" fillId="0" borderId="0" xfId="9" applyFont="1"/>
    <xf numFmtId="0" fontId="16" fillId="10" borderId="0" xfId="9" applyFont="1" applyFill="1" applyAlignment="1">
      <alignment wrapText="1"/>
    </xf>
    <xf numFmtId="0" fontId="16" fillId="10" borderId="0" xfId="9" quotePrefix="1" applyFont="1" applyFill="1"/>
    <xf numFmtId="0" fontId="25" fillId="0" borderId="0" xfId="9" applyFont="1"/>
    <xf numFmtId="3" fontId="18" fillId="0" borderId="1" xfId="9" quotePrefix="1" applyNumberFormat="1" applyFont="1" applyBorder="1" applyAlignment="1">
      <alignment horizontal="center" vertical="center"/>
    </xf>
    <xf numFmtId="0" fontId="21" fillId="0" borderId="0" xfId="7" applyFont="1" applyAlignment="1">
      <alignment horizontal="center" vertical="center" wrapText="1"/>
    </xf>
    <xf numFmtId="0" fontId="70" fillId="0" borderId="0" xfId="7" applyFont="1" applyAlignment="1">
      <alignment horizontal="center" vertical="center"/>
    </xf>
    <xf numFmtId="0" fontId="13" fillId="0" borderId="1" xfId="0" applyFont="1" applyBorder="1" applyAlignment="1">
      <alignment horizontal="center" vertical="center" wrapText="1"/>
    </xf>
    <xf numFmtId="0" fontId="13" fillId="0" borderId="1" xfId="0" applyFont="1" applyBorder="1" applyAlignment="1">
      <alignment vertical="center" wrapText="1"/>
    </xf>
    <xf numFmtId="0" fontId="0" fillId="0" borderId="1" xfId="0" applyBorder="1" applyAlignment="1">
      <alignment vertical="center"/>
    </xf>
    <xf numFmtId="14" fontId="0" fillId="0" borderId="1" xfId="0" applyNumberFormat="1" applyBorder="1" applyAlignment="1">
      <alignment horizontal="center" vertical="center"/>
    </xf>
    <xf numFmtId="3" fontId="14" fillId="0" borderId="1" xfId="0" applyNumberFormat="1" applyFont="1" applyBorder="1" applyAlignment="1">
      <alignment horizontal="right" vertical="center" shrinkToFit="1"/>
    </xf>
    <xf numFmtId="3" fontId="72" fillId="0" borderId="39" xfId="7" applyNumberFormat="1" applyFont="1" applyBorder="1" applyAlignment="1">
      <alignment horizontal="right" vertical="center" shrinkToFit="1"/>
    </xf>
    <xf numFmtId="0" fontId="15" fillId="0" borderId="39" xfId="7" applyFont="1" applyBorder="1" applyAlignment="1">
      <alignment horizontal="left" vertical="center"/>
    </xf>
    <xf numFmtId="164" fontId="8" fillId="0" borderId="39" xfId="14" applyFont="1" applyFill="1" applyBorder="1" applyAlignment="1">
      <alignment horizontal="center" vertical="center"/>
    </xf>
    <xf numFmtId="164" fontId="20" fillId="0" borderId="44" xfId="14" applyFont="1" applyFill="1" applyBorder="1" applyAlignment="1">
      <alignment horizontal="left" vertical="center"/>
    </xf>
    <xf numFmtId="0" fontId="20" fillId="0" borderId="0" xfId="7" quotePrefix="1" applyAlignment="1">
      <alignment horizontal="left" vertical="center"/>
    </xf>
    <xf numFmtId="0" fontId="20" fillId="0" borderId="1" xfId="7" applyBorder="1" applyAlignment="1">
      <alignment horizontal="center" vertical="center"/>
    </xf>
    <xf numFmtId="3" fontId="67" fillId="0" borderId="1" xfId="7" applyNumberFormat="1" applyFont="1" applyBorder="1" applyAlignment="1">
      <alignment horizontal="right" vertical="center" shrinkToFit="1"/>
    </xf>
    <xf numFmtId="3" fontId="20" fillId="0" borderId="1" xfId="7" applyNumberFormat="1" applyBorder="1" applyAlignment="1">
      <alignment horizontal="right" vertical="center"/>
    </xf>
    <xf numFmtId="0" fontId="20" fillId="0" borderId="1" xfId="7" applyBorder="1" applyAlignment="1">
      <alignment horizontal="left" vertical="center"/>
    </xf>
    <xf numFmtId="0" fontId="15" fillId="0" borderId="1" xfId="7" applyFont="1" applyBorder="1" applyAlignment="1">
      <alignment horizontal="left" vertical="center"/>
    </xf>
    <xf numFmtId="164" fontId="20" fillId="0" borderId="0" xfId="7" applyNumberFormat="1" applyAlignment="1">
      <alignment horizontal="left" vertical="top"/>
    </xf>
    <xf numFmtId="0" fontId="20" fillId="0" borderId="0" xfId="7" quotePrefix="1" applyAlignment="1">
      <alignment horizontal="left" vertical="top"/>
    </xf>
    <xf numFmtId="0" fontId="20" fillId="0" borderId="0" xfId="7" applyAlignment="1">
      <alignment horizontal="left" vertical="center"/>
    </xf>
    <xf numFmtId="0" fontId="12" fillId="0" borderId="1" xfId="7" applyFont="1" applyBorder="1" applyAlignment="1">
      <alignment horizontal="left" vertical="center"/>
    </xf>
    <xf numFmtId="0" fontId="13" fillId="0" borderId="1" xfId="7" applyFont="1" applyBorder="1" applyAlignment="1">
      <alignment horizontal="left" vertical="center"/>
    </xf>
    <xf numFmtId="3" fontId="20" fillId="0" borderId="0" xfId="7" applyNumberFormat="1" applyAlignment="1">
      <alignment horizontal="left" vertical="top"/>
    </xf>
    <xf numFmtId="0" fontId="18" fillId="0" borderId="1" xfId="7" applyFont="1" applyBorder="1" applyAlignment="1">
      <alignment vertical="center"/>
    </xf>
    <xf numFmtId="0" fontId="13" fillId="0" borderId="1" xfId="3" applyFont="1" applyBorder="1" applyAlignment="1">
      <alignment horizontal="left" vertical="center"/>
    </xf>
    <xf numFmtId="0" fontId="18" fillId="0" borderId="1" xfId="7" applyFont="1" applyBorder="1" applyAlignment="1">
      <alignment horizontal="left" vertical="center"/>
    </xf>
    <xf numFmtId="3" fontId="13" fillId="0" borderId="1" xfId="7" applyNumberFormat="1" applyFont="1" applyBorder="1" applyAlignment="1">
      <alignment horizontal="right" vertical="center" shrinkToFit="1"/>
    </xf>
    <xf numFmtId="0" fontId="33" fillId="0" borderId="0" xfId="7" applyFont="1" applyAlignment="1">
      <alignment horizontal="left" vertical="top"/>
    </xf>
    <xf numFmtId="0" fontId="33" fillId="0" borderId="1" xfId="7" applyFont="1" applyBorder="1" applyAlignment="1">
      <alignment horizontal="left" vertical="center"/>
    </xf>
    <xf numFmtId="3" fontId="33" fillId="0" borderId="1" xfId="7" applyNumberFormat="1" applyFont="1" applyBorder="1" applyAlignment="1">
      <alignment horizontal="right" vertical="center"/>
    </xf>
    <xf numFmtId="0" fontId="20" fillId="0" borderId="0" xfId="7" applyAlignment="1">
      <alignment horizontal="center" vertical="top"/>
    </xf>
    <xf numFmtId="0" fontId="20" fillId="0" borderId="0" xfId="7" applyAlignment="1">
      <alignment vertical="top"/>
    </xf>
    <xf numFmtId="3" fontId="20" fillId="0" borderId="0" xfId="7" applyNumberFormat="1" applyAlignment="1">
      <alignment horizontal="right" vertical="top"/>
    </xf>
    <xf numFmtId="0" fontId="6" fillId="0" borderId="0" xfId="13" applyAlignment="1">
      <alignment horizontal="left" vertical="top"/>
    </xf>
    <xf numFmtId="0" fontId="20" fillId="0" borderId="0" xfId="7" applyAlignment="1">
      <alignment horizontal="center" vertical="center"/>
    </xf>
    <xf numFmtId="0" fontId="13" fillId="0" borderId="0" xfId="7" applyFont="1" applyAlignment="1">
      <alignment vertical="top"/>
    </xf>
    <xf numFmtId="0" fontId="20" fillId="0" borderId="0" xfId="7" applyAlignment="1">
      <alignment horizontal="right" vertical="top"/>
    </xf>
    <xf numFmtId="14" fontId="20" fillId="0" borderId="0" xfId="7" applyNumberFormat="1" applyAlignment="1">
      <alignment horizontal="left" vertical="top"/>
    </xf>
    <xf numFmtId="14" fontId="20" fillId="0" borderId="0" xfId="7" applyNumberFormat="1" applyAlignment="1">
      <alignment horizontal="center" vertical="top"/>
    </xf>
    <xf numFmtId="0" fontId="69" fillId="0" borderId="0" xfId="7" applyFont="1" applyAlignment="1">
      <alignment horizontal="center" vertical="center"/>
    </xf>
    <xf numFmtId="0" fontId="69" fillId="0" borderId="0" xfId="7" applyFont="1" applyAlignment="1">
      <alignment horizontal="center" vertical="center" wrapText="1"/>
    </xf>
    <xf numFmtId="0" fontId="69" fillId="0" borderId="21" xfId="7" applyFont="1" applyBorder="1" applyAlignment="1">
      <alignment horizontal="center" vertical="center"/>
    </xf>
    <xf numFmtId="0" fontId="66" fillId="3" borderId="40" xfId="7" applyFont="1" applyFill="1" applyBorder="1" applyAlignment="1">
      <alignment horizontal="center" vertical="center" wrapText="1"/>
    </xf>
    <xf numFmtId="0" fontId="21" fillId="3" borderId="40" xfId="7" applyFont="1" applyFill="1" applyBorder="1" applyAlignment="1">
      <alignment horizontal="center" vertical="center" wrapText="1"/>
    </xf>
    <xf numFmtId="14" fontId="21" fillId="3" borderId="40" xfId="7" applyNumberFormat="1" applyFont="1" applyFill="1" applyBorder="1" applyAlignment="1">
      <alignment horizontal="center" vertical="center" wrapText="1"/>
    </xf>
    <xf numFmtId="0" fontId="21" fillId="3" borderId="40" xfId="13" applyFont="1" applyFill="1" applyBorder="1" applyAlignment="1">
      <alignment horizontal="center" vertical="center" wrapText="1"/>
    </xf>
    <xf numFmtId="0" fontId="11" fillId="3" borderId="40" xfId="0" applyFont="1" applyFill="1" applyBorder="1" applyAlignment="1">
      <alignment horizontal="center" vertical="center" wrapText="1"/>
    </xf>
    <xf numFmtId="164" fontId="11" fillId="3" borderId="40" xfId="14" applyFont="1" applyFill="1" applyBorder="1" applyAlignment="1">
      <alignment horizontal="center" vertical="center" wrapText="1"/>
    </xf>
    <xf numFmtId="164" fontId="21" fillId="3" borderId="40" xfId="14" applyFont="1" applyFill="1" applyBorder="1" applyAlignment="1">
      <alignment horizontal="center" vertical="center" wrapText="1"/>
    </xf>
    <xf numFmtId="0" fontId="69" fillId="11" borderId="40" xfId="7" applyFont="1" applyFill="1" applyBorder="1" applyAlignment="1">
      <alignment horizontal="center" vertical="center" wrapText="1"/>
    </xf>
    <xf numFmtId="0" fontId="69" fillId="11" borderId="40" xfId="7" applyFont="1" applyFill="1" applyBorder="1" applyAlignment="1">
      <alignment horizontal="center" vertical="center"/>
    </xf>
    <xf numFmtId="0" fontId="69" fillId="11" borderId="41" xfId="7" applyFont="1" applyFill="1" applyBorder="1" applyAlignment="1">
      <alignment horizontal="center" vertical="center"/>
    </xf>
    <xf numFmtId="1" fontId="18" fillId="0" borderId="10" xfId="9" applyNumberFormat="1" applyFont="1" applyBorder="1" applyAlignment="1">
      <alignment vertical="center"/>
    </xf>
    <xf numFmtId="0" fontId="15" fillId="0" borderId="25" xfId="9" applyFont="1" applyBorder="1"/>
    <xf numFmtId="0" fontId="18" fillId="0" borderId="45" xfId="9" applyFont="1" applyBorder="1"/>
    <xf numFmtId="0" fontId="17" fillId="0" borderId="0" xfId="6" applyFont="1" applyAlignment="1">
      <alignment horizontal="left" vertical="top" indent="6"/>
    </xf>
    <xf numFmtId="0" fontId="20" fillId="0" borderId="0" xfId="6" applyAlignment="1">
      <alignment horizontal="left" vertical="top" indent="6"/>
    </xf>
    <xf numFmtId="0" fontId="42" fillId="0" borderId="0" xfId="6" applyFont="1" applyAlignment="1">
      <alignment horizontal="left" vertical="top" indent="6"/>
    </xf>
    <xf numFmtId="0" fontId="17" fillId="0" borderId="0" xfId="6" applyFont="1" applyAlignment="1">
      <alignment horizontal="left" vertical="center" indent="6"/>
    </xf>
    <xf numFmtId="0" fontId="66" fillId="12" borderId="40" xfId="7" applyFont="1" applyFill="1" applyBorder="1" applyAlignment="1">
      <alignment horizontal="center" vertical="center" wrapText="1"/>
    </xf>
    <xf numFmtId="0" fontId="21" fillId="12" borderId="40" xfId="7" applyFont="1" applyFill="1" applyBorder="1" applyAlignment="1">
      <alignment horizontal="center" vertical="center" wrapText="1"/>
    </xf>
    <xf numFmtId="14" fontId="21" fillId="12" borderId="40" xfId="7" applyNumberFormat="1" applyFont="1" applyFill="1" applyBorder="1" applyAlignment="1">
      <alignment horizontal="center" vertical="center" wrapText="1"/>
    </xf>
    <xf numFmtId="0" fontId="66" fillId="12" borderId="40" xfId="7" applyFont="1" applyFill="1" applyBorder="1" applyAlignment="1">
      <alignment horizontal="left" vertical="center" wrapText="1"/>
    </xf>
    <xf numFmtId="0" fontId="66" fillId="0" borderId="40" xfId="7" applyFont="1" applyBorder="1" applyAlignment="1">
      <alignment horizontal="center" vertical="center" wrapText="1"/>
    </xf>
    <xf numFmtId="0" fontId="21" fillId="12" borderId="40" xfId="13" applyFont="1" applyFill="1" applyBorder="1" applyAlignment="1">
      <alignment horizontal="center" vertical="center" wrapText="1"/>
    </xf>
    <xf numFmtId="0" fontId="11" fillId="12" borderId="40" xfId="0" applyFont="1" applyFill="1" applyBorder="1" applyAlignment="1">
      <alignment horizontal="center" vertical="center" wrapText="1"/>
    </xf>
    <xf numFmtId="164" fontId="11" fillId="12" borderId="40" xfId="14" applyFont="1" applyFill="1" applyBorder="1" applyAlignment="1">
      <alignment horizontal="center" vertical="center" wrapText="1"/>
    </xf>
    <xf numFmtId="164" fontId="21" fillId="12" borderId="40" xfId="14" applyFont="1" applyFill="1" applyBorder="1" applyAlignment="1">
      <alignment horizontal="center" vertical="center" wrapText="1"/>
    </xf>
    <xf numFmtId="0" fontId="66" fillId="13" borderId="40" xfId="7" applyFont="1" applyFill="1" applyBorder="1" applyAlignment="1">
      <alignment horizontal="center" vertical="center" wrapText="1"/>
    </xf>
    <xf numFmtId="0" fontId="69" fillId="13" borderId="40" xfId="7" applyFont="1" applyFill="1" applyBorder="1" applyAlignment="1">
      <alignment horizontal="center" vertical="center" wrapText="1"/>
    </xf>
    <xf numFmtId="0" fontId="13" fillId="12" borderId="1" xfId="0" applyFont="1" applyFill="1" applyBorder="1" applyAlignment="1">
      <alignment horizontal="center" vertical="top" wrapText="1"/>
    </xf>
    <xf numFmtId="0" fontId="0" fillId="0" borderId="0" xfId="0" quotePrefix="1"/>
    <xf numFmtId="2" fontId="0" fillId="0" borderId="0" xfId="0" quotePrefix="1" applyNumberFormat="1"/>
    <xf numFmtId="0" fontId="5" fillId="0" borderId="23" xfId="9" applyFont="1" applyBorder="1" applyAlignment="1">
      <alignment horizontal="justify" vertical="center"/>
    </xf>
    <xf numFmtId="0" fontId="31" fillId="0" borderId="21" xfId="9" applyFont="1" applyBorder="1" applyAlignment="1">
      <alignment horizontal="justify" vertical="center"/>
    </xf>
    <xf numFmtId="0" fontId="31" fillId="0" borderId="0" xfId="9" applyFont="1" applyAlignment="1">
      <alignment horizontal="justify" vertical="center"/>
    </xf>
    <xf numFmtId="0" fontId="31" fillId="0" borderId="0" xfId="9" applyFont="1" applyAlignment="1">
      <alignment horizontal="justify" vertical="top" wrapText="1"/>
    </xf>
    <xf numFmtId="169" fontId="31" fillId="0" borderId="0" xfId="9" applyNumberFormat="1" applyFont="1" applyAlignment="1">
      <alignment horizontal="justify" vertical="top" wrapText="1"/>
    </xf>
    <xf numFmtId="0" fontId="9" fillId="0" borderId="0" xfId="9" applyAlignment="1">
      <alignment horizontal="justify"/>
    </xf>
    <xf numFmtId="0" fontId="9" fillId="0" borderId="22" xfId="9" applyBorder="1" applyAlignment="1">
      <alignment horizontal="justify"/>
    </xf>
    <xf numFmtId="0" fontId="31" fillId="0" borderId="21" xfId="9" applyFont="1" applyBorder="1" applyAlignment="1">
      <alignment horizontal="justify"/>
    </xf>
    <xf numFmtId="0" fontId="31" fillId="0" borderId="0" xfId="9" applyFont="1" applyAlignment="1">
      <alignment horizontal="justify"/>
    </xf>
    <xf numFmtId="0" fontId="55" fillId="0" borderId="21" xfId="9" applyFont="1" applyBorder="1" applyAlignment="1">
      <alignment horizontal="justify"/>
    </xf>
    <xf numFmtId="0" fontId="55" fillId="0" borderId="0" xfId="9" applyFont="1" applyAlignment="1">
      <alignment horizontal="justify"/>
    </xf>
    <xf numFmtId="0" fontId="9" fillId="0" borderId="21" xfId="9" applyBorder="1" applyAlignment="1">
      <alignment horizontal="justify"/>
    </xf>
    <xf numFmtId="0" fontId="9" fillId="0" borderId="25" xfId="9" applyBorder="1" applyAlignment="1">
      <alignment horizontal="justify"/>
    </xf>
    <xf numFmtId="0" fontId="9" fillId="0" borderId="26" xfId="9" applyBorder="1" applyAlignment="1">
      <alignment horizontal="justify"/>
    </xf>
    <xf numFmtId="0" fontId="9" fillId="0" borderId="27" xfId="9" applyBorder="1" applyAlignment="1">
      <alignment horizontal="justify"/>
    </xf>
    <xf numFmtId="0" fontId="13" fillId="10" borderId="1" xfId="7" applyFont="1" applyFill="1" applyBorder="1" applyAlignment="1">
      <alignment horizontal="center" vertical="center" wrapText="1"/>
    </xf>
    <xf numFmtId="0" fontId="14" fillId="13" borderId="1" xfId="0" quotePrefix="1" applyFont="1" applyFill="1" applyBorder="1" applyAlignment="1">
      <alignment horizontal="center" vertical="center" shrinkToFit="1"/>
    </xf>
    <xf numFmtId="0" fontId="14" fillId="13" borderId="1" xfId="0" applyFont="1" applyFill="1" applyBorder="1" applyAlignment="1">
      <alignment horizontal="center" vertical="center" shrinkToFit="1"/>
    </xf>
    <xf numFmtId="0" fontId="12" fillId="13" borderId="1" xfId="0" applyFont="1" applyFill="1" applyBorder="1" applyAlignment="1">
      <alignment horizontal="center" vertical="center" shrinkToFit="1"/>
    </xf>
    <xf numFmtId="0" fontId="13" fillId="13" borderId="1" xfId="0" applyFont="1" applyFill="1" applyBorder="1" applyAlignment="1">
      <alignment horizontal="center" vertical="center" wrapText="1"/>
    </xf>
    <xf numFmtId="0" fontId="13" fillId="13" borderId="1" xfId="0" applyFont="1" applyFill="1" applyBorder="1" applyAlignment="1">
      <alignment horizontal="center" vertical="top" wrapText="1"/>
    </xf>
    <xf numFmtId="0" fontId="13" fillId="13" borderId="1" xfId="0" applyFont="1" applyFill="1" applyBorder="1" applyAlignment="1">
      <alignment vertical="center" wrapText="1"/>
    </xf>
    <xf numFmtId="0" fontId="0" fillId="13" borderId="1" xfId="0" applyFill="1" applyBorder="1" applyAlignment="1">
      <alignment vertical="center"/>
    </xf>
    <xf numFmtId="0" fontId="12" fillId="0" borderId="1" xfId="0" applyFont="1" applyBorder="1" applyAlignment="1">
      <alignment vertical="center" wrapText="1"/>
    </xf>
    <xf numFmtId="0" fontId="0" fillId="13" borderId="1" xfId="0" applyFill="1" applyBorder="1" applyAlignment="1">
      <alignment vertical="top"/>
    </xf>
    <xf numFmtId="0" fontId="13" fillId="13" borderId="1" xfId="0" applyFont="1" applyFill="1" applyBorder="1" applyAlignment="1">
      <alignment vertical="top" wrapText="1"/>
    </xf>
    <xf numFmtId="0" fontId="33" fillId="13" borderId="1" xfId="0" applyFont="1" applyFill="1" applyBorder="1" applyAlignment="1">
      <alignment vertical="top"/>
    </xf>
    <xf numFmtId="14" fontId="13" fillId="10" borderId="1" xfId="7" applyNumberFormat="1" applyFont="1" applyFill="1" applyBorder="1" applyAlignment="1">
      <alignment horizontal="center" vertical="center"/>
    </xf>
    <xf numFmtId="14" fontId="0" fillId="13" borderId="1" xfId="0" applyNumberFormat="1" applyFill="1" applyBorder="1" applyAlignment="1">
      <alignment horizontal="center" vertical="center"/>
    </xf>
    <xf numFmtId="14" fontId="13" fillId="13" borderId="1" xfId="0" applyNumberFormat="1" applyFont="1" applyFill="1" applyBorder="1" applyAlignment="1">
      <alignment horizontal="center" vertical="center" wrapText="1"/>
    </xf>
    <xf numFmtId="14" fontId="0" fillId="13" borderId="1" xfId="0" quotePrefix="1" applyNumberFormat="1" applyFill="1" applyBorder="1" applyAlignment="1">
      <alignment horizontal="center" vertical="center"/>
    </xf>
    <xf numFmtId="14" fontId="13" fillId="13" borderId="1" xfId="0" applyNumberFormat="1" applyFont="1" applyFill="1" applyBorder="1" applyAlignment="1">
      <alignment horizontal="left" vertical="center" wrapText="1"/>
    </xf>
    <xf numFmtId="14" fontId="14" fillId="13" borderId="1" xfId="0" applyNumberFormat="1" applyFont="1" applyFill="1" applyBorder="1" applyAlignment="1">
      <alignment horizontal="center" vertical="center" shrinkToFit="1"/>
    </xf>
    <xf numFmtId="14" fontId="14" fillId="13" borderId="1" xfId="0" applyNumberFormat="1" applyFont="1" applyFill="1" applyBorder="1" applyAlignment="1">
      <alignment horizontal="right" vertical="center" shrinkToFit="1"/>
    </xf>
    <xf numFmtId="176" fontId="13" fillId="13" borderId="1" xfId="0" applyNumberFormat="1" applyFont="1" applyFill="1" applyBorder="1" applyAlignment="1">
      <alignment horizontal="left" vertical="center" wrapText="1"/>
    </xf>
    <xf numFmtId="176" fontId="13" fillId="13" borderId="1" xfId="0" applyNumberFormat="1" applyFont="1" applyFill="1" applyBorder="1" applyAlignment="1">
      <alignment horizontal="center" vertical="center" wrapText="1"/>
    </xf>
    <xf numFmtId="14" fontId="0" fillId="13" borderId="1" xfId="0" applyNumberFormat="1" applyFill="1" applyBorder="1" applyAlignment="1">
      <alignment horizontal="center" vertical="top"/>
    </xf>
    <xf numFmtId="14" fontId="13" fillId="13" borderId="1" xfId="0" applyNumberFormat="1" applyFont="1" applyFill="1" applyBorder="1" applyAlignment="1">
      <alignment horizontal="left" vertical="top" wrapText="1"/>
    </xf>
    <xf numFmtId="14" fontId="13" fillId="13" borderId="1" xfId="0" applyNumberFormat="1" applyFont="1" applyFill="1" applyBorder="1" applyAlignment="1">
      <alignment horizontal="center" vertical="top" wrapText="1"/>
    </xf>
    <xf numFmtId="14" fontId="14" fillId="13" borderId="1" xfId="0" applyNumberFormat="1" applyFont="1" applyFill="1" applyBorder="1" applyAlignment="1">
      <alignment horizontal="center" vertical="top" shrinkToFit="1"/>
    </xf>
    <xf numFmtId="14" fontId="14" fillId="13" borderId="1" xfId="0" applyNumberFormat="1" applyFont="1" applyFill="1" applyBorder="1" applyAlignment="1">
      <alignment horizontal="right" vertical="top" shrinkToFit="1"/>
    </xf>
    <xf numFmtId="175" fontId="0" fillId="13" borderId="1" xfId="0" quotePrefix="1" applyNumberFormat="1" applyFill="1" applyBorder="1" applyAlignment="1">
      <alignment horizontal="center" vertical="center"/>
    </xf>
    <xf numFmtId="175" fontId="13" fillId="13" borderId="1" xfId="0" quotePrefix="1" applyNumberFormat="1" applyFont="1" applyFill="1" applyBorder="1" applyAlignment="1">
      <alignment horizontal="center" vertical="center" wrapText="1"/>
    </xf>
    <xf numFmtId="176" fontId="0" fillId="13" borderId="1" xfId="0" quotePrefix="1" applyNumberFormat="1" applyFill="1" applyBorder="1" applyAlignment="1">
      <alignment horizontal="center" vertical="center"/>
    </xf>
    <xf numFmtId="176" fontId="0" fillId="13" borderId="1" xfId="0" applyNumberFormat="1" applyFill="1" applyBorder="1" applyAlignment="1">
      <alignment horizontal="center" vertical="center"/>
    </xf>
    <xf numFmtId="176" fontId="0" fillId="13" borderId="1" xfId="0" applyNumberFormat="1" applyFill="1" applyBorder="1" applyAlignment="1">
      <alignment horizontal="center" vertical="top"/>
    </xf>
    <xf numFmtId="176" fontId="13" fillId="13" borderId="1" xfId="0" applyNumberFormat="1" applyFont="1" applyFill="1" applyBorder="1" applyAlignment="1">
      <alignment horizontal="left" vertical="top" wrapText="1"/>
    </xf>
    <xf numFmtId="176" fontId="13" fillId="13" borderId="1" xfId="0" applyNumberFormat="1" applyFont="1" applyFill="1" applyBorder="1" applyAlignment="1">
      <alignment horizontal="center" vertical="top" wrapText="1"/>
    </xf>
    <xf numFmtId="0" fontId="13" fillId="0" borderId="6" xfId="7" applyFont="1" applyBorder="1" applyAlignment="1">
      <alignment vertical="center" wrapText="1"/>
    </xf>
    <xf numFmtId="0" fontId="13" fillId="0" borderId="5" xfId="7" applyFont="1" applyBorder="1" applyAlignment="1">
      <alignment horizontal="left" vertical="center" wrapText="1"/>
    </xf>
    <xf numFmtId="0" fontId="12" fillId="13" borderId="5" xfId="7" applyFont="1" applyFill="1" applyBorder="1" applyAlignment="1">
      <alignment horizontal="left" vertical="center" wrapText="1"/>
    </xf>
    <xf numFmtId="0" fontId="13" fillId="0" borderId="5" xfId="7" applyFont="1" applyBorder="1" applyAlignment="1">
      <alignment vertical="center" wrapText="1"/>
    </xf>
    <xf numFmtId="0" fontId="13" fillId="0" borderId="6" xfId="7" applyFont="1" applyBorder="1" applyAlignment="1">
      <alignment horizontal="left" vertical="center" wrapText="1"/>
    </xf>
    <xf numFmtId="0" fontId="12" fillId="0" borderId="6" xfId="7" applyFont="1" applyBorder="1" applyAlignment="1">
      <alignment horizontal="left" vertical="center" wrapText="1"/>
    </xf>
    <xf numFmtId="0" fontId="13" fillId="13" borderId="1" xfId="0" applyFont="1" applyFill="1" applyBorder="1" applyAlignment="1">
      <alignment horizontal="left" vertical="center" wrapText="1"/>
    </xf>
    <xf numFmtId="0" fontId="12" fillId="13" borderId="1" xfId="0" applyFont="1" applyFill="1" applyBorder="1" applyAlignment="1">
      <alignment horizontal="left" vertical="center" wrapText="1"/>
    </xf>
    <xf numFmtId="0" fontId="13" fillId="13" borderId="1" xfId="0" applyFont="1" applyFill="1" applyBorder="1" applyAlignment="1">
      <alignment horizontal="left" vertical="center"/>
    </xf>
    <xf numFmtId="0" fontId="13" fillId="0" borderId="1" xfId="0" applyFont="1" applyBorder="1" applyAlignment="1">
      <alignment horizontal="left" vertical="center" wrapText="1"/>
    </xf>
    <xf numFmtId="0" fontId="13" fillId="13" borderId="1" xfId="0" applyFont="1" applyFill="1" applyBorder="1" applyAlignment="1">
      <alignment vertical="center"/>
    </xf>
    <xf numFmtId="0" fontId="13" fillId="13" borderId="1" xfId="0" applyFont="1" applyFill="1" applyBorder="1" applyAlignment="1">
      <alignment horizontal="left" vertical="top" wrapText="1"/>
    </xf>
    <xf numFmtId="0" fontId="12" fillId="13" borderId="1" xfId="0" applyFont="1" applyFill="1" applyBorder="1" applyAlignment="1">
      <alignment vertical="top" wrapText="1"/>
    </xf>
    <xf numFmtId="176" fontId="14" fillId="13" borderId="1" xfId="0" applyNumberFormat="1" applyFont="1" applyFill="1" applyBorder="1" applyAlignment="1">
      <alignment horizontal="center" vertical="center" shrinkToFit="1"/>
    </xf>
    <xf numFmtId="176" fontId="14" fillId="13" borderId="1" xfId="0" applyNumberFormat="1" applyFont="1" applyFill="1" applyBorder="1" applyAlignment="1">
      <alignment horizontal="right" vertical="center" shrinkToFit="1"/>
    </xf>
    <xf numFmtId="176" fontId="14" fillId="13" borderId="1" xfId="0" applyNumberFormat="1" applyFont="1" applyFill="1" applyBorder="1" applyAlignment="1">
      <alignment horizontal="center" vertical="top" shrinkToFit="1"/>
    </xf>
    <xf numFmtId="176" fontId="14" fillId="13" borderId="1" xfId="0" applyNumberFormat="1" applyFont="1" applyFill="1" applyBorder="1" applyAlignment="1">
      <alignment horizontal="right" vertical="top" shrinkToFit="1"/>
    </xf>
    <xf numFmtId="176" fontId="12" fillId="13" borderId="1" xfId="0" applyNumberFormat="1" applyFont="1" applyFill="1" applyBorder="1" applyAlignment="1">
      <alignment horizontal="center" vertical="top" shrinkToFit="1"/>
    </xf>
    <xf numFmtId="1" fontId="14" fillId="10" borderId="1" xfId="7" applyNumberFormat="1" applyFont="1" applyFill="1" applyBorder="1" applyAlignment="1">
      <alignment horizontal="center" vertical="center" shrinkToFit="1"/>
    </xf>
    <xf numFmtId="1" fontId="14" fillId="13" borderId="1" xfId="7" applyNumberFormat="1" applyFont="1" applyFill="1" applyBorder="1" applyAlignment="1">
      <alignment horizontal="center" vertical="center" shrinkToFit="1"/>
    </xf>
    <xf numFmtId="0" fontId="13" fillId="13" borderId="1" xfId="7" applyFont="1" applyFill="1" applyBorder="1" applyAlignment="1">
      <alignment horizontal="center" vertical="center" wrapText="1"/>
    </xf>
    <xf numFmtId="1" fontId="14" fillId="13" borderId="1" xfId="0" applyNumberFormat="1" applyFont="1" applyFill="1" applyBorder="1" applyAlignment="1">
      <alignment horizontal="center" vertical="center" shrinkToFit="1"/>
    </xf>
    <xf numFmtId="3" fontId="14" fillId="13" borderId="1" xfId="0" applyNumberFormat="1" applyFont="1" applyFill="1" applyBorder="1" applyAlignment="1">
      <alignment horizontal="right" vertical="center" shrinkToFit="1"/>
    </xf>
    <xf numFmtId="3" fontId="67" fillId="13" borderId="1" xfId="0" applyNumberFormat="1" applyFont="1" applyFill="1" applyBorder="1" applyAlignment="1">
      <alignment horizontal="right" vertical="center" shrinkToFit="1"/>
    </xf>
    <xf numFmtId="1" fontId="14" fillId="13" borderId="1" xfId="0" applyNumberFormat="1" applyFont="1" applyFill="1" applyBorder="1" applyAlignment="1">
      <alignment horizontal="right" vertical="center" shrinkToFit="1"/>
    </xf>
    <xf numFmtId="0" fontId="0" fillId="13" borderId="1" xfId="0" applyFill="1" applyBorder="1" applyAlignment="1">
      <alignment horizontal="center" vertical="center"/>
    </xf>
    <xf numFmtId="0" fontId="0" fillId="13" borderId="1" xfId="0" applyFill="1" applyBorder="1" applyAlignment="1">
      <alignment horizontal="right" vertical="center"/>
    </xf>
    <xf numFmtId="1" fontId="14" fillId="13" borderId="1" xfId="0" applyNumberFormat="1" applyFont="1" applyFill="1" applyBorder="1" applyAlignment="1">
      <alignment horizontal="center" vertical="center" wrapText="1" shrinkToFit="1"/>
    </xf>
    <xf numFmtId="3" fontId="14" fillId="13" borderId="1" xfId="0" applyNumberFormat="1" applyFont="1" applyFill="1" applyBorder="1" applyAlignment="1">
      <alignment horizontal="right" vertical="center" wrapText="1" shrinkToFit="1"/>
    </xf>
    <xf numFmtId="1" fontId="14" fillId="13" borderId="1" xfId="0" applyNumberFormat="1" applyFont="1" applyFill="1" applyBorder="1" applyAlignment="1">
      <alignment horizontal="right" vertical="center" wrapText="1" shrinkToFit="1"/>
    </xf>
    <xf numFmtId="3" fontId="13" fillId="13" borderId="1" xfId="0" applyNumberFormat="1" applyFont="1" applyFill="1" applyBorder="1" applyAlignment="1">
      <alignment horizontal="right" vertical="center" shrinkToFit="1"/>
    </xf>
    <xf numFmtId="3" fontId="67" fillId="13" borderId="1" xfId="0" applyNumberFormat="1" applyFont="1" applyFill="1" applyBorder="1" applyAlignment="1">
      <alignment horizontal="right" vertical="top" shrinkToFit="1"/>
    </xf>
    <xf numFmtId="1" fontId="14" fillId="13" borderId="1" xfId="0" applyNumberFormat="1" applyFont="1" applyFill="1" applyBorder="1" applyAlignment="1">
      <alignment horizontal="center" vertical="top" shrinkToFit="1"/>
    </xf>
    <xf numFmtId="3" fontId="14" fillId="13" borderId="1" xfId="0" applyNumberFormat="1" applyFont="1" applyFill="1" applyBorder="1" applyAlignment="1">
      <alignment horizontal="right" vertical="top" shrinkToFit="1"/>
    </xf>
    <xf numFmtId="1" fontId="12" fillId="13" borderId="1" xfId="0" applyNumberFormat="1" applyFont="1" applyFill="1" applyBorder="1" applyAlignment="1">
      <alignment horizontal="center" vertical="top" shrinkToFit="1"/>
    </xf>
    <xf numFmtId="3" fontId="12" fillId="13" borderId="1" xfId="0" applyNumberFormat="1" applyFont="1" applyFill="1" applyBorder="1" applyAlignment="1">
      <alignment horizontal="right" vertical="top" shrinkToFit="1"/>
    </xf>
    <xf numFmtId="3" fontId="13" fillId="13" borderId="1" xfId="0" applyNumberFormat="1" applyFont="1" applyFill="1" applyBorder="1" applyAlignment="1">
      <alignment horizontal="right" vertical="top" shrinkToFit="1"/>
    </xf>
    <xf numFmtId="1" fontId="12" fillId="13" borderId="1" xfId="0" applyNumberFormat="1" applyFont="1" applyFill="1" applyBorder="1" applyAlignment="1">
      <alignment horizontal="center" vertical="center" shrinkToFit="1"/>
    </xf>
    <xf numFmtId="3" fontId="12" fillId="13" borderId="1" xfId="0" applyNumberFormat="1" applyFont="1" applyFill="1" applyBorder="1" applyAlignment="1">
      <alignment horizontal="right" vertical="center" shrinkToFit="1"/>
    </xf>
    <xf numFmtId="0" fontId="13" fillId="12" borderId="1" xfId="0" applyFont="1" applyFill="1" applyBorder="1" applyAlignment="1">
      <alignment horizontal="center" vertical="center" wrapText="1"/>
    </xf>
    <xf numFmtId="0" fontId="20" fillId="13" borderId="1" xfId="7" applyFill="1" applyBorder="1" applyAlignment="1">
      <alignment horizontal="center" vertical="center"/>
    </xf>
    <xf numFmtId="0" fontId="33" fillId="0" borderId="1" xfId="7" applyFont="1" applyBorder="1" applyAlignment="1">
      <alignment horizontal="center" vertical="center"/>
    </xf>
    <xf numFmtId="0" fontId="20" fillId="13" borderId="0" xfId="7" applyFill="1" applyAlignment="1">
      <alignment horizontal="center" vertical="top"/>
    </xf>
    <xf numFmtId="0" fontId="20" fillId="13" borderId="0" xfId="7" applyFill="1" applyAlignment="1">
      <alignment horizontal="left" vertical="top"/>
    </xf>
    <xf numFmtId="0" fontId="18" fillId="12" borderId="1" xfId="15" applyFont="1" applyFill="1" applyBorder="1" applyAlignment="1">
      <alignment vertical="center"/>
    </xf>
    <xf numFmtId="0" fontId="31" fillId="12" borderId="1" xfId="15" applyFont="1" applyFill="1" applyBorder="1" applyAlignment="1">
      <alignment vertical="center"/>
    </xf>
    <xf numFmtId="0" fontId="16" fillId="12" borderId="1" xfId="15" applyFont="1" applyFill="1" applyBorder="1" applyAlignment="1">
      <alignment vertical="center"/>
    </xf>
    <xf numFmtId="0" fontId="20" fillId="12" borderId="1" xfId="7" applyFill="1" applyBorder="1" applyAlignment="1">
      <alignment horizontal="left" vertical="center"/>
    </xf>
    <xf numFmtId="0" fontId="18" fillId="12" borderId="1" xfId="7" applyFont="1" applyFill="1" applyBorder="1" applyAlignment="1">
      <alignment vertical="center"/>
    </xf>
    <xf numFmtId="0" fontId="13" fillId="12" borderId="1" xfId="3" applyFont="1" applyFill="1" applyBorder="1" applyAlignment="1">
      <alignment horizontal="left" vertical="center"/>
    </xf>
    <xf numFmtId="0" fontId="12" fillId="12" borderId="1" xfId="3" applyFont="1" applyFill="1" applyBorder="1" applyAlignment="1">
      <alignment horizontal="left" vertical="center"/>
    </xf>
    <xf numFmtId="0" fontId="13" fillId="12" borderId="1" xfId="7" applyFont="1" applyFill="1" applyBorder="1" applyAlignment="1">
      <alignment horizontal="center" vertical="center"/>
    </xf>
    <xf numFmtId="0" fontId="18" fillId="12" borderId="1" xfId="7" applyFont="1" applyFill="1" applyBorder="1" applyAlignment="1">
      <alignment horizontal="left" vertical="center"/>
    </xf>
    <xf numFmtId="0" fontId="15" fillId="13" borderId="39" xfId="7" applyFont="1" applyFill="1" applyBorder="1" applyAlignment="1">
      <alignment horizontal="center" vertical="center"/>
    </xf>
    <xf numFmtId="0" fontId="13" fillId="13" borderId="1" xfId="0" applyFont="1" applyFill="1" applyBorder="1" applyAlignment="1">
      <alignment horizontal="center" vertical="center"/>
    </xf>
    <xf numFmtId="0" fontId="12" fillId="13" borderId="1" xfId="0" applyFont="1" applyFill="1" applyBorder="1" applyAlignment="1">
      <alignment horizontal="center" vertical="center" wrapText="1"/>
    </xf>
    <xf numFmtId="3" fontId="67" fillId="13" borderId="1" xfId="7" applyNumberFormat="1" applyFont="1" applyFill="1" applyBorder="1" applyAlignment="1">
      <alignment horizontal="right" vertical="center" shrinkToFit="1"/>
    </xf>
    <xf numFmtId="3" fontId="20" fillId="13" borderId="1" xfId="7" applyNumberFormat="1" applyFill="1" applyBorder="1" applyAlignment="1">
      <alignment horizontal="right" vertical="center"/>
    </xf>
    <xf numFmtId="0" fontId="20" fillId="13" borderId="1" xfId="7" applyFill="1" applyBorder="1" applyAlignment="1">
      <alignment horizontal="left" vertical="center"/>
    </xf>
    <xf numFmtId="0" fontId="13" fillId="13" borderId="1" xfId="7" applyFont="1" applyFill="1" applyBorder="1" applyAlignment="1">
      <alignment horizontal="center" vertical="center"/>
    </xf>
    <xf numFmtId="164" fontId="0" fillId="13" borderId="1" xfId="14" applyFont="1" applyFill="1" applyBorder="1" applyAlignment="1">
      <alignment horizontal="center" vertical="center"/>
    </xf>
    <xf numFmtId="164" fontId="8" fillId="13" borderId="1" xfId="14" applyFont="1" applyFill="1" applyBorder="1" applyAlignment="1">
      <alignment horizontal="center" vertical="center"/>
    </xf>
    <xf numFmtId="0" fontId="20" fillId="13" borderId="0" xfId="7" quotePrefix="1" applyFill="1" applyAlignment="1">
      <alignment horizontal="left" vertical="center"/>
    </xf>
    <xf numFmtId="0" fontId="15" fillId="13" borderId="39" xfId="7" applyFont="1" applyFill="1" applyBorder="1" applyAlignment="1">
      <alignment horizontal="left" vertical="center"/>
    </xf>
    <xf numFmtId="0" fontId="17" fillId="13" borderId="1" xfId="7" applyFont="1" applyFill="1" applyBorder="1" applyAlignment="1">
      <alignment horizontal="left" vertical="center"/>
    </xf>
    <xf numFmtId="0" fontId="20" fillId="13" borderId="0" xfId="7" applyFill="1" applyAlignment="1">
      <alignment horizontal="left" vertical="center"/>
    </xf>
    <xf numFmtId="164" fontId="20" fillId="13" borderId="1" xfId="14" applyFont="1" applyFill="1" applyBorder="1" applyAlignment="1">
      <alignment horizontal="left" vertical="center"/>
    </xf>
    <xf numFmtId="164" fontId="20" fillId="12" borderId="0" xfId="7" applyNumberFormat="1" applyFill="1" applyAlignment="1">
      <alignment horizontal="left" vertical="top"/>
    </xf>
    <xf numFmtId="0" fontId="6" fillId="13" borderId="1" xfId="13" applyFill="1" applyBorder="1" applyAlignment="1">
      <alignment horizontal="left" vertical="center"/>
    </xf>
    <xf numFmtId="3" fontId="14" fillId="13" borderId="1" xfId="7" applyNumberFormat="1" applyFont="1" applyFill="1" applyBorder="1" applyAlignment="1">
      <alignment horizontal="right" vertical="center" shrinkToFit="1"/>
    </xf>
    <xf numFmtId="3" fontId="20" fillId="12" borderId="0" xfId="7" applyNumberFormat="1" applyFill="1" applyAlignment="1">
      <alignment horizontal="left" vertical="top"/>
    </xf>
    <xf numFmtId="0" fontId="20" fillId="12" borderId="0" xfId="7" quotePrefix="1" applyFill="1" applyAlignment="1">
      <alignment horizontal="left" vertical="center"/>
    </xf>
    <xf numFmtId="164" fontId="20" fillId="13" borderId="0" xfId="7" applyNumberFormat="1" applyFill="1" applyAlignment="1">
      <alignment horizontal="left" vertical="top"/>
    </xf>
    <xf numFmtId="0" fontId="18" fillId="13" borderId="1" xfId="7" applyFont="1" applyFill="1" applyBorder="1" applyAlignment="1">
      <alignment horizontal="left" vertical="center"/>
    </xf>
    <xf numFmtId="3" fontId="67" fillId="12" borderId="1" xfId="7" applyNumberFormat="1" applyFont="1" applyFill="1" applyBorder="1" applyAlignment="1">
      <alignment horizontal="right" vertical="center" shrinkToFit="1"/>
    </xf>
    <xf numFmtId="3" fontId="20" fillId="12" borderId="1" xfId="7" applyNumberFormat="1" applyFill="1" applyBorder="1" applyAlignment="1">
      <alignment horizontal="right" vertical="center"/>
    </xf>
    <xf numFmtId="164" fontId="0" fillId="12" borderId="1" xfId="14" applyFont="1" applyFill="1" applyBorder="1" applyAlignment="1">
      <alignment horizontal="center" vertical="center"/>
    </xf>
    <xf numFmtId="164" fontId="8" fillId="12" borderId="1" xfId="14" applyFont="1" applyFill="1" applyBorder="1" applyAlignment="1">
      <alignment horizontal="center" vertical="center"/>
    </xf>
    <xf numFmtId="0" fontId="20" fillId="12" borderId="1" xfId="7" applyFill="1" applyBorder="1" applyAlignment="1">
      <alignment horizontal="center" vertical="center"/>
    </xf>
    <xf numFmtId="0" fontId="15" fillId="13" borderId="1" xfId="7" applyFont="1" applyFill="1" applyBorder="1" applyAlignment="1">
      <alignment horizontal="left" vertical="center"/>
    </xf>
    <xf numFmtId="0" fontId="3" fillId="0" borderId="0" xfId="18"/>
    <xf numFmtId="0" fontId="18" fillId="0" borderId="0" xfId="7" applyFont="1" applyAlignment="1">
      <alignment vertical="center"/>
    </xf>
    <xf numFmtId="0" fontId="12" fillId="0" borderId="6" xfId="7" applyFont="1" applyBorder="1" applyAlignment="1">
      <alignment vertical="center" wrapText="1"/>
    </xf>
    <xf numFmtId="0" fontId="12" fillId="0" borderId="5" xfId="7" applyFont="1" applyBorder="1" applyAlignment="1">
      <alignment horizontal="left" vertical="center" wrapText="1"/>
    </xf>
    <xf numFmtId="0" fontId="18" fillId="0" borderId="46" xfId="7" applyFont="1" applyBorder="1" applyAlignment="1">
      <alignment vertical="center"/>
    </xf>
    <xf numFmtId="0" fontId="18" fillId="0" borderId="4" xfId="7" applyFont="1" applyBorder="1" applyAlignment="1">
      <alignment vertical="center"/>
    </xf>
    <xf numFmtId="0" fontId="12" fillId="0" borderId="5" xfId="7" applyFont="1" applyBorder="1" applyAlignment="1">
      <alignment vertical="center" wrapText="1"/>
    </xf>
    <xf numFmtId="0" fontId="3" fillId="0" borderId="0" xfId="18" applyAlignment="1">
      <alignment vertical="center"/>
    </xf>
    <xf numFmtId="0" fontId="80" fillId="0" borderId="0" xfId="18" applyFont="1" applyAlignment="1">
      <alignment vertical="center"/>
    </xf>
    <xf numFmtId="0" fontId="82" fillId="0" borderId="0" xfId="18" applyFont="1" applyAlignment="1">
      <alignment vertical="center"/>
    </xf>
    <xf numFmtId="0" fontId="84" fillId="0" borderId="0" xfId="18" applyFont="1" applyAlignment="1">
      <alignment vertical="center"/>
    </xf>
    <xf numFmtId="0" fontId="81" fillId="0" borderId="0" xfId="18" applyFont="1" applyAlignment="1">
      <alignment vertical="center"/>
    </xf>
    <xf numFmtId="3" fontId="13" fillId="13" borderId="1" xfId="7" applyNumberFormat="1" applyFont="1" applyFill="1" applyBorder="1" applyAlignment="1">
      <alignment horizontal="right" vertical="center" shrinkToFit="1"/>
    </xf>
    <xf numFmtId="0" fontId="2" fillId="0" borderId="0" xfId="18" applyFont="1"/>
    <xf numFmtId="0" fontId="2" fillId="0" borderId="0" xfId="18" quotePrefix="1" applyFont="1"/>
    <xf numFmtId="0" fontId="0" fillId="13" borderId="0" xfId="0" quotePrefix="1" applyFill="1"/>
    <xf numFmtId="0" fontId="0" fillId="13" borderId="0" xfId="0" applyFill="1"/>
    <xf numFmtId="0" fontId="0" fillId="0" borderId="1" xfId="0" applyBorder="1"/>
    <xf numFmtId="0" fontId="0" fillId="0" borderId="1" xfId="0" applyBorder="1" applyAlignment="1">
      <alignment horizontal="left"/>
    </xf>
    <xf numFmtId="0" fontId="0" fillId="0" borderId="1" xfId="0" applyBorder="1" applyAlignment="1">
      <alignment horizontal="left" wrapText="1"/>
    </xf>
    <xf numFmtId="0" fontId="1" fillId="0" borderId="0" xfId="18" applyFont="1" applyAlignment="1">
      <alignment vertical="center"/>
    </xf>
    <xf numFmtId="0" fontId="1" fillId="0" borderId="0" xfId="18" applyFont="1"/>
    <xf numFmtId="164" fontId="20" fillId="13" borderId="0" xfId="7" applyNumberFormat="1" applyFill="1" applyAlignment="1">
      <alignment horizontal="left" vertical="center"/>
    </xf>
    <xf numFmtId="164" fontId="33" fillId="13" borderId="1" xfId="14" applyFont="1" applyFill="1" applyBorder="1" applyAlignment="1">
      <alignment horizontal="left" vertical="center"/>
    </xf>
    <xf numFmtId="0" fontId="12" fillId="13" borderId="1" xfId="7" applyFont="1" applyFill="1" applyBorder="1" applyAlignment="1">
      <alignment horizontal="center" vertical="center"/>
    </xf>
    <xf numFmtId="3" fontId="13" fillId="12" borderId="1" xfId="7" applyNumberFormat="1" applyFont="1" applyFill="1" applyBorder="1" applyAlignment="1">
      <alignment horizontal="right" vertical="center" shrinkToFit="1"/>
    </xf>
    <xf numFmtId="3" fontId="15" fillId="0" borderId="0" xfId="9" applyNumberFormat="1" applyFont="1" applyAlignment="1">
      <alignment wrapText="1"/>
    </xf>
    <xf numFmtId="171" fontId="15" fillId="0" borderId="0" xfId="9" quotePrefix="1" applyNumberFormat="1" applyFont="1" applyAlignment="1">
      <alignment vertical="center" wrapText="1"/>
    </xf>
    <xf numFmtId="173" fontId="15" fillId="0" borderId="0" xfId="9" applyNumberFormat="1" applyFont="1" applyAlignment="1">
      <alignment vertical="top" wrapText="1"/>
    </xf>
    <xf numFmtId="0" fontId="33" fillId="0" borderId="0" xfId="6" applyFont="1" applyAlignment="1">
      <alignment horizontal="center" vertical="center" wrapText="1"/>
    </xf>
    <xf numFmtId="0" fontId="18" fillId="13" borderId="1" xfId="15" applyFont="1" applyFill="1" applyBorder="1" applyAlignment="1">
      <alignment vertical="center"/>
    </xf>
    <xf numFmtId="0" fontId="18" fillId="13" borderId="1" xfId="7" applyFont="1" applyFill="1" applyBorder="1" applyAlignment="1">
      <alignment vertical="center"/>
    </xf>
    <xf numFmtId="0" fontId="31" fillId="13" borderId="1" xfId="15" applyFont="1" applyFill="1" applyBorder="1" applyAlignment="1">
      <alignment vertical="center"/>
    </xf>
    <xf numFmtId="0" fontId="16" fillId="13" borderId="1" xfId="15" applyFont="1" applyFill="1" applyBorder="1" applyAlignment="1">
      <alignment vertical="center"/>
    </xf>
    <xf numFmtId="0" fontId="85" fillId="0" borderId="11" xfId="9" quotePrefix="1" applyFont="1" applyBorder="1"/>
    <xf numFmtId="3" fontId="72" fillId="2" borderId="39" xfId="7" applyNumberFormat="1" applyFont="1" applyFill="1" applyBorder="1" applyAlignment="1">
      <alignment horizontal="right" vertical="center" shrinkToFit="1"/>
    </xf>
    <xf numFmtId="0" fontId="15" fillId="2" borderId="39" xfId="7" applyFont="1" applyFill="1" applyBorder="1" applyAlignment="1">
      <alignment horizontal="left" vertical="center"/>
    </xf>
    <xf numFmtId="1" fontId="72" fillId="2" borderId="39" xfId="7" applyNumberFormat="1" applyFont="1" applyFill="1" applyBorder="1" applyAlignment="1">
      <alignment horizontal="center" vertical="center"/>
    </xf>
    <xf numFmtId="164" fontId="8" fillId="2" borderId="39" xfId="14" applyFont="1" applyFill="1" applyBorder="1" applyAlignment="1">
      <alignment horizontal="center" vertical="center"/>
    </xf>
    <xf numFmtId="164" fontId="20" fillId="2" borderId="44" xfId="14" applyFont="1" applyFill="1" applyBorder="1" applyAlignment="1">
      <alignment horizontal="left" vertical="center"/>
    </xf>
    <xf numFmtId="0" fontId="20" fillId="2" borderId="0" xfId="7" applyFill="1" applyAlignment="1">
      <alignment horizontal="left" vertical="top"/>
    </xf>
    <xf numFmtId="164" fontId="20" fillId="2" borderId="0" xfId="7" applyNumberFormat="1" applyFill="1" applyAlignment="1">
      <alignment horizontal="left" vertical="top"/>
    </xf>
    <xf numFmtId="0" fontId="33" fillId="2" borderId="0" xfId="7" applyFont="1" applyFill="1" applyAlignment="1">
      <alignment horizontal="left" vertical="top"/>
    </xf>
    <xf numFmtId="3" fontId="15" fillId="2" borderId="39" xfId="7" applyNumberFormat="1" applyFont="1" applyFill="1" applyBorder="1" applyAlignment="1">
      <alignment horizontal="right" vertical="center"/>
    </xf>
    <xf numFmtId="0" fontId="11" fillId="14" borderId="1" xfId="0" applyFont="1" applyFill="1" applyBorder="1" applyAlignment="1">
      <alignment horizontal="center" vertical="center" wrapText="1"/>
    </xf>
    <xf numFmtId="0" fontId="11" fillId="14" borderId="2" xfId="0" applyFont="1" applyFill="1" applyBorder="1" applyAlignment="1">
      <alignment horizontal="center" vertical="center" wrapText="1"/>
    </xf>
    <xf numFmtId="0" fontId="11" fillId="15" borderId="2" xfId="0" applyFont="1" applyFill="1" applyBorder="1" applyAlignment="1">
      <alignment horizontal="center" vertical="center" wrapText="1"/>
    </xf>
    <xf numFmtId="174" fontId="11" fillId="15" borderId="2" xfId="0" applyNumberFormat="1" applyFont="1" applyFill="1" applyBorder="1" applyAlignment="1">
      <alignment horizontal="center" vertical="center" wrapText="1"/>
    </xf>
    <xf numFmtId="0" fontId="11" fillId="15" borderId="2" xfId="0" applyFont="1" applyFill="1" applyBorder="1" applyAlignment="1">
      <alignment horizontal="right" vertical="center" wrapText="1"/>
    </xf>
    <xf numFmtId="0" fontId="11" fillId="0" borderId="1" xfId="0" applyFont="1" applyBorder="1" applyAlignment="1">
      <alignment horizontal="center" vertical="center" wrapText="1"/>
    </xf>
    <xf numFmtId="0" fontId="87" fillId="16" borderId="1" xfId="0" applyFont="1" applyFill="1" applyBorder="1" applyAlignment="1">
      <alignment horizontal="center" vertical="center" wrapText="1"/>
    </xf>
    <xf numFmtId="0" fontId="87" fillId="16" borderId="1" xfId="0" applyFont="1" applyFill="1" applyBorder="1" applyAlignment="1">
      <alignment horizontal="right" vertical="center" wrapText="1"/>
    </xf>
    <xf numFmtId="0" fontId="0" fillId="0" borderId="1" xfId="0" applyBorder="1" applyAlignment="1">
      <alignment horizontal="center" vertical="center"/>
    </xf>
    <xf numFmtId="1" fontId="13" fillId="0" borderId="1" xfId="0" applyNumberFormat="1" applyFont="1" applyBorder="1" applyAlignment="1">
      <alignment horizontal="left" vertical="center" wrapText="1"/>
    </xf>
    <xf numFmtId="1" fontId="0" fillId="0" borderId="1" xfId="0" quotePrefix="1" applyNumberFormat="1" applyBorder="1" applyAlignment="1">
      <alignment horizontal="center" vertical="center"/>
    </xf>
    <xf numFmtId="174" fontId="0" fillId="0" borderId="1" xfId="0" applyNumberFormat="1" applyBorder="1" applyAlignment="1">
      <alignment horizontal="center" vertical="center"/>
    </xf>
    <xf numFmtId="165" fontId="14" fillId="0" borderId="1" xfId="0" applyNumberFormat="1" applyFont="1" applyBorder="1" applyAlignment="1">
      <alignment horizontal="center" vertical="center" shrinkToFit="1"/>
    </xf>
    <xf numFmtId="0" fontId="12" fillId="0" borderId="1" xfId="0" applyFont="1" applyBorder="1" applyAlignment="1">
      <alignment horizontal="left" vertical="center"/>
    </xf>
    <xf numFmtId="0" fontId="0" fillId="0" borderId="1" xfId="0" applyBorder="1" applyAlignment="1">
      <alignment horizontal="left" vertical="center" wrapText="1"/>
    </xf>
    <xf numFmtId="3" fontId="14" fillId="10" borderId="1" xfId="7" applyNumberFormat="1" applyFont="1" applyFill="1" applyBorder="1" applyAlignment="1">
      <alignment horizontal="right" vertical="center" shrinkToFit="1"/>
    </xf>
    <xf numFmtId="3" fontId="0" fillId="0" borderId="1" xfId="0" applyNumberFormat="1" applyBorder="1" applyAlignment="1">
      <alignment vertical="center"/>
    </xf>
    <xf numFmtId="3" fontId="0" fillId="0" borderId="1" xfId="0" quotePrefix="1" applyNumberFormat="1" applyBorder="1" applyAlignment="1">
      <alignment vertical="center"/>
    </xf>
    <xf numFmtId="3" fontId="0" fillId="0" borderId="1" xfId="0" applyNumberFormat="1" applyBorder="1" applyAlignment="1">
      <alignment vertical="center" wrapText="1"/>
    </xf>
    <xf numFmtId="0" fontId="12" fillId="0" borderId="1" xfId="0" applyFont="1" applyBorder="1" applyAlignment="1">
      <alignment horizontal="left" vertical="center" wrapText="1"/>
    </xf>
    <xf numFmtId="0" fontId="0" fillId="0" borderId="1" xfId="0" applyBorder="1" applyAlignment="1">
      <alignment horizontal="left" vertical="center"/>
    </xf>
    <xf numFmtId="0" fontId="0" fillId="0" borderId="0" xfId="0" applyAlignment="1">
      <alignment vertical="center"/>
    </xf>
    <xf numFmtId="0" fontId="88" fillId="0" borderId="1" xfId="0" applyFont="1" applyBorder="1" applyAlignment="1">
      <alignment vertical="center"/>
    </xf>
    <xf numFmtId="0" fontId="0" fillId="0" borderId="1" xfId="0" applyBorder="1" applyAlignment="1">
      <alignment vertical="center" wrapText="1"/>
    </xf>
    <xf numFmtId="0" fontId="89" fillId="0" borderId="1" xfId="0" applyFont="1" applyBorder="1" applyAlignment="1">
      <alignment vertical="center"/>
    </xf>
    <xf numFmtId="0" fontId="0" fillId="10" borderId="1" xfId="0" applyFill="1" applyBorder="1" applyAlignment="1">
      <alignment horizontal="center" vertical="center"/>
    </xf>
    <xf numFmtId="0" fontId="13" fillId="10" borderId="1" xfId="0" applyFont="1" applyFill="1" applyBorder="1" applyAlignment="1">
      <alignment horizontal="center" vertical="center" wrapText="1"/>
    </xf>
    <xf numFmtId="1" fontId="0" fillId="10" borderId="1" xfId="0" quotePrefix="1" applyNumberFormat="1" applyFill="1" applyBorder="1" applyAlignment="1">
      <alignment horizontal="center" vertical="center"/>
    </xf>
    <xf numFmtId="174" fontId="0" fillId="10" borderId="1" xfId="0" applyNumberFormat="1" applyFill="1" applyBorder="1" applyAlignment="1">
      <alignment horizontal="center" vertical="center"/>
    </xf>
    <xf numFmtId="165" fontId="14" fillId="10" borderId="1" xfId="0" applyNumberFormat="1" applyFont="1" applyFill="1" applyBorder="1" applyAlignment="1">
      <alignment horizontal="center" vertical="center" shrinkToFit="1"/>
    </xf>
    <xf numFmtId="0" fontId="12" fillId="10" borderId="1" xfId="0" applyFont="1" applyFill="1" applyBorder="1" applyAlignment="1">
      <alignment horizontal="left" vertical="center"/>
    </xf>
    <xf numFmtId="0" fontId="13" fillId="10" borderId="1" xfId="0" applyFont="1" applyFill="1" applyBorder="1" applyAlignment="1">
      <alignment horizontal="left" vertical="center" wrapText="1"/>
    </xf>
    <xf numFmtId="0" fontId="0" fillId="10" borderId="1" xfId="0" applyFill="1" applyBorder="1" applyAlignment="1">
      <alignment vertical="center"/>
    </xf>
    <xf numFmtId="0" fontId="0" fillId="10" borderId="1" xfId="0" applyFill="1" applyBorder="1" applyAlignment="1">
      <alignment horizontal="left" vertical="center" wrapText="1"/>
    </xf>
    <xf numFmtId="3" fontId="14" fillId="10" borderId="1" xfId="0" applyNumberFormat="1" applyFont="1" applyFill="1" applyBorder="1" applyAlignment="1">
      <alignment horizontal="right" vertical="center" shrinkToFit="1"/>
    </xf>
    <xf numFmtId="3" fontId="0" fillId="10" borderId="1" xfId="0" applyNumberFormat="1" applyFill="1" applyBorder="1" applyAlignment="1">
      <alignment vertical="center"/>
    </xf>
    <xf numFmtId="3" fontId="0" fillId="10" borderId="1" xfId="0" quotePrefix="1" applyNumberFormat="1" applyFill="1" applyBorder="1" applyAlignment="1">
      <alignment vertical="center"/>
    </xf>
    <xf numFmtId="3" fontId="0" fillId="10" borderId="1" xfId="0" applyNumberFormat="1" applyFill="1" applyBorder="1" applyAlignment="1">
      <alignment vertical="center" wrapText="1"/>
    </xf>
    <xf numFmtId="14" fontId="13" fillId="10" borderId="1" xfId="7" applyNumberFormat="1" applyFont="1" applyFill="1" applyBorder="1" applyAlignment="1">
      <alignment horizontal="center" vertical="center" wrapText="1"/>
    </xf>
    <xf numFmtId="0" fontId="0" fillId="0" borderId="1" xfId="0" quotePrefix="1" applyBorder="1" applyAlignment="1">
      <alignment horizontal="center" vertical="center"/>
    </xf>
    <xf numFmtId="0" fontId="13" fillId="17" borderId="1" xfId="0" applyFont="1" applyFill="1" applyBorder="1" applyAlignment="1">
      <alignment horizontal="center" vertical="center" wrapText="1"/>
    </xf>
    <xf numFmtId="165" fontId="14" fillId="17" borderId="1" xfId="0" applyNumberFormat="1" applyFont="1" applyFill="1" applyBorder="1" applyAlignment="1">
      <alignment horizontal="center" vertical="center" shrinkToFit="1"/>
    </xf>
    <xf numFmtId="0" fontId="13" fillId="17" borderId="1" xfId="0" applyFont="1" applyFill="1" applyBorder="1" applyAlignment="1">
      <alignment horizontal="left" vertical="center" wrapText="1"/>
    </xf>
    <xf numFmtId="3" fontId="14" fillId="17" borderId="1" xfId="0" applyNumberFormat="1" applyFont="1" applyFill="1" applyBorder="1" applyAlignment="1">
      <alignment horizontal="right" vertical="center" shrinkToFit="1"/>
    </xf>
    <xf numFmtId="0" fontId="0" fillId="13" borderId="1" xfId="0" quotePrefix="1" applyFill="1" applyBorder="1" applyAlignment="1">
      <alignment horizontal="center" vertical="center"/>
    </xf>
    <xf numFmtId="165" fontId="14" fillId="13" borderId="1" xfId="0" applyNumberFormat="1" applyFont="1" applyFill="1" applyBorder="1" applyAlignment="1">
      <alignment horizontal="center" vertical="center" shrinkToFit="1"/>
    </xf>
    <xf numFmtId="174" fontId="0" fillId="13" borderId="1" xfId="0" applyNumberFormat="1" applyFill="1" applyBorder="1" applyAlignment="1">
      <alignment horizontal="center" vertical="center"/>
    </xf>
    <xf numFmtId="0" fontId="12" fillId="13" borderId="1" xfId="0" applyFont="1" applyFill="1" applyBorder="1" applyAlignment="1">
      <alignment horizontal="left" vertical="center"/>
    </xf>
    <xf numFmtId="0" fontId="0" fillId="13" borderId="1" xfId="0" applyFill="1" applyBorder="1" applyAlignment="1">
      <alignment vertical="center" wrapText="1"/>
    </xf>
    <xf numFmtId="3" fontId="0" fillId="13" borderId="1" xfId="0" applyNumberFormat="1" applyFill="1" applyBorder="1" applyAlignment="1">
      <alignment vertical="center"/>
    </xf>
    <xf numFmtId="3" fontId="0" fillId="13" borderId="1" xfId="0" quotePrefix="1" applyNumberFormat="1" applyFill="1" applyBorder="1" applyAlignment="1">
      <alignment vertical="center"/>
    </xf>
    <xf numFmtId="3" fontId="0" fillId="13" borderId="1" xfId="0" applyNumberFormat="1" applyFill="1" applyBorder="1" applyAlignment="1">
      <alignment vertical="center" wrapText="1"/>
    </xf>
    <xf numFmtId="14" fontId="76" fillId="10" borderId="1" xfId="7" applyNumberFormat="1" applyFont="1" applyFill="1" applyBorder="1" applyAlignment="1">
      <alignment horizontal="center" vertical="center" wrapText="1"/>
    </xf>
    <xf numFmtId="0" fontId="13" fillId="10" borderId="1" xfId="0" applyFont="1" applyFill="1" applyBorder="1" applyAlignment="1">
      <alignment horizontal="center" vertical="center"/>
    </xf>
    <xf numFmtId="0" fontId="0" fillId="10" borderId="1" xfId="0" quotePrefix="1" applyFill="1" applyBorder="1" applyAlignment="1">
      <alignment horizontal="center" vertical="center"/>
    </xf>
    <xf numFmtId="0" fontId="13" fillId="10" borderId="1" xfId="0" applyFont="1" applyFill="1" applyBorder="1" applyAlignment="1">
      <alignment horizontal="left" vertical="center"/>
    </xf>
    <xf numFmtId="0" fontId="13" fillId="10" borderId="1" xfId="7" applyFont="1" applyFill="1" applyBorder="1" applyAlignment="1">
      <alignment horizontal="center" vertical="center"/>
    </xf>
    <xf numFmtId="0" fontId="12" fillId="0" borderId="1" xfId="0" applyFont="1" applyBorder="1" applyAlignment="1">
      <alignment horizontal="center" vertical="center" wrapText="1"/>
    </xf>
    <xf numFmtId="14" fontId="13" fillId="13" borderId="1" xfId="7" applyNumberFormat="1" applyFont="1" applyFill="1" applyBorder="1" applyAlignment="1">
      <alignment horizontal="center" vertical="center" wrapText="1"/>
    </xf>
    <xf numFmtId="0" fontId="13" fillId="0" borderId="1" xfId="0" applyFont="1" applyBorder="1" applyAlignment="1">
      <alignment horizontal="center" vertical="center"/>
    </xf>
    <xf numFmtId="0" fontId="13" fillId="0" borderId="1" xfId="0" applyFont="1" applyBorder="1" applyAlignment="1">
      <alignment horizontal="left" vertical="center"/>
    </xf>
    <xf numFmtId="14" fontId="13" fillId="18" borderId="1" xfId="7" applyNumberFormat="1" applyFont="1" applyFill="1" applyBorder="1" applyAlignment="1">
      <alignment horizontal="center" vertical="center" wrapText="1"/>
    </xf>
    <xf numFmtId="0" fontId="77" fillId="0" borderId="1" xfId="0" applyFont="1" applyBorder="1" applyAlignment="1">
      <alignment horizontal="left" vertical="center" wrapText="1"/>
    </xf>
    <xf numFmtId="0" fontId="77" fillId="0" borderId="1" xfId="0" applyFont="1" applyBorder="1" applyAlignment="1">
      <alignment horizontal="center" vertical="center" wrapText="1"/>
    </xf>
    <xf numFmtId="165" fontId="79" fillId="0" borderId="1" xfId="0" applyNumberFormat="1" applyFont="1" applyBorder="1" applyAlignment="1">
      <alignment horizontal="center" vertical="center" shrinkToFit="1"/>
    </xf>
    <xf numFmtId="3" fontId="79" fillId="0" borderId="1" xfId="0" applyNumberFormat="1" applyFont="1" applyBorder="1" applyAlignment="1">
      <alignment horizontal="right" vertical="center" shrinkToFit="1"/>
    </xf>
    <xf numFmtId="0" fontId="77" fillId="17" borderId="1" xfId="0" applyFont="1" applyFill="1" applyBorder="1" applyAlignment="1">
      <alignment horizontal="left" vertical="center" wrapText="1"/>
    </xf>
    <xf numFmtId="0" fontId="77" fillId="17" borderId="1" xfId="0" applyFont="1" applyFill="1" applyBorder="1" applyAlignment="1">
      <alignment horizontal="center" vertical="center" wrapText="1"/>
    </xf>
    <xf numFmtId="165" fontId="79" fillId="17" borderId="1" xfId="0" applyNumberFormat="1" applyFont="1" applyFill="1" applyBorder="1" applyAlignment="1">
      <alignment horizontal="center" vertical="center" shrinkToFit="1"/>
    </xf>
    <xf numFmtId="3" fontId="79" fillId="17" borderId="1" xfId="0" applyNumberFormat="1" applyFont="1" applyFill="1" applyBorder="1" applyAlignment="1">
      <alignment horizontal="right" vertical="center" shrinkToFit="1"/>
    </xf>
    <xf numFmtId="0" fontId="0" fillId="10" borderId="1" xfId="0" applyFill="1" applyBorder="1" applyAlignment="1">
      <alignment vertical="center" wrapText="1"/>
    </xf>
    <xf numFmtId="14" fontId="13" fillId="13" borderId="1" xfId="7" applyNumberFormat="1" applyFont="1" applyFill="1" applyBorder="1" applyAlignment="1">
      <alignment horizontal="center" vertical="center"/>
    </xf>
    <xf numFmtId="14" fontId="12" fillId="10" borderId="1" xfId="7" applyNumberFormat="1" applyFont="1" applyFill="1" applyBorder="1" applyAlignment="1">
      <alignment horizontal="center" vertical="center" wrapText="1"/>
    </xf>
    <xf numFmtId="14" fontId="12" fillId="13" borderId="1" xfId="7" applyNumberFormat="1" applyFont="1" applyFill="1" applyBorder="1" applyAlignment="1">
      <alignment horizontal="center" vertical="center"/>
    </xf>
    <xf numFmtId="0" fontId="0" fillId="0" borderId="1" xfId="0" quotePrefix="1" applyBorder="1" applyAlignment="1">
      <alignment vertical="center"/>
    </xf>
    <xf numFmtId="3" fontId="14" fillId="0" borderId="1" xfId="0" applyNumberFormat="1" applyFont="1" applyBorder="1" applyAlignment="1">
      <alignment horizontal="left" vertical="center" shrinkToFit="1"/>
    </xf>
    <xf numFmtId="0" fontId="0" fillId="10" borderId="0" xfId="0" applyFill="1" applyAlignment="1">
      <alignment horizontal="center" vertical="center"/>
    </xf>
    <xf numFmtId="0" fontId="0" fillId="0" borderId="0" xfId="0" applyAlignment="1">
      <alignment horizontal="right" vertical="center"/>
    </xf>
    <xf numFmtId="1" fontId="13" fillId="10" borderId="6" xfId="7" quotePrefix="1" applyNumberFormat="1" applyFont="1" applyFill="1" applyBorder="1" applyAlignment="1">
      <alignment horizontal="center" vertical="center" wrapText="1"/>
    </xf>
    <xf numFmtId="0" fontId="13" fillId="10" borderId="5" xfId="7" applyFont="1" applyFill="1" applyBorder="1" applyAlignment="1">
      <alignment horizontal="center" vertical="center" wrapText="1"/>
    </xf>
    <xf numFmtId="0" fontId="13" fillId="10" borderId="34" xfId="7" applyFont="1" applyFill="1" applyBorder="1" applyAlignment="1">
      <alignment horizontal="center" vertical="center" wrapText="1"/>
    </xf>
    <xf numFmtId="0" fontId="12" fillId="10" borderId="5" xfId="7" applyFont="1" applyFill="1" applyBorder="1" applyAlignment="1">
      <alignment horizontal="left" vertical="center"/>
    </xf>
    <xf numFmtId="14" fontId="0" fillId="10" borderId="1" xfId="0" applyNumberFormat="1" applyFill="1" applyBorder="1" applyAlignment="1">
      <alignment horizontal="center" vertical="center"/>
    </xf>
    <xf numFmtId="14" fontId="13" fillId="10" borderId="6" xfId="7" applyNumberFormat="1" applyFont="1" applyFill="1" applyBorder="1" applyAlignment="1">
      <alignment horizontal="center" vertical="center"/>
    </xf>
    <xf numFmtId="165" fontId="14" fillId="10" borderId="1" xfId="7" applyNumberFormat="1" applyFont="1" applyFill="1" applyBorder="1" applyAlignment="1">
      <alignment horizontal="center" vertical="center" shrinkToFit="1"/>
    </xf>
    <xf numFmtId="0" fontId="13" fillId="10" borderId="6" xfId="7" applyFont="1" applyFill="1" applyBorder="1" applyAlignment="1">
      <alignment vertical="center" wrapText="1"/>
    </xf>
    <xf numFmtId="1" fontId="14" fillId="10" borderId="6" xfId="7" applyNumberFormat="1" applyFont="1" applyFill="1" applyBorder="1" applyAlignment="1">
      <alignment horizontal="center" vertical="center" shrinkToFit="1"/>
    </xf>
    <xf numFmtId="171" fontId="14" fillId="10" borderId="6" xfId="1" applyNumberFormat="1" applyFont="1" applyFill="1" applyBorder="1" applyAlignment="1">
      <alignment horizontal="center" vertical="center" shrinkToFit="1"/>
    </xf>
    <xf numFmtId="3" fontId="14" fillId="10" borderId="5" xfId="7" applyNumberFormat="1" applyFont="1" applyFill="1" applyBorder="1" applyAlignment="1">
      <alignment horizontal="right" vertical="center" shrinkToFit="1"/>
    </xf>
    <xf numFmtId="0" fontId="31" fillId="10" borderId="39" xfId="15" applyFont="1" applyFill="1" applyBorder="1" applyAlignment="1">
      <alignment vertical="center"/>
    </xf>
    <xf numFmtId="3" fontId="72" fillId="10" borderId="39" xfId="7" applyNumberFormat="1" applyFont="1" applyFill="1" applyBorder="1" applyAlignment="1">
      <alignment horizontal="right" vertical="center" shrinkToFit="1"/>
    </xf>
    <xf numFmtId="0" fontId="15" fillId="13" borderId="0" xfId="7" applyFont="1" applyFill="1" applyAlignment="1">
      <alignment horizontal="left" vertical="top"/>
    </xf>
    <xf numFmtId="3" fontId="14" fillId="13" borderId="1" xfId="7" applyNumberFormat="1" applyFont="1" applyFill="1" applyBorder="1" applyAlignment="1">
      <alignment horizontal="left" vertical="center" shrinkToFit="1"/>
    </xf>
    <xf numFmtId="3" fontId="14" fillId="13" borderId="0" xfId="7" applyNumberFormat="1" applyFont="1" applyFill="1" applyAlignment="1">
      <alignment horizontal="left" vertical="top" shrinkToFit="1"/>
    </xf>
    <xf numFmtId="164" fontId="0" fillId="13" borderId="1" xfId="14" applyFont="1" applyFill="1" applyBorder="1" applyAlignment="1">
      <alignment horizontal="left" vertical="center"/>
    </xf>
    <xf numFmtId="0" fontId="20" fillId="13" borderId="1" xfId="7" applyFill="1" applyBorder="1" applyAlignment="1">
      <alignment vertical="center"/>
    </xf>
    <xf numFmtId="0" fontId="6" fillId="13" borderId="0" xfId="13" applyFill="1" applyAlignment="1">
      <alignment horizontal="left" vertical="top"/>
    </xf>
    <xf numFmtId="0" fontId="0" fillId="13" borderId="0" xfId="0" applyFill="1" applyAlignment="1">
      <alignment horizontal="center"/>
    </xf>
    <xf numFmtId="164" fontId="0" fillId="13" borderId="0" xfId="14" applyFont="1" applyFill="1" applyBorder="1" applyAlignment="1">
      <alignment horizontal="center"/>
    </xf>
    <xf numFmtId="0" fontId="20" fillId="13" borderId="0" xfId="7" applyFill="1" applyAlignment="1">
      <alignment horizontal="center" vertical="center"/>
    </xf>
    <xf numFmtId="164" fontId="20" fillId="13" borderId="0" xfId="14" applyFont="1" applyFill="1" applyBorder="1" applyAlignment="1">
      <alignment horizontal="left" vertical="top"/>
    </xf>
    <xf numFmtId="0" fontId="13" fillId="13" borderId="1" xfId="13" applyFont="1" applyFill="1" applyBorder="1" applyAlignment="1">
      <alignment horizontal="left" vertical="center"/>
    </xf>
    <xf numFmtId="0" fontId="13" fillId="0" borderId="1" xfId="7" applyFont="1" applyBorder="1" applyAlignment="1">
      <alignment horizontal="center" vertical="center"/>
    </xf>
    <xf numFmtId="164" fontId="20" fillId="12" borderId="1" xfId="14" applyFont="1" applyFill="1" applyBorder="1" applyAlignment="1">
      <alignment horizontal="left" vertical="center"/>
    </xf>
    <xf numFmtId="0" fontId="15" fillId="0" borderId="18" xfId="9" applyFont="1" applyBorder="1"/>
    <xf numFmtId="0" fontId="15" fillId="0" borderId="19" xfId="9" applyFont="1" applyBorder="1" applyAlignment="1">
      <alignment horizontal="left" vertical="top" wrapText="1"/>
    </xf>
    <xf numFmtId="0" fontId="15" fillId="0" borderId="19" xfId="9" applyFont="1" applyBorder="1" applyAlignment="1">
      <alignment horizontal="left" vertical="top"/>
    </xf>
    <xf numFmtId="0" fontId="15" fillId="0" borderId="19" xfId="9" applyFont="1" applyBorder="1"/>
    <xf numFmtId="172" fontId="15" fillId="0" borderId="19" xfId="9" applyNumberFormat="1" applyFont="1" applyBorder="1" applyAlignment="1">
      <alignment horizontal="center"/>
    </xf>
    <xf numFmtId="0" fontId="15" fillId="0" borderId="20" xfId="9" applyFont="1" applyBorder="1"/>
    <xf numFmtId="0" fontId="17" fillId="0" borderId="1" xfId="7" applyFont="1" applyBorder="1" applyAlignment="1">
      <alignment horizontal="left" vertical="center"/>
    </xf>
    <xf numFmtId="0" fontId="6" fillId="0" borderId="1" xfId="13" applyBorder="1" applyAlignment="1">
      <alignment horizontal="left" vertical="center"/>
    </xf>
    <xf numFmtId="0" fontId="33" fillId="13" borderId="1" xfId="13" applyFont="1" applyFill="1" applyBorder="1" applyAlignment="1">
      <alignment horizontal="left" vertical="center"/>
    </xf>
    <xf numFmtId="0" fontId="69" fillId="13" borderId="40" xfId="7" applyFont="1" applyFill="1" applyBorder="1" applyAlignment="1">
      <alignment horizontal="center" vertical="center"/>
    </xf>
    <xf numFmtId="0" fontId="69" fillId="13" borderId="41" xfId="7" applyFont="1" applyFill="1" applyBorder="1" applyAlignment="1">
      <alignment horizontal="center" vertical="center"/>
    </xf>
    <xf numFmtId="0" fontId="31" fillId="13" borderId="39" xfId="15" applyFont="1" applyFill="1" applyBorder="1" applyAlignment="1">
      <alignment vertical="center"/>
    </xf>
    <xf numFmtId="3" fontId="72" fillId="13" borderId="39" xfId="7" applyNumberFormat="1" applyFont="1" applyFill="1" applyBorder="1" applyAlignment="1">
      <alignment horizontal="right" vertical="center" shrinkToFit="1"/>
    </xf>
    <xf numFmtId="3" fontId="15" fillId="13" borderId="39" xfId="7" applyNumberFormat="1" applyFont="1" applyFill="1" applyBorder="1" applyAlignment="1">
      <alignment horizontal="right" vertical="center"/>
    </xf>
    <xf numFmtId="0" fontId="4" fillId="13" borderId="39" xfId="13" applyFont="1" applyFill="1" applyBorder="1" applyAlignment="1">
      <alignment horizontal="left" vertical="center"/>
    </xf>
    <xf numFmtId="0" fontId="72" fillId="13" borderId="39" xfId="7" applyFont="1" applyFill="1" applyBorder="1" applyAlignment="1">
      <alignment horizontal="center" vertical="center"/>
    </xf>
    <xf numFmtId="164" fontId="8" fillId="13" borderId="39" xfId="14" applyFont="1" applyFill="1" applyBorder="1" applyAlignment="1">
      <alignment horizontal="center" vertical="center"/>
    </xf>
    <xf numFmtId="164" fontId="20" fillId="13" borderId="44" xfId="14" applyFont="1" applyFill="1" applyBorder="1" applyAlignment="1">
      <alignment horizontal="left" vertical="center"/>
    </xf>
    <xf numFmtId="0" fontId="12" fillId="13" borderId="1" xfId="7" applyFont="1" applyFill="1" applyBorder="1" applyAlignment="1">
      <alignment horizontal="left" vertical="center"/>
    </xf>
    <xf numFmtId="0" fontId="13" fillId="13" borderId="1" xfId="7" applyFont="1" applyFill="1" applyBorder="1" applyAlignment="1">
      <alignment horizontal="left" vertical="center"/>
    </xf>
    <xf numFmtId="0" fontId="13" fillId="13" borderId="1" xfId="3" applyFont="1" applyFill="1" applyBorder="1" applyAlignment="1">
      <alignment horizontal="left" vertical="center"/>
    </xf>
    <xf numFmtId="0" fontId="12" fillId="13" borderId="1" xfId="3" applyFont="1" applyFill="1" applyBorder="1" applyAlignment="1">
      <alignment horizontal="left" vertical="center"/>
    </xf>
    <xf numFmtId="168" fontId="18" fillId="0" borderId="0" xfId="9" applyNumberFormat="1" applyFont="1" applyAlignment="1">
      <alignment horizontal="left" indent="5"/>
    </xf>
    <xf numFmtId="0" fontId="18" fillId="0" borderId="0" xfId="9" applyFont="1" applyAlignment="1">
      <alignment horizontal="left" indent="5"/>
    </xf>
    <xf numFmtId="0" fontId="15" fillId="0" borderId="0" xfId="9" applyFont="1" applyAlignment="1">
      <alignment horizontal="left" indent="5"/>
    </xf>
    <xf numFmtId="0" fontId="90" fillId="0" borderId="0" xfId="9" applyFont="1" applyAlignment="1">
      <alignment vertical="center"/>
    </xf>
    <xf numFmtId="0" fontId="90" fillId="0" borderId="0" xfId="9" applyFont="1"/>
    <xf numFmtId="1" fontId="13" fillId="0" borderId="6" xfId="7" quotePrefix="1" applyNumberFormat="1" applyFont="1" applyBorder="1" applyAlignment="1">
      <alignment horizontal="center" vertical="center" wrapText="1"/>
    </xf>
    <xf numFmtId="0" fontId="13" fillId="0" borderId="5" xfId="7" applyFont="1" applyBorder="1" applyAlignment="1">
      <alignment horizontal="center" vertical="center" wrapText="1"/>
    </xf>
    <xf numFmtId="0" fontId="13" fillId="0" borderId="34" xfId="7" applyFont="1" applyBorder="1" applyAlignment="1">
      <alignment horizontal="center" vertical="center" wrapText="1"/>
    </xf>
    <xf numFmtId="0" fontId="12" fillId="0" borderId="5" xfId="7" applyFont="1" applyBorder="1" applyAlignment="1">
      <alignment horizontal="left" vertical="center"/>
    </xf>
    <xf numFmtId="14" fontId="13" fillId="0" borderId="6" xfId="7" applyNumberFormat="1" applyFont="1" applyBorder="1" applyAlignment="1">
      <alignment horizontal="center" vertical="center"/>
    </xf>
    <xf numFmtId="165" fontId="14" fillId="0" borderId="1" xfId="7" applyNumberFormat="1" applyFont="1" applyBorder="1" applyAlignment="1">
      <alignment horizontal="center" vertical="center" shrinkToFit="1"/>
    </xf>
    <xf numFmtId="1" fontId="14" fillId="0" borderId="6" xfId="7" applyNumberFormat="1" applyFont="1" applyBorder="1" applyAlignment="1">
      <alignment horizontal="center" vertical="center" shrinkToFit="1"/>
    </xf>
    <xf numFmtId="171" fontId="14" fillId="0" borderId="6" xfId="1" applyNumberFormat="1" applyFont="1" applyFill="1" applyBorder="1" applyAlignment="1">
      <alignment horizontal="center" vertical="center" shrinkToFit="1"/>
    </xf>
    <xf numFmtId="3" fontId="14" fillId="0" borderId="5" xfId="7" applyNumberFormat="1" applyFont="1" applyBorder="1" applyAlignment="1">
      <alignment horizontal="right" vertical="center" shrinkToFit="1"/>
    </xf>
    <xf numFmtId="0" fontId="10" fillId="0" borderId="0" xfId="7" applyFont="1" applyAlignment="1">
      <alignment horizontal="center" vertical="center"/>
    </xf>
    <xf numFmtId="0" fontId="31" fillId="0" borderId="39" xfId="15" applyFont="1" applyBorder="1" applyAlignment="1">
      <alignment vertical="center"/>
    </xf>
    <xf numFmtId="3" fontId="15" fillId="0" borderId="39" xfId="7" applyNumberFormat="1" applyFont="1" applyBorder="1" applyAlignment="1">
      <alignment horizontal="right" vertical="center"/>
    </xf>
    <xf numFmtId="3" fontId="15" fillId="0" borderId="39" xfId="7" applyNumberFormat="1" applyFont="1" applyBorder="1" applyAlignment="1">
      <alignment horizontal="left" vertical="center"/>
    </xf>
    <xf numFmtId="0" fontId="4" fillId="0" borderId="39" xfId="13" applyFont="1" applyBorder="1" applyAlignment="1">
      <alignment horizontal="left" vertical="center"/>
    </xf>
    <xf numFmtId="1" fontId="72" fillId="0" borderId="39" xfId="7" applyNumberFormat="1" applyFont="1" applyBorder="1" applyAlignment="1">
      <alignment horizontal="center" vertical="center"/>
    </xf>
    <xf numFmtId="3" fontId="20" fillId="0" borderId="0" xfId="7" quotePrefix="1" applyNumberFormat="1" applyAlignment="1">
      <alignment horizontal="left" vertical="center"/>
    </xf>
    <xf numFmtId="0" fontId="18" fillId="0" borderId="0" xfId="3" applyFont="1" applyAlignment="1">
      <alignment horizontal="center"/>
    </xf>
    <xf numFmtId="3" fontId="72" fillId="19" borderId="39" xfId="7" applyNumberFormat="1" applyFont="1" applyFill="1" applyBorder="1" applyAlignment="1">
      <alignment horizontal="right" vertical="center" shrinkToFit="1"/>
    </xf>
    <xf numFmtId="3" fontId="15" fillId="19" borderId="39" xfId="7" applyNumberFormat="1" applyFont="1" applyFill="1" applyBorder="1" applyAlignment="1">
      <alignment horizontal="right" vertical="center"/>
    </xf>
    <xf numFmtId="0" fontId="15" fillId="19" borderId="39" xfId="7" applyFont="1" applyFill="1" applyBorder="1" applyAlignment="1">
      <alignment horizontal="left" vertical="center"/>
    </xf>
    <xf numFmtId="1" fontId="72" fillId="19" borderId="39" xfId="7" applyNumberFormat="1" applyFont="1" applyFill="1" applyBorder="1" applyAlignment="1">
      <alignment horizontal="center" vertical="center"/>
    </xf>
    <xf numFmtId="164" fontId="8" fillId="19" borderId="39" xfId="14" applyFont="1" applyFill="1" applyBorder="1" applyAlignment="1">
      <alignment horizontal="center" vertical="center"/>
    </xf>
    <xf numFmtId="164" fontId="20" fillId="19" borderId="44" xfId="14" applyFont="1" applyFill="1" applyBorder="1" applyAlignment="1">
      <alignment horizontal="left" vertical="center"/>
    </xf>
    <xf numFmtId="0" fontId="20" fillId="19" borderId="0" xfId="7" applyFill="1" applyAlignment="1">
      <alignment horizontal="left" vertical="top"/>
    </xf>
    <xf numFmtId="164" fontId="20" fillId="19" borderId="0" xfId="7" applyNumberFormat="1" applyFill="1" applyAlignment="1">
      <alignment horizontal="left" vertical="top"/>
    </xf>
    <xf numFmtId="0" fontId="18" fillId="0" borderId="0" xfId="3" applyFont="1" applyAlignment="1">
      <alignment horizontal="left" indent="9"/>
    </xf>
    <xf numFmtId="0" fontId="31" fillId="0" borderId="0" xfId="6" applyFont="1" applyAlignment="1">
      <alignment vertical="center"/>
    </xf>
    <xf numFmtId="170" fontId="18" fillId="0" borderId="0" xfId="3" applyNumberFormat="1" applyFont="1" applyAlignment="1">
      <alignment vertical="top"/>
    </xf>
    <xf numFmtId="0" fontId="18" fillId="0" borderId="0" xfId="3" applyFont="1" applyAlignment="1">
      <alignment horizontal="left" indent="6"/>
    </xf>
    <xf numFmtId="0" fontId="16" fillId="0" borderId="0" xfId="6" applyFont="1"/>
    <xf numFmtId="0" fontId="24" fillId="0" borderId="0" xfId="3" applyFont="1"/>
    <xf numFmtId="0" fontId="41" fillId="0" borderId="0" xfId="3" applyFont="1" applyAlignment="1">
      <alignment horizontal="center" vertical="center" wrapText="1"/>
    </xf>
    <xf numFmtId="168" fontId="18" fillId="0" borderId="0" xfId="3" applyNumberFormat="1" applyFont="1"/>
    <xf numFmtId="0" fontId="49" fillId="0" borderId="0" xfId="6" applyFont="1" applyAlignment="1">
      <alignment horizontal="left" vertical="center"/>
    </xf>
    <xf numFmtId="0" fontId="18" fillId="0" borderId="0" xfId="3" applyFont="1" applyAlignment="1">
      <alignment horizontal="left" vertical="center"/>
    </xf>
    <xf numFmtId="14" fontId="18" fillId="0" borderId="0" xfId="3" applyNumberFormat="1" applyFont="1"/>
    <xf numFmtId="0" fontId="94" fillId="0" borderId="0" xfId="6" applyFont="1"/>
    <xf numFmtId="0" fontId="16" fillId="0" borderId="0" xfId="3" applyFont="1"/>
    <xf numFmtId="0" fontId="42" fillId="0" borderId="0" xfId="6" applyFont="1" applyAlignment="1">
      <alignment horizontal="left" vertical="center"/>
    </xf>
    <xf numFmtId="0" fontId="28" fillId="20" borderId="2" xfId="3" applyFont="1" applyFill="1" applyBorder="1" applyAlignment="1">
      <alignment horizontal="center"/>
    </xf>
    <xf numFmtId="171" fontId="26" fillId="0" borderId="0" xfId="1" quotePrefix="1" applyNumberFormat="1" applyFont="1" applyBorder="1"/>
    <xf numFmtId="171" fontId="26" fillId="0" borderId="0" xfId="1" applyNumberFormat="1" applyFont="1" applyBorder="1"/>
    <xf numFmtId="173" fontId="15" fillId="0" borderId="0" xfId="9" applyNumberFormat="1" applyFont="1"/>
    <xf numFmtId="3" fontId="72" fillId="12" borderId="39" xfId="7" applyNumberFormat="1" applyFont="1" applyFill="1" applyBorder="1" applyAlignment="1">
      <alignment horizontal="right" vertical="center" shrinkToFit="1"/>
    </xf>
    <xf numFmtId="3" fontId="15" fillId="12" borderId="39" xfId="7" applyNumberFormat="1" applyFont="1" applyFill="1" applyBorder="1" applyAlignment="1">
      <alignment horizontal="right" vertical="center"/>
    </xf>
    <xf numFmtId="0" fontId="15" fillId="12" borderId="39" xfId="7" applyFont="1" applyFill="1" applyBorder="1" applyAlignment="1">
      <alignment horizontal="left" vertical="center"/>
    </xf>
    <xf numFmtId="1" fontId="72" fillId="12" borderId="39" xfId="7" applyNumberFormat="1" applyFont="1" applyFill="1" applyBorder="1" applyAlignment="1">
      <alignment horizontal="center" vertical="center"/>
    </xf>
    <xf numFmtId="164" fontId="8" fillId="12" borderId="39" xfId="14" applyFont="1" applyFill="1" applyBorder="1" applyAlignment="1">
      <alignment horizontal="center" vertical="center"/>
    </xf>
    <xf numFmtId="164" fontId="20" fillId="12" borderId="44" xfId="14" applyFont="1" applyFill="1" applyBorder="1" applyAlignment="1">
      <alignment horizontal="left" vertical="center"/>
    </xf>
    <xf numFmtId="0" fontId="20" fillId="12" borderId="0" xfId="7" applyFill="1" applyAlignment="1">
      <alignment horizontal="left" vertical="top"/>
    </xf>
    <xf numFmtId="0" fontId="20" fillId="0" borderId="0" xfId="6" applyAlignment="1">
      <alignment horizontal="center" vertical="top"/>
    </xf>
    <xf numFmtId="174" fontId="20" fillId="0" borderId="0" xfId="6" applyNumberFormat="1" applyAlignment="1">
      <alignment horizontal="center" vertical="center"/>
    </xf>
    <xf numFmtId="0" fontId="17" fillId="0" borderId="0" xfId="6" quotePrefix="1" applyFont="1" applyAlignment="1">
      <alignment horizontal="center" vertical="top"/>
    </xf>
    <xf numFmtId="0" fontId="17" fillId="0" borderId="0" xfId="6" quotePrefix="1" applyFont="1" applyAlignment="1">
      <alignment horizontal="left" vertical="top"/>
    </xf>
    <xf numFmtId="0" fontId="20" fillId="0" borderId="0" xfId="6" applyAlignment="1">
      <alignment vertical="top" wrapText="1"/>
    </xf>
    <xf numFmtId="0" fontId="57" fillId="0" borderId="1" xfId="6" applyFont="1" applyBorder="1" applyAlignment="1">
      <alignment horizontal="center" vertical="center" wrapText="1"/>
    </xf>
    <xf numFmtId="0" fontId="33" fillId="0" borderId="0" xfId="6" quotePrefix="1" applyFont="1" applyAlignment="1">
      <alignment horizontal="center" vertical="center" wrapText="1"/>
    </xf>
    <xf numFmtId="0" fontId="16" fillId="0" borderId="1" xfId="9" applyFont="1" applyBorder="1" applyAlignment="1">
      <alignment horizontal="center" vertical="center"/>
    </xf>
    <xf numFmtId="0" fontId="18" fillId="0" borderId="10" xfId="9" applyFont="1" applyBorder="1" applyAlignment="1">
      <alignment vertical="center"/>
    </xf>
    <xf numFmtId="0" fontId="18" fillId="0" borderId="1" xfId="9" applyFont="1" applyBorder="1" applyAlignment="1">
      <alignment vertical="center"/>
    </xf>
    <xf numFmtId="0" fontId="18" fillId="0" borderId="11" xfId="9" quotePrefix="1" applyFont="1" applyBorder="1" applyAlignment="1">
      <alignment vertical="center"/>
    </xf>
    <xf numFmtId="172" fontId="18" fillId="0" borderId="11" xfId="9" quotePrefix="1" applyNumberFormat="1" applyFont="1" applyBorder="1" applyAlignment="1">
      <alignment horizontal="center" vertical="center"/>
    </xf>
    <xf numFmtId="0" fontId="18" fillId="0" borderId="33" xfId="9" quotePrefix="1" applyFont="1" applyBorder="1" applyAlignment="1">
      <alignment vertical="center"/>
    </xf>
    <xf numFmtId="172" fontId="18" fillId="0" borderId="10" xfId="9" applyNumberFormat="1" applyFont="1" applyBorder="1" applyAlignment="1">
      <alignment horizontal="center" vertical="center"/>
    </xf>
    <xf numFmtId="172" fontId="18" fillId="0" borderId="11" xfId="9" applyNumberFormat="1" applyFont="1" applyBorder="1" applyAlignment="1">
      <alignment horizontal="center" vertical="center"/>
    </xf>
    <xf numFmtId="0" fontId="74" fillId="0" borderId="0" xfId="9" applyFont="1" applyAlignment="1">
      <alignment vertical="center"/>
    </xf>
    <xf numFmtId="0" fontId="74" fillId="0" borderId="33" xfId="9" applyFont="1" applyBorder="1" applyAlignment="1">
      <alignment vertical="center"/>
    </xf>
    <xf numFmtId="0" fontId="74" fillId="0" borderId="11" xfId="9" applyFont="1" applyBorder="1" applyAlignment="1">
      <alignment vertical="center" wrapText="1"/>
    </xf>
    <xf numFmtId="0" fontId="74" fillId="0" borderId="33" xfId="9" applyFont="1" applyBorder="1" applyAlignment="1">
      <alignment vertical="center" wrapText="1"/>
    </xf>
    <xf numFmtId="0" fontId="31" fillId="0" borderId="21" xfId="9" applyFont="1" applyBorder="1" applyAlignment="1">
      <alignment horizontal="left" vertical="center"/>
    </xf>
    <xf numFmtId="0" fontId="31" fillId="0" borderId="0" xfId="9" applyFont="1" applyAlignment="1">
      <alignment horizontal="left" vertical="center" wrapText="1"/>
    </xf>
    <xf numFmtId="0" fontId="31" fillId="0" borderId="0" xfId="9" applyFont="1" applyAlignment="1">
      <alignment horizontal="left" vertical="center"/>
    </xf>
    <xf numFmtId="0" fontId="31" fillId="0" borderId="0" xfId="9" applyFont="1" applyAlignment="1">
      <alignment vertical="center"/>
    </xf>
    <xf numFmtId="0" fontId="18" fillId="0" borderId="21" xfId="0" applyFont="1" applyBorder="1"/>
    <xf numFmtId="172" fontId="18" fillId="0" borderId="0" xfId="0" applyNumberFormat="1" applyFont="1" applyAlignment="1">
      <alignment horizontal="center"/>
    </xf>
    <xf numFmtId="0" fontId="18" fillId="0" borderId="22" xfId="0" applyFont="1" applyBorder="1"/>
    <xf numFmtId="0" fontId="16" fillId="10" borderId="0" xfId="0" applyFont="1" applyFill="1" applyAlignment="1">
      <alignment wrapText="1"/>
    </xf>
    <xf numFmtId="0" fontId="16" fillId="10" borderId="0" xfId="0" applyFont="1" applyFill="1"/>
    <xf numFmtId="0" fontId="18" fillId="0" borderId="0" xfId="0" applyFont="1" applyAlignment="1">
      <alignment wrapText="1"/>
    </xf>
    <xf numFmtId="0" fontId="18" fillId="0" borderId="19" xfId="0" applyFont="1" applyBorder="1"/>
    <xf numFmtId="0" fontId="18" fillId="0" borderId="19" xfId="0" applyFont="1" applyBorder="1" applyAlignment="1">
      <alignment wrapText="1"/>
    </xf>
    <xf numFmtId="172" fontId="18" fillId="0" borderId="19" xfId="0" applyNumberFormat="1" applyFont="1" applyBorder="1" applyAlignment="1">
      <alignment horizontal="center"/>
    </xf>
    <xf numFmtId="0" fontId="20" fillId="0" borderId="10" xfId="6" applyBorder="1" applyAlignment="1">
      <alignment horizontal="left" vertical="top"/>
    </xf>
    <xf numFmtId="172" fontId="20" fillId="0" borderId="0" xfId="6" applyNumberFormat="1" applyAlignment="1">
      <alignment horizontal="center" vertical="top"/>
    </xf>
    <xf numFmtId="172" fontId="20" fillId="0" borderId="0" xfId="6" applyNumberFormat="1" applyAlignment="1">
      <alignment horizontal="center" vertical="center"/>
    </xf>
    <xf numFmtId="0" fontId="18" fillId="0" borderId="0" xfId="3" applyFont="1" applyAlignment="1">
      <alignment horizontal="center" vertical="center"/>
    </xf>
    <xf numFmtId="0" fontId="98" fillId="2" borderId="52" xfId="7" applyFont="1" applyFill="1" applyBorder="1" applyAlignment="1">
      <alignment horizontal="center" vertical="center" wrapText="1"/>
    </xf>
    <xf numFmtId="0" fontId="10" fillId="2" borderId="2" xfId="7" applyFont="1" applyFill="1" applyBorder="1" applyAlignment="1">
      <alignment horizontal="center" vertical="center"/>
    </xf>
    <xf numFmtId="0" fontId="97" fillId="0" borderId="0" xfId="7" applyFont="1" applyAlignment="1">
      <alignment horizontal="center" vertical="center" wrapText="1"/>
    </xf>
    <xf numFmtId="0" fontId="21" fillId="0" borderId="0" xfId="7" applyFont="1" applyAlignment="1">
      <alignment horizontal="center" vertical="center"/>
    </xf>
    <xf numFmtId="0" fontId="97" fillId="2" borderId="6" xfId="7" applyFont="1" applyFill="1" applyBorder="1" applyAlignment="1">
      <alignment horizontal="center" vertical="center" wrapText="1"/>
    </xf>
    <xf numFmtId="178" fontId="100" fillId="0" borderId="5" xfId="7" applyNumberFormat="1" applyFont="1" applyBorder="1" applyAlignment="1">
      <alignment horizontal="center" vertical="center" shrinkToFit="1"/>
    </xf>
    <xf numFmtId="0" fontId="101" fillId="0" borderId="6" xfId="7" applyFont="1" applyBorder="1" applyAlignment="1">
      <alignment horizontal="left" vertical="top" wrapText="1"/>
    </xf>
    <xf numFmtId="0" fontId="102" fillId="0" borderId="6" xfId="7" applyFont="1" applyBorder="1" applyAlignment="1">
      <alignment horizontal="left" vertical="top" wrapText="1"/>
    </xf>
    <xf numFmtId="0" fontId="102" fillId="0" borderId="6" xfId="7" quotePrefix="1" applyFont="1" applyBorder="1" applyAlignment="1">
      <alignment horizontal="left" vertical="top" wrapText="1"/>
    </xf>
    <xf numFmtId="0" fontId="102" fillId="0" borderId="6" xfId="7" applyFont="1" applyBorder="1" applyAlignment="1">
      <alignment horizontal="center" vertical="center" wrapText="1"/>
    </xf>
    <xf numFmtId="1" fontId="100" fillId="0" borderId="6" xfId="7" applyNumberFormat="1" applyFont="1" applyBorder="1" applyAlignment="1">
      <alignment horizontal="center" vertical="center" shrinkToFit="1"/>
    </xf>
    <xf numFmtId="0" fontId="102" fillId="0" borderId="5" xfId="7" applyFont="1" applyBorder="1" applyAlignment="1">
      <alignment horizontal="left" vertical="center" wrapText="1"/>
    </xf>
    <xf numFmtId="3" fontId="100" fillId="0" borderId="5" xfId="7" applyNumberFormat="1" applyFont="1" applyBorder="1" applyAlignment="1">
      <alignment horizontal="right" vertical="center" shrinkToFit="1"/>
    </xf>
    <xf numFmtId="3" fontId="100" fillId="0" borderId="0" xfId="7" applyNumberFormat="1" applyFont="1" applyAlignment="1">
      <alignment horizontal="right" vertical="center" shrinkToFit="1"/>
    </xf>
    <xf numFmtId="0" fontId="10" fillId="0" borderId="0" xfId="7" applyFont="1" applyAlignment="1">
      <alignment horizontal="left" vertical="top"/>
    </xf>
    <xf numFmtId="0" fontId="101" fillId="0" borderId="5" xfId="7" applyFont="1" applyBorder="1" applyAlignment="1">
      <alignment horizontal="left" vertical="top" wrapText="1"/>
    </xf>
    <xf numFmtId="0" fontId="102" fillId="0" borderId="5" xfId="7" applyFont="1" applyBorder="1" applyAlignment="1">
      <alignment horizontal="left" vertical="top" wrapText="1"/>
    </xf>
    <xf numFmtId="1" fontId="100" fillId="0" borderId="5" xfId="7" applyNumberFormat="1" applyFont="1" applyBorder="1" applyAlignment="1">
      <alignment horizontal="center" vertical="center" shrinkToFit="1"/>
    </xf>
    <xf numFmtId="0" fontId="101" fillId="0" borderId="5" xfId="7" applyFont="1" applyBorder="1" applyAlignment="1">
      <alignment horizontal="left" vertical="top"/>
    </xf>
    <xf numFmtId="1" fontId="100" fillId="0" borderId="5" xfId="7" applyNumberFormat="1" applyFont="1" applyBorder="1" applyAlignment="1">
      <alignment horizontal="right" vertical="center" shrinkToFit="1"/>
    </xf>
    <xf numFmtId="0" fontId="101" fillId="0" borderId="5" xfId="7" applyFont="1" applyBorder="1" applyAlignment="1">
      <alignment horizontal="left" vertical="center" wrapText="1"/>
    </xf>
    <xf numFmtId="0" fontId="102" fillId="0" borderId="6" xfId="7" applyFont="1" applyBorder="1" applyAlignment="1">
      <alignment horizontal="left" vertical="center" wrapText="1"/>
    </xf>
    <xf numFmtId="0" fontId="102" fillId="0" borderId="6" xfId="7" applyFont="1" applyBorder="1" applyAlignment="1">
      <alignment vertical="top" wrapText="1"/>
    </xf>
    <xf numFmtId="178" fontId="100" fillId="0" borderId="5" xfId="7" applyNumberFormat="1" applyFont="1" applyBorder="1" applyAlignment="1">
      <alignment horizontal="center" vertical="top" shrinkToFit="1"/>
    </xf>
    <xf numFmtId="0" fontId="102" fillId="0" borderId="5" xfId="7" applyFont="1" applyBorder="1" applyAlignment="1">
      <alignment vertical="top" wrapText="1"/>
    </xf>
    <xf numFmtId="178" fontId="100" fillId="0" borderId="5" xfId="7" applyNumberFormat="1" applyFont="1" applyBorder="1" applyAlignment="1">
      <alignment horizontal="right" vertical="top" indent="1" shrinkToFit="1"/>
    </xf>
    <xf numFmtId="0" fontId="101" fillId="0" borderId="5" xfId="7" applyFont="1" applyBorder="1" applyAlignment="1">
      <alignment vertical="top" wrapText="1"/>
    </xf>
    <xf numFmtId="0" fontId="102" fillId="0" borderId="0" xfId="7" applyFont="1" applyAlignment="1">
      <alignment horizontal="left" vertical="top" wrapText="1"/>
    </xf>
    <xf numFmtId="0" fontId="102" fillId="0" borderId="0" xfId="7" quotePrefix="1" applyFont="1" applyAlignment="1">
      <alignment horizontal="left" vertical="top" wrapText="1"/>
    </xf>
    <xf numFmtId="0" fontId="102" fillId="13" borderId="6" xfId="7" quotePrefix="1" applyFont="1" applyFill="1" applyBorder="1" applyAlignment="1">
      <alignment horizontal="left" vertical="top" wrapText="1"/>
    </xf>
    <xf numFmtId="0" fontId="102" fillId="13" borderId="0" xfId="7" applyFont="1" applyFill="1" applyAlignment="1">
      <alignment horizontal="left" vertical="top" wrapText="1"/>
    </xf>
    <xf numFmtId="178" fontId="14" fillId="0" borderId="5" xfId="7" applyNumberFormat="1" applyFont="1" applyBorder="1" applyAlignment="1">
      <alignment horizontal="center" vertical="center" shrinkToFit="1"/>
    </xf>
    <xf numFmtId="0" fontId="13" fillId="0" borderId="5" xfId="7" applyFont="1" applyBorder="1" applyAlignment="1">
      <alignment horizontal="left" vertical="top" wrapText="1"/>
    </xf>
    <xf numFmtId="1" fontId="14" fillId="0" borderId="5" xfId="7" applyNumberFormat="1" applyFont="1" applyBorder="1" applyAlignment="1">
      <alignment horizontal="center" vertical="center" shrinkToFit="1"/>
    </xf>
    <xf numFmtId="0" fontId="13" fillId="0" borderId="6" xfId="7" applyFont="1" applyBorder="1" applyAlignment="1">
      <alignment vertical="top" wrapText="1"/>
    </xf>
    <xf numFmtId="1" fontId="14" fillId="0" borderId="5" xfId="7" applyNumberFormat="1" applyFont="1" applyBorder="1" applyAlignment="1">
      <alignment horizontal="right" vertical="center" shrinkToFit="1"/>
    </xf>
    <xf numFmtId="3" fontId="14" fillId="0" borderId="0" xfId="7" applyNumberFormat="1" applyFont="1" applyAlignment="1">
      <alignment horizontal="right" vertical="center" shrinkToFit="1"/>
    </xf>
    <xf numFmtId="0" fontId="23" fillId="0" borderId="0" xfId="7" applyFont="1" applyAlignment="1">
      <alignment horizontal="center" vertical="top"/>
    </xf>
    <xf numFmtId="0" fontId="102" fillId="13" borderId="6" xfId="7" applyFont="1" applyFill="1" applyBorder="1" applyAlignment="1">
      <alignment horizontal="center" vertical="center" wrapText="1"/>
    </xf>
    <xf numFmtId="0" fontId="102" fillId="13" borderId="6" xfId="7" applyFont="1" applyFill="1" applyBorder="1" applyAlignment="1">
      <alignment horizontal="left" vertical="top" wrapText="1"/>
    </xf>
    <xf numFmtId="178" fontId="100" fillId="13" borderId="5" xfId="7" applyNumberFormat="1" applyFont="1" applyFill="1" applyBorder="1" applyAlignment="1">
      <alignment horizontal="center" vertical="center" shrinkToFit="1"/>
    </xf>
    <xf numFmtId="0" fontId="101" fillId="13" borderId="6" xfId="7" applyFont="1" applyFill="1" applyBorder="1" applyAlignment="1">
      <alignment horizontal="left" vertical="top" wrapText="1"/>
    </xf>
    <xf numFmtId="1" fontId="100" fillId="13" borderId="6" xfId="7" applyNumberFormat="1" applyFont="1" applyFill="1" applyBorder="1" applyAlignment="1">
      <alignment horizontal="center" vertical="center" shrinkToFit="1"/>
    </xf>
    <xf numFmtId="0" fontId="102" fillId="13" borderId="5" xfId="7" applyFont="1" applyFill="1" applyBorder="1" applyAlignment="1">
      <alignment horizontal="left" vertical="center" wrapText="1"/>
    </xf>
    <xf numFmtId="3" fontId="100" fillId="13" borderId="5" xfId="7" applyNumberFormat="1" applyFont="1" applyFill="1" applyBorder="1" applyAlignment="1">
      <alignment horizontal="right" vertical="center" shrinkToFit="1"/>
    </xf>
    <xf numFmtId="3" fontId="100" fillId="13" borderId="0" xfId="7" applyNumberFormat="1" applyFont="1" applyFill="1" applyAlignment="1">
      <alignment horizontal="right" vertical="center" shrinkToFit="1"/>
    </xf>
    <xf numFmtId="0" fontId="23" fillId="13" borderId="0" xfId="7" applyFont="1" applyFill="1" applyAlignment="1">
      <alignment horizontal="center" vertical="top"/>
    </xf>
    <xf numFmtId="0" fontId="10" fillId="13" borderId="0" xfId="7" applyFont="1" applyFill="1" applyAlignment="1">
      <alignment horizontal="left" vertical="top"/>
    </xf>
    <xf numFmtId="0" fontId="101" fillId="0" borderId="6" xfId="7" applyFont="1" applyBorder="1" applyAlignment="1">
      <alignment vertical="top" wrapText="1"/>
    </xf>
    <xf numFmtId="3" fontId="20" fillId="0" borderId="0" xfId="7" applyNumberFormat="1" applyAlignment="1">
      <alignment horizontal="left" vertical="center"/>
    </xf>
    <xf numFmtId="0" fontId="102" fillId="0" borderId="6" xfId="7" quotePrefix="1" applyFont="1" applyBorder="1" applyAlignment="1">
      <alignment horizontal="center" vertical="center" wrapText="1"/>
    </xf>
    <xf numFmtId="0" fontId="14" fillId="0" borderId="1" xfId="0" applyFont="1" applyBorder="1" applyAlignment="1">
      <alignment horizontal="center" vertical="center" shrinkToFit="1"/>
    </xf>
    <xf numFmtId="0" fontId="14" fillId="0" borderId="1" xfId="0" applyFont="1" applyBorder="1" applyAlignment="1">
      <alignment horizontal="center" vertical="top" shrinkToFit="1"/>
    </xf>
    <xf numFmtId="0" fontId="12" fillId="0" borderId="1" xfId="0" applyFont="1" applyBorder="1" applyAlignment="1">
      <alignment horizontal="center" vertical="top" shrinkToFit="1"/>
    </xf>
    <xf numFmtId="0" fontId="12" fillId="13" borderId="1" xfId="0" applyFont="1" applyFill="1" applyBorder="1" applyAlignment="1">
      <alignment vertical="center" wrapText="1"/>
    </xf>
    <xf numFmtId="0" fontId="13" fillId="0" borderId="1" xfId="0" applyFont="1" applyBorder="1" applyAlignment="1">
      <alignment horizontal="center" vertical="top" wrapText="1"/>
    </xf>
    <xf numFmtId="0" fontId="0" fillId="0" borderId="1" xfId="0" applyBorder="1" applyAlignment="1">
      <alignment vertical="top"/>
    </xf>
    <xf numFmtId="14" fontId="102" fillId="0" borderId="6" xfId="7" applyNumberFormat="1" applyFont="1" applyBorder="1" applyAlignment="1">
      <alignment horizontal="left" vertical="top" wrapText="1"/>
    </xf>
    <xf numFmtId="14" fontId="102" fillId="0" borderId="6" xfId="7" quotePrefix="1" applyNumberFormat="1" applyFont="1" applyBorder="1" applyAlignment="1">
      <alignment horizontal="left" vertical="top" wrapText="1"/>
    </xf>
    <xf numFmtId="14" fontId="102" fillId="13" borderId="0" xfId="7" applyNumberFormat="1" applyFont="1" applyFill="1" applyAlignment="1">
      <alignment horizontal="left" vertical="top" wrapText="1"/>
    </xf>
    <xf numFmtId="176" fontId="0" fillId="0" borderId="1" xfId="0" applyNumberFormat="1" applyBorder="1" applyAlignment="1">
      <alignment horizontal="center" vertical="center"/>
    </xf>
    <xf numFmtId="176" fontId="0" fillId="0" borderId="1" xfId="0" applyNumberFormat="1" applyBorder="1" applyAlignment="1">
      <alignment horizontal="center" vertical="top"/>
    </xf>
    <xf numFmtId="176" fontId="13" fillId="0" borderId="1" xfId="0" applyNumberFormat="1" applyFont="1" applyBorder="1" applyAlignment="1">
      <alignment horizontal="center" vertical="top" wrapText="1"/>
    </xf>
    <xf numFmtId="176" fontId="14" fillId="0" borderId="1" xfId="0" applyNumberFormat="1" applyFont="1" applyBorder="1" applyAlignment="1">
      <alignment horizontal="center" vertical="center" shrinkToFit="1"/>
    </xf>
    <xf numFmtId="14" fontId="0" fillId="0" borderId="1" xfId="0" applyNumberFormat="1" applyBorder="1" applyAlignment="1">
      <alignment horizontal="center" vertical="top"/>
    </xf>
    <xf numFmtId="176" fontId="14" fillId="0" borderId="1" xfId="0" applyNumberFormat="1" applyFont="1" applyBorder="1" applyAlignment="1">
      <alignment horizontal="center" vertical="top" shrinkToFit="1"/>
    </xf>
    <xf numFmtId="14" fontId="13" fillId="0" borderId="1" xfId="0" applyNumberFormat="1" applyFont="1" applyBorder="1" applyAlignment="1">
      <alignment horizontal="left" vertical="top" wrapText="1"/>
    </xf>
    <xf numFmtId="14" fontId="14" fillId="0" borderId="1" xfId="0" applyNumberFormat="1" applyFont="1" applyBorder="1" applyAlignment="1">
      <alignment horizontal="center" vertical="top" shrinkToFit="1"/>
    </xf>
    <xf numFmtId="14" fontId="13" fillId="0" borderId="1" xfId="0" applyNumberFormat="1" applyFont="1" applyBorder="1" applyAlignment="1">
      <alignment horizontal="center" vertical="top" wrapText="1"/>
    </xf>
    <xf numFmtId="1" fontId="14" fillId="0" borderId="1" xfId="0" applyNumberFormat="1" applyFont="1" applyBorder="1" applyAlignment="1">
      <alignment horizontal="center" vertical="center" shrinkToFit="1"/>
    </xf>
    <xf numFmtId="3" fontId="67" fillId="0" borderId="1" xfId="0" applyNumberFormat="1" applyFont="1" applyBorder="1" applyAlignment="1">
      <alignment horizontal="right" vertical="center" shrinkToFit="1"/>
    </xf>
    <xf numFmtId="1" fontId="14" fillId="0" borderId="1" xfId="0" applyNumberFormat="1" applyFont="1" applyBorder="1" applyAlignment="1">
      <alignment horizontal="center" vertical="center" wrapText="1" shrinkToFit="1"/>
    </xf>
    <xf numFmtId="3" fontId="14" fillId="0" borderId="1" xfId="0" applyNumberFormat="1" applyFont="1" applyBorder="1" applyAlignment="1">
      <alignment horizontal="right" vertical="center" wrapText="1" shrinkToFit="1"/>
    </xf>
    <xf numFmtId="0" fontId="68" fillId="13" borderId="1" xfId="0" applyFont="1" applyFill="1" applyBorder="1" applyAlignment="1">
      <alignment horizontal="left" vertical="center" wrapText="1"/>
    </xf>
    <xf numFmtId="0" fontId="0" fillId="0" borderId="1" xfId="0" applyBorder="1" applyAlignment="1">
      <alignment horizontal="right" vertical="center"/>
    </xf>
    <xf numFmtId="0" fontId="13" fillId="0" borderId="1" xfId="0" applyFont="1" applyBorder="1" applyAlignment="1">
      <alignment horizontal="left" vertical="top" wrapText="1"/>
    </xf>
    <xf numFmtId="0" fontId="0" fillId="0" borderId="1" xfId="0" applyBorder="1" applyAlignment="1">
      <alignment horizontal="center" vertical="top"/>
    </xf>
    <xf numFmtId="0" fontId="0" fillId="0" borderId="1" xfId="0" applyBorder="1" applyAlignment="1">
      <alignment horizontal="right" vertical="top"/>
    </xf>
    <xf numFmtId="3" fontId="67" fillId="0" borderId="1" xfId="0" applyNumberFormat="1" applyFont="1" applyBorder="1" applyAlignment="1">
      <alignment horizontal="right" vertical="top" shrinkToFit="1"/>
    </xf>
    <xf numFmtId="0" fontId="13" fillId="0" borderId="0" xfId="7" applyFont="1" applyAlignment="1">
      <alignment horizontal="left" vertical="center" wrapText="1"/>
    </xf>
    <xf numFmtId="1" fontId="14" fillId="0" borderId="1" xfId="7" applyNumberFormat="1" applyFont="1" applyBorder="1" applyAlignment="1">
      <alignment horizontal="left" vertical="center" shrinkToFit="1"/>
    </xf>
    <xf numFmtId="1" fontId="14" fillId="0" borderId="0" xfId="7" applyNumberFormat="1" applyFont="1" applyAlignment="1">
      <alignment horizontal="left" vertical="top" shrinkToFit="1"/>
    </xf>
    <xf numFmtId="0" fontId="104" fillId="0" borderId="1" xfId="9" applyFont="1" applyBorder="1" applyAlignment="1">
      <alignment horizontal="center" vertical="center" wrapText="1"/>
    </xf>
    <xf numFmtId="3" fontId="67" fillId="0" borderId="1" xfId="7" applyNumberFormat="1" applyFont="1" applyBorder="1" applyAlignment="1">
      <alignment horizontal="left" vertical="center" shrinkToFit="1"/>
    </xf>
    <xf numFmtId="3" fontId="10" fillId="13" borderId="0" xfId="7" applyNumberFormat="1" applyFont="1" applyFill="1" applyAlignment="1">
      <alignment horizontal="right" vertical="top"/>
    </xf>
    <xf numFmtId="0" fontId="20" fillId="13" borderId="0" xfId="7" applyFill="1" applyAlignment="1">
      <alignment horizontal="right" vertical="top"/>
    </xf>
    <xf numFmtId="3" fontId="20" fillId="13" borderId="0" xfId="7" applyNumberFormat="1" applyFill="1" applyAlignment="1">
      <alignment horizontal="right" vertical="top"/>
    </xf>
    <xf numFmtId="3" fontId="17" fillId="0" borderId="0" xfId="6" applyNumberFormat="1" applyFont="1" applyAlignment="1">
      <alignment horizontal="center" vertical="center"/>
    </xf>
    <xf numFmtId="0" fontId="18" fillId="0" borderId="10" xfId="9" quotePrefix="1" applyFont="1" applyBorder="1" applyAlignment="1">
      <alignment horizontal="center" vertical="center" wrapText="1"/>
    </xf>
    <xf numFmtId="166" fontId="42" fillId="0" borderId="0" xfId="6" applyNumberFormat="1" applyFont="1" applyAlignment="1">
      <alignment vertical="top"/>
    </xf>
    <xf numFmtId="0" fontId="97" fillId="2" borderId="53" xfId="7" applyFont="1" applyFill="1" applyBorder="1" applyAlignment="1">
      <alignment horizontal="center" vertical="center" wrapText="1"/>
    </xf>
    <xf numFmtId="0" fontId="97" fillId="2" borderId="59" xfId="7" applyFont="1" applyFill="1" applyBorder="1" applyAlignment="1">
      <alignment horizontal="center" vertical="center" wrapText="1"/>
    </xf>
    <xf numFmtId="0" fontId="97" fillId="2" borderId="51" xfId="7" applyFont="1" applyFill="1" applyBorder="1" applyAlignment="1">
      <alignment horizontal="center" vertical="center" wrapText="1"/>
    </xf>
    <xf numFmtId="0" fontId="97" fillId="2" borderId="54" xfId="7" applyFont="1" applyFill="1" applyBorder="1" applyAlignment="1">
      <alignment horizontal="center" vertical="center" wrapText="1"/>
    </xf>
    <xf numFmtId="0" fontId="10" fillId="2" borderId="57" xfId="7" applyFont="1" applyFill="1" applyBorder="1" applyAlignment="1">
      <alignment vertical="center"/>
    </xf>
    <xf numFmtId="0" fontId="97" fillId="2" borderId="58" xfId="7" applyFont="1" applyFill="1" applyBorder="1" applyAlignment="1">
      <alignment vertical="center" wrapText="1"/>
    </xf>
    <xf numFmtId="0" fontId="97" fillId="2" borderId="60" xfId="7" applyFont="1" applyFill="1" applyBorder="1" applyAlignment="1">
      <alignment vertical="center" wrapText="1"/>
    </xf>
    <xf numFmtId="0" fontId="97" fillId="2" borderId="5" xfId="7" applyFont="1" applyFill="1" applyBorder="1" applyAlignment="1">
      <alignment horizontal="center" vertical="center" wrapText="1"/>
    </xf>
    <xf numFmtId="0" fontId="99" fillId="2" borderId="5" xfId="7" applyFont="1" applyFill="1" applyBorder="1" applyAlignment="1">
      <alignment horizontal="center" vertical="center" wrapText="1"/>
    </xf>
    <xf numFmtId="0" fontId="97" fillId="2" borderId="8" xfId="7" applyFont="1" applyFill="1" applyBorder="1" applyAlignment="1">
      <alignment horizontal="center" vertical="center" wrapText="1"/>
    </xf>
    <xf numFmtId="0" fontId="98" fillId="2" borderId="51" xfId="7" applyFont="1" applyFill="1" applyBorder="1" applyAlignment="1">
      <alignment horizontal="center" vertical="center" wrapText="1"/>
    </xf>
    <xf numFmtId="0" fontId="10" fillId="2" borderId="2" xfId="7" applyFont="1" applyFill="1" applyBorder="1" applyAlignment="1">
      <alignment horizontal="center" vertical="center" wrapText="1"/>
    </xf>
    <xf numFmtId="0" fontId="97" fillId="2" borderId="55" xfId="7" applyFont="1" applyFill="1" applyBorder="1" applyAlignment="1">
      <alignment vertical="center" wrapText="1"/>
    </xf>
    <xf numFmtId="0" fontId="98" fillId="2" borderId="55" xfId="7" applyFont="1" applyFill="1" applyBorder="1" applyAlignment="1">
      <alignment vertical="center" wrapText="1"/>
    </xf>
    <xf numFmtId="0" fontId="98" fillId="2" borderId="56" xfId="7" applyFont="1" applyFill="1" applyBorder="1" applyAlignment="1">
      <alignment vertical="center" wrapText="1"/>
    </xf>
    <xf numFmtId="0" fontId="10" fillId="2" borderId="57" xfId="7" applyFont="1" applyFill="1" applyBorder="1" applyAlignment="1">
      <alignment vertical="center" wrapText="1"/>
    </xf>
    <xf numFmtId="0" fontId="10" fillId="2" borderId="57" xfId="7" applyFont="1" applyFill="1" applyBorder="1" applyAlignment="1">
      <alignment horizontal="center" vertical="center" wrapText="1"/>
    </xf>
    <xf numFmtId="0" fontId="113" fillId="0" borderId="0" xfId="0" applyFont="1" applyAlignment="1">
      <alignment vertical="center"/>
    </xf>
    <xf numFmtId="0" fontId="113" fillId="0" borderId="0" xfId="0" applyFont="1" applyAlignment="1">
      <alignment horizontal="left" vertical="center"/>
    </xf>
    <xf numFmtId="0" fontId="113" fillId="0" borderId="0" xfId="0" applyFont="1" applyAlignment="1">
      <alignment vertical="center" wrapText="1"/>
    </xf>
    <xf numFmtId="0" fontId="113" fillId="0" borderId="0" xfId="9" applyFont="1"/>
    <xf numFmtId="0" fontId="113" fillId="0" borderId="0" xfId="9" quotePrefix="1" applyFont="1"/>
    <xf numFmtId="0" fontId="114" fillId="0" borderId="0" xfId="3" applyFont="1" applyAlignment="1">
      <alignment vertical="center"/>
    </xf>
    <xf numFmtId="0" fontId="115" fillId="0" borderId="0" xfId="6" applyFont="1" applyAlignment="1">
      <alignment vertical="top"/>
    </xf>
    <xf numFmtId="0" fontId="116" fillId="0" borderId="21" xfId="9" applyFont="1" applyBorder="1" applyAlignment="1">
      <alignment vertical="top"/>
    </xf>
    <xf numFmtId="0" fontId="116" fillId="0" borderId="0" xfId="9" applyFont="1" applyAlignment="1">
      <alignment wrapText="1"/>
    </xf>
    <xf numFmtId="0" fontId="30" fillId="0" borderId="0" xfId="9" applyFont="1"/>
    <xf numFmtId="168" fontId="30" fillId="0" borderId="0" xfId="9" applyNumberFormat="1" applyFont="1"/>
    <xf numFmtId="172" fontId="30" fillId="0" borderId="0" xfId="9" applyNumberFormat="1" applyFont="1" applyAlignment="1">
      <alignment horizontal="center"/>
    </xf>
    <xf numFmtId="0" fontId="30" fillId="0" borderId="22" xfId="9" applyFont="1" applyBorder="1"/>
    <xf numFmtId="1" fontId="30" fillId="0" borderId="21" xfId="9" quotePrefix="1" applyNumberFormat="1" applyFont="1" applyBorder="1" applyAlignment="1">
      <alignment horizontal="center" vertical="center"/>
    </xf>
    <xf numFmtId="0" fontId="18" fillId="0" borderId="10" xfId="9" quotePrefix="1" applyFont="1" applyBorder="1" applyAlignment="1">
      <alignment horizontal="left" vertical="center"/>
    </xf>
    <xf numFmtId="0" fontId="27" fillId="0" borderId="0" xfId="9" applyFont="1" applyAlignment="1">
      <alignment horizontal="left" indent="5"/>
    </xf>
    <xf numFmtId="0" fontId="113" fillId="0" borderId="0" xfId="0" quotePrefix="1" applyFont="1" applyAlignment="1">
      <alignment vertical="center"/>
    </xf>
    <xf numFmtId="168" fontId="15" fillId="0" borderId="11" xfId="9" quotePrefix="1" applyNumberFormat="1" applyFont="1" applyBorder="1"/>
    <xf numFmtId="0" fontId="18" fillId="0" borderId="23" xfId="9" applyFont="1" applyBorder="1" applyAlignment="1">
      <alignment vertical="center"/>
    </xf>
    <xf numFmtId="1" fontId="13" fillId="8" borderId="6" xfId="7" quotePrefix="1" applyNumberFormat="1" applyFont="1" applyFill="1" applyBorder="1" applyAlignment="1">
      <alignment horizontal="center" vertical="center" wrapText="1"/>
    </xf>
    <xf numFmtId="0" fontId="13" fillId="8" borderId="5" xfId="7" applyFont="1" applyFill="1" applyBorder="1" applyAlignment="1">
      <alignment horizontal="center" vertical="center" wrapText="1"/>
    </xf>
    <xf numFmtId="0" fontId="13" fillId="8" borderId="34" xfId="7" applyFont="1" applyFill="1" applyBorder="1" applyAlignment="1">
      <alignment horizontal="center" vertical="center" wrapText="1"/>
    </xf>
    <xf numFmtId="0" fontId="12" fillId="8" borderId="5" xfId="7" applyFont="1" applyFill="1" applyBorder="1" applyAlignment="1">
      <alignment horizontal="left" vertical="center"/>
    </xf>
    <xf numFmtId="14" fontId="0" fillId="8" borderId="1" xfId="0" applyNumberFormat="1" applyFill="1" applyBorder="1" applyAlignment="1">
      <alignment horizontal="center" vertical="center"/>
    </xf>
    <xf numFmtId="14" fontId="13" fillId="8" borderId="6" xfId="7" applyNumberFormat="1" applyFont="1" applyFill="1" applyBorder="1" applyAlignment="1">
      <alignment horizontal="center" vertical="center"/>
    </xf>
    <xf numFmtId="165" fontId="14" fillId="8" borderId="1" xfId="7" applyNumberFormat="1" applyFont="1" applyFill="1" applyBorder="1" applyAlignment="1">
      <alignment horizontal="center" vertical="center" shrinkToFit="1"/>
    </xf>
    <xf numFmtId="0" fontId="13" fillId="8" borderId="6" xfId="7" applyFont="1" applyFill="1" applyBorder="1" applyAlignment="1">
      <alignment vertical="center" wrapText="1"/>
    </xf>
    <xf numFmtId="1" fontId="14" fillId="8" borderId="6" xfId="7" applyNumberFormat="1" applyFont="1" applyFill="1" applyBorder="1" applyAlignment="1">
      <alignment horizontal="center" vertical="center" shrinkToFit="1"/>
    </xf>
    <xf numFmtId="171" fontId="14" fillId="8" borderId="6" xfId="1" applyNumberFormat="1" applyFont="1" applyFill="1" applyBorder="1" applyAlignment="1">
      <alignment horizontal="center" vertical="center" shrinkToFit="1"/>
    </xf>
    <xf numFmtId="3" fontId="14" fillId="8" borderId="5" xfId="7" applyNumberFormat="1" applyFont="1" applyFill="1" applyBorder="1" applyAlignment="1">
      <alignment horizontal="right" vertical="center" shrinkToFit="1"/>
    </xf>
    <xf numFmtId="0" fontId="10" fillId="8" borderId="0" xfId="7" applyFont="1" applyFill="1" applyAlignment="1">
      <alignment horizontal="center" vertical="center"/>
    </xf>
    <xf numFmtId="0" fontId="31" fillId="8" borderId="39" xfId="15" applyFont="1" applyFill="1" applyBorder="1" applyAlignment="1">
      <alignment vertical="center"/>
    </xf>
    <xf numFmtId="3" fontId="72" fillId="8" borderId="39" xfId="7" applyNumberFormat="1" applyFont="1" applyFill="1" applyBorder="1" applyAlignment="1">
      <alignment horizontal="right" vertical="center" shrinkToFit="1"/>
    </xf>
    <xf numFmtId="3" fontId="15" fillId="8" borderId="39" xfId="7" applyNumberFormat="1" applyFont="1" applyFill="1" applyBorder="1" applyAlignment="1">
      <alignment horizontal="right" vertical="center"/>
    </xf>
    <xf numFmtId="3" fontId="15" fillId="8" borderId="39" xfId="7" applyNumberFormat="1" applyFont="1" applyFill="1" applyBorder="1" applyAlignment="1">
      <alignment horizontal="left" vertical="center"/>
    </xf>
    <xf numFmtId="0" fontId="15" fillId="8" borderId="39" xfId="7" applyFont="1" applyFill="1" applyBorder="1" applyAlignment="1">
      <alignment horizontal="left" vertical="center"/>
    </xf>
    <xf numFmtId="0" fontId="4" fillId="8" borderId="39" xfId="13" applyFont="1" applyFill="1" applyBorder="1" applyAlignment="1">
      <alignment horizontal="left" vertical="center"/>
    </xf>
    <xf numFmtId="1" fontId="72" fillId="8" borderId="39" xfId="7" applyNumberFormat="1" applyFont="1" applyFill="1" applyBorder="1" applyAlignment="1">
      <alignment horizontal="center" vertical="center"/>
    </xf>
    <xf numFmtId="164" fontId="8" fillId="8" borderId="39" xfId="14" applyFont="1" applyFill="1" applyBorder="1" applyAlignment="1">
      <alignment horizontal="center" vertical="center"/>
    </xf>
    <xf numFmtId="164" fontId="20" fillId="8" borderId="44" xfId="14" applyFont="1" applyFill="1" applyBorder="1" applyAlignment="1">
      <alignment horizontal="left" vertical="center"/>
    </xf>
    <xf numFmtId="3" fontId="67" fillId="8" borderId="1" xfId="7" applyNumberFormat="1" applyFont="1" applyFill="1" applyBorder="1" applyAlignment="1">
      <alignment horizontal="left" vertical="center" shrinkToFit="1"/>
    </xf>
    <xf numFmtId="3" fontId="20" fillId="8" borderId="0" xfId="7" quotePrefix="1" applyNumberFormat="1" applyFill="1" applyAlignment="1">
      <alignment horizontal="left" vertical="center"/>
    </xf>
    <xf numFmtId="0" fontId="20" fillId="8" borderId="0" xfId="7" applyFill="1" applyAlignment="1">
      <alignment horizontal="left" vertical="top"/>
    </xf>
    <xf numFmtId="164" fontId="20" fillId="8" borderId="0" xfId="7" applyNumberFormat="1" applyFill="1" applyAlignment="1">
      <alignment horizontal="left" vertical="top"/>
    </xf>
    <xf numFmtId="0" fontId="18" fillId="0" borderId="62" xfId="9" applyFont="1" applyBorder="1" applyAlignment="1">
      <alignment vertical="center"/>
    </xf>
    <xf numFmtId="0" fontId="18" fillId="0" borderId="63" xfId="9" applyFont="1" applyBorder="1" applyAlignment="1">
      <alignment vertical="center"/>
    </xf>
    <xf numFmtId="172" fontId="18" fillId="0" borderId="62" xfId="9" quotePrefix="1" applyNumberFormat="1" applyFont="1" applyBorder="1" applyAlignment="1">
      <alignment vertical="center"/>
    </xf>
    <xf numFmtId="172" fontId="18" fillId="0" borderId="43" xfId="9" quotePrefix="1" applyNumberFormat="1" applyFont="1" applyBorder="1" applyAlignment="1">
      <alignment vertical="center"/>
    </xf>
    <xf numFmtId="172" fontId="18" fillId="0" borderId="64" xfId="9" quotePrefix="1" applyNumberFormat="1" applyFont="1" applyBorder="1" applyAlignment="1">
      <alignment vertical="center"/>
    </xf>
    <xf numFmtId="0" fontId="38" fillId="0" borderId="26" xfId="9" applyFont="1" applyBorder="1" applyAlignment="1">
      <alignment vertical="center"/>
    </xf>
    <xf numFmtId="0" fontId="117" fillId="0" borderId="0" xfId="9" applyFont="1" applyAlignment="1">
      <alignment vertical="center"/>
    </xf>
    <xf numFmtId="0" fontId="31" fillId="0" borderId="0" xfId="9" applyFont="1" applyAlignment="1">
      <alignment vertical="top"/>
    </xf>
    <xf numFmtId="0" fontId="15" fillId="0" borderId="0" xfId="3" quotePrefix="1" applyFont="1" applyAlignment="1">
      <alignment horizontal="left" vertical="center" indent="2"/>
    </xf>
    <xf numFmtId="0" fontId="15" fillId="0" borderId="0" xfId="9" quotePrefix="1" applyFont="1" applyAlignment="1">
      <alignment horizontal="left" vertical="center" indent="2"/>
    </xf>
    <xf numFmtId="0" fontId="17" fillId="0" borderId="0" xfId="6" applyFont="1" applyAlignment="1">
      <alignment horizontal="left" vertical="center" indent="2"/>
    </xf>
    <xf numFmtId="0" fontId="28" fillId="0" borderId="0" xfId="9" quotePrefix="1" applyFont="1" applyAlignment="1">
      <alignment horizontal="left" vertical="center" indent="2"/>
    </xf>
    <xf numFmtId="0" fontId="20" fillId="0" borderId="0" xfId="6" applyAlignment="1">
      <alignment horizontal="left" vertical="center" indent="2"/>
    </xf>
    <xf numFmtId="0" fontId="86" fillId="0" borderId="0" xfId="9" applyFont="1" applyAlignment="1">
      <alignment vertical="center"/>
    </xf>
    <xf numFmtId="0" fontId="106" fillId="0" borderId="68" xfId="0" applyFont="1" applyBorder="1"/>
    <xf numFmtId="0" fontId="118" fillId="0" borderId="70" xfId="9" quotePrefix="1" applyFont="1" applyBorder="1" applyAlignment="1">
      <alignment vertical="center"/>
    </xf>
    <xf numFmtId="0" fontId="18" fillId="0" borderId="68" xfId="0" applyFont="1" applyBorder="1"/>
    <xf numFmtId="0" fontId="18" fillId="0" borderId="70" xfId="0" applyFont="1" applyBorder="1"/>
    <xf numFmtId="0" fontId="91" fillId="0" borderId="0" xfId="6" applyFont="1" applyAlignment="1">
      <alignment vertical="center"/>
    </xf>
    <xf numFmtId="0" fontId="18" fillId="0" borderId="68" xfId="3" applyFont="1" applyBorder="1"/>
    <xf numFmtId="0" fontId="18" fillId="0" borderId="70" xfId="3" applyFont="1" applyBorder="1"/>
    <xf numFmtId="0" fontId="18" fillId="0" borderId="68" xfId="0" applyFont="1" applyBorder="1" applyAlignment="1">
      <alignment vertical="center"/>
    </xf>
    <xf numFmtId="0" fontId="18" fillId="0" borderId="70" xfId="0" applyFont="1" applyBorder="1" applyAlignment="1">
      <alignment vertical="center"/>
    </xf>
    <xf numFmtId="172" fontId="18" fillId="0" borderId="0" xfId="3" applyNumberFormat="1" applyFont="1" applyAlignment="1">
      <alignment horizontal="center" vertical="center"/>
    </xf>
    <xf numFmtId="169" fontId="15" fillId="0" borderId="0" xfId="1" quotePrefix="1" applyNumberFormat="1" applyFont="1" applyAlignment="1">
      <alignment vertical="center" wrapText="1"/>
    </xf>
    <xf numFmtId="0" fontId="31" fillId="0" borderId="0" xfId="0" applyFont="1" applyAlignment="1">
      <alignment vertical="center"/>
    </xf>
    <xf numFmtId="0" fontId="58" fillId="0" borderId="0" xfId="9" applyFont="1" applyAlignment="1">
      <alignment vertical="center"/>
    </xf>
    <xf numFmtId="0" fontId="28" fillId="0" borderId="0" xfId="9" applyFont="1" applyAlignment="1">
      <alignment horizontal="center" vertical="center"/>
    </xf>
    <xf numFmtId="1" fontId="13" fillId="2" borderId="6" xfId="7" quotePrefix="1" applyNumberFormat="1" applyFont="1" applyFill="1" applyBorder="1" applyAlignment="1">
      <alignment horizontal="center" vertical="center" wrapText="1"/>
    </xf>
    <xf numFmtId="0" fontId="13" fillId="2" borderId="5" xfId="7" applyFont="1" applyFill="1" applyBorder="1" applyAlignment="1">
      <alignment horizontal="center" vertical="center" wrapText="1"/>
    </xf>
    <xf numFmtId="0" fontId="13" fillId="2" borderId="34" xfId="7" applyFont="1" applyFill="1" applyBorder="1" applyAlignment="1">
      <alignment horizontal="center" vertical="center" wrapText="1"/>
    </xf>
    <xf numFmtId="0" fontId="12" fillId="2" borderId="5" xfId="7" applyFont="1" applyFill="1" applyBorder="1" applyAlignment="1">
      <alignment horizontal="left" vertical="center"/>
    </xf>
    <xf numFmtId="14" fontId="0" fillId="2" borderId="1" xfId="0" applyNumberFormat="1" applyFill="1" applyBorder="1" applyAlignment="1">
      <alignment horizontal="center" vertical="center"/>
    </xf>
    <xf numFmtId="14" fontId="13" fillId="2" borderId="6" xfId="7" applyNumberFormat="1" applyFont="1" applyFill="1" applyBorder="1" applyAlignment="1">
      <alignment horizontal="center" vertical="center"/>
    </xf>
    <xf numFmtId="165" fontId="14" fillId="2" borderId="1" xfId="7" applyNumberFormat="1" applyFont="1" applyFill="1" applyBorder="1" applyAlignment="1">
      <alignment horizontal="center" vertical="center" shrinkToFit="1"/>
    </xf>
    <xf numFmtId="0" fontId="13" fillId="2" borderId="6" xfId="7" applyFont="1" applyFill="1" applyBorder="1" applyAlignment="1">
      <alignment vertical="center" wrapText="1"/>
    </xf>
    <xf numFmtId="1" fontId="14" fillId="2" borderId="6" xfId="7" applyNumberFormat="1" applyFont="1" applyFill="1" applyBorder="1" applyAlignment="1">
      <alignment horizontal="center" vertical="center" shrinkToFit="1"/>
    </xf>
    <xf numFmtId="171" fontId="14" fillId="2" borderId="6" xfId="1" applyNumberFormat="1" applyFont="1" applyFill="1" applyBorder="1" applyAlignment="1">
      <alignment horizontal="center" vertical="center" shrinkToFit="1"/>
    </xf>
    <xf numFmtId="3" fontId="14" fillId="2" borderId="5" xfId="7" applyNumberFormat="1" applyFont="1" applyFill="1" applyBorder="1" applyAlignment="1">
      <alignment horizontal="right" vertical="center" shrinkToFit="1"/>
    </xf>
    <xf numFmtId="0" fontId="10" fillId="2" borderId="0" xfId="7" applyFont="1" applyFill="1" applyAlignment="1">
      <alignment horizontal="center" vertical="center"/>
    </xf>
    <xf numFmtId="0" fontId="31" fillId="2" borderId="39" xfId="15" applyFont="1" applyFill="1" applyBorder="1" applyAlignment="1">
      <alignment vertical="center"/>
    </xf>
    <xf numFmtId="3" fontId="15" fillId="2" borderId="39" xfId="7" applyNumberFormat="1" applyFont="1" applyFill="1" applyBorder="1" applyAlignment="1">
      <alignment horizontal="left" vertical="center"/>
    </xf>
    <xf numFmtId="0" fontId="4" fillId="2" borderId="39" xfId="13" applyFont="1" applyFill="1" applyBorder="1" applyAlignment="1">
      <alignment horizontal="left" vertical="center"/>
    </xf>
    <xf numFmtId="3" fontId="67" fillId="2" borderId="1" xfId="7" applyNumberFormat="1" applyFont="1" applyFill="1" applyBorder="1" applyAlignment="1">
      <alignment horizontal="left" vertical="center" shrinkToFit="1"/>
    </xf>
    <xf numFmtId="3" fontId="20" fillId="2" borderId="0" xfId="7" quotePrefix="1" applyNumberFormat="1" applyFill="1" applyAlignment="1">
      <alignment horizontal="left" vertical="center"/>
    </xf>
    <xf numFmtId="0" fontId="20" fillId="2" borderId="0" xfId="7" quotePrefix="1" applyFill="1" applyAlignment="1">
      <alignment horizontal="left" vertical="top"/>
    </xf>
    <xf numFmtId="3" fontId="20" fillId="2" borderId="0" xfId="7" applyNumberFormat="1" applyFill="1" applyAlignment="1">
      <alignment horizontal="left" vertical="top"/>
    </xf>
    <xf numFmtId="0" fontId="75" fillId="0" borderId="26" xfId="7" applyFont="1" applyBorder="1" applyAlignment="1">
      <alignment horizontal="center" vertical="top"/>
    </xf>
    <xf numFmtId="0" fontId="37" fillId="6" borderId="0" xfId="0" applyFont="1" applyFill="1" applyAlignment="1">
      <alignment horizontal="center"/>
    </xf>
    <xf numFmtId="0" fontId="38" fillId="0" borderId="0" xfId="0" applyFont="1" applyAlignment="1">
      <alignment horizontal="center"/>
    </xf>
    <xf numFmtId="0" fontId="29" fillId="0" borderId="0" xfId="0" applyFont="1" applyAlignment="1">
      <alignment horizontal="center"/>
    </xf>
    <xf numFmtId="0" fontId="39" fillId="0" borderId="0" xfId="0" applyFont="1" applyAlignment="1">
      <alignment horizontal="center" vertical="center"/>
    </xf>
    <xf numFmtId="0" fontId="26" fillId="0" borderId="0" xfId="0" applyFont="1" applyAlignment="1">
      <alignment horizontal="center" vertical="center"/>
    </xf>
    <xf numFmtId="0" fontId="26" fillId="0" borderId="31" xfId="0" applyFont="1" applyBorder="1" applyAlignment="1">
      <alignment horizontal="center" vertical="center"/>
    </xf>
    <xf numFmtId="0" fontId="32" fillId="4" borderId="0" xfId="0" applyFont="1" applyFill="1" applyAlignment="1">
      <alignment horizontal="center"/>
    </xf>
    <xf numFmtId="0" fontId="32" fillId="8" borderId="0" xfId="0" applyFont="1" applyFill="1" applyAlignment="1">
      <alignment horizontal="center" vertical="center"/>
    </xf>
    <xf numFmtId="0" fontId="32" fillId="4" borderId="0" xfId="0" applyFont="1" applyFill="1" applyAlignment="1">
      <alignment horizontal="center" vertical="center"/>
    </xf>
    <xf numFmtId="172" fontId="18" fillId="0" borderId="10" xfId="1" quotePrefix="1" applyNumberFormat="1" applyFont="1" applyBorder="1" applyAlignment="1">
      <alignment horizontal="center" vertical="center" wrapText="1"/>
    </xf>
    <xf numFmtId="172" fontId="18" fillId="0" borderId="33" xfId="1" quotePrefix="1" applyNumberFormat="1" applyFont="1" applyBorder="1" applyAlignment="1">
      <alignment horizontal="center" vertical="center" wrapText="1"/>
    </xf>
    <xf numFmtId="172" fontId="18" fillId="0" borderId="10" xfId="9" quotePrefix="1" applyNumberFormat="1" applyFont="1" applyBorder="1" applyAlignment="1">
      <alignment horizontal="center" vertical="center" wrapText="1"/>
    </xf>
    <xf numFmtId="172" fontId="18" fillId="0" borderId="13" xfId="9" quotePrefix="1" applyNumberFormat="1" applyFont="1" applyBorder="1" applyAlignment="1">
      <alignment horizontal="center" vertical="center" wrapText="1"/>
    </xf>
    <xf numFmtId="0" fontId="18" fillId="0" borderId="10" xfId="9" quotePrefix="1" applyFont="1" applyBorder="1" applyAlignment="1">
      <alignment horizontal="left" vertical="center" wrapText="1"/>
    </xf>
    <xf numFmtId="0" fontId="18" fillId="0" borderId="11" xfId="9" quotePrefix="1" applyFont="1" applyBorder="1" applyAlignment="1">
      <alignment horizontal="left" vertical="center" wrapText="1"/>
    </xf>
    <xf numFmtId="0" fontId="18" fillId="0" borderId="13" xfId="9" quotePrefix="1" applyFont="1" applyBorder="1" applyAlignment="1">
      <alignment horizontal="left" vertical="center" wrapText="1"/>
    </xf>
    <xf numFmtId="167" fontId="18" fillId="0" borderId="10" xfId="9" applyNumberFormat="1" applyFont="1" applyBorder="1" applyAlignment="1">
      <alignment horizontal="left" vertical="top" wrapText="1"/>
    </xf>
    <xf numFmtId="167" fontId="18" fillId="0" borderId="11" xfId="9" applyNumberFormat="1" applyFont="1" applyBorder="1" applyAlignment="1">
      <alignment horizontal="left" vertical="top" wrapText="1"/>
    </xf>
    <xf numFmtId="167" fontId="18" fillId="0" borderId="13" xfId="9" applyNumberFormat="1" applyFont="1" applyBorder="1" applyAlignment="1">
      <alignment horizontal="left" vertical="top" wrapText="1"/>
    </xf>
    <xf numFmtId="173" fontId="18" fillId="0" borderId="10" xfId="11" quotePrefix="1" applyNumberFormat="1" applyFont="1" applyBorder="1" applyAlignment="1">
      <alignment horizontal="left" vertical="top" wrapText="1"/>
    </xf>
    <xf numFmtId="173" fontId="18" fillId="0" borderId="33" xfId="11" quotePrefix="1" applyNumberFormat="1" applyFont="1" applyBorder="1" applyAlignment="1">
      <alignment horizontal="left" vertical="top" wrapText="1"/>
    </xf>
    <xf numFmtId="173" fontId="18" fillId="0" borderId="11" xfId="11" quotePrefix="1" applyNumberFormat="1" applyFont="1" applyBorder="1" applyAlignment="1">
      <alignment horizontal="left" vertical="top" wrapText="1"/>
    </xf>
    <xf numFmtId="0" fontId="30" fillId="0" borderId="0" xfId="9" applyFont="1" applyAlignment="1">
      <alignment horizontal="justify" vertical="center"/>
    </xf>
    <xf numFmtId="0" fontId="30" fillId="0" borderId="22" xfId="9" applyFont="1" applyBorder="1" applyAlignment="1">
      <alignment horizontal="justify" vertical="center"/>
    </xf>
    <xf numFmtId="170" fontId="15" fillId="0" borderId="10" xfId="3" applyNumberFormat="1" applyFont="1" applyBorder="1" applyAlignment="1">
      <alignment horizontal="left" vertical="center" wrapText="1"/>
    </xf>
    <xf numFmtId="170" fontId="15" fillId="0" borderId="11" xfId="3" applyNumberFormat="1" applyFont="1" applyBorder="1" applyAlignment="1">
      <alignment horizontal="left" vertical="center" wrapText="1"/>
    </xf>
    <xf numFmtId="0" fontId="15" fillId="0" borderId="0" xfId="9" quotePrefix="1" applyFont="1" applyAlignment="1">
      <alignment horizontal="left" vertical="top" wrapText="1"/>
    </xf>
    <xf numFmtId="0" fontId="15" fillId="0" borderId="0" xfId="3" applyFont="1" applyAlignment="1">
      <alignment horizontal="left" vertical="center" wrapText="1"/>
    </xf>
    <xf numFmtId="167" fontId="15" fillId="0" borderId="0" xfId="3" applyNumberFormat="1" applyFont="1" applyAlignment="1">
      <alignment horizontal="center" vertical="center" wrapText="1"/>
    </xf>
    <xf numFmtId="0" fontId="64" fillId="0" borderId="0" xfId="3" applyFont="1" applyAlignment="1">
      <alignment horizontal="left" vertical="top" wrapText="1"/>
    </xf>
    <xf numFmtId="172" fontId="64" fillId="0" borderId="0" xfId="3" applyNumberFormat="1" applyFont="1" applyAlignment="1">
      <alignment horizontal="center" vertical="center"/>
    </xf>
    <xf numFmtId="0" fontId="105" fillId="0" borderId="0" xfId="3" applyFont="1" applyAlignment="1">
      <alignment horizontal="center" vertical="top" wrapText="1"/>
    </xf>
    <xf numFmtId="0" fontId="96" fillId="0" borderId="0" xfId="3" applyFont="1" applyAlignment="1">
      <alignment horizontal="center" vertical="center" wrapText="1"/>
    </xf>
    <xf numFmtId="0" fontId="108" fillId="0" borderId="0" xfId="3" applyFont="1" applyAlignment="1">
      <alignment horizontal="center" vertical="center"/>
    </xf>
    <xf numFmtId="0" fontId="109" fillId="0" borderId="31" xfId="3" applyFont="1" applyBorder="1" applyAlignment="1">
      <alignment horizontal="center" vertical="top" wrapText="1"/>
    </xf>
    <xf numFmtId="171" fontId="24" fillId="0" borderId="1" xfId="1" applyNumberFormat="1" applyFont="1" applyBorder="1" applyAlignment="1">
      <alignment horizontal="center" vertical="center" wrapText="1"/>
    </xf>
    <xf numFmtId="171" fontId="24" fillId="0" borderId="30" xfId="1" applyNumberFormat="1" applyFont="1" applyBorder="1" applyAlignment="1">
      <alignment horizontal="center" vertical="center" wrapText="1"/>
    </xf>
    <xf numFmtId="0" fontId="38" fillId="0" borderId="0" xfId="9" applyFont="1" applyAlignment="1">
      <alignment horizontal="center" vertical="center"/>
    </xf>
    <xf numFmtId="0" fontId="15" fillId="0" borderId="0" xfId="0" applyFont="1" applyAlignment="1">
      <alignment horizontal="center"/>
    </xf>
    <xf numFmtId="0" fontId="15" fillId="0" borderId="0" xfId="0" applyFont="1" applyAlignment="1">
      <alignment horizontal="center" vertical="center"/>
    </xf>
    <xf numFmtId="0" fontId="20" fillId="0" borderId="0" xfId="6" applyAlignment="1">
      <alignment horizontal="center" vertical="top"/>
    </xf>
    <xf numFmtId="0" fontId="61" fillId="0" borderId="0" xfId="0" applyFont="1" applyAlignment="1">
      <alignment horizontal="center" vertical="center"/>
    </xf>
    <xf numFmtId="0" fontId="43" fillId="0" borderId="0" xfId="3" applyFont="1" applyAlignment="1">
      <alignment horizontal="center" vertical="center"/>
    </xf>
    <xf numFmtId="177" fontId="20" fillId="0" borderId="10" xfId="6" applyNumberFormat="1" applyBorder="1" applyAlignment="1">
      <alignment horizontal="left" vertical="top"/>
    </xf>
    <xf numFmtId="177" fontId="20" fillId="0" borderId="11" xfId="6" applyNumberFormat="1" applyBorder="1" applyAlignment="1">
      <alignment horizontal="left" vertical="top"/>
    </xf>
    <xf numFmtId="0" fontId="18" fillId="0" borderId="10" xfId="9" applyFont="1" applyBorder="1" applyAlignment="1">
      <alignment horizontal="left" vertical="top" wrapText="1"/>
    </xf>
    <xf numFmtId="0" fontId="18" fillId="0" borderId="11" xfId="9" applyFont="1" applyBorder="1" applyAlignment="1">
      <alignment horizontal="left" vertical="top" wrapText="1"/>
    </xf>
    <xf numFmtId="0" fontId="18" fillId="0" borderId="13" xfId="9" applyFont="1" applyBorder="1" applyAlignment="1">
      <alignment horizontal="left" vertical="top" wrapText="1"/>
    </xf>
    <xf numFmtId="0" fontId="15" fillId="0" borderId="0" xfId="9" applyFont="1" applyAlignment="1">
      <alignment horizontal="center"/>
    </xf>
    <xf numFmtId="0" fontId="24" fillId="0" borderId="1" xfId="9" applyFont="1" applyBorder="1" applyAlignment="1">
      <alignment horizontal="center" vertical="center" wrapText="1"/>
    </xf>
    <xf numFmtId="0" fontId="54" fillId="0" borderId="0" xfId="9" applyFont="1" applyAlignment="1">
      <alignment horizontal="center" vertical="center"/>
    </xf>
    <xf numFmtId="0" fontId="18" fillId="0" borderId="0" xfId="9" applyFont="1" applyAlignment="1">
      <alignment horizontal="left" vertical="top" wrapText="1"/>
    </xf>
    <xf numFmtId="173" fontId="24" fillId="0" borderId="10" xfId="11" quotePrefix="1" applyNumberFormat="1" applyFont="1" applyBorder="1" applyAlignment="1">
      <alignment horizontal="left"/>
    </xf>
    <xf numFmtId="173" fontId="24" fillId="0" borderId="33" xfId="11" quotePrefix="1" applyNumberFormat="1" applyFont="1" applyBorder="1" applyAlignment="1">
      <alignment horizontal="left"/>
    </xf>
    <xf numFmtId="0" fontId="119" fillId="0" borderId="68" xfId="9" applyFont="1" applyBorder="1" applyAlignment="1">
      <alignment horizontal="center" vertical="center"/>
    </xf>
    <xf numFmtId="0" fontId="119" fillId="0" borderId="70" xfId="9" applyFont="1" applyBorder="1" applyAlignment="1">
      <alignment horizontal="center" vertical="center"/>
    </xf>
    <xf numFmtId="0" fontId="120" fillId="0" borderId="66" xfId="9" applyFont="1" applyBorder="1" applyAlignment="1">
      <alignment horizontal="center" vertical="center"/>
    </xf>
    <xf numFmtId="0" fontId="120" fillId="0" borderId="67" xfId="9" applyFont="1" applyBorder="1" applyAlignment="1">
      <alignment horizontal="center" vertical="center"/>
    </xf>
    <xf numFmtId="0" fontId="118" fillId="0" borderId="69" xfId="9" quotePrefix="1" applyFont="1" applyBorder="1" applyAlignment="1">
      <alignment horizontal="center" vertical="center"/>
    </xf>
    <xf numFmtId="0" fontId="18" fillId="0" borderId="61" xfId="9" applyFont="1" applyBorder="1" applyAlignment="1">
      <alignment horizontal="left" vertical="center"/>
    </xf>
    <xf numFmtId="0" fontId="18" fillId="0" borderId="44" xfId="9" applyFont="1" applyBorder="1" applyAlignment="1">
      <alignment horizontal="left" vertical="center"/>
    </xf>
    <xf numFmtId="0" fontId="38" fillId="0" borderId="38" xfId="9" applyFont="1" applyBorder="1" applyAlignment="1">
      <alignment horizontal="center" vertical="center"/>
    </xf>
    <xf numFmtId="0" fontId="38" fillId="0" borderId="11" xfId="9" applyFont="1" applyBorder="1" applyAlignment="1">
      <alignment horizontal="center" vertical="center"/>
    </xf>
    <xf numFmtId="0" fontId="38" fillId="0" borderId="33" xfId="9" applyFont="1" applyBorder="1" applyAlignment="1">
      <alignment horizontal="center" vertical="center"/>
    </xf>
    <xf numFmtId="0" fontId="18" fillId="0" borderId="42" xfId="9" quotePrefix="1" applyFont="1" applyBorder="1" applyAlignment="1">
      <alignment horizontal="left" vertical="center" wrapText="1"/>
    </xf>
    <xf numFmtId="0" fontId="18" fillId="0" borderId="14" xfId="9" quotePrefix="1" applyFont="1" applyBorder="1" applyAlignment="1">
      <alignment horizontal="left" vertical="center" wrapText="1"/>
    </xf>
    <xf numFmtId="0" fontId="18" fillId="0" borderId="12" xfId="9" quotePrefix="1" applyFont="1" applyBorder="1" applyAlignment="1">
      <alignment horizontal="left" vertical="center" wrapText="1"/>
    </xf>
    <xf numFmtId="0" fontId="18" fillId="0" borderId="32" xfId="9" quotePrefix="1" applyFont="1" applyBorder="1" applyAlignment="1">
      <alignment horizontal="left" vertical="center" wrapText="1"/>
    </xf>
    <xf numFmtId="0" fontId="18" fillId="0" borderId="9" xfId="9" quotePrefix="1" applyFont="1" applyBorder="1" applyAlignment="1">
      <alignment horizontal="left" vertical="center" wrapText="1"/>
    </xf>
    <xf numFmtId="0" fontId="18" fillId="0" borderId="17" xfId="9" quotePrefix="1" applyFont="1" applyBorder="1" applyAlignment="1">
      <alignment horizontal="left" vertical="center" wrapText="1"/>
    </xf>
    <xf numFmtId="0" fontId="18" fillId="0" borderId="3" xfId="9" applyFont="1" applyBorder="1" applyAlignment="1">
      <alignment horizontal="left" vertical="top"/>
    </xf>
    <xf numFmtId="0" fontId="18" fillId="0" borderId="12" xfId="9" applyFont="1" applyBorder="1" applyAlignment="1">
      <alignment horizontal="left" vertical="top"/>
    </xf>
    <xf numFmtId="0" fontId="18" fillId="0" borderId="16" xfId="9" applyFont="1" applyBorder="1" applyAlignment="1">
      <alignment horizontal="left" vertical="top"/>
    </xf>
    <xf numFmtId="0" fontId="18" fillId="0" borderId="17" xfId="9" applyFont="1" applyBorder="1" applyAlignment="1">
      <alignment horizontal="left" vertical="top"/>
    </xf>
    <xf numFmtId="0" fontId="41" fillId="0" borderId="3" xfId="9" quotePrefix="1" applyFont="1" applyBorder="1" applyAlignment="1">
      <alignment horizontal="left" vertical="center" wrapText="1"/>
    </xf>
    <xf numFmtId="0" fontId="41" fillId="0" borderId="14" xfId="9" quotePrefix="1" applyFont="1" applyBorder="1" applyAlignment="1">
      <alignment horizontal="left" vertical="center" wrapText="1"/>
    </xf>
    <xf numFmtId="0" fontId="41" fillId="0" borderId="47" xfId="9" quotePrefix="1" applyFont="1" applyBorder="1" applyAlignment="1">
      <alignment horizontal="left" vertical="center" wrapText="1"/>
    </xf>
    <xf numFmtId="0" fontId="41" fillId="0" borderId="50" xfId="9" quotePrefix="1" applyFont="1" applyBorder="1" applyAlignment="1">
      <alignment horizontal="left" vertical="center" wrapText="1"/>
    </xf>
    <xf numFmtId="0" fontId="41" fillId="0" borderId="26" xfId="9" quotePrefix="1" applyFont="1" applyBorder="1" applyAlignment="1">
      <alignment horizontal="left" vertical="center" wrapText="1"/>
    </xf>
    <xf numFmtId="0" fontId="41" fillId="0" borderId="27" xfId="9" quotePrefix="1" applyFont="1" applyBorder="1" applyAlignment="1">
      <alignment horizontal="left" vertical="center" wrapText="1"/>
    </xf>
    <xf numFmtId="0" fontId="41" fillId="0" borderId="29" xfId="9" applyFont="1" applyBorder="1" applyAlignment="1">
      <alignment horizontal="center" vertical="center" wrapText="1"/>
    </xf>
    <xf numFmtId="0" fontId="41" fillId="0" borderId="2" xfId="9" applyFont="1" applyBorder="1" applyAlignment="1">
      <alignment horizontal="center" vertical="center" wrapText="1"/>
    </xf>
    <xf numFmtId="0" fontId="41" fillId="0" borderId="48" xfId="9" applyFont="1" applyBorder="1" applyAlignment="1">
      <alignment horizontal="center" vertical="center" wrapText="1"/>
    </xf>
    <xf numFmtId="0" fontId="41" fillId="0" borderId="49" xfId="9" applyFont="1" applyBorder="1" applyAlignment="1">
      <alignment horizontal="center" vertical="center" wrapText="1"/>
    </xf>
    <xf numFmtId="169" fontId="18" fillId="0" borderId="11" xfId="11" quotePrefix="1" applyNumberFormat="1" applyFont="1" applyBorder="1" applyAlignment="1">
      <alignment horizontal="left" vertical="top" wrapText="1"/>
    </xf>
    <xf numFmtId="169" fontId="18" fillId="0" borderId="33" xfId="11" quotePrefix="1" applyNumberFormat="1" applyFont="1" applyBorder="1" applyAlignment="1">
      <alignment horizontal="left" vertical="top" wrapText="1"/>
    </xf>
    <xf numFmtId="0" fontId="16" fillId="0" borderId="0" xfId="6" applyFont="1" applyAlignment="1">
      <alignment horizontal="left" vertical="center" wrapText="1"/>
    </xf>
    <xf numFmtId="172" fontId="18" fillId="0" borderId="0" xfId="3" applyNumberFormat="1" applyFont="1" applyAlignment="1">
      <alignment horizontal="center" vertical="center"/>
    </xf>
    <xf numFmtId="0" fontId="24" fillId="20" borderId="1" xfId="3" applyFont="1" applyFill="1" applyBorder="1" applyAlignment="1">
      <alignment horizontal="center" vertical="center" wrapText="1"/>
    </xf>
    <xf numFmtId="0" fontId="41" fillId="0" borderId="1" xfId="3" applyFont="1" applyBorder="1" applyAlignment="1">
      <alignment horizontal="left" vertical="center" wrapText="1"/>
    </xf>
    <xf numFmtId="0" fontId="18" fillId="0" borderId="3" xfId="3" applyFont="1" applyBorder="1" applyAlignment="1">
      <alignment horizontal="left" vertical="center" indent="3"/>
    </xf>
    <xf numFmtId="0" fontId="18" fillId="0" borderId="14" xfId="3" applyFont="1" applyBorder="1" applyAlignment="1">
      <alignment horizontal="left" vertical="center" indent="3"/>
    </xf>
    <xf numFmtId="0" fontId="18" fillId="0" borderId="12" xfId="3" applyFont="1" applyBorder="1" applyAlignment="1">
      <alignment horizontal="left" vertical="center" indent="3"/>
    </xf>
    <xf numFmtId="0" fontId="18" fillId="0" borderId="16" xfId="3" applyFont="1" applyBorder="1" applyAlignment="1">
      <alignment horizontal="left" vertical="center" indent="3"/>
    </xf>
    <xf numFmtId="0" fontId="18" fillId="0" borderId="9" xfId="3" applyFont="1" applyBorder="1" applyAlignment="1">
      <alignment horizontal="left" vertical="center" indent="3"/>
    </xf>
    <xf numFmtId="0" fontId="18" fillId="0" borderId="17" xfId="3" applyFont="1" applyBorder="1" applyAlignment="1">
      <alignment horizontal="left" vertical="center" indent="3"/>
    </xf>
    <xf numFmtId="172" fontId="117" fillId="0" borderId="39" xfId="3" applyNumberFormat="1" applyFont="1" applyBorder="1" applyAlignment="1">
      <alignment horizontal="center" vertical="center"/>
    </xf>
    <xf numFmtId="0" fontId="18" fillId="0" borderId="39" xfId="3" applyFont="1" applyBorder="1" applyAlignment="1">
      <alignment horizontal="left" vertical="center"/>
    </xf>
    <xf numFmtId="0" fontId="28" fillId="20" borderId="2" xfId="3" applyFont="1" applyFill="1" applyBorder="1" applyAlignment="1">
      <alignment horizontal="center"/>
    </xf>
    <xf numFmtId="0" fontId="16" fillId="0" borderId="1" xfId="6" applyFont="1" applyBorder="1" applyAlignment="1">
      <alignment horizontal="left" vertical="center" wrapText="1"/>
    </xf>
    <xf numFmtId="0" fontId="129" fillId="0" borderId="65" xfId="0" applyFont="1" applyBorder="1" applyAlignment="1">
      <alignment horizontal="center" vertical="center"/>
    </xf>
    <xf numFmtId="0" fontId="129" fillId="0" borderId="66" xfId="0" applyFont="1" applyBorder="1" applyAlignment="1">
      <alignment horizontal="center" vertical="center"/>
    </xf>
    <xf numFmtId="0" fontId="128" fillId="0" borderId="68" xfId="0" applyFont="1" applyBorder="1" applyAlignment="1">
      <alignment horizontal="center" vertical="center"/>
    </xf>
    <xf numFmtId="0" fontId="128" fillId="0" borderId="70" xfId="0" applyFont="1" applyBorder="1" applyAlignment="1">
      <alignment horizontal="center" vertical="center"/>
    </xf>
    <xf numFmtId="168" fontId="18" fillId="0" borderId="0" xfId="0" applyNumberFormat="1" applyFont="1" applyAlignment="1">
      <alignment horizontal="center" vertical="center"/>
    </xf>
    <xf numFmtId="0" fontId="111" fillId="0" borderId="0" xfId="3" applyFont="1" applyAlignment="1">
      <alignment horizontal="center"/>
    </xf>
    <xf numFmtId="3" fontId="30" fillId="0" borderId="0" xfId="3" applyNumberFormat="1" applyFont="1" applyAlignment="1">
      <alignment horizontal="center"/>
    </xf>
    <xf numFmtId="0" fontId="30" fillId="0" borderId="0" xfId="3" applyFont="1" applyAlignment="1">
      <alignment horizontal="center"/>
    </xf>
    <xf numFmtId="0" fontId="93" fillId="0" borderId="0" xfId="3" applyFont="1" applyAlignment="1">
      <alignment horizontal="center"/>
    </xf>
    <xf numFmtId="0" fontId="92" fillId="0" borderId="0" xfId="3" applyFont="1" applyAlignment="1">
      <alignment vertical="top" wrapText="1"/>
    </xf>
    <xf numFmtId="0" fontId="127" fillId="0" borderId="69" xfId="9" quotePrefix="1" applyFont="1" applyBorder="1" applyAlignment="1">
      <alignment horizontal="center" vertical="center"/>
    </xf>
    <xf numFmtId="0" fontId="18" fillId="0" borderId="0" xfId="3" applyFont="1" applyAlignment="1">
      <alignment horizontal="justify" vertical="top" wrapText="1"/>
    </xf>
    <xf numFmtId="1" fontId="18" fillId="0" borderId="10" xfId="9" applyNumberFormat="1" applyFont="1" applyBorder="1" applyAlignment="1">
      <alignment horizontal="left" vertical="center" wrapText="1"/>
    </xf>
    <xf numFmtId="1" fontId="18" fillId="0" borderId="11" xfId="9" applyNumberFormat="1" applyFont="1" applyBorder="1" applyAlignment="1">
      <alignment horizontal="left" vertical="center" wrapText="1"/>
    </xf>
    <xf numFmtId="1" fontId="18" fillId="0" borderId="33" xfId="9" applyNumberFormat="1" applyFont="1" applyBorder="1" applyAlignment="1">
      <alignment horizontal="left" vertical="center" wrapText="1"/>
    </xf>
    <xf numFmtId="168" fontId="24" fillId="0" borderId="10" xfId="9" applyNumberFormat="1" applyFont="1" applyBorder="1" applyAlignment="1">
      <alignment horizontal="center" vertical="center" wrapText="1"/>
    </xf>
    <xf numFmtId="168" fontId="24" fillId="0" borderId="11" xfId="9" applyNumberFormat="1" applyFont="1" applyBorder="1" applyAlignment="1">
      <alignment horizontal="center" vertical="center" wrapText="1"/>
    </xf>
    <xf numFmtId="168" fontId="24" fillId="0" borderId="33" xfId="9" applyNumberFormat="1" applyFont="1" applyBorder="1" applyAlignment="1">
      <alignment horizontal="center" vertical="center" wrapText="1"/>
    </xf>
    <xf numFmtId="0" fontId="123" fillId="0" borderId="66" xfId="9" applyFont="1" applyBorder="1" applyAlignment="1">
      <alignment horizontal="center"/>
    </xf>
    <xf numFmtId="0" fontId="123" fillId="0" borderId="67" xfId="9" applyFont="1" applyBorder="1" applyAlignment="1">
      <alignment horizontal="center"/>
    </xf>
    <xf numFmtId="0" fontId="122" fillId="0" borderId="68" xfId="9" applyFont="1" applyBorder="1" applyAlignment="1">
      <alignment horizontal="center" vertical="center"/>
    </xf>
    <xf numFmtId="0" fontId="122" fillId="0" borderId="70" xfId="9" applyFont="1" applyBorder="1" applyAlignment="1">
      <alignment horizontal="center" vertical="center"/>
    </xf>
    <xf numFmtId="0" fontId="86" fillId="0" borderId="68" xfId="9" quotePrefix="1" applyFont="1" applyBorder="1" applyAlignment="1">
      <alignment horizontal="center" vertical="center"/>
    </xf>
    <xf numFmtId="0" fontId="86" fillId="0" borderId="69" xfId="9" quotePrefix="1" applyFont="1" applyBorder="1" applyAlignment="1">
      <alignment horizontal="center" vertical="center"/>
    </xf>
    <xf numFmtId="0" fontId="86" fillId="0" borderId="70" xfId="9" quotePrefix="1" applyFont="1" applyBorder="1" applyAlignment="1">
      <alignment horizontal="center" vertical="center"/>
    </xf>
    <xf numFmtId="0" fontId="24" fillId="0" borderId="10" xfId="9" applyFont="1" applyBorder="1" applyAlignment="1">
      <alignment horizontal="center" vertical="center" wrapText="1"/>
    </xf>
    <xf numFmtId="0" fontId="24" fillId="0" borderId="11" xfId="9" applyFont="1" applyBorder="1" applyAlignment="1">
      <alignment horizontal="center" vertical="center" wrapText="1"/>
    </xf>
    <xf numFmtId="0" fontId="24" fillId="0" borderId="33" xfId="9" applyFont="1" applyBorder="1" applyAlignment="1">
      <alignment horizontal="center" vertical="center" wrapText="1"/>
    </xf>
    <xf numFmtId="0" fontId="18" fillId="0" borderId="10" xfId="9" applyFont="1" applyBorder="1" applyAlignment="1">
      <alignment horizontal="left" vertical="center" wrapText="1"/>
    </xf>
    <xf numFmtId="0" fontId="18" fillId="0" borderId="11" xfId="9" applyFont="1" applyBorder="1" applyAlignment="1">
      <alignment horizontal="left" vertical="center" wrapText="1"/>
    </xf>
    <xf numFmtId="0" fontId="18" fillId="0" borderId="33" xfId="9" applyFont="1" applyBorder="1" applyAlignment="1">
      <alignment horizontal="left" vertical="center" wrapText="1"/>
    </xf>
    <xf numFmtId="0" fontId="40" fillId="0" borderId="18" xfId="9" applyFont="1" applyBorder="1" applyAlignment="1">
      <alignment horizontal="center"/>
    </xf>
    <xf numFmtId="0" fontId="40" fillId="0" borderId="19" xfId="9" applyFont="1" applyBorder="1" applyAlignment="1">
      <alignment horizontal="center"/>
    </xf>
    <xf numFmtId="0" fontId="40" fillId="0" borderId="20" xfId="9" applyFont="1" applyBorder="1" applyAlignment="1">
      <alignment horizontal="center"/>
    </xf>
    <xf numFmtId="0" fontId="18" fillId="0" borderId="1" xfId="9" applyFont="1" applyBorder="1" applyAlignment="1">
      <alignment horizontal="left" vertical="center"/>
    </xf>
    <xf numFmtId="0" fontId="18" fillId="0" borderId="30" xfId="9" applyFont="1" applyBorder="1" applyAlignment="1">
      <alignment horizontal="left" vertical="center"/>
    </xf>
    <xf numFmtId="1" fontId="24" fillId="0" borderId="10" xfId="9" applyNumberFormat="1" applyFont="1" applyBorder="1" applyAlignment="1">
      <alignment horizontal="center" vertical="center"/>
    </xf>
    <xf numFmtId="1" fontId="24" fillId="0" borderId="11" xfId="9" applyNumberFormat="1" applyFont="1" applyBorder="1" applyAlignment="1">
      <alignment horizontal="center" vertical="center"/>
    </xf>
    <xf numFmtId="1" fontId="24" fillId="0" borderId="33" xfId="9" applyNumberFormat="1" applyFont="1" applyBorder="1" applyAlignment="1">
      <alignment horizontal="center" vertical="center"/>
    </xf>
    <xf numFmtId="0" fontId="24" fillId="0" borderId="1" xfId="9" applyFont="1" applyBorder="1" applyAlignment="1">
      <alignment horizontal="center"/>
    </xf>
    <xf numFmtId="0" fontId="24" fillId="0" borderId="30" xfId="9" applyFont="1" applyBorder="1" applyAlignment="1">
      <alignment horizontal="center"/>
    </xf>
    <xf numFmtId="170" fontId="24" fillId="0" borderId="38" xfId="9" applyNumberFormat="1" applyFont="1" applyBorder="1" applyAlignment="1">
      <alignment horizontal="left"/>
    </xf>
    <xf numFmtId="170" fontId="24" fillId="0" borderId="11" xfId="9" applyNumberFormat="1" applyFont="1" applyBorder="1" applyAlignment="1">
      <alignment horizontal="left"/>
    </xf>
    <xf numFmtId="170" fontId="24" fillId="0" borderId="42" xfId="9" applyNumberFormat="1" applyFont="1" applyBorder="1" applyAlignment="1">
      <alignment horizontal="center" vertical="top"/>
    </xf>
    <xf numFmtId="170" fontId="24" fillId="0" borderId="12" xfId="9" applyNumberFormat="1" applyFont="1" applyBorder="1" applyAlignment="1">
      <alignment horizontal="center" vertical="top"/>
    </xf>
    <xf numFmtId="0" fontId="24" fillId="0" borderId="23" xfId="9" applyFont="1" applyBorder="1" applyAlignment="1">
      <alignment horizontal="left"/>
    </xf>
    <xf numFmtId="0" fontId="24" fillId="0" borderId="1" xfId="9" applyFont="1" applyBorder="1" applyAlignment="1">
      <alignment horizontal="left"/>
    </xf>
    <xf numFmtId="170" fontId="24" fillId="0" borderId="23" xfId="9" applyNumberFormat="1" applyFont="1" applyBorder="1" applyAlignment="1">
      <alignment horizontal="center" vertical="center"/>
    </xf>
    <xf numFmtId="170" fontId="24" fillId="0" borderId="1" xfId="9" applyNumberFormat="1" applyFont="1" applyBorder="1" applyAlignment="1">
      <alignment horizontal="center" vertical="center"/>
    </xf>
    <xf numFmtId="170" fontId="24" fillId="0" borderId="13" xfId="9" applyNumberFormat="1" applyFont="1" applyBorder="1" applyAlignment="1">
      <alignment horizontal="left"/>
    </xf>
    <xf numFmtId="170" fontId="24" fillId="0" borderId="23" xfId="9" applyNumberFormat="1" applyFont="1" applyBorder="1" applyAlignment="1">
      <alignment horizontal="left" vertical="center"/>
    </xf>
    <xf numFmtId="170" fontId="24" fillId="0" borderId="1" xfId="9" applyNumberFormat="1" applyFont="1" applyBorder="1" applyAlignment="1">
      <alignment horizontal="left" vertical="center"/>
    </xf>
    <xf numFmtId="170" fontId="24" fillId="0" borderId="29" xfId="9" applyNumberFormat="1" applyFont="1" applyBorder="1" applyAlignment="1">
      <alignment horizontal="left" vertical="center"/>
    </xf>
    <xf numFmtId="170" fontId="24" fillId="0" borderId="2" xfId="9" applyNumberFormat="1" applyFont="1" applyBorder="1" applyAlignment="1">
      <alignment horizontal="left" vertical="center"/>
    </xf>
    <xf numFmtId="0" fontId="18" fillId="0" borderId="10" xfId="9" applyFont="1" applyBorder="1" applyAlignment="1">
      <alignment horizontal="center" vertical="center" wrapText="1"/>
    </xf>
    <xf numFmtId="0" fontId="18" fillId="0" borderId="11" xfId="9" applyFont="1" applyBorder="1" applyAlignment="1">
      <alignment horizontal="center" vertical="center" wrapText="1"/>
    </xf>
    <xf numFmtId="0" fontId="18" fillId="0" borderId="33" xfId="9" applyFont="1" applyBorder="1" applyAlignment="1">
      <alignment horizontal="center" vertical="center" wrapText="1"/>
    </xf>
    <xf numFmtId="168" fontId="24" fillId="0" borderId="10" xfId="9" applyNumberFormat="1" applyFont="1" applyBorder="1" applyAlignment="1">
      <alignment horizontal="center" vertical="center"/>
    </xf>
    <xf numFmtId="168" fontId="24" fillId="0" borderId="11" xfId="9" applyNumberFormat="1" applyFont="1" applyBorder="1" applyAlignment="1">
      <alignment horizontal="center" vertical="center"/>
    </xf>
    <xf numFmtId="168" fontId="24" fillId="0" borderId="33" xfId="9" applyNumberFormat="1" applyFont="1" applyBorder="1" applyAlignment="1">
      <alignment horizontal="center" vertical="center"/>
    </xf>
    <xf numFmtId="0" fontId="31" fillId="0" borderId="10" xfId="9" applyFont="1" applyBorder="1" applyAlignment="1">
      <alignment horizontal="left" vertical="center" wrapText="1"/>
    </xf>
    <xf numFmtId="0" fontId="31" fillId="0" borderId="11" xfId="9" applyFont="1" applyBorder="1" applyAlignment="1">
      <alignment horizontal="left" vertical="center" wrapText="1"/>
    </xf>
    <xf numFmtId="0" fontId="31" fillId="0" borderId="13" xfId="9" applyFont="1" applyBorder="1" applyAlignment="1">
      <alignment horizontal="left" vertical="center" wrapText="1"/>
    </xf>
    <xf numFmtId="0" fontId="31" fillId="0" borderId="10" xfId="9" applyFont="1" applyBorder="1" applyAlignment="1">
      <alignment horizontal="center" vertical="center" wrapText="1"/>
    </xf>
    <xf numFmtId="0" fontId="31" fillId="0" borderId="11" xfId="9" applyFont="1" applyBorder="1" applyAlignment="1">
      <alignment horizontal="center" vertical="center" wrapText="1"/>
    </xf>
    <xf numFmtId="0" fontId="31" fillId="0" borderId="13" xfId="9" applyFont="1" applyBorder="1" applyAlignment="1">
      <alignment horizontal="center" vertical="center" wrapText="1"/>
    </xf>
    <xf numFmtId="171" fontId="31" fillId="0" borderId="10" xfId="1" applyNumberFormat="1" applyFont="1" applyBorder="1" applyAlignment="1">
      <alignment horizontal="right" vertical="center" wrapText="1"/>
    </xf>
    <xf numFmtId="171" fontId="31" fillId="0" borderId="13" xfId="1" applyNumberFormat="1" applyFont="1" applyBorder="1" applyAlignment="1">
      <alignment horizontal="right" vertical="center" wrapText="1"/>
    </xf>
    <xf numFmtId="0" fontId="29" fillId="0" borderId="11" xfId="9" applyFont="1" applyBorder="1" applyAlignment="1">
      <alignment horizontal="center" vertical="center"/>
    </xf>
    <xf numFmtId="0" fontId="29" fillId="0" borderId="13" xfId="9" applyFont="1" applyBorder="1" applyAlignment="1">
      <alignment horizontal="center" vertical="center"/>
    </xf>
    <xf numFmtId="169" fontId="38" fillId="0" borderId="3" xfId="9" applyNumberFormat="1" applyFont="1" applyBorder="1" applyAlignment="1">
      <alignment horizontal="center" vertical="center"/>
    </xf>
    <xf numFmtId="169" fontId="38" fillId="0" borderId="14" xfId="9" applyNumberFormat="1" applyFont="1" applyBorder="1" applyAlignment="1">
      <alignment horizontal="center" vertical="center"/>
    </xf>
    <xf numFmtId="169" fontId="38" fillId="0" borderId="12" xfId="9" applyNumberFormat="1" applyFont="1" applyBorder="1" applyAlignment="1">
      <alignment horizontal="center" vertical="center"/>
    </xf>
    <xf numFmtId="0" fontId="31" fillId="0" borderId="1" xfId="9" applyFont="1" applyBorder="1" applyAlignment="1">
      <alignment horizontal="center"/>
    </xf>
    <xf numFmtId="167" fontId="31" fillId="0" borderId="0" xfId="9" applyNumberFormat="1" applyFont="1" applyAlignment="1">
      <alignment horizontal="center"/>
    </xf>
    <xf numFmtId="0" fontId="29" fillId="0" borderId="10" xfId="9" applyFont="1" applyBorder="1" applyAlignment="1">
      <alignment horizontal="center" vertical="center" wrapText="1"/>
    </xf>
    <xf numFmtId="0" fontId="29" fillId="0" borderId="11" xfId="9" applyFont="1" applyBorder="1" applyAlignment="1">
      <alignment horizontal="center" vertical="center" wrapText="1"/>
    </xf>
    <xf numFmtId="0" fontId="29" fillId="0" borderId="13" xfId="9" applyFont="1" applyBorder="1" applyAlignment="1">
      <alignment horizontal="center" vertical="center" wrapText="1"/>
    </xf>
    <xf numFmtId="0" fontId="40" fillId="0" borderId="19" xfId="9" applyFont="1" applyBorder="1" applyAlignment="1">
      <alignment horizontal="center" vertical="center"/>
    </xf>
    <xf numFmtId="0" fontId="40" fillId="0" borderId="20" xfId="9" applyFont="1" applyBorder="1" applyAlignment="1">
      <alignment horizontal="center" vertical="center"/>
    </xf>
    <xf numFmtId="0" fontId="33" fillId="0" borderId="10" xfId="6" applyFont="1" applyBorder="1" applyAlignment="1">
      <alignment horizontal="center" vertical="center" wrapText="1"/>
    </xf>
    <xf numFmtId="0" fontId="33" fillId="0" borderId="13" xfId="6" applyFont="1" applyBorder="1" applyAlignment="1">
      <alignment horizontal="center" vertical="center" wrapText="1"/>
    </xf>
    <xf numFmtId="0" fontId="33" fillId="0" borderId="10" xfId="6" quotePrefix="1" applyFont="1" applyBorder="1" applyAlignment="1">
      <alignment horizontal="left" vertical="center" wrapText="1"/>
    </xf>
    <xf numFmtId="0" fontId="33" fillId="0" borderId="11" xfId="6" quotePrefix="1" applyFont="1" applyBorder="1" applyAlignment="1">
      <alignment horizontal="left" vertical="center" wrapText="1"/>
    </xf>
    <xf numFmtId="0" fontId="33" fillId="0" borderId="13" xfId="6" quotePrefix="1" applyFont="1" applyBorder="1" applyAlignment="1">
      <alignment horizontal="left" vertical="center" wrapText="1"/>
    </xf>
    <xf numFmtId="0" fontId="20" fillId="0" borderId="0" xfId="6" applyAlignment="1">
      <alignment horizontal="left" vertical="top"/>
    </xf>
    <xf numFmtId="0" fontId="17" fillId="0" borderId="0" xfId="6" applyFont="1" applyAlignment="1">
      <alignment horizontal="justify" vertical="top" wrapText="1"/>
    </xf>
    <xf numFmtId="0" fontId="57" fillId="0" borderId="1" xfId="6" applyFont="1" applyBorder="1" applyAlignment="1">
      <alignment horizontal="center" vertical="center" wrapText="1"/>
    </xf>
    <xf numFmtId="0" fontId="18" fillId="0" borderId="0" xfId="0" applyFont="1" applyAlignment="1">
      <alignment horizontal="center"/>
    </xf>
    <xf numFmtId="167" fontId="18" fillId="0" borderId="0" xfId="3" applyNumberFormat="1" applyFont="1" applyAlignment="1">
      <alignment horizontal="center" vertical="center" wrapText="1"/>
    </xf>
    <xf numFmtId="0" fontId="17" fillId="0" borderId="9" xfId="6" applyFont="1" applyBorder="1" applyAlignment="1">
      <alignment horizontal="left" vertical="top" wrapText="1"/>
    </xf>
    <xf numFmtId="0" fontId="17" fillId="0" borderId="0" xfId="6" applyFont="1" applyAlignment="1">
      <alignment horizontal="center" vertical="top"/>
    </xf>
    <xf numFmtId="0" fontId="27" fillId="0" borderId="0" xfId="0" applyFont="1" applyAlignment="1">
      <alignment horizontal="center" vertical="center"/>
    </xf>
    <xf numFmtId="0" fontId="59" fillId="0" borderId="0" xfId="6" applyFont="1" applyAlignment="1">
      <alignment horizontal="center" vertical="center" wrapText="1"/>
    </xf>
    <xf numFmtId="0" fontId="18" fillId="0" borderId="0" xfId="0" applyFont="1" applyAlignment="1">
      <alignment horizontal="center" vertical="center"/>
    </xf>
    <xf numFmtId="0" fontId="27" fillId="0" borderId="0" xfId="3" applyFont="1" applyAlignment="1">
      <alignment horizontal="center" vertical="center"/>
    </xf>
    <xf numFmtId="0" fontId="18" fillId="0" borderId="0" xfId="3" applyFont="1" applyAlignment="1">
      <alignment horizontal="center"/>
    </xf>
    <xf numFmtId="0" fontId="35" fillId="0" borderId="0" xfId="6" applyFont="1" applyAlignment="1">
      <alignment horizontal="center" vertical="top"/>
    </xf>
    <xf numFmtId="0" fontId="17" fillId="0" borderId="0" xfId="6" quotePrefix="1" applyFont="1" applyAlignment="1">
      <alignment horizontal="center" vertical="top"/>
    </xf>
    <xf numFmtId="0" fontId="17" fillId="0" borderId="0" xfId="6" applyFont="1" applyAlignment="1">
      <alignment horizontal="left" vertical="top" wrapText="1"/>
    </xf>
    <xf numFmtId="0" fontId="17" fillId="0" borderId="0" xfId="6" applyFont="1" applyAlignment="1">
      <alignment horizontal="left" vertical="top"/>
    </xf>
    <xf numFmtId="167" fontId="17" fillId="0" borderId="0" xfId="6" applyNumberFormat="1" applyFont="1" applyAlignment="1">
      <alignment horizontal="center" vertical="top"/>
    </xf>
    <xf numFmtId="0" fontId="121" fillId="0" borderId="68" xfId="6" applyFont="1" applyBorder="1" applyAlignment="1">
      <alignment horizontal="center" vertical="center"/>
    </xf>
    <xf numFmtId="0" fontId="121" fillId="0" borderId="70" xfId="6" applyFont="1" applyBorder="1" applyAlignment="1">
      <alignment horizontal="center" vertical="center"/>
    </xf>
    <xf numFmtId="0" fontId="120" fillId="0" borderId="66" xfId="6" applyFont="1" applyBorder="1" applyAlignment="1">
      <alignment horizontal="center" vertical="center"/>
    </xf>
    <xf numFmtId="0" fontId="120" fillId="0" borderId="67" xfId="6" applyFont="1" applyBorder="1" applyAlignment="1">
      <alignment horizontal="center" vertical="center"/>
    </xf>
    <xf numFmtId="0" fontId="62" fillId="0" borderId="69" xfId="6" quotePrefix="1" applyFont="1" applyBorder="1" applyAlignment="1">
      <alignment horizontal="center" vertical="center"/>
    </xf>
    <xf numFmtId="0" fontId="105" fillId="0" borderId="0" xfId="3" applyFont="1" applyAlignment="1">
      <alignment horizontal="center" vertical="center" wrapText="1"/>
    </xf>
    <xf numFmtId="0" fontId="33" fillId="0" borderId="10" xfId="6" applyFont="1" applyBorder="1" applyAlignment="1">
      <alignment horizontal="left" vertical="center" wrapText="1"/>
    </xf>
    <xf numFmtId="0" fontId="33" fillId="0" borderId="11" xfId="6" applyFont="1" applyBorder="1" applyAlignment="1">
      <alignment horizontal="left" vertical="center" wrapText="1"/>
    </xf>
    <xf numFmtId="0" fontId="33" fillId="0" borderId="13" xfId="6" applyFont="1" applyBorder="1" applyAlignment="1">
      <alignment horizontal="left" vertical="center" wrapText="1"/>
    </xf>
    <xf numFmtId="0" fontId="131" fillId="0" borderId="0" xfId="3" applyFont="1" applyAlignment="1">
      <alignment horizontal="center" vertical="center" wrapText="1"/>
    </xf>
    <xf numFmtId="0" fontId="96" fillId="0" borderId="0" xfId="3" applyFont="1" applyAlignment="1">
      <alignment horizontal="center" vertical="center"/>
    </xf>
    <xf numFmtId="167" fontId="42" fillId="0" borderId="0" xfId="6" applyNumberFormat="1" applyFont="1" applyAlignment="1">
      <alignment horizontal="center" vertical="top"/>
    </xf>
    <xf numFmtId="0" fontId="109" fillId="0" borderId="0" xfId="3" applyFont="1" applyAlignment="1">
      <alignment horizontal="center" vertical="top" wrapText="1"/>
    </xf>
    <xf numFmtId="0" fontId="35" fillId="0" borderId="0" xfId="6" applyFont="1" applyAlignment="1">
      <alignment horizontal="center" vertical="center"/>
    </xf>
    <xf numFmtId="166" fontId="42" fillId="0" borderId="0" xfId="6" quotePrefix="1" applyNumberFormat="1" applyFont="1" applyAlignment="1">
      <alignment horizontal="center" vertical="center"/>
    </xf>
    <xf numFmtId="0" fontId="17" fillId="0" borderId="0" xfId="6" quotePrefix="1" applyFont="1" applyAlignment="1">
      <alignment horizontal="justify" vertical="top" wrapText="1"/>
    </xf>
    <xf numFmtId="167" fontId="42" fillId="0" borderId="0" xfId="6" applyNumberFormat="1" applyFont="1" applyAlignment="1">
      <alignment horizontal="center" vertical="center"/>
    </xf>
    <xf numFmtId="167" fontId="18" fillId="0" borderId="0" xfId="3" applyNumberFormat="1" applyFont="1" applyAlignment="1">
      <alignment horizontal="left" vertical="center" wrapText="1"/>
    </xf>
    <xf numFmtId="0" fontId="25" fillId="0" borderId="1" xfId="7" quotePrefix="1" applyFont="1" applyBorder="1" applyAlignment="1">
      <alignment horizontal="center" vertical="center"/>
    </xf>
    <xf numFmtId="0" fontId="31" fillId="0" borderId="0" xfId="0" applyFont="1" applyAlignment="1">
      <alignment horizontal="center" vertical="center"/>
    </xf>
    <xf numFmtId="0" fontId="44" fillId="0" borderId="0" xfId="6" applyFont="1" applyAlignment="1">
      <alignment horizontal="center" vertical="top"/>
    </xf>
    <xf numFmtId="0" fontId="36" fillId="0" borderId="0" xfId="0" applyFont="1" applyAlignment="1">
      <alignment horizontal="center" vertical="center"/>
    </xf>
    <xf numFmtId="0" fontId="31" fillId="0" borderId="0" xfId="0" applyFont="1" applyAlignment="1">
      <alignment horizontal="center"/>
    </xf>
    <xf numFmtId="0" fontId="18" fillId="0" borderId="0" xfId="3" applyFont="1" applyAlignment="1">
      <alignment horizontal="left" vertical="center" wrapText="1"/>
    </xf>
    <xf numFmtId="0" fontId="23" fillId="0" borderId="0" xfId="7" applyFont="1" applyAlignment="1">
      <alignment horizontal="left" vertical="center" wrapText="1"/>
    </xf>
    <xf numFmtId="0" fontId="125" fillId="0" borderId="68" xfId="6" applyFont="1" applyBorder="1" applyAlignment="1">
      <alignment horizontal="center" vertical="center"/>
    </xf>
    <xf numFmtId="0" fontId="125" fillId="0" borderId="70" xfId="6" applyFont="1" applyBorder="1" applyAlignment="1">
      <alignment horizontal="center" vertical="center"/>
    </xf>
    <xf numFmtId="0" fontId="126" fillId="0" borderId="66" xfId="6" applyFont="1" applyBorder="1" applyAlignment="1">
      <alignment horizontal="center" vertical="center"/>
    </xf>
    <xf numFmtId="0" fontId="126" fillId="0" borderId="67" xfId="6" applyFont="1" applyBorder="1" applyAlignment="1">
      <alignment horizontal="center" vertical="center"/>
    </xf>
    <xf numFmtId="0" fontId="124" fillId="0" borderId="69" xfId="6" quotePrefix="1" applyFont="1" applyBorder="1" applyAlignment="1">
      <alignment horizontal="center" vertical="center"/>
    </xf>
    <xf numFmtId="173" fontId="17" fillId="0" borderId="36" xfId="11" quotePrefix="1" applyNumberFormat="1" applyFont="1" applyBorder="1" applyAlignment="1">
      <alignment horizontal="center" vertical="top" wrapText="1"/>
    </xf>
    <xf numFmtId="173" fontId="17" fillId="0" borderId="37" xfId="11" quotePrefix="1" applyNumberFormat="1" applyFont="1" applyBorder="1" applyAlignment="1">
      <alignment horizontal="center" vertical="top" wrapText="1"/>
    </xf>
    <xf numFmtId="167" fontId="21" fillId="0" borderId="1" xfId="7" applyNumberFormat="1" applyFont="1" applyBorder="1" applyAlignment="1">
      <alignment horizontal="center" vertical="center"/>
    </xf>
    <xf numFmtId="0" fontId="42" fillId="0" borderId="0" xfId="6" applyFont="1" applyAlignment="1">
      <alignment horizontal="justify" vertical="center" wrapText="1"/>
    </xf>
    <xf numFmtId="0" fontId="17" fillId="0" borderId="0" xfId="6" applyFont="1" applyAlignment="1">
      <alignment horizontal="center" vertical="center"/>
    </xf>
    <xf numFmtId="0" fontId="47" fillId="0" borderId="3" xfId="7" applyFont="1" applyBorder="1" applyAlignment="1">
      <alignment horizontal="center" vertical="center"/>
    </xf>
    <xf numFmtId="0" fontId="47" fillId="0" borderId="14" xfId="7" applyFont="1" applyBorder="1" applyAlignment="1">
      <alignment horizontal="center" vertical="center"/>
    </xf>
    <xf numFmtId="0" fontId="47" fillId="0" borderId="12" xfId="7" applyFont="1" applyBorder="1" applyAlignment="1">
      <alignment horizontal="center" vertical="center"/>
    </xf>
    <xf numFmtId="0" fontId="47" fillId="0" borderId="16" xfId="7" applyFont="1" applyBorder="1" applyAlignment="1">
      <alignment horizontal="center" vertical="center"/>
    </xf>
    <xf numFmtId="0" fontId="47" fillId="0" borderId="9" xfId="7" applyFont="1" applyBorder="1" applyAlignment="1">
      <alignment horizontal="center" vertical="center"/>
    </xf>
    <xf numFmtId="0" fontId="47" fillId="0" borderId="17" xfId="7" applyFont="1" applyBorder="1" applyAlignment="1">
      <alignment horizontal="center" vertical="center"/>
    </xf>
    <xf numFmtId="173" fontId="17" fillId="0" borderId="6" xfId="11" quotePrefix="1" applyNumberFormat="1" applyFont="1" applyBorder="1" applyAlignment="1">
      <alignment horizontal="center" vertical="top" wrapText="1"/>
    </xf>
    <xf numFmtId="173" fontId="17" fillId="0" borderId="7" xfId="11" quotePrefix="1" applyNumberFormat="1" applyFont="1" applyBorder="1" applyAlignment="1">
      <alignment horizontal="center" vertical="top" wrapText="1"/>
    </xf>
    <xf numFmtId="0" fontId="48" fillId="0" borderId="0" xfId="7" applyFont="1" applyAlignment="1">
      <alignment horizontal="center" vertical="center" wrapText="1"/>
    </xf>
    <xf numFmtId="0" fontId="48" fillId="0" borderId="35" xfId="7" applyFont="1" applyBorder="1" applyAlignment="1">
      <alignment horizontal="center" vertical="center" wrapText="1"/>
    </xf>
    <xf numFmtId="167" fontId="52" fillId="0" borderId="10" xfId="7" applyNumberFormat="1" applyFont="1" applyBorder="1" applyAlignment="1">
      <alignment horizontal="center" vertical="top"/>
    </xf>
    <xf numFmtId="167" fontId="52" fillId="0" borderId="11" xfId="7" applyNumberFormat="1" applyFont="1" applyBorder="1" applyAlignment="1">
      <alignment horizontal="center" vertical="top"/>
    </xf>
    <xf numFmtId="167" fontId="52" fillId="0" borderId="13" xfId="7" applyNumberFormat="1" applyFont="1" applyBorder="1" applyAlignment="1">
      <alignment horizontal="center" vertical="top"/>
    </xf>
    <xf numFmtId="0" fontId="34" fillId="0" borderId="10" xfId="7" applyFont="1" applyBorder="1" applyAlignment="1">
      <alignment horizontal="left" vertical="top" wrapText="1"/>
    </xf>
    <xf numFmtId="0" fontId="34" fillId="0" borderId="11" xfId="7" applyFont="1" applyBorder="1" applyAlignment="1">
      <alignment horizontal="left" vertical="top" wrapText="1"/>
    </xf>
    <xf numFmtId="0" fontId="34" fillId="0" borderId="13" xfId="7" applyFont="1" applyBorder="1" applyAlignment="1">
      <alignment horizontal="left" vertical="top" wrapText="1"/>
    </xf>
    <xf numFmtId="0" fontId="46" fillId="0" borderId="10" xfId="6" applyFont="1" applyBorder="1" applyAlignment="1">
      <alignment horizontal="left" vertical="center" wrapText="1"/>
    </xf>
    <xf numFmtId="0" fontId="46" fillId="0" borderId="11" xfId="6" applyFont="1" applyBorder="1" applyAlignment="1">
      <alignment horizontal="left" vertical="center" wrapText="1"/>
    </xf>
    <xf numFmtId="0" fontId="46" fillId="0" borderId="13" xfId="6" applyFont="1" applyBorder="1" applyAlignment="1">
      <alignment horizontal="left" vertical="center" wrapText="1"/>
    </xf>
    <xf numFmtId="0" fontId="42" fillId="0" borderId="3" xfId="7" quotePrefix="1" applyFont="1" applyBorder="1" applyAlignment="1">
      <alignment horizontal="left" vertical="top" wrapText="1"/>
    </xf>
    <xf numFmtId="0" fontId="42" fillId="0" borderId="14" xfId="7" quotePrefix="1" applyFont="1" applyBorder="1" applyAlignment="1">
      <alignment horizontal="left" vertical="top" wrapText="1"/>
    </xf>
    <xf numFmtId="0" fontId="42" fillId="0" borderId="12" xfId="7" quotePrefix="1" applyFont="1" applyBorder="1" applyAlignment="1">
      <alignment horizontal="left" vertical="top" wrapText="1"/>
    </xf>
    <xf numFmtId="0" fontId="42" fillId="0" borderId="4" xfId="7" quotePrefix="1" applyFont="1" applyBorder="1" applyAlignment="1">
      <alignment horizontal="left" vertical="top" wrapText="1"/>
    </xf>
    <xf numFmtId="0" fontId="42" fillId="0" borderId="0" xfId="7" quotePrefix="1" applyFont="1" applyAlignment="1">
      <alignment horizontal="left" vertical="top" wrapText="1"/>
    </xf>
    <xf numFmtId="0" fontId="42" fillId="0" borderId="15" xfId="7" quotePrefix="1" applyFont="1" applyBorder="1" applyAlignment="1">
      <alignment horizontal="left" vertical="top" wrapText="1"/>
    </xf>
    <xf numFmtId="0" fontId="42" fillId="0" borderId="16" xfId="7" quotePrefix="1" applyFont="1" applyBorder="1" applyAlignment="1">
      <alignment horizontal="left" vertical="top" wrapText="1"/>
    </xf>
    <xf numFmtId="0" fontId="42" fillId="0" borderId="9" xfId="7" quotePrefix="1" applyFont="1" applyBorder="1" applyAlignment="1">
      <alignment horizontal="left" vertical="top" wrapText="1"/>
    </xf>
    <xf numFmtId="0" fontId="42" fillId="0" borderId="17" xfId="7" quotePrefix="1" applyFont="1" applyBorder="1" applyAlignment="1">
      <alignment horizontal="left" vertical="top" wrapText="1"/>
    </xf>
    <xf numFmtId="167" fontId="42" fillId="0" borderId="10" xfId="7" applyNumberFormat="1" applyFont="1" applyBorder="1" applyAlignment="1">
      <alignment horizontal="center" vertical="top"/>
    </xf>
    <xf numFmtId="167" fontId="42" fillId="0" borderId="11" xfId="7" applyNumberFormat="1" applyFont="1" applyBorder="1" applyAlignment="1">
      <alignment horizontal="center" vertical="top"/>
    </xf>
    <xf numFmtId="167" fontId="42" fillId="0" borderId="13" xfId="7" applyNumberFormat="1" applyFont="1" applyBorder="1" applyAlignment="1">
      <alignment horizontal="center" vertical="top"/>
    </xf>
    <xf numFmtId="0" fontId="36" fillId="0" borderId="0" xfId="9" applyFont="1" applyAlignment="1">
      <alignment horizontal="left"/>
    </xf>
    <xf numFmtId="0" fontId="18" fillId="0" borderId="1" xfId="9" applyFont="1" applyBorder="1" applyAlignment="1">
      <alignment horizontal="justify" vertical="center"/>
    </xf>
    <xf numFmtId="41" fontId="18" fillId="0" borderId="10" xfId="16" applyFont="1" applyBorder="1" applyAlignment="1">
      <alignment horizontal="left" vertical="top" wrapText="1"/>
    </xf>
    <xf numFmtId="41" fontId="18" fillId="0" borderId="13" xfId="16" applyFont="1" applyBorder="1" applyAlignment="1">
      <alignment horizontal="left" vertical="top" wrapText="1"/>
    </xf>
    <xf numFmtId="0" fontId="24" fillId="0" borderId="1" xfId="9" applyFont="1" applyBorder="1" applyAlignment="1">
      <alignment horizontal="justify"/>
    </xf>
    <xf numFmtId="0" fontId="24" fillId="0" borderId="30" xfId="9" applyFont="1" applyBorder="1" applyAlignment="1">
      <alignment horizontal="justify"/>
    </xf>
    <xf numFmtId="0" fontId="73" fillId="0" borderId="18" xfId="9" applyFont="1" applyBorder="1" applyAlignment="1">
      <alignment horizontal="center" vertical="center"/>
    </xf>
    <xf numFmtId="0" fontId="73" fillId="0" borderId="19" xfId="9" applyFont="1" applyBorder="1" applyAlignment="1">
      <alignment horizontal="center" vertical="center"/>
    </xf>
    <xf numFmtId="0" fontId="73" fillId="0" borderId="20" xfId="9" applyFont="1" applyBorder="1" applyAlignment="1">
      <alignment horizontal="center" vertical="center"/>
    </xf>
    <xf numFmtId="0" fontId="24" fillId="0" borderId="23" xfId="9" applyFont="1" applyBorder="1" applyAlignment="1">
      <alignment horizontal="justify" vertical="center"/>
    </xf>
    <xf numFmtId="0" fontId="18" fillId="0" borderId="1" xfId="9" applyFont="1" applyBorder="1" applyAlignment="1">
      <alignment horizontal="justify"/>
    </xf>
    <xf numFmtId="0" fontId="24" fillId="0" borderId="10" xfId="9" applyFont="1" applyBorder="1" applyAlignment="1">
      <alignment horizontal="left" vertical="top"/>
    </xf>
    <xf numFmtId="0" fontId="24" fillId="0" borderId="13" xfId="9" applyFont="1" applyBorder="1" applyAlignment="1">
      <alignment horizontal="left" vertical="top"/>
    </xf>
    <xf numFmtId="167" fontId="29" fillId="0" borderId="0" xfId="9" applyNumberFormat="1" applyFont="1" applyAlignment="1">
      <alignment horizontal="left"/>
    </xf>
    <xf numFmtId="41" fontId="18" fillId="0" borderId="10" xfId="16" applyFont="1" applyBorder="1" applyAlignment="1">
      <alignment horizontal="left" vertical="center" wrapText="1"/>
    </xf>
    <xf numFmtId="41" fontId="18" fillId="0" borderId="13" xfId="16" applyFont="1" applyBorder="1" applyAlignment="1">
      <alignment horizontal="left" vertical="center" wrapText="1"/>
    </xf>
    <xf numFmtId="0" fontId="63" fillId="0" borderId="0" xfId="9" quotePrefix="1" applyFont="1" applyAlignment="1">
      <alignment horizontal="left"/>
    </xf>
    <xf numFmtId="0" fontId="18" fillId="0" borderId="23" xfId="9" applyFont="1" applyBorder="1" applyAlignment="1">
      <alignment horizontal="justify" vertical="center"/>
    </xf>
    <xf numFmtId="0" fontId="5" fillId="0" borderId="1" xfId="9" applyFont="1" applyBorder="1" applyAlignment="1">
      <alignment horizontal="justify"/>
    </xf>
    <xf numFmtId="0" fontId="5" fillId="0" borderId="30" xfId="9" applyFont="1" applyBorder="1" applyAlignment="1">
      <alignment horizontal="justify"/>
    </xf>
    <xf numFmtId="0" fontId="18" fillId="0" borderId="10" xfId="9" applyFont="1" applyBorder="1" applyAlignment="1">
      <alignment horizontal="justify" vertical="center" wrapText="1"/>
    </xf>
    <xf numFmtId="0" fontId="18" fillId="0" borderId="13" xfId="9" applyFont="1" applyBorder="1" applyAlignment="1">
      <alignment horizontal="justify" vertical="center" wrapText="1"/>
    </xf>
    <xf numFmtId="0" fontId="97" fillId="2" borderId="6" xfId="7" applyFont="1" applyFill="1" applyBorder="1" applyAlignment="1">
      <alignment horizontal="center" vertical="center" wrapText="1"/>
    </xf>
    <xf numFmtId="0" fontId="97" fillId="2" borderId="34" xfId="7" applyFont="1" applyFill="1" applyBorder="1" applyAlignment="1">
      <alignment horizontal="center" vertical="center" wrapText="1"/>
    </xf>
    <xf numFmtId="0" fontId="97" fillId="2" borderId="7" xfId="7" applyFont="1" applyFill="1" applyBorder="1" applyAlignment="1">
      <alignment horizontal="center" vertical="center" wrapText="1"/>
    </xf>
    <xf numFmtId="0" fontId="97" fillId="2" borderId="51" xfId="7" applyFont="1" applyFill="1" applyBorder="1" applyAlignment="1">
      <alignment horizontal="center" vertical="center" wrapText="1"/>
    </xf>
    <xf numFmtId="0" fontId="97" fillId="2" borderId="55" xfId="7" applyFont="1" applyFill="1" applyBorder="1" applyAlignment="1">
      <alignment horizontal="center" vertical="center" wrapText="1"/>
    </xf>
    <xf numFmtId="0" fontId="103" fillId="0" borderId="54" xfId="7" applyFont="1" applyBorder="1" applyAlignment="1">
      <alignment horizontal="center" vertical="center" wrapText="1"/>
    </xf>
    <xf numFmtId="0" fontId="103" fillId="0" borderId="8" xfId="7" applyFont="1" applyBorder="1" applyAlignment="1">
      <alignment horizontal="center" vertical="center" wrapText="1"/>
    </xf>
    <xf numFmtId="0" fontId="113" fillId="22" borderId="0" xfId="0" applyFont="1" applyFill="1" applyAlignment="1">
      <alignment horizontal="center" vertical="center"/>
    </xf>
    <xf numFmtId="0" fontId="112" fillId="21" borderId="0" xfId="0" applyFont="1" applyFill="1" applyAlignment="1">
      <alignment horizontal="center" vertical="center"/>
    </xf>
    <xf numFmtId="0" fontId="0" fillId="0" borderId="1" xfId="0" applyBorder="1" applyAlignment="1">
      <alignment horizontal="center"/>
    </xf>
  </cellXfs>
  <cellStyles count="20">
    <cellStyle name="Comma" xfId="1" builtinId="3"/>
    <cellStyle name="Comma [0]" xfId="16" builtinId="6"/>
    <cellStyle name="Comma [0] 2" xfId="10" xr:uid="{00000000-0005-0000-0000-000002000000}"/>
    <cellStyle name="Comma [0] 3" xfId="14" xr:uid="{00000000-0005-0000-0000-000003000000}"/>
    <cellStyle name="Currency" xfId="11" builtinId="4"/>
    <cellStyle name="Currency 2" xfId="8" xr:uid="{00000000-0005-0000-0000-000005000000}"/>
    <cellStyle name="Normal" xfId="0" builtinId="0"/>
    <cellStyle name="Normal 2" xfId="2" xr:uid="{00000000-0005-0000-0000-000007000000}"/>
    <cellStyle name="Normal 2 2" xfId="7" xr:uid="{00000000-0005-0000-0000-000008000000}"/>
    <cellStyle name="Normal 2 2 2" xfId="13" xr:uid="{00000000-0005-0000-0000-000009000000}"/>
    <cellStyle name="Normal 2 3 3" xfId="3" xr:uid="{00000000-0005-0000-0000-00000A000000}"/>
    <cellStyle name="Normal 2 4" xfId="5" xr:uid="{00000000-0005-0000-0000-00000B000000}"/>
    <cellStyle name="Normal 2 6" xfId="4" xr:uid="{00000000-0005-0000-0000-00000C000000}"/>
    <cellStyle name="Normal 3" xfId="6" xr:uid="{00000000-0005-0000-0000-00000D000000}"/>
    <cellStyle name="Normal 3 2" xfId="9" xr:uid="{00000000-0005-0000-0000-00000E000000}"/>
    <cellStyle name="Normal 3 2 2" xfId="12" xr:uid="{00000000-0005-0000-0000-00000F000000}"/>
    <cellStyle name="Normal 3 2 3" xfId="15" xr:uid="{00000000-0005-0000-0000-000010000000}"/>
    <cellStyle name="Normal 3 2 3 2" xfId="19" xr:uid="{00000000-0005-0000-0000-000011000000}"/>
    <cellStyle name="Normal 4" xfId="18" xr:uid="{00000000-0005-0000-0000-000012000000}"/>
    <cellStyle name="Normal 5" xfId="17" xr:uid="{00000000-0005-0000-0000-000013000000}"/>
  </cellStyles>
  <dxfs count="8">
    <dxf>
      <font>
        <color rgb="FF9C0006"/>
      </font>
      <fill>
        <patternFill>
          <bgColor rgb="FFFFC7CE"/>
        </patternFill>
      </fill>
    </dxf>
    <dxf>
      <font>
        <b val="0"/>
        <i/>
      </font>
      <fill>
        <patternFill>
          <bgColor rgb="FF00B0F0"/>
        </patternFill>
      </fill>
      <border>
        <left style="thin">
          <color rgb="FFFF0000"/>
        </left>
        <right style="thin">
          <color rgb="FFFF0000"/>
        </right>
        <top style="thin">
          <color rgb="FFFF0000"/>
        </top>
        <bottom style="thin">
          <color rgb="FFFF0000"/>
        </bottom>
        <vertical/>
        <horizontal/>
      </border>
    </dxf>
    <dxf>
      <font>
        <b/>
        <i val="0"/>
      </font>
      <fill>
        <patternFill>
          <bgColor theme="9" tint="0.39994506668294322"/>
        </patternFill>
      </fill>
      <border>
        <left style="thin">
          <color rgb="FFFF0000"/>
        </left>
        <right style="thin">
          <color rgb="FFFF0000"/>
        </right>
        <top style="thin">
          <color rgb="FFFF0000"/>
        </top>
        <bottom style="thin">
          <color rgb="FFFF0000"/>
        </bottom>
        <vertical/>
        <horizontal/>
      </border>
    </dxf>
    <dxf>
      <border>
        <left style="thin">
          <color auto="1"/>
        </left>
        <right style="thin">
          <color auto="1"/>
        </right>
        <top style="thin">
          <color auto="1"/>
        </top>
        <bottom style="thin">
          <color auto="1"/>
        </bottom>
        <vertical/>
        <horizontal/>
      </border>
    </dxf>
    <dxf>
      <font>
        <b val="0"/>
        <i/>
      </font>
      <fill>
        <patternFill>
          <bgColor rgb="FF00B0F0"/>
        </patternFill>
      </fill>
      <border>
        <left style="thin">
          <color rgb="FFFF0000"/>
        </left>
        <right style="thin">
          <color rgb="FFFF0000"/>
        </right>
        <top style="thin">
          <color rgb="FFFF0000"/>
        </top>
        <bottom style="thin">
          <color rgb="FFFF0000"/>
        </bottom>
        <vertical/>
        <horizontal/>
      </border>
    </dxf>
    <dxf>
      <font>
        <b/>
        <i val="0"/>
      </font>
      <fill>
        <patternFill>
          <bgColor theme="9" tint="0.39994506668294322"/>
        </patternFill>
      </fill>
      <border>
        <left style="thin">
          <color rgb="FFFF0000"/>
        </left>
        <right style="thin">
          <color rgb="FFFF0000"/>
        </right>
        <top style="thin">
          <color rgb="FFFF0000"/>
        </top>
        <bottom style="thin">
          <color rgb="FFFF0000"/>
        </bottom>
        <vertical/>
        <horizontal/>
      </border>
    </dxf>
    <dxf>
      <font>
        <b val="0"/>
        <i/>
      </font>
      <fill>
        <patternFill>
          <bgColor rgb="FF00B0F0"/>
        </patternFill>
      </fill>
      <border>
        <left style="thin">
          <color rgb="FFFF0000"/>
        </left>
        <right style="thin">
          <color rgb="FFFF0000"/>
        </right>
        <top style="thin">
          <color rgb="FFFF0000"/>
        </top>
        <bottom style="thin">
          <color rgb="FFFF0000"/>
        </bottom>
        <vertical/>
        <horizontal/>
      </border>
    </dxf>
    <dxf>
      <font>
        <b/>
        <i val="0"/>
      </font>
      <fill>
        <patternFill>
          <bgColor theme="9" tint="0.39994506668294322"/>
        </patternFill>
      </fill>
      <border>
        <left style="thin">
          <color rgb="FFFF0000"/>
        </left>
        <right style="thin">
          <color rgb="FFFF0000"/>
        </right>
        <top style="thin">
          <color rgb="FFFF0000"/>
        </top>
        <bottom style="thin">
          <color rgb="FFFF000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Surat Pesanan'!Print_Area"/><Relationship Id="rId7" Type="http://schemas.openxmlformats.org/officeDocument/2006/relationships/image" Target="../media/image1.png"/><Relationship Id="rId2" Type="http://schemas.openxmlformats.org/officeDocument/2006/relationships/hyperlink" Target="#'Hasil Pemeriksaan'!Print_Area"/><Relationship Id="rId1" Type="http://schemas.openxmlformats.org/officeDocument/2006/relationships/hyperlink" Target="#BAST!Print_Area"/><Relationship Id="rId6" Type="http://schemas.openxmlformats.org/officeDocument/2006/relationships/hyperlink" Target="#'Dok. Hsil Pembanding'!Print_Area"/><Relationship Id="rId5" Type="http://schemas.openxmlformats.org/officeDocument/2006/relationships/hyperlink" Target="#'Rincian Pekerjaan'!Print_Area"/><Relationship Id="rId10" Type="http://schemas.openxmlformats.org/officeDocument/2006/relationships/image" Target="../media/image4.png"/><Relationship Id="rId4" Type="http://schemas.openxmlformats.org/officeDocument/2006/relationships/hyperlink" Target="#'Dok Perencanaan'!Print_Area"/><Relationship Id="rId9" Type="http://schemas.openxmlformats.org/officeDocument/2006/relationships/image" Target="../media/image3.png"/></Relationships>
</file>

<file path=xl/drawings/_rels/drawing2.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254001</xdr:colOff>
      <xdr:row>10</xdr:row>
      <xdr:rowOff>120980</xdr:rowOff>
    </xdr:from>
    <xdr:to>
      <xdr:col>1</xdr:col>
      <xdr:colOff>557824</xdr:colOff>
      <xdr:row>15</xdr:row>
      <xdr:rowOff>107303</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C53AF3BF-0F30-78DA-3780-7A631D60DBF5}"/>
            </a:ext>
          </a:extLst>
        </xdr:cNvPr>
        <xdr:cNvSpPr/>
      </xdr:nvSpPr>
      <xdr:spPr>
        <a:xfrm>
          <a:off x="254001" y="1988627"/>
          <a:ext cx="916411" cy="920147"/>
        </a:xfrm>
        <a:prstGeom prst="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BAST</a:t>
          </a:r>
        </a:p>
      </xdr:txBody>
    </xdr:sp>
    <xdr:clientData/>
  </xdr:twoCellAnchor>
  <xdr:twoCellAnchor>
    <xdr:from>
      <xdr:col>2</xdr:col>
      <xdr:colOff>162170</xdr:colOff>
      <xdr:row>10</xdr:row>
      <xdr:rowOff>117073</xdr:rowOff>
    </xdr:from>
    <xdr:to>
      <xdr:col>3</xdr:col>
      <xdr:colOff>465993</xdr:colOff>
      <xdr:row>15</xdr:row>
      <xdr:rowOff>103396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9C4D48F7-BCBF-436E-895C-DE87422BE79B}"/>
            </a:ext>
          </a:extLst>
        </xdr:cNvPr>
        <xdr:cNvSpPr/>
      </xdr:nvSpPr>
      <xdr:spPr>
        <a:xfrm>
          <a:off x="1387346" y="1984720"/>
          <a:ext cx="916412" cy="920147"/>
        </a:xfrm>
        <a:prstGeom prst="rect">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PERIKSA</a:t>
          </a:r>
        </a:p>
      </xdr:txBody>
    </xdr:sp>
    <xdr:clientData/>
  </xdr:twoCellAnchor>
  <xdr:twoCellAnchor>
    <xdr:from>
      <xdr:col>4</xdr:col>
      <xdr:colOff>55687</xdr:colOff>
      <xdr:row>10</xdr:row>
      <xdr:rowOff>118051</xdr:rowOff>
    </xdr:from>
    <xdr:to>
      <xdr:col>5</xdr:col>
      <xdr:colOff>359510</xdr:colOff>
      <xdr:row>15</xdr:row>
      <xdr:rowOff>104374</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86714BE1-8F1F-406E-8869-61186A0C114A}"/>
            </a:ext>
          </a:extLst>
        </xdr:cNvPr>
        <xdr:cNvSpPr/>
      </xdr:nvSpPr>
      <xdr:spPr>
        <a:xfrm>
          <a:off x="2506040" y="1985698"/>
          <a:ext cx="916411" cy="920147"/>
        </a:xfrm>
        <a:prstGeom prst="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PESANAN</a:t>
          </a:r>
        </a:p>
      </xdr:txBody>
    </xdr:sp>
    <xdr:clientData/>
  </xdr:twoCellAnchor>
  <xdr:twoCellAnchor>
    <xdr:from>
      <xdr:col>6</xdr:col>
      <xdr:colOff>27358</xdr:colOff>
      <xdr:row>10</xdr:row>
      <xdr:rowOff>104374</xdr:rowOff>
    </xdr:from>
    <xdr:to>
      <xdr:col>7</xdr:col>
      <xdr:colOff>331182</xdr:colOff>
      <xdr:row>15</xdr:row>
      <xdr:rowOff>90697</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F035208B-0261-4C39-B1D3-BA82DB7ED4F5}"/>
            </a:ext>
          </a:extLst>
        </xdr:cNvPr>
        <xdr:cNvSpPr/>
      </xdr:nvSpPr>
      <xdr:spPr>
        <a:xfrm>
          <a:off x="3702887" y="1972021"/>
          <a:ext cx="916413" cy="920147"/>
        </a:xfrm>
        <a:prstGeom prst="rect">
          <a:avLst/>
        </a:prstGeom>
        <a:solidFill>
          <a:schemeClr val="accent4">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RENCANA</a:t>
          </a:r>
        </a:p>
      </xdr:txBody>
    </xdr:sp>
    <xdr:clientData/>
  </xdr:twoCellAnchor>
  <xdr:twoCellAnchor>
    <xdr:from>
      <xdr:col>3</xdr:col>
      <xdr:colOff>13677</xdr:colOff>
      <xdr:row>16</xdr:row>
      <xdr:rowOff>144427</xdr:rowOff>
    </xdr:from>
    <xdr:to>
      <xdr:col>4</xdr:col>
      <xdr:colOff>317500</xdr:colOff>
      <xdr:row>21</xdr:row>
      <xdr:rowOff>130750</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E00AA346-8D88-4486-BB4C-82EEFB27904F}"/>
            </a:ext>
          </a:extLst>
        </xdr:cNvPr>
        <xdr:cNvSpPr/>
      </xdr:nvSpPr>
      <xdr:spPr>
        <a:xfrm>
          <a:off x="1851442" y="3132662"/>
          <a:ext cx="916411" cy="920147"/>
        </a:xfrm>
        <a:prstGeom prst="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RINCIAN</a:t>
          </a:r>
        </a:p>
      </xdr:txBody>
    </xdr:sp>
    <xdr:clientData/>
  </xdr:twoCellAnchor>
  <xdr:twoCellAnchor>
    <xdr:from>
      <xdr:col>4</xdr:col>
      <xdr:colOff>600807</xdr:colOff>
      <xdr:row>16</xdr:row>
      <xdr:rowOff>155174</xdr:rowOff>
    </xdr:from>
    <xdr:to>
      <xdr:col>6</xdr:col>
      <xdr:colOff>294053</xdr:colOff>
      <xdr:row>21</xdr:row>
      <xdr:rowOff>141497</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6BE37574-E9F3-4C0F-8F45-2E6EB545D56F}"/>
            </a:ext>
          </a:extLst>
        </xdr:cNvPr>
        <xdr:cNvSpPr/>
      </xdr:nvSpPr>
      <xdr:spPr>
        <a:xfrm>
          <a:off x="3051160" y="3143409"/>
          <a:ext cx="918422" cy="920147"/>
        </a:xfrm>
        <a:prstGeom prst="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NEGOSIASI</a:t>
          </a:r>
        </a:p>
      </xdr:txBody>
    </xdr:sp>
    <xdr:clientData/>
  </xdr:twoCellAnchor>
  <xdr:twoCellAnchor>
    <xdr:from>
      <xdr:col>8</xdr:col>
      <xdr:colOff>10753</xdr:colOff>
      <xdr:row>10</xdr:row>
      <xdr:rowOff>102420</xdr:rowOff>
    </xdr:from>
    <xdr:to>
      <xdr:col>9</xdr:col>
      <xdr:colOff>314576</xdr:colOff>
      <xdr:row>15</xdr:row>
      <xdr:rowOff>88743</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AEB67311-EDAA-44E8-9D17-364BB3830A79}"/>
            </a:ext>
          </a:extLst>
        </xdr:cNvPr>
        <xdr:cNvSpPr/>
      </xdr:nvSpPr>
      <xdr:spPr>
        <a:xfrm>
          <a:off x="4911459" y="1970067"/>
          <a:ext cx="916411" cy="920147"/>
        </a:xfrm>
        <a:prstGeom prst="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BANDING</a:t>
          </a:r>
        </a:p>
      </xdr:txBody>
    </xdr:sp>
    <xdr:clientData/>
  </xdr:twoCellAnchor>
  <xdr:twoCellAnchor editAs="oneCell">
    <xdr:from>
      <xdr:col>16</xdr:col>
      <xdr:colOff>605118</xdr:colOff>
      <xdr:row>0</xdr:row>
      <xdr:rowOff>0</xdr:rowOff>
    </xdr:from>
    <xdr:to>
      <xdr:col>17</xdr:col>
      <xdr:colOff>664883</xdr:colOff>
      <xdr:row>4</xdr:row>
      <xdr:rowOff>31136</xdr:rowOff>
    </xdr:to>
    <xdr:pic>
      <xdr:nvPicPr>
        <xdr:cNvPr id="12" name="Picture 11">
          <a:extLst>
            <a:ext uri="{FF2B5EF4-FFF2-40B4-BE49-F238E27FC236}">
              <a16:creationId xmlns:a16="http://schemas.microsoft.com/office/drawing/2014/main" id="{20328939-A769-F55A-AEDF-121E1B7BA8A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288059" y="0"/>
          <a:ext cx="821765" cy="860371"/>
        </a:xfrm>
        <a:prstGeom prst="rect">
          <a:avLst/>
        </a:prstGeom>
      </xdr:spPr>
    </xdr:pic>
    <xdr:clientData/>
  </xdr:twoCellAnchor>
  <xdr:twoCellAnchor editAs="oneCell">
    <xdr:from>
      <xdr:col>10</xdr:col>
      <xdr:colOff>43191</xdr:colOff>
      <xdr:row>0</xdr:row>
      <xdr:rowOff>7472</xdr:rowOff>
    </xdr:from>
    <xdr:to>
      <xdr:col>10</xdr:col>
      <xdr:colOff>732118</xdr:colOff>
      <xdr:row>3</xdr:row>
      <xdr:rowOff>220602</xdr:rowOff>
    </xdr:to>
    <xdr:pic>
      <xdr:nvPicPr>
        <xdr:cNvPr id="14" name="Picture 13">
          <a:extLst>
            <a:ext uri="{FF2B5EF4-FFF2-40B4-BE49-F238E27FC236}">
              <a16:creationId xmlns:a16="http://schemas.microsoft.com/office/drawing/2014/main" id="{024D1720-AEC2-1516-BC51-1C692E821CD8}"/>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169073" y="7472"/>
          <a:ext cx="688927" cy="818248"/>
        </a:xfrm>
        <a:prstGeom prst="rect">
          <a:avLst/>
        </a:prstGeom>
      </xdr:spPr>
    </xdr:pic>
    <xdr:clientData/>
  </xdr:twoCellAnchor>
  <xdr:twoCellAnchor editAs="oneCell">
    <xdr:from>
      <xdr:col>0</xdr:col>
      <xdr:colOff>29885</xdr:colOff>
      <xdr:row>0</xdr:row>
      <xdr:rowOff>0</xdr:rowOff>
    </xdr:from>
    <xdr:to>
      <xdr:col>1</xdr:col>
      <xdr:colOff>239059</xdr:colOff>
      <xdr:row>3</xdr:row>
      <xdr:rowOff>216644</xdr:rowOff>
    </xdr:to>
    <xdr:pic>
      <xdr:nvPicPr>
        <xdr:cNvPr id="16" name="Picture 15">
          <a:extLst>
            <a:ext uri="{FF2B5EF4-FFF2-40B4-BE49-F238E27FC236}">
              <a16:creationId xmlns:a16="http://schemas.microsoft.com/office/drawing/2014/main" id="{19BC249C-FEEE-7371-4138-5EBA62B5FC6F}"/>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9885" y="0"/>
          <a:ext cx="821762" cy="821762"/>
        </a:xfrm>
        <a:prstGeom prst="rect">
          <a:avLst/>
        </a:prstGeom>
      </xdr:spPr>
    </xdr:pic>
    <xdr:clientData/>
  </xdr:twoCellAnchor>
  <xdr:twoCellAnchor editAs="oneCell">
    <xdr:from>
      <xdr:col>8</xdr:col>
      <xdr:colOff>294341</xdr:colOff>
      <xdr:row>0</xdr:row>
      <xdr:rowOff>0</xdr:rowOff>
    </xdr:from>
    <xdr:to>
      <xdr:col>9</xdr:col>
      <xdr:colOff>557636</xdr:colOff>
      <xdr:row>4</xdr:row>
      <xdr:rowOff>87796</xdr:rowOff>
    </xdr:to>
    <xdr:pic>
      <xdr:nvPicPr>
        <xdr:cNvPr id="19" name="Picture 18">
          <a:extLst>
            <a:ext uri="{FF2B5EF4-FFF2-40B4-BE49-F238E27FC236}">
              <a16:creationId xmlns:a16="http://schemas.microsoft.com/office/drawing/2014/main" id="{ADABC66D-DEAF-42BC-9E99-D836DB1D2669}"/>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195047" y="0"/>
          <a:ext cx="875883" cy="917031"/>
        </a:xfrm>
        <a:prstGeom prst="rect">
          <a:avLst/>
        </a:prstGeom>
      </xdr:spPr>
    </xdr:pic>
    <xdr:clientData/>
  </xdr:twoCellAnchor>
  <xdr:twoCellAnchor>
    <xdr:from>
      <xdr:col>18</xdr:col>
      <xdr:colOff>209176</xdr:colOff>
      <xdr:row>0</xdr:row>
      <xdr:rowOff>74706</xdr:rowOff>
    </xdr:from>
    <xdr:to>
      <xdr:col>19</xdr:col>
      <xdr:colOff>68062</xdr:colOff>
      <xdr:row>1</xdr:row>
      <xdr:rowOff>128950</xdr:rowOff>
    </xdr:to>
    <xdr:sp macro="[0]!PREVEW" textlink="">
      <xdr:nvSpPr>
        <xdr:cNvPr id="20" name="Rectangle 19">
          <a:extLst>
            <a:ext uri="{FF2B5EF4-FFF2-40B4-BE49-F238E27FC236}">
              <a16:creationId xmlns:a16="http://schemas.microsoft.com/office/drawing/2014/main" id="{88DC844D-4089-4830-8CFA-EFA7DFAAF1F6}"/>
            </a:ext>
          </a:extLst>
        </xdr:cNvPr>
        <xdr:cNvSpPr/>
      </xdr:nvSpPr>
      <xdr:spPr>
        <a:xfrm>
          <a:off x="12348882" y="74706"/>
          <a:ext cx="710533" cy="248479"/>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900"/>
            <a:t>PREVIEW</a:t>
          </a:r>
          <a:endParaRPr lang="en-ID" sz="1100"/>
        </a:p>
      </xdr:txBody>
    </xdr:sp>
    <xdr:clientData/>
  </xdr:twoCellAnchor>
  <xdr:twoCellAnchor>
    <xdr:from>
      <xdr:col>18</xdr:col>
      <xdr:colOff>212489</xdr:colOff>
      <xdr:row>2</xdr:row>
      <xdr:rowOff>37418</xdr:rowOff>
    </xdr:from>
    <xdr:to>
      <xdr:col>19</xdr:col>
      <xdr:colOff>71375</xdr:colOff>
      <xdr:row>3</xdr:row>
      <xdr:rowOff>45345</xdr:rowOff>
    </xdr:to>
    <xdr:sp macro="[0]!PrintOut" textlink="">
      <xdr:nvSpPr>
        <xdr:cNvPr id="21" name="Rectangle 20">
          <a:extLst>
            <a:ext uri="{FF2B5EF4-FFF2-40B4-BE49-F238E27FC236}">
              <a16:creationId xmlns:a16="http://schemas.microsoft.com/office/drawing/2014/main" id="{C44ECBCE-67D0-4DB5-B259-86D85DA7315D}"/>
            </a:ext>
          </a:extLst>
        </xdr:cNvPr>
        <xdr:cNvSpPr/>
      </xdr:nvSpPr>
      <xdr:spPr>
        <a:xfrm>
          <a:off x="12352195" y="425889"/>
          <a:ext cx="710533" cy="224574"/>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PRINT</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12</xdr:col>
      <xdr:colOff>201704</xdr:colOff>
      <xdr:row>1</xdr:row>
      <xdr:rowOff>224118</xdr:rowOff>
    </xdr:from>
    <xdr:ext cx="1542388" cy="448563"/>
    <xdr:sp macro="[0]!Module1.SavePDF" textlink="">
      <xdr:nvSpPr>
        <xdr:cNvPr id="2" name="Rectangle: Rounded Corners 1">
          <a:extLst>
            <a:ext uri="{FF2B5EF4-FFF2-40B4-BE49-F238E27FC236}">
              <a16:creationId xmlns:a16="http://schemas.microsoft.com/office/drawing/2014/main" id="{06155FA8-A7CD-4BB2-95E8-B352E8026C62}"/>
            </a:ext>
          </a:extLst>
        </xdr:cNvPr>
        <xdr:cNvSpPr>
          <a:spLocks noChangeAspect="1"/>
        </xdr:cNvSpPr>
      </xdr:nvSpPr>
      <xdr:spPr>
        <a:xfrm>
          <a:off x="7358528" y="485589"/>
          <a:ext cx="1542388" cy="448563"/>
        </a:xfrm>
        <a:prstGeom prst="roundRect">
          <a:avLst/>
        </a:prstGeom>
        <a:solidFill>
          <a:srgbClr val="92D050"/>
        </a:solidFill>
        <a:scene3d>
          <a:camera prst="orthographicFront"/>
          <a:lightRig rig="threePt" dir="t"/>
        </a:scene3d>
        <a:sp3d>
          <a:bevelT prst="slope"/>
          <a:bevelB w="114300" prst="hardEdg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pAutoFit/>
          <a:sp3d>
            <a:bevelB w="38100" h="38100" prst="relaxedInset"/>
          </a:sp3d>
        </a:bodyPr>
        <a:lstStyle/>
        <a:p>
          <a:pPr algn="ctr"/>
          <a:r>
            <a:rPr lang="en-ID" sz="2000" b="1" i="1">
              <a:solidFill>
                <a:schemeClr val="tx1"/>
              </a:solidFill>
            </a:rPr>
            <a:t>SavePDF</a:t>
          </a:r>
        </a:p>
      </xdr:txBody>
    </xdr:sp>
    <xdr:clientData/>
  </xdr:oneCellAnchor>
  <xdr:twoCellAnchor>
    <xdr:from>
      <xdr:col>0</xdr:col>
      <xdr:colOff>0</xdr:colOff>
      <xdr:row>0</xdr:row>
      <xdr:rowOff>0</xdr:rowOff>
    </xdr:from>
    <xdr:to>
      <xdr:col>11</xdr:col>
      <xdr:colOff>24542</xdr:colOff>
      <xdr:row>4</xdr:row>
      <xdr:rowOff>63842</xdr:rowOff>
    </xdr:to>
    <xdr:grpSp>
      <xdr:nvGrpSpPr>
        <xdr:cNvPr id="3" name="Group 2">
          <a:extLst>
            <a:ext uri="{FF2B5EF4-FFF2-40B4-BE49-F238E27FC236}">
              <a16:creationId xmlns:a16="http://schemas.microsoft.com/office/drawing/2014/main" id="{A8F87E65-7948-2293-702F-8213D339C465}"/>
            </a:ext>
          </a:extLst>
        </xdr:cNvPr>
        <xdr:cNvGrpSpPr/>
      </xdr:nvGrpSpPr>
      <xdr:grpSpPr>
        <a:xfrm>
          <a:off x="0" y="0"/>
          <a:ext cx="6673366" cy="1087313"/>
          <a:chOff x="0" y="0"/>
          <a:chExt cx="6673366" cy="1087313"/>
        </a:xfrm>
      </xdr:grpSpPr>
      <xdr:pic>
        <xdr:nvPicPr>
          <xdr:cNvPr id="5" name="Picture 4">
            <a:extLst>
              <a:ext uri="{FF2B5EF4-FFF2-40B4-BE49-F238E27FC236}">
                <a16:creationId xmlns:a16="http://schemas.microsoft.com/office/drawing/2014/main" id="{CA6497F3-004B-4E01-8614-076E68E95F6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13406" y="0"/>
            <a:ext cx="1059960" cy="1081121"/>
          </a:xfrm>
          <a:prstGeom prst="rect">
            <a:avLst/>
          </a:prstGeom>
        </xdr:spPr>
      </xdr:pic>
      <xdr:pic>
        <xdr:nvPicPr>
          <xdr:cNvPr id="6" name="Picture 5">
            <a:extLst>
              <a:ext uri="{FF2B5EF4-FFF2-40B4-BE49-F238E27FC236}">
                <a16:creationId xmlns:a16="http://schemas.microsoft.com/office/drawing/2014/main" id="{7939570C-F92E-4A18-9235-71FA283F8DC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6192"/>
            <a:ext cx="862915" cy="1081121"/>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31749</xdr:colOff>
      <xdr:row>2</xdr:row>
      <xdr:rowOff>0</xdr:rowOff>
    </xdr:from>
    <xdr:to>
      <xdr:col>9</xdr:col>
      <xdr:colOff>596900</xdr:colOff>
      <xdr:row>2</xdr:row>
      <xdr:rowOff>0</xdr:rowOff>
    </xdr:to>
    <xdr:cxnSp macro="">
      <xdr:nvCxnSpPr>
        <xdr:cNvPr id="2" name="Straight Connector 1">
          <a:extLst>
            <a:ext uri="{FF2B5EF4-FFF2-40B4-BE49-F238E27FC236}">
              <a16:creationId xmlns:a16="http://schemas.microsoft.com/office/drawing/2014/main" id="{883B52D1-D7CC-43F4-9FC8-18C4B34FC9EA}"/>
            </a:ext>
          </a:extLst>
        </xdr:cNvPr>
        <xdr:cNvCxnSpPr/>
      </xdr:nvCxnSpPr>
      <xdr:spPr>
        <a:xfrm>
          <a:off x="31749" y="946150"/>
          <a:ext cx="6051551" cy="0"/>
        </a:xfrm>
        <a:prstGeom prst="line">
          <a:avLst/>
        </a:prstGeom>
        <a:effectLst>
          <a:outerShdw blurRad="50800" dist="38100" algn="l" rotWithShape="0">
            <a:prstClr val="black">
              <a:alpha val="40000"/>
            </a:prstClr>
          </a:outerShdw>
        </a:effectLst>
      </xdr:spPr>
      <xdr:style>
        <a:lnRef idx="2">
          <a:schemeClr val="dk1"/>
        </a:lnRef>
        <a:fillRef idx="0">
          <a:schemeClr val="dk1"/>
        </a:fillRef>
        <a:effectRef idx="1">
          <a:schemeClr val="dk1"/>
        </a:effectRef>
        <a:fontRef idx="minor">
          <a:schemeClr val="tx1"/>
        </a:fontRef>
      </xdr:style>
    </xdr:cxnSp>
    <xdr:clientData/>
  </xdr:twoCellAnchor>
  <xdr:twoCellAnchor>
    <xdr:from>
      <xdr:col>0</xdr:col>
      <xdr:colOff>15873</xdr:colOff>
      <xdr:row>32</xdr:row>
      <xdr:rowOff>3173</xdr:rowOff>
    </xdr:from>
    <xdr:to>
      <xdr:col>9</xdr:col>
      <xdr:colOff>596900</xdr:colOff>
      <xdr:row>32</xdr:row>
      <xdr:rowOff>21295</xdr:rowOff>
    </xdr:to>
    <xdr:cxnSp macro="">
      <xdr:nvCxnSpPr>
        <xdr:cNvPr id="3" name="Straight Connector 2">
          <a:extLst>
            <a:ext uri="{FF2B5EF4-FFF2-40B4-BE49-F238E27FC236}">
              <a16:creationId xmlns:a16="http://schemas.microsoft.com/office/drawing/2014/main" id="{0E4CFDD4-2C81-4654-BDF5-CFF7BF9A2A92}"/>
            </a:ext>
          </a:extLst>
        </xdr:cNvPr>
        <xdr:cNvCxnSpPr/>
      </xdr:nvCxnSpPr>
      <xdr:spPr>
        <a:xfrm>
          <a:off x="15873" y="5229223"/>
          <a:ext cx="6067427" cy="18122"/>
        </a:xfrm>
        <a:prstGeom prst="line">
          <a:avLst/>
        </a:prstGeom>
        <a:effectLst>
          <a:outerShdw blurRad="50800" dist="38100" algn="l" rotWithShape="0">
            <a:prstClr val="black">
              <a:alpha val="40000"/>
            </a:prstClr>
          </a:outerShdw>
        </a:effectLst>
      </xdr:spPr>
      <xdr:style>
        <a:lnRef idx="2">
          <a:schemeClr val="dk1"/>
        </a:lnRef>
        <a:fillRef idx="0">
          <a:schemeClr val="dk1"/>
        </a:fillRef>
        <a:effectRef idx="1">
          <a:schemeClr val="dk1"/>
        </a:effectRef>
        <a:fontRef idx="minor">
          <a:schemeClr val="tx1"/>
        </a:fontRef>
      </xdr:style>
    </xdr:cxnSp>
    <xdr:clientData/>
  </xdr:twoCellAnchor>
  <xdr:oneCellAnchor>
    <xdr:from>
      <xdr:col>11</xdr:col>
      <xdr:colOff>0</xdr:colOff>
      <xdr:row>1</xdr:row>
      <xdr:rowOff>120650</xdr:rowOff>
    </xdr:from>
    <xdr:ext cx="1542388" cy="448563"/>
    <xdr:sp macro="[0]!Module7.SavePDF" textlink="">
      <xdr:nvSpPr>
        <xdr:cNvPr id="4" name="Rectangle: Rounded Corners 3">
          <a:extLst>
            <a:ext uri="{FF2B5EF4-FFF2-40B4-BE49-F238E27FC236}">
              <a16:creationId xmlns:a16="http://schemas.microsoft.com/office/drawing/2014/main" id="{84E2EE55-B020-4A35-ACA9-637A239623A4}"/>
            </a:ext>
          </a:extLst>
        </xdr:cNvPr>
        <xdr:cNvSpPr>
          <a:spLocks noChangeAspect="1"/>
        </xdr:cNvSpPr>
      </xdr:nvSpPr>
      <xdr:spPr>
        <a:xfrm>
          <a:off x="6591300" y="647700"/>
          <a:ext cx="1542388" cy="448563"/>
        </a:xfrm>
        <a:prstGeom prst="roundRect">
          <a:avLst/>
        </a:prstGeom>
        <a:solidFill>
          <a:srgbClr val="92D050"/>
        </a:solidFill>
        <a:scene3d>
          <a:camera prst="orthographicFront"/>
          <a:lightRig rig="threePt" dir="t"/>
        </a:scene3d>
        <a:sp3d>
          <a:bevelT prst="slope"/>
          <a:bevelB w="114300" prst="hardEdg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pAutoFit/>
          <a:sp3d>
            <a:bevelB w="38100" h="38100" prst="relaxedInset"/>
          </a:sp3d>
        </a:bodyPr>
        <a:lstStyle/>
        <a:p>
          <a:pPr algn="ctr"/>
          <a:r>
            <a:rPr lang="en-ID" sz="2000" b="1" i="1">
              <a:solidFill>
                <a:schemeClr val="tx1"/>
              </a:solidFill>
            </a:rPr>
            <a:t>SavePDF</a:t>
          </a: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14</xdr:col>
      <xdr:colOff>560294</xdr:colOff>
      <xdr:row>0</xdr:row>
      <xdr:rowOff>52294</xdr:rowOff>
    </xdr:from>
    <xdr:ext cx="1542388" cy="448563"/>
    <xdr:sp macro="[0]!Module3.SavePDF" textlink="">
      <xdr:nvSpPr>
        <xdr:cNvPr id="2" name="Rectangle: Rounded Corners 1">
          <a:extLst>
            <a:ext uri="{FF2B5EF4-FFF2-40B4-BE49-F238E27FC236}">
              <a16:creationId xmlns:a16="http://schemas.microsoft.com/office/drawing/2014/main" id="{6C9C1951-2EF3-4961-AD40-4CD1D9673043}"/>
            </a:ext>
          </a:extLst>
        </xdr:cNvPr>
        <xdr:cNvSpPr>
          <a:spLocks noChangeAspect="1"/>
        </xdr:cNvSpPr>
      </xdr:nvSpPr>
      <xdr:spPr>
        <a:xfrm>
          <a:off x="9577294" y="52294"/>
          <a:ext cx="1542388" cy="448563"/>
        </a:xfrm>
        <a:prstGeom prst="roundRect">
          <a:avLst/>
        </a:prstGeom>
        <a:solidFill>
          <a:srgbClr val="92D050"/>
        </a:solidFill>
        <a:scene3d>
          <a:camera prst="orthographicFront"/>
          <a:lightRig rig="threePt" dir="t"/>
        </a:scene3d>
        <a:sp3d>
          <a:bevelT prst="slope"/>
          <a:bevelB w="114300" prst="hardEdg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pAutoFit/>
          <a:sp3d>
            <a:bevelB w="38100" h="38100" prst="relaxedInset"/>
          </a:sp3d>
        </a:bodyPr>
        <a:lstStyle/>
        <a:p>
          <a:pPr algn="ctr"/>
          <a:r>
            <a:rPr lang="en-ID" sz="2000" b="1" i="1">
              <a:solidFill>
                <a:schemeClr val="tx1"/>
              </a:solidFill>
            </a:rPr>
            <a:t>SavePDF</a:t>
          </a: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11</xdr:col>
      <xdr:colOff>336177</xdr:colOff>
      <xdr:row>2</xdr:row>
      <xdr:rowOff>14941</xdr:rowOff>
    </xdr:from>
    <xdr:ext cx="1542388" cy="448563"/>
    <xdr:sp macro="[0]!Module5.SavePDF" textlink="">
      <xdr:nvSpPr>
        <xdr:cNvPr id="2" name="Rectangle: Rounded Corners 1">
          <a:extLst>
            <a:ext uri="{FF2B5EF4-FFF2-40B4-BE49-F238E27FC236}">
              <a16:creationId xmlns:a16="http://schemas.microsoft.com/office/drawing/2014/main" id="{AA3E8BCE-58E4-4A49-9F33-4F4D718F11BD}"/>
            </a:ext>
          </a:extLst>
        </xdr:cNvPr>
        <xdr:cNvSpPr>
          <a:spLocks noChangeAspect="1"/>
        </xdr:cNvSpPr>
      </xdr:nvSpPr>
      <xdr:spPr>
        <a:xfrm>
          <a:off x="7821706" y="508000"/>
          <a:ext cx="1542388" cy="448563"/>
        </a:xfrm>
        <a:prstGeom prst="roundRect">
          <a:avLst/>
        </a:prstGeom>
        <a:solidFill>
          <a:srgbClr val="92D050"/>
        </a:solidFill>
        <a:scene3d>
          <a:camera prst="orthographicFront"/>
          <a:lightRig rig="threePt" dir="t"/>
        </a:scene3d>
        <a:sp3d>
          <a:bevelT prst="slope"/>
          <a:bevelB w="114300" prst="hardEdg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pAutoFit/>
          <a:sp3d>
            <a:bevelB w="38100" h="38100" prst="relaxedInset"/>
          </a:sp3d>
        </a:bodyPr>
        <a:lstStyle/>
        <a:p>
          <a:pPr algn="ctr"/>
          <a:r>
            <a:rPr lang="en-ID" sz="2000" b="1" i="1">
              <a:solidFill>
                <a:schemeClr val="tx1"/>
              </a:solidFill>
            </a:rPr>
            <a:t>SavePDF</a:t>
          </a:r>
        </a:p>
      </xdr:txBody>
    </xdr:sp>
    <xdr:clientData/>
  </xdr:oneCellAnchor>
  <xdr:twoCellAnchor>
    <xdr:from>
      <xdr:col>0</xdr:col>
      <xdr:colOff>0</xdr:colOff>
      <xdr:row>0</xdr:row>
      <xdr:rowOff>0</xdr:rowOff>
    </xdr:from>
    <xdr:to>
      <xdr:col>10</xdr:col>
      <xdr:colOff>54361</xdr:colOff>
      <xdr:row>4</xdr:row>
      <xdr:rowOff>100074</xdr:rowOff>
    </xdr:to>
    <xdr:grpSp>
      <xdr:nvGrpSpPr>
        <xdr:cNvPr id="4" name="Group 3">
          <a:extLst>
            <a:ext uri="{FF2B5EF4-FFF2-40B4-BE49-F238E27FC236}">
              <a16:creationId xmlns:a16="http://schemas.microsoft.com/office/drawing/2014/main" id="{6CDDF177-D8FC-047B-898D-CC6735DED78A}"/>
            </a:ext>
          </a:extLst>
        </xdr:cNvPr>
        <xdr:cNvGrpSpPr/>
      </xdr:nvGrpSpPr>
      <xdr:grpSpPr>
        <a:xfrm>
          <a:off x="0" y="0"/>
          <a:ext cx="6777890" cy="1086192"/>
          <a:chOff x="0" y="0"/>
          <a:chExt cx="6777890" cy="1086192"/>
        </a:xfrm>
      </xdr:grpSpPr>
      <xdr:pic>
        <xdr:nvPicPr>
          <xdr:cNvPr id="7" name="Picture 6">
            <a:extLst>
              <a:ext uri="{FF2B5EF4-FFF2-40B4-BE49-F238E27FC236}">
                <a16:creationId xmlns:a16="http://schemas.microsoft.com/office/drawing/2014/main" id="{4D654553-F699-48C2-A866-C577CFCA700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77647" y="0"/>
            <a:ext cx="1100243" cy="1080000"/>
          </a:xfrm>
          <a:prstGeom prst="rect">
            <a:avLst/>
          </a:prstGeom>
        </xdr:spPr>
      </xdr:pic>
      <xdr:pic>
        <xdr:nvPicPr>
          <xdr:cNvPr id="8" name="Picture 7">
            <a:extLst>
              <a:ext uri="{FF2B5EF4-FFF2-40B4-BE49-F238E27FC236}">
                <a16:creationId xmlns:a16="http://schemas.microsoft.com/office/drawing/2014/main" id="{9A84B596-46C6-4770-A1D1-B496A948E63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6192"/>
            <a:ext cx="869498" cy="1080000"/>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xdr:oneCellAnchor>
    <xdr:from>
      <xdr:col>10</xdr:col>
      <xdr:colOff>388471</xdr:colOff>
      <xdr:row>2</xdr:row>
      <xdr:rowOff>57876</xdr:rowOff>
    </xdr:from>
    <xdr:ext cx="1542388" cy="448563"/>
    <xdr:sp macro="[0]!Module6.SavePDF" textlink="">
      <xdr:nvSpPr>
        <xdr:cNvPr id="2" name="Rectangle: Rounded Corners 1">
          <a:extLst>
            <a:ext uri="{FF2B5EF4-FFF2-40B4-BE49-F238E27FC236}">
              <a16:creationId xmlns:a16="http://schemas.microsoft.com/office/drawing/2014/main" id="{3B1D425D-E61E-4F4B-913D-F8DCC16FF0FE}"/>
            </a:ext>
          </a:extLst>
        </xdr:cNvPr>
        <xdr:cNvSpPr>
          <a:spLocks noChangeAspect="1"/>
        </xdr:cNvSpPr>
      </xdr:nvSpPr>
      <xdr:spPr>
        <a:xfrm>
          <a:off x="8553824" y="573347"/>
          <a:ext cx="1542388" cy="448563"/>
        </a:xfrm>
        <a:prstGeom prst="roundRect">
          <a:avLst/>
        </a:prstGeom>
        <a:solidFill>
          <a:srgbClr val="92D050"/>
        </a:solidFill>
        <a:scene3d>
          <a:camera prst="orthographicFront"/>
          <a:lightRig rig="threePt" dir="t"/>
        </a:scene3d>
        <a:sp3d>
          <a:bevelT prst="slope"/>
          <a:bevelB w="114300" prst="hardEdg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pAutoFit/>
          <a:sp3d>
            <a:bevelB w="38100" h="38100" prst="relaxedInset"/>
          </a:sp3d>
        </a:bodyPr>
        <a:lstStyle/>
        <a:p>
          <a:pPr algn="ctr"/>
          <a:r>
            <a:rPr lang="en-ID" sz="2000" b="1" i="1">
              <a:solidFill>
                <a:schemeClr val="tx1"/>
              </a:solidFill>
            </a:rPr>
            <a:t>SavePDF</a:t>
          </a:r>
        </a:p>
      </xdr:txBody>
    </xdr:sp>
    <xdr:clientData/>
  </xdr:oneCellAnchor>
  <xdr:twoCellAnchor>
    <xdr:from>
      <xdr:col>7</xdr:col>
      <xdr:colOff>3004</xdr:colOff>
      <xdr:row>0</xdr:row>
      <xdr:rowOff>7465</xdr:rowOff>
    </xdr:from>
    <xdr:to>
      <xdr:col>8</xdr:col>
      <xdr:colOff>32022</xdr:colOff>
      <xdr:row>4</xdr:row>
      <xdr:rowOff>35233</xdr:rowOff>
    </xdr:to>
    <xdr:pic>
      <xdr:nvPicPr>
        <xdr:cNvPr id="6" name="Picture 5">
          <a:extLst>
            <a:ext uri="{FF2B5EF4-FFF2-40B4-BE49-F238E27FC236}">
              <a16:creationId xmlns:a16="http://schemas.microsoft.com/office/drawing/2014/main" id="{98536126-734A-0C6C-F93E-7BD52FEDD1A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81180" y="7465"/>
          <a:ext cx="1059960" cy="1081121"/>
        </a:xfrm>
        <a:prstGeom prst="rect">
          <a:avLst/>
        </a:prstGeom>
      </xdr:spPr>
    </xdr:pic>
    <xdr:clientData/>
  </xdr:twoCellAnchor>
  <xdr:twoCellAnchor>
    <xdr:from>
      <xdr:col>0</xdr:col>
      <xdr:colOff>14942</xdr:colOff>
      <xdr:row>0</xdr:row>
      <xdr:rowOff>13657</xdr:rowOff>
    </xdr:from>
    <xdr:to>
      <xdr:col>2</xdr:col>
      <xdr:colOff>212975</xdr:colOff>
      <xdr:row>4</xdr:row>
      <xdr:rowOff>41425</xdr:rowOff>
    </xdr:to>
    <xdr:pic>
      <xdr:nvPicPr>
        <xdr:cNvPr id="7" name="Picture 6">
          <a:extLst>
            <a:ext uri="{FF2B5EF4-FFF2-40B4-BE49-F238E27FC236}">
              <a16:creationId xmlns:a16="http://schemas.microsoft.com/office/drawing/2014/main" id="{E6FC7B17-EF73-3511-8BEB-B07656367E6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942" y="13657"/>
          <a:ext cx="862915" cy="108112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oneCellAnchor>
    <xdr:from>
      <xdr:col>12</xdr:col>
      <xdr:colOff>0</xdr:colOff>
      <xdr:row>6</xdr:row>
      <xdr:rowOff>0</xdr:rowOff>
    </xdr:from>
    <xdr:ext cx="1542388" cy="448563"/>
    <xdr:sp macro="[0]!Module2.SavePDF" textlink="">
      <xdr:nvSpPr>
        <xdr:cNvPr id="2" name="Rectangle: Rounded Corners 1">
          <a:extLst>
            <a:ext uri="{FF2B5EF4-FFF2-40B4-BE49-F238E27FC236}">
              <a16:creationId xmlns:a16="http://schemas.microsoft.com/office/drawing/2014/main" id="{0B960708-61BF-40B1-B1EA-24A8AC12E876}"/>
            </a:ext>
          </a:extLst>
        </xdr:cNvPr>
        <xdr:cNvSpPr>
          <a:spLocks noChangeAspect="1"/>
        </xdr:cNvSpPr>
      </xdr:nvSpPr>
      <xdr:spPr>
        <a:xfrm>
          <a:off x="11245273" y="1362364"/>
          <a:ext cx="1542388" cy="448563"/>
        </a:xfrm>
        <a:prstGeom prst="roundRect">
          <a:avLst/>
        </a:prstGeom>
        <a:solidFill>
          <a:srgbClr val="92D050"/>
        </a:solidFill>
        <a:scene3d>
          <a:camera prst="orthographicFront"/>
          <a:lightRig rig="threePt" dir="t"/>
        </a:scene3d>
        <a:sp3d>
          <a:bevelT prst="slope"/>
          <a:bevelB w="114300" prst="hardEdg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pAutoFit/>
          <a:sp3d>
            <a:bevelB w="38100" h="38100" prst="relaxedInset"/>
          </a:sp3d>
        </a:bodyPr>
        <a:lstStyle/>
        <a:p>
          <a:pPr algn="ctr"/>
          <a:r>
            <a:rPr lang="en-ID" sz="2000" b="1" i="1">
              <a:solidFill>
                <a:schemeClr val="tx1"/>
              </a:solidFill>
            </a:rPr>
            <a:t>SavePDF</a:t>
          </a:r>
        </a:p>
      </xdr:txBody>
    </xdr:sp>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SPJ%20TAHAP%20II\Kinerja\BPU331%20Kinerja.xlsx" TargetMode="External"/><Relationship Id="rId1" Type="http://schemas.openxmlformats.org/officeDocument/2006/relationships/externalLinkPath" Target="file:///D:\SPJ%20TAHAP%20II\Kinerja\BPU331%20Kinerj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etak Pesanan"/>
      <sheetName val="Cetak Toko"/>
      <sheetName val="Pindah Bulan Kesini"/>
      <sheetName val="Sheet1"/>
      <sheetName val="Sheet2"/>
      <sheetName val="Agustus"/>
      <sheetName val="September"/>
      <sheetName val="Oktober"/>
      <sheetName val="November"/>
      <sheetName val="Desember"/>
    </sheetNames>
    <sheetDataSet>
      <sheetData sheetId="0" refreshError="1">
        <row r="4">
          <cell r="A4" t="str">
            <v>NIS : 300010        NPSN : 10258246              Terakreditasi   A              NSS : 301071701001</v>
          </cell>
        </row>
        <row r="11">
          <cell r="C11" t="str">
            <v>Pesanan Barang</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5"/>
  </sheetPr>
  <dimension ref="A1:R9"/>
  <sheetViews>
    <sheetView showGridLines="0" view="pageBreakPreview" zoomScale="85" zoomScaleNormal="100" zoomScaleSheetLayoutView="85" workbookViewId="0">
      <selection activeCell="R54" sqref="R54"/>
    </sheetView>
  </sheetViews>
  <sheetFormatPr defaultRowHeight="14.5"/>
  <cols>
    <col min="1" max="2" width="8.7265625" style="35"/>
    <col min="3" max="4" width="8.7265625" style="34"/>
    <col min="5" max="6" width="8.7265625" style="31"/>
    <col min="7" max="8" width="8.7265625" style="33"/>
    <col min="9" max="10" width="8.7265625" style="36"/>
    <col min="11" max="11" width="10.7265625" customWidth="1"/>
    <col min="12" max="17" width="10.81640625" customWidth="1"/>
    <col min="18" max="18" width="9.81640625" customWidth="1"/>
    <col min="19" max="19" width="12.1796875" customWidth="1"/>
  </cols>
  <sheetData>
    <row r="1" spans="1:18" ht="15.65" customHeight="1">
      <c r="K1" s="922" t="s">
        <v>186</v>
      </c>
      <c r="L1" s="922"/>
      <c r="M1" s="922"/>
      <c r="N1" s="922"/>
      <c r="O1" s="922"/>
      <c r="P1" s="922"/>
      <c r="Q1" s="922"/>
      <c r="R1" s="922"/>
    </row>
    <row r="2" spans="1:18" s="32" customFormat="1" ht="15.65" customHeight="1">
      <c r="A2" s="927" t="s">
        <v>57</v>
      </c>
      <c r="B2" s="927"/>
      <c r="C2" s="927"/>
      <c r="D2" s="927"/>
      <c r="E2" s="927"/>
      <c r="F2" s="927"/>
      <c r="G2" s="927"/>
      <c r="H2" s="927"/>
      <c r="I2" s="927"/>
      <c r="J2" s="927"/>
      <c r="K2" s="923" t="s">
        <v>187</v>
      </c>
      <c r="L2" s="923"/>
      <c r="M2" s="923"/>
      <c r="N2" s="923"/>
      <c r="O2" s="923"/>
      <c r="P2" s="923"/>
      <c r="Q2" s="923"/>
      <c r="R2" s="923"/>
    </row>
    <row r="3" spans="1:18" ht="17.149999999999999" customHeight="1">
      <c r="A3" s="928" t="s">
        <v>181</v>
      </c>
      <c r="B3" s="928"/>
      <c r="C3" s="928"/>
      <c r="D3" s="928"/>
      <c r="E3" s="928"/>
      <c r="F3" s="928"/>
      <c r="G3" s="928"/>
      <c r="H3" s="928"/>
      <c r="I3" s="928"/>
      <c r="J3" s="928"/>
      <c r="K3" s="922" t="s">
        <v>57</v>
      </c>
      <c r="L3" s="922"/>
      <c r="M3" s="922"/>
      <c r="N3" s="922"/>
      <c r="O3" s="922"/>
      <c r="P3" s="922"/>
      <c r="Q3" s="922"/>
      <c r="R3" s="922"/>
    </row>
    <row r="4" spans="1:18" s="32" customFormat="1" ht="17.5" customHeight="1">
      <c r="A4" s="929" t="s">
        <v>184</v>
      </c>
      <c r="B4" s="929"/>
      <c r="C4" s="929"/>
      <c r="D4" s="929"/>
      <c r="E4" s="929"/>
      <c r="F4" s="929"/>
      <c r="G4" s="929"/>
      <c r="H4" s="929"/>
      <c r="I4" s="929"/>
      <c r="J4" s="929"/>
      <c r="K4" s="924" t="s">
        <v>188</v>
      </c>
      <c r="L4" s="924"/>
      <c r="M4" s="924"/>
      <c r="N4" s="924"/>
      <c r="O4" s="924"/>
      <c r="P4" s="924"/>
      <c r="Q4" s="924"/>
      <c r="R4" s="924"/>
    </row>
    <row r="5" spans="1:18" ht="14.5" customHeight="1">
      <c r="A5" s="928" t="s">
        <v>182</v>
      </c>
      <c r="B5" s="928"/>
      <c r="C5" s="928"/>
      <c r="D5" s="928"/>
      <c r="E5" s="928"/>
      <c r="F5" s="928"/>
      <c r="G5" s="928"/>
      <c r="H5" s="928"/>
      <c r="I5" s="928"/>
      <c r="J5" s="928"/>
      <c r="K5" s="925" t="s">
        <v>189</v>
      </c>
      <c r="L5" s="925"/>
      <c r="M5" s="925"/>
      <c r="N5" s="925"/>
      <c r="O5" s="925"/>
      <c r="P5" s="925"/>
      <c r="Q5" s="925"/>
      <c r="R5" s="925"/>
    </row>
    <row r="6" spans="1:18" s="32" customFormat="1" ht="13" customHeight="1" thickBot="1">
      <c r="A6" s="929" t="s">
        <v>183</v>
      </c>
      <c r="B6" s="929"/>
      <c r="C6" s="929"/>
      <c r="D6" s="929"/>
      <c r="E6" s="929"/>
      <c r="F6" s="929"/>
      <c r="G6" s="929"/>
      <c r="H6" s="929"/>
      <c r="I6" s="929"/>
      <c r="J6" s="929"/>
      <c r="K6" s="926" t="s">
        <v>190</v>
      </c>
      <c r="L6" s="926"/>
      <c r="M6" s="926"/>
      <c r="N6" s="926"/>
      <c r="O6" s="926"/>
      <c r="P6" s="926"/>
      <c r="Q6" s="926"/>
      <c r="R6" s="926"/>
    </row>
    <row r="7" spans="1:18" ht="17.5" customHeight="1" thickTop="1">
      <c r="A7" s="928">
        <v>2024</v>
      </c>
      <c r="B7" s="928"/>
      <c r="C7" s="928"/>
      <c r="D7" s="928"/>
      <c r="E7" s="928"/>
      <c r="F7" s="928"/>
      <c r="G7" s="928"/>
      <c r="H7" s="928"/>
      <c r="I7" s="928"/>
      <c r="J7" s="928"/>
    </row>
    <row r="8" spans="1:18">
      <c r="E8" s="35"/>
      <c r="F8" s="35"/>
      <c r="I8" s="35"/>
      <c r="J8" s="35"/>
    </row>
    <row r="9" spans="1:18" ht="18.5">
      <c r="A9" s="921" t="s">
        <v>185</v>
      </c>
      <c r="B9" s="921"/>
      <c r="C9" s="921"/>
      <c r="D9" s="921"/>
      <c r="E9" s="921"/>
      <c r="F9" s="921"/>
      <c r="G9" s="921"/>
      <c r="H9" s="921"/>
      <c r="I9" s="921"/>
      <c r="J9" s="921"/>
    </row>
  </sheetData>
  <mergeCells count="13">
    <mergeCell ref="A9:J9"/>
    <mergeCell ref="K1:R1"/>
    <mergeCell ref="K2:R2"/>
    <mergeCell ref="K3:R3"/>
    <mergeCell ref="K4:R4"/>
    <mergeCell ref="K5:R5"/>
    <mergeCell ref="K6:R6"/>
    <mergeCell ref="A2:J2"/>
    <mergeCell ref="A7:J7"/>
    <mergeCell ref="A6:J6"/>
    <mergeCell ref="A5:J5"/>
    <mergeCell ref="A4:J4"/>
    <mergeCell ref="A3:J3"/>
  </mergeCells>
  <printOptions horizontalCentered="1"/>
  <pageMargins left="0.70866141732283472" right="0.70866141732283472" top="0.74803149606299213" bottom="0.70866141732283472" header="0.31496062992125984" footer="0.31496062992125984"/>
  <pageSetup paperSize="9" orientation="portrait" horizontalDpi="360" verticalDpi="36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G1258"/>
  <sheetViews>
    <sheetView zoomScale="85" zoomScaleNormal="85" workbookViewId="0">
      <selection activeCell="J8" sqref="J8"/>
    </sheetView>
  </sheetViews>
  <sheetFormatPr defaultRowHeight="14.5"/>
  <cols>
    <col min="1" max="1" width="8.7265625" style="135"/>
    <col min="3" max="3" width="8.7265625" style="135"/>
    <col min="4" max="4" width="8.7265625" style="526"/>
    <col min="5" max="6" width="8.7265625" style="135" customWidth="1"/>
    <col min="7" max="11" width="13.26953125" style="135" customWidth="1"/>
    <col min="12" max="12" width="16.6328125" customWidth="1"/>
    <col min="13" max="14" width="8.7265625" customWidth="1"/>
    <col min="15" max="15" width="42.81640625" style="201" customWidth="1"/>
    <col min="16" max="17" width="9.7265625" customWidth="1"/>
    <col min="18" max="18" width="42.6328125" style="201" customWidth="1"/>
    <col min="19" max="20" width="8.7265625" customWidth="1"/>
    <col min="21" max="21" width="9.90625" customWidth="1"/>
    <col min="22" max="22" width="9.90625" style="582" bestFit="1" customWidth="1"/>
    <col min="25" max="25" width="13.6328125" bestFit="1" customWidth="1"/>
    <col min="26" max="26" width="34.90625" style="201" customWidth="1"/>
    <col min="27" max="32" width="12.453125" customWidth="1"/>
  </cols>
  <sheetData>
    <row r="1" spans="1:33" s="201" customFormat="1" ht="43.5">
      <c r="A1" s="505" t="s">
        <v>39</v>
      </c>
      <c r="B1" s="506" t="s">
        <v>2574</v>
      </c>
      <c r="C1" s="507" t="s">
        <v>2575</v>
      </c>
      <c r="D1" s="507" t="s">
        <v>446</v>
      </c>
      <c r="E1" s="507" t="s">
        <v>2576</v>
      </c>
      <c r="F1" s="507" t="s">
        <v>2577</v>
      </c>
      <c r="G1" s="508" t="s">
        <v>447</v>
      </c>
      <c r="H1" s="508" t="s">
        <v>2</v>
      </c>
      <c r="I1" s="508" t="s">
        <v>448</v>
      </c>
      <c r="J1" s="508" t="s">
        <v>449</v>
      </c>
      <c r="K1" s="508" t="s">
        <v>3</v>
      </c>
      <c r="L1" s="507" t="s">
        <v>1</v>
      </c>
      <c r="M1" s="507" t="s">
        <v>2578</v>
      </c>
      <c r="N1" s="507" t="s">
        <v>0</v>
      </c>
      <c r="O1" s="507" t="s">
        <v>2579</v>
      </c>
      <c r="P1" s="507" t="s">
        <v>451</v>
      </c>
      <c r="Q1" s="507" t="s">
        <v>2580</v>
      </c>
      <c r="R1" s="507" t="s">
        <v>2581</v>
      </c>
      <c r="S1" s="507" t="s">
        <v>452</v>
      </c>
      <c r="T1" s="507" t="s">
        <v>6</v>
      </c>
      <c r="U1" s="507" t="s">
        <v>2582</v>
      </c>
      <c r="V1" s="509" t="s">
        <v>5</v>
      </c>
      <c r="W1" s="507" t="s">
        <v>2583</v>
      </c>
      <c r="X1" s="507" t="s">
        <v>4</v>
      </c>
      <c r="Y1" s="507" t="s">
        <v>2584</v>
      </c>
      <c r="Z1" s="507" t="s">
        <v>2518</v>
      </c>
      <c r="AA1" s="507" t="s">
        <v>1536</v>
      </c>
      <c r="AB1" s="507" t="s">
        <v>1537</v>
      </c>
      <c r="AC1" s="507" t="s">
        <v>1538</v>
      </c>
      <c r="AD1" s="507" t="s">
        <v>2585</v>
      </c>
      <c r="AE1" s="507" t="s">
        <v>1540</v>
      </c>
      <c r="AF1" s="507" t="s">
        <v>1541</v>
      </c>
      <c r="AG1" s="510" t="s">
        <v>2586</v>
      </c>
    </row>
    <row r="2" spans="1:33" s="201" customFormat="1">
      <c r="A2" s="511">
        <v>1</v>
      </c>
      <c r="B2" s="511">
        <v>2</v>
      </c>
      <c r="C2" s="511">
        <v>3</v>
      </c>
      <c r="D2" s="511">
        <v>4</v>
      </c>
      <c r="E2" s="511">
        <v>5</v>
      </c>
      <c r="F2" s="511">
        <v>6</v>
      </c>
      <c r="G2" s="511">
        <v>7</v>
      </c>
      <c r="H2" s="511">
        <v>8</v>
      </c>
      <c r="I2" s="511">
        <v>9</v>
      </c>
      <c r="J2" s="511">
        <v>10</v>
      </c>
      <c r="K2" s="511">
        <v>11</v>
      </c>
      <c r="L2" s="511">
        <v>12</v>
      </c>
      <c r="M2" s="511">
        <v>13</v>
      </c>
      <c r="N2" s="511">
        <v>14</v>
      </c>
      <c r="O2" s="511">
        <v>15</v>
      </c>
      <c r="P2" s="511">
        <v>16</v>
      </c>
      <c r="Q2" s="511">
        <v>17</v>
      </c>
      <c r="R2" s="511">
        <v>18</v>
      </c>
      <c r="S2" s="511">
        <v>19</v>
      </c>
      <c r="T2" s="511">
        <v>20</v>
      </c>
      <c r="U2" s="511">
        <v>21</v>
      </c>
      <c r="V2" s="512">
        <v>22</v>
      </c>
      <c r="W2" s="511">
        <v>23</v>
      </c>
      <c r="X2" s="511">
        <v>24</v>
      </c>
      <c r="Y2" s="511">
        <v>25</v>
      </c>
      <c r="Z2" s="511">
        <v>26</v>
      </c>
      <c r="AA2" s="511">
        <v>27</v>
      </c>
      <c r="AB2" s="511">
        <v>28</v>
      </c>
      <c r="AC2" s="511">
        <v>29</v>
      </c>
      <c r="AD2" s="511">
        <v>30</v>
      </c>
      <c r="AE2" s="511">
        <v>31</v>
      </c>
      <c r="AF2" s="511">
        <v>32</v>
      </c>
      <c r="AG2" s="511">
        <v>33</v>
      </c>
    </row>
    <row r="3" spans="1:33" s="201" customFormat="1" ht="29">
      <c r="A3" s="513">
        <v>1</v>
      </c>
      <c r="B3" s="514" t="s">
        <v>1542</v>
      </c>
      <c r="C3" s="515" t="s">
        <v>1542</v>
      </c>
      <c r="D3" s="262" t="s">
        <v>462</v>
      </c>
      <c r="E3" s="513">
        <v>1</v>
      </c>
      <c r="F3" s="515" t="s">
        <v>1542</v>
      </c>
      <c r="G3" s="516">
        <v>45296</v>
      </c>
      <c r="H3" s="516">
        <v>45297</v>
      </c>
      <c r="I3" s="516">
        <v>45297</v>
      </c>
      <c r="J3" s="516">
        <v>45297</v>
      </c>
      <c r="K3" s="517">
        <v>45314</v>
      </c>
      <c r="L3" s="518" t="s">
        <v>2537</v>
      </c>
      <c r="M3" s="264" t="s">
        <v>2587</v>
      </c>
      <c r="N3" s="356" t="s">
        <v>2588</v>
      </c>
      <c r="O3" s="390" t="s">
        <v>238</v>
      </c>
      <c r="P3" s="264" t="str">
        <f t="shared" ref="P3:P13" si="0">O3</f>
        <v>Binder Klip  nomor 111</v>
      </c>
      <c r="Q3" s="264" t="s">
        <v>710</v>
      </c>
      <c r="R3" s="519" t="s">
        <v>109</v>
      </c>
      <c r="S3" s="399">
        <v>5</v>
      </c>
      <c r="T3" s="348" t="s">
        <v>3362</v>
      </c>
      <c r="U3" s="520">
        <v>11000</v>
      </c>
      <c r="V3" s="266">
        <v>55000</v>
      </c>
      <c r="W3" s="521" t="s">
        <v>227</v>
      </c>
      <c r="X3" s="521" t="s">
        <v>3383</v>
      </c>
      <c r="Y3" s="522" t="s">
        <v>2512</v>
      </c>
      <c r="Z3" s="523" t="s">
        <v>541</v>
      </c>
      <c r="AA3" s="521"/>
      <c r="AB3" s="521"/>
      <c r="AC3" s="521"/>
      <c r="AD3" s="521"/>
      <c r="AE3" s="521"/>
      <c r="AF3" s="521"/>
      <c r="AG3" s="264">
        <v>4</v>
      </c>
    </row>
    <row r="4" spans="1:33" s="526" customFormat="1" ht="29">
      <c r="A4" s="513">
        <v>2</v>
      </c>
      <c r="B4" s="514" t="s">
        <v>1542</v>
      </c>
      <c r="C4" s="515" t="s">
        <v>1542</v>
      </c>
      <c r="D4" s="262" t="s">
        <v>462</v>
      </c>
      <c r="E4" s="513">
        <v>2</v>
      </c>
      <c r="F4" s="515" t="s">
        <v>1542</v>
      </c>
      <c r="G4" s="516">
        <v>45296</v>
      </c>
      <c r="H4" s="516">
        <v>45297</v>
      </c>
      <c r="I4" s="516">
        <v>45297</v>
      </c>
      <c r="J4" s="516">
        <v>45297</v>
      </c>
      <c r="K4" s="517">
        <v>45314</v>
      </c>
      <c r="L4" s="518" t="s">
        <v>2589</v>
      </c>
      <c r="M4" s="264" t="s">
        <v>2587</v>
      </c>
      <c r="N4" s="263" t="s">
        <v>2176</v>
      </c>
      <c r="O4" s="524" t="s">
        <v>2545</v>
      </c>
      <c r="P4" s="264" t="str">
        <f t="shared" si="0"/>
        <v>Ballpoint Drawing Pen 0,1 Snowman</v>
      </c>
      <c r="Q4" s="264" t="s">
        <v>710</v>
      </c>
      <c r="R4" s="525" t="s">
        <v>2590</v>
      </c>
      <c r="S4" s="399">
        <v>1</v>
      </c>
      <c r="T4" s="348" t="s">
        <v>3364</v>
      </c>
      <c r="U4" s="520">
        <v>95000</v>
      </c>
      <c r="V4" s="266">
        <v>95000</v>
      </c>
      <c r="W4" s="521" t="s">
        <v>227</v>
      </c>
      <c r="X4" s="521" t="s">
        <v>3383</v>
      </c>
      <c r="Y4" s="522" t="s">
        <v>2512</v>
      </c>
      <c r="Z4" s="523" t="s">
        <v>541</v>
      </c>
      <c r="AA4" s="521"/>
      <c r="AB4" s="521"/>
      <c r="AC4" s="521"/>
      <c r="AD4" s="521"/>
      <c r="AE4" s="521"/>
      <c r="AF4" s="521"/>
      <c r="AG4" s="264">
        <v>4</v>
      </c>
    </row>
    <row r="5" spans="1:33" s="526" customFormat="1" ht="29">
      <c r="A5" s="513">
        <v>3</v>
      </c>
      <c r="B5" s="514" t="s">
        <v>1542</v>
      </c>
      <c r="C5" s="515" t="s">
        <v>1542</v>
      </c>
      <c r="D5" s="262" t="s">
        <v>462</v>
      </c>
      <c r="E5" s="513">
        <v>3</v>
      </c>
      <c r="F5" s="515" t="s">
        <v>1542</v>
      </c>
      <c r="G5" s="516">
        <v>45296</v>
      </c>
      <c r="H5" s="516">
        <v>45297</v>
      </c>
      <c r="I5" s="516">
        <v>45297</v>
      </c>
      <c r="J5" s="516">
        <v>45297</v>
      </c>
      <c r="K5" s="517">
        <v>45314</v>
      </c>
      <c r="L5" s="518" t="s">
        <v>2589</v>
      </c>
      <c r="M5" s="264" t="s">
        <v>2587</v>
      </c>
      <c r="N5" s="263" t="s">
        <v>2176</v>
      </c>
      <c r="O5" s="390" t="s">
        <v>2233</v>
      </c>
      <c r="P5" s="264" t="str">
        <f t="shared" si="0"/>
        <v>hardisk</v>
      </c>
      <c r="Q5" s="264" t="s">
        <v>710</v>
      </c>
      <c r="R5" s="527" t="s">
        <v>2591</v>
      </c>
      <c r="S5" s="399">
        <v>1</v>
      </c>
      <c r="T5" s="348" t="s">
        <v>3363</v>
      </c>
      <c r="U5" s="520">
        <v>2200000</v>
      </c>
      <c r="V5" s="266">
        <v>2200000</v>
      </c>
      <c r="W5" s="521" t="s">
        <v>227</v>
      </c>
      <c r="X5" s="521" t="s">
        <v>3383</v>
      </c>
      <c r="Y5" s="522" t="s">
        <v>2512</v>
      </c>
      <c r="Z5" s="523" t="s">
        <v>541</v>
      </c>
      <c r="AA5" s="521"/>
      <c r="AB5" s="521"/>
      <c r="AC5" s="521"/>
      <c r="AD5" s="521"/>
      <c r="AE5" s="521"/>
      <c r="AF5" s="521"/>
      <c r="AG5" s="264">
        <v>1</v>
      </c>
    </row>
    <row r="6" spans="1:33" s="526" customFormat="1" ht="29">
      <c r="A6" s="513">
        <v>4</v>
      </c>
      <c r="B6" s="514" t="s">
        <v>1542</v>
      </c>
      <c r="C6" s="515" t="s">
        <v>1542</v>
      </c>
      <c r="D6" s="262" t="s">
        <v>462</v>
      </c>
      <c r="E6" s="513">
        <v>4</v>
      </c>
      <c r="F6" s="515" t="s">
        <v>1542</v>
      </c>
      <c r="G6" s="516">
        <v>45296</v>
      </c>
      <c r="H6" s="516">
        <v>45297</v>
      </c>
      <c r="I6" s="516">
        <v>45297</v>
      </c>
      <c r="J6" s="516">
        <v>45297</v>
      </c>
      <c r="K6" s="517">
        <v>45314</v>
      </c>
      <c r="L6" s="518" t="s">
        <v>2589</v>
      </c>
      <c r="M6" s="264" t="s">
        <v>2587</v>
      </c>
      <c r="N6" s="263" t="s">
        <v>2176</v>
      </c>
      <c r="O6" s="390" t="s">
        <v>289</v>
      </c>
      <c r="P6" s="264" t="str">
        <f t="shared" si="0"/>
        <v>Stempel Cap</v>
      </c>
      <c r="Q6" s="264" t="s">
        <v>710</v>
      </c>
      <c r="R6" s="528" t="s">
        <v>2592</v>
      </c>
      <c r="S6" s="399">
        <v>3</v>
      </c>
      <c r="T6" s="348" t="s">
        <v>3363</v>
      </c>
      <c r="U6" s="520">
        <v>120000</v>
      </c>
      <c r="V6" s="266">
        <v>360000</v>
      </c>
      <c r="W6" s="521" t="s">
        <v>227</v>
      </c>
      <c r="X6" s="521" t="s">
        <v>3383</v>
      </c>
      <c r="Y6" s="522" t="s">
        <v>2512</v>
      </c>
      <c r="Z6" s="523" t="s">
        <v>541</v>
      </c>
      <c r="AA6" s="521"/>
      <c r="AB6" s="521"/>
      <c r="AC6" s="521"/>
      <c r="AD6" s="521"/>
      <c r="AE6" s="521"/>
      <c r="AF6" s="521"/>
      <c r="AG6" s="264">
        <v>1</v>
      </c>
    </row>
    <row r="7" spans="1:33" s="526" customFormat="1" ht="29">
      <c r="A7" s="513">
        <v>5</v>
      </c>
      <c r="B7" s="514" t="s">
        <v>1542</v>
      </c>
      <c r="C7" s="515" t="s">
        <v>1542</v>
      </c>
      <c r="D7" s="262" t="s">
        <v>462</v>
      </c>
      <c r="E7" s="513">
        <v>5</v>
      </c>
      <c r="F7" s="515" t="s">
        <v>1542</v>
      </c>
      <c r="G7" s="516">
        <v>45296</v>
      </c>
      <c r="H7" s="516">
        <v>45297</v>
      </c>
      <c r="I7" s="516">
        <v>45297</v>
      </c>
      <c r="J7" s="516">
        <v>45297</v>
      </c>
      <c r="K7" s="517">
        <v>45314</v>
      </c>
      <c r="L7" s="518" t="s">
        <v>2589</v>
      </c>
      <c r="M7" s="264" t="s">
        <v>2587</v>
      </c>
      <c r="N7" s="263" t="s">
        <v>2176</v>
      </c>
      <c r="O7" s="390" t="s">
        <v>2234</v>
      </c>
      <c r="P7" s="264" t="str">
        <f t="shared" si="0"/>
        <v>Stofmap Transparan tali</v>
      </c>
      <c r="Q7" s="264" t="s">
        <v>710</v>
      </c>
      <c r="R7" s="519" t="s">
        <v>158</v>
      </c>
      <c r="S7" s="399">
        <v>100</v>
      </c>
      <c r="T7" s="348" t="s">
        <v>3363</v>
      </c>
      <c r="U7" s="520">
        <v>5500</v>
      </c>
      <c r="V7" s="266">
        <v>550000</v>
      </c>
      <c r="W7" s="521" t="s">
        <v>227</v>
      </c>
      <c r="X7" s="521" t="s">
        <v>3383</v>
      </c>
      <c r="Y7" s="522" t="s">
        <v>2512</v>
      </c>
      <c r="Z7" s="523" t="s">
        <v>541</v>
      </c>
      <c r="AA7" s="521"/>
      <c r="AB7" s="521"/>
      <c r="AC7" s="521"/>
      <c r="AD7" s="521"/>
      <c r="AE7" s="521"/>
      <c r="AF7" s="521"/>
      <c r="AG7" s="264">
        <v>1</v>
      </c>
    </row>
    <row r="8" spans="1:33" s="526" customFormat="1" ht="29">
      <c r="A8" s="513">
        <v>6</v>
      </c>
      <c r="B8" s="514" t="s">
        <v>1542</v>
      </c>
      <c r="C8" s="515" t="s">
        <v>1542</v>
      </c>
      <c r="D8" s="262" t="s">
        <v>462</v>
      </c>
      <c r="E8" s="513">
        <v>6</v>
      </c>
      <c r="F8" s="515" t="s">
        <v>1542</v>
      </c>
      <c r="G8" s="516">
        <v>45296</v>
      </c>
      <c r="H8" s="516">
        <v>45297</v>
      </c>
      <c r="I8" s="516">
        <v>45297</v>
      </c>
      <c r="J8" s="516">
        <v>45297</v>
      </c>
      <c r="K8" s="517">
        <v>45314</v>
      </c>
      <c r="L8" s="518" t="s">
        <v>2589</v>
      </c>
      <c r="M8" s="264" t="s">
        <v>2587</v>
      </c>
      <c r="N8" s="263" t="s">
        <v>2176</v>
      </c>
      <c r="O8" s="390" t="s">
        <v>2235</v>
      </c>
      <c r="P8" s="264" t="str">
        <f t="shared" si="0"/>
        <v>Amplop Coklat Merk : GSU Ukuran Folio polos</v>
      </c>
      <c r="Q8" s="264" t="s">
        <v>710</v>
      </c>
      <c r="R8" s="529" t="s">
        <v>2593</v>
      </c>
      <c r="S8" s="399">
        <v>2</v>
      </c>
      <c r="T8" s="348" t="s">
        <v>3365</v>
      </c>
      <c r="U8" s="520">
        <v>60000</v>
      </c>
      <c r="V8" s="266">
        <v>120000</v>
      </c>
      <c r="W8" s="521" t="s">
        <v>227</v>
      </c>
      <c r="X8" s="521" t="s">
        <v>3383</v>
      </c>
      <c r="Y8" s="522" t="s">
        <v>2512</v>
      </c>
      <c r="Z8" s="523" t="s">
        <v>541</v>
      </c>
      <c r="AA8" s="521"/>
      <c r="AB8" s="521"/>
      <c r="AC8" s="521"/>
      <c r="AD8" s="521"/>
      <c r="AE8" s="521"/>
      <c r="AF8" s="521"/>
      <c r="AG8" s="264">
        <v>1</v>
      </c>
    </row>
    <row r="9" spans="1:33" s="526" customFormat="1" ht="29">
      <c r="A9" s="513">
        <v>7</v>
      </c>
      <c r="B9" s="514" t="s">
        <v>1542</v>
      </c>
      <c r="C9" s="515" t="s">
        <v>1542</v>
      </c>
      <c r="D9" s="262" t="s">
        <v>462</v>
      </c>
      <c r="E9" s="513">
        <v>7</v>
      </c>
      <c r="F9" s="515" t="s">
        <v>1542</v>
      </c>
      <c r="G9" s="516">
        <v>45296</v>
      </c>
      <c r="H9" s="516">
        <v>45297</v>
      </c>
      <c r="I9" s="516">
        <v>45297</v>
      </c>
      <c r="J9" s="516">
        <v>45297</v>
      </c>
      <c r="K9" s="517">
        <v>45314</v>
      </c>
      <c r="L9" s="518" t="s">
        <v>2589</v>
      </c>
      <c r="M9" s="264" t="s">
        <v>2587</v>
      </c>
      <c r="N9" s="263" t="s">
        <v>2176</v>
      </c>
      <c r="O9" s="390" t="s">
        <v>2236</v>
      </c>
      <c r="P9" s="264" t="str">
        <f t="shared" si="0"/>
        <v>Stapler HD-10--</v>
      </c>
      <c r="Q9" s="264" t="s">
        <v>710</v>
      </c>
      <c r="R9" s="519" t="s">
        <v>152</v>
      </c>
      <c r="S9" s="399">
        <v>2</v>
      </c>
      <c r="T9" s="348" t="s">
        <v>3363</v>
      </c>
      <c r="U9" s="520">
        <v>20000</v>
      </c>
      <c r="V9" s="266">
        <v>40000</v>
      </c>
      <c r="W9" s="521" t="s">
        <v>227</v>
      </c>
      <c r="X9" s="521" t="s">
        <v>3383</v>
      </c>
      <c r="Y9" s="522" t="s">
        <v>2512</v>
      </c>
      <c r="Z9" s="523" t="s">
        <v>541</v>
      </c>
      <c r="AA9" s="521"/>
      <c r="AB9" s="521"/>
      <c r="AC9" s="521"/>
      <c r="AD9" s="521"/>
      <c r="AE9" s="521"/>
      <c r="AF9" s="521"/>
      <c r="AG9" s="264">
        <v>1</v>
      </c>
    </row>
    <row r="10" spans="1:33" s="526" customFormat="1" ht="29">
      <c r="A10" s="513">
        <v>8</v>
      </c>
      <c r="B10" s="514" t="s">
        <v>1542</v>
      </c>
      <c r="C10" s="515" t="s">
        <v>1542</v>
      </c>
      <c r="D10" s="262" t="s">
        <v>462</v>
      </c>
      <c r="E10" s="513">
        <v>8</v>
      </c>
      <c r="F10" s="515" t="s">
        <v>1542</v>
      </c>
      <c r="G10" s="516">
        <v>45296</v>
      </c>
      <c r="H10" s="516">
        <v>45297</v>
      </c>
      <c r="I10" s="516">
        <v>45297</v>
      </c>
      <c r="J10" s="516">
        <v>45297</v>
      </c>
      <c r="K10" s="517">
        <v>45314</v>
      </c>
      <c r="L10" s="518" t="s">
        <v>2589</v>
      </c>
      <c r="M10" s="264" t="s">
        <v>2587</v>
      </c>
      <c r="N10" s="263" t="s">
        <v>2176</v>
      </c>
      <c r="O10" s="390" t="s">
        <v>2237</v>
      </c>
      <c r="P10" s="264" t="str">
        <f t="shared" si="0"/>
        <v>Kertas Lain-Lain Kertas Buffalo</v>
      </c>
      <c r="Q10" s="264" t="s">
        <v>710</v>
      </c>
      <c r="R10" s="519" t="s">
        <v>130</v>
      </c>
      <c r="S10" s="399">
        <v>5</v>
      </c>
      <c r="T10" s="348" t="s">
        <v>3365</v>
      </c>
      <c r="U10" s="520">
        <v>31000</v>
      </c>
      <c r="V10" s="266">
        <v>155000</v>
      </c>
      <c r="W10" s="521" t="s">
        <v>227</v>
      </c>
      <c r="X10" s="521" t="s">
        <v>3383</v>
      </c>
      <c r="Y10" s="522" t="s">
        <v>2512</v>
      </c>
      <c r="Z10" s="523" t="s">
        <v>541</v>
      </c>
      <c r="AA10" s="521"/>
      <c r="AB10" s="521"/>
      <c r="AC10" s="521"/>
      <c r="AD10" s="521"/>
      <c r="AE10" s="521"/>
      <c r="AF10" s="521"/>
      <c r="AG10" s="264">
        <v>1</v>
      </c>
    </row>
    <row r="11" spans="1:33" s="526" customFormat="1" ht="29">
      <c r="A11" s="513">
        <v>9</v>
      </c>
      <c r="B11" s="514" t="s">
        <v>1542</v>
      </c>
      <c r="C11" s="515" t="s">
        <v>1542</v>
      </c>
      <c r="D11" s="262" t="s">
        <v>462</v>
      </c>
      <c r="E11" s="513">
        <v>9</v>
      </c>
      <c r="F11" s="515" t="s">
        <v>1542</v>
      </c>
      <c r="G11" s="516">
        <v>45296</v>
      </c>
      <c r="H11" s="516">
        <v>45297</v>
      </c>
      <c r="I11" s="516">
        <v>45297</v>
      </c>
      <c r="J11" s="516">
        <v>45297</v>
      </c>
      <c r="K11" s="517">
        <v>45314</v>
      </c>
      <c r="L11" s="518" t="s">
        <v>2589</v>
      </c>
      <c r="M11" s="264" t="s">
        <v>2587</v>
      </c>
      <c r="N11" s="263" t="s">
        <v>2176</v>
      </c>
      <c r="O11" s="390" t="s">
        <v>2238</v>
      </c>
      <c r="P11" s="264" t="str">
        <f t="shared" si="0"/>
        <v>Bantalan Cap Kecil</v>
      </c>
      <c r="Q11" s="264" t="s">
        <v>710</v>
      </c>
      <c r="R11" s="519" t="s">
        <v>105</v>
      </c>
      <c r="S11" s="399">
        <v>5</v>
      </c>
      <c r="T11" s="348" t="s">
        <v>3363</v>
      </c>
      <c r="U11" s="520">
        <v>10000</v>
      </c>
      <c r="V11" s="266">
        <v>50000</v>
      </c>
      <c r="W11" s="521" t="s">
        <v>227</v>
      </c>
      <c r="X11" s="521" t="s">
        <v>3383</v>
      </c>
      <c r="Y11" s="522" t="s">
        <v>2512</v>
      </c>
      <c r="Z11" s="523" t="s">
        <v>541</v>
      </c>
      <c r="AA11" s="521"/>
      <c r="AB11" s="521"/>
      <c r="AC11" s="521"/>
      <c r="AD11" s="521"/>
      <c r="AE11" s="521"/>
      <c r="AF11" s="521"/>
      <c r="AG11" s="264">
        <v>1</v>
      </c>
    </row>
    <row r="12" spans="1:33" s="526" customFormat="1" ht="29">
      <c r="A12" s="513">
        <v>10</v>
      </c>
      <c r="B12" s="514" t="s">
        <v>1542</v>
      </c>
      <c r="C12" s="515" t="s">
        <v>1542</v>
      </c>
      <c r="D12" s="262" t="s">
        <v>462</v>
      </c>
      <c r="E12" s="513">
        <v>10</v>
      </c>
      <c r="F12" s="515" t="s">
        <v>1542</v>
      </c>
      <c r="G12" s="516">
        <v>45296</v>
      </c>
      <c r="H12" s="516">
        <v>45297</v>
      </c>
      <c r="I12" s="516">
        <v>45297</v>
      </c>
      <c r="J12" s="516">
        <v>45297</v>
      </c>
      <c r="K12" s="517">
        <v>45314</v>
      </c>
      <c r="L12" s="518" t="s">
        <v>2589</v>
      </c>
      <c r="M12" s="264" t="s">
        <v>2587</v>
      </c>
      <c r="N12" s="263" t="s">
        <v>2176</v>
      </c>
      <c r="O12" s="390" t="s">
        <v>236</v>
      </c>
      <c r="P12" s="264" t="str">
        <f t="shared" si="0"/>
        <v>Baterey Kecil</v>
      </c>
      <c r="Q12" s="264" t="s">
        <v>710</v>
      </c>
      <c r="R12" s="519" t="s">
        <v>106</v>
      </c>
      <c r="S12" s="399">
        <v>2</v>
      </c>
      <c r="T12" s="348" t="s">
        <v>3366</v>
      </c>
      <c r="U12" s="520">
        <v>20000</v>
      </c>
      <c r="V12" s="266">
        <v>40000</v>
      </c>
      <c r="W12" s="521" t="s">
        <v>227</v>
      </c>
      <c r="X12" s="521" t="s">
        <v>3383</v>
      </c>
      <c r="Y12" s="522" t="s">
        <v>2512</v>
      </c>
      <c r="Z12" s="523" t="s">
        <v>541</v>
      </c>
      <c r="AA12" s="521"/>
      <c r="AB12" s="521"/>
      <c r="AC12" s="521"/>
      <c r="AD12" s="521"/>
      <c r="AE12" s="521"/>
      <c r="AF12" s="521"/>
      <c r="AG12" s="264">
        <v>1</v>
      </c>
    </row>
    <row r="13" spans="1:33" s="526" customFormat="1" ht="29">
      <c r="A13" s="513">
        <v>11</v>
      </c>
      <c r="B13" s="514" t="s">
        <v>1542</v>
      </c>
      <c r="C13" s="515" t="s">
        <v>1542</v>
      </c>
      <c r="D13" s="262" t="s">
        <v>462</v>
      </c>
      <c r="E13" s="513">
        <v>11</v>
      </c>
      <c r="F13" s="515" t="s">
        <v>1542</v>
      </c>
      <c r="G13" s="516">
        <v>45296</v>
      </c>
      <c r="H13" s="516">
        <v>45297</v>
      </c>
      <c r="I13" s="516">
        <v>45297</v>
      </c>
      <c r="J13" s="516">
        <v>45297</v>
      </c>
      <c r="K13" s="517">
        <v>45314</v>
      </c>
      <c r="L13" s="518" t="s">
        <v>2589</v>
      </c>
      <c r="M13" s="264" t="s">
        <v>2587</v>
      </c>
      <c r="N13" s="262" t="s">
        <v>2176</v>
      </c>
      <c r="O13" s="390" t="s">
        <v>2239</v>
      </c>
      <c r="P13" s="264" t="str">
        <f t="shared" si="0"/>
        <v>Tinta Printer Canon 741 Warna-741 Warna</v>
      </c>
      <c r="Q13" s="264" t="s">
        <v>710</v>
      </c>
      <c r="R13" s="519" t="s">
        <v>160</v>
      </c>
      <c r="S13" s="399">
        <v>12</v>
      </c>
      <c r="T13" s="348" t="s">
        <v>3367</v>
      </c>
      <c r="U13" s="520">
        <v>33000</v>
      </c>
      <c r="V13" s="266">
        <v>396000</v>
      </c>
      <c r="W13" s="521" t="s">
        <v>227</v>
      </c>
      <c r="X13" s="521" t="s">
        <v>3383</v>
      </c>
      <c r="Y13" s="522" t="s">
        <v>2512</v>
      </c>
      <c r="Z13" s="523" t="s">
        <v>541</v>
      </c>
      <c r="AA13" s="521"/>
      <c r="AB13" s="521"/>
      <c r="AC13" s="521"/>
      <c r="AD13" s="521"/>
      <c r="AE13" s="521"/>
      <c r="AF13" s="521"/>
      <c r="AG13" s="264">
        <v>1</v>
      </c>
    </row>
    <row r="14" spans="1:33" s="526" customFormat="1" ht="37.5">
      <c r="A14" s="513">
        <v>12</v>
      </c>
      <c r="B14" s="514" t="s">
        <v>1542</v>
      </c>
      <c r="C14" s="515" t="s">
        <v>1542</v>
      </c>
      <c r="D14" s="262" t="s">
        <v>462</v>
      </c>
      <c r="E14" s="513">
        <v>12</v>
      </c>
      <c r="F14" s="515" t="s">
        <v>1542</v>
      </c>
      <c r="G14" s="516">
        <v>45296</v>
      </c>
      <c r="H14" s="516">
        <v>45297</v>
      </c>
      <c r="I14" s="516">
        <v>45297</v>
      </c>
      <c r="J14" s="516">
        <v>45297</v>
      </c>
      <c r="K14" s="517">
        <v>45314</v>
      </c>
      <c r="L14" s="518" t="s">
        <v>2589</v>
      </c>
      <c r="M14" s="264" t="s">
        <v>2587</v>
      </c>
      <c r="N14" s="262" t="s">
        <v>2176</v>
      </c>
      <c r="O14" s="524" t="s">
        <v>2594</v>
      </c>
      <c r="P14" s="524" t="s">
        <v>2571</v>
      </c>
      <c r="Q14" s="264" t="s">
        <v>710</v>
      </c>
      <c r="R14" s="519" t="s">
        <v>136</v>
      </c>
      <c r="S14" s="399">
        <v>5</v>
      </c>
      <c r="T14" s="348" t="s">
        <v>2436</v>
      </c>
      <c r="U14" s="520">
        <v>15000</v>
      </c>
      <c r="V14" s="266">
        <v>75000</v>
      </c>
      <c r="W14" s="521" t="s">
        <v>227</v>
      </c>
      <c r="X14" s="521" t="s">
        <v>3383</v>
      </c>
      <c r="Y14" s="522" t="s">
        <v>2512</v>
      </c>
      <c r="Z14" s="523" t="s">
        <v>541</v>
      </c>
      <c r="AA14" s="521"/>
      <c r="AB14" s="521"/>
      <c r="AC14" s="521"/>
      <c r="AD14" s="521"/>
      <c r="AE14" s="521"/>
      <c r="AF14" s="521"/>
      <c r="AG14" s="264">
        <v>1</v>
      </c>
    </row>
    <row r="15" spans="1:33" s="526" customFormat="1" ht="29">
      <c r="A15" s="530">
        <v>13</v>
      </c>
      <c r="B15" s="514" t="s">
        <v>1542</v>
      </c>
      <c r="C15" s="515" t="s">
        <v>1542</v>
      </c>
      <c r="D15" s="531" t="s">
        <v>462</v>
      </c>
      <c r="E15" s="530">
        <v>13</v>
      </c>
      <c r="F15" s="532" t="s">
        <v>1542</v>
      </c>
      <c r="G15" s="533">
        <v>45296</v>
      </c>
      <c r="H15" s="533">
        <v>45297</v>
      </c>
      <c r="I15" s="533">
        <v>45297</v>
      </c>
      <c r="J15" s="533">
        <v>45297</v>
      </c>
      <c r="K15" s="534">
        <v>45314</v>
      </c>
      <c r="L15" s="535" t="s">
        <v>2589</v>
      </c>
      <c r="M15" s="264" t="s">
        <v>2587</v>
      </c>
      <c r="N15" s="531" t="s">
        <v>2176</v>
      </c>
      <c r="O15" s="536" t="s">
        <v>259</v>
      </c>
      <c r="P15" s="537" t="str">
        <f t="shared" ref="P15:P46" si="1">O15</f>
        <v>Plastik Mika</v>
      </c>
      <c r="Q15" s="537" t="s">
        <v>710</v>
      </c>
      <c r="R15" s="538" t="s">
        <v>148</v>
      </c>
      <c r="S15" s="399">
        <v>5</v>
      </c>
      <c r="T15" s="348" t="s">
        <v>2436</v>
      </c>
      <c r="U15" s="520">
        <v>10000</v>
      </c>
      <c r="V15" s="539">
        <v>300000</v>
      </c>
      <c r="W15" s="521" t="s">
        <v>227</v>
      </c>
      <c r="X15" s="540" t="s">
        <v>3383</v>
      </c>
      <c r="Y15" s="541" t="s">
        <v>2512</v>
      </c>
      <c r="Z15" s="542" t="s">
        <v>541</v>
      </c>
      <c r="AA15" s="521"/>
      <c r="AB15" s="521"/>
      <c r="AC15" s="521"/>
      <c r="AD15" s="521"/>
      <c r="AE15" s="521"/>
      <c r="AF15" s="521"/>
      <c r="AG15" s="264">
        <v>1</v>
      </c>
    </row>
    <row r="16" spans="1:33" s="526" customFormat="1" ht="43.5">
      <c r="A16" s="513">
        <v>14</v>
      </c>
      <c r="B16" s="514" t="s">
        <v>1542</v>
      </c>
      <c r="C16" s="515" t="s">
        <v>1542</v>
      </c>
      <c r="D16" s="262" t="s">
        <v>462</v>
      </c>
      <c r="E16" s="513">
        <v>14</v>
      </c>
      <c r="F16" s="515" t="s">
        <v>1542</v>
      </c>
      <c r="G16" s="516">
        <v>45296</v>
      </c>
      <c r="H16" s="516">
        <v>45297</v>
      </c>
      <c r="I16" s="516">
        <v>45297</v>
      </c>
      <c r="J16" s="516">
        <v>45297</v>
      </c>
      <c r="K16" s="517">
        <v>45314</v>
      </c>
      <c r="L16" s="518" t="s">
        <v>2589</v>
      </c>
      <c r="M16" s="264" t="s">
        <v>2587</v>
      </c>
      <c r="N16" s="262" t="s">
        <v>2176</v>
      </c>
      <c r="O16" s="390" t="s">
        <v>235</v>
      </c>
      <c r="P16" s="264" t="str">
        <f t="shared" si="1"/>
        <v>Bantalan Cap Besar</v>
      </c>
      <c r="Q16" s="264" t="s">
        <v>710</v>
      </c>
      <c r="R16" s="519" t="s">
        <v>104</v>
      </c>
      <c r="S16" s="399">
        <v>5</v>
      </c>
      <c r="T16" s="348" t="s">
        <v>3363</v>
      </c>
      <c r="U16" s="520">
        <v>15000</v>
      </c>
      <c r="V16" s="266">
        <v>75000</v>
      </c>
      <c r="W16" s="521" t="s">
        <v>227</v>
      </c>
      <c r="X16" s="521" t="s">
        <v>3383</v>
      </c>
      <c r="Y16" s="522" t="s">
        <v>2512</v>
      </c>
      <c r="Z16" s="523" t="s">
        <v>541</v>
      </c>
      <c r="AA16" s="521"/>
      <c r="AB16" s="521"/>
      <c r="AC16" s="521"/>
      <c r="AD16" s="521"/>
      <c r="AE16" s="521"/>
      <c r="AF16" s="521"/>
      <c r="AG16" s="264">
        <v>1</v>
      </c>
    </row>
    <row r="17" spans="1:33" s="526" customFormat="1" ht="29">
      <c r="A17" s="513">
        <v>15</v>
      </c>
      <c r="B17" s="514" t="s">
        <v>1542</v>
      </c>
      <c r="C17" s="515" t="s">
        <v>1542</v>
      </c>
      <c r="D17" s="262" t="s">
        <v>462</v>
      </c>
      <c r="E17" s="513">
        <v>15</v>
      </c>
      <c r="F17" s="515" t="s">
        <v>1542</v>
      </c>
      <c r="G17" s="516">
        <v>45296</v>
      </c>
      <c r="H17" s="516">
        <v>45297</v>
      </c>
      <c r="I17" s="516">
        <v>45297</v>
      </c>
      <c r="J17" s="516">
        <v>45297</v>
      </c>
      <c r="K17" s="517">
        <v>45314</v>
      </c>
      <c r="L17" s="518" t="s">
        <v>2589</v>
      </c>
      <c r="M17" s="264" t="s">
        <v>2587</v>
      </c>
      <c r="N17" s="262" t="s">
        <v>2176</v>
      </c>
      <c r="O17" s="390" t="s">
        <v>237</v>
      </c>
      <c r="P17" s="264" t="str">
        <f t="shared" si="1"/>
        <v>Binder Klip  nomor 107</v>
      </c>
      <c r="Q17" s="264" t="s">
        <v>710</v>
      </c>
      <c r="R17" s="525" t="s">
        <v>2595</v>
      </c>
      <c r="S17" s="399">
        <v>5</v>
      </c>
      <c r="T17" s="348" t="s">
        <v>3362</v>
      </c>
      <c r="U17" s="520">
        <v>7500</v>
      </c>
      <c r="V17" s="266">
        <v>37500</v>
      </c>
      <c r="W17" s="521" t="s">
        <v>227</v>
      </c>
      <c r="X17" s="521" t="s">
        <v>3383</v>
      </c>
      <c r="Y17" s="522" t="s">
        <v>2512</v>
      </c>
      <c r="Z17" s="523" t="s">
        <v>541</v>
      </c>
      <c r="AA17" s="521"/>
      <c r="AB17" s="521"/>
      <c r="AC17" s="521"/>
      <c r="AD17" s="521"/>
      <c r="AE17" s="521"/>
      <c r="AF17" s="521"/>
      <c r="AG17" s="264">
        <v>1</v>
      </c>
    </row>
    <row r="18" spans="1:33" s="526" customFormat="1" ht="29">
      <c r="A18" s="513">
        <v>16</v>
      </c>
      <c r="B18" s="514" t="s">
        <v>1542</v>
      </c>
      <c r="C18" s="515" t="s">
        <v>1542</v>
      </c>
      <c r="D18" s="262" t="s">
        <v>462</v>
      </c>
      <c r="E18" s="513">
        <v>16</v>
      </c>
      <c r="F18" s="515" t="s">
        <v>1542</v>
      </c>
      <c r="G18" s="516">
        <v>45296</v>
      </c>
      <c r="H18" s="516">
        <v>45297</v>
      </c>
      <c r="I18" s="516">
        <v>45297</v>
      </c>
      <c r="J18" s="516">
        <v>45297</v>
      </c>
      <c r="K18" s="517">
        <v>45314</v>
      </c>
      <c r="L18" s="518" t="s">
        <v>2589</v>
      </c>
      <c r="M18" s="264" t="s">
        <v>2587</v>
      </c>
      <c r="N18" s="262" t="s">
        <v>2176</v>
      </c>
      <c r="O18" s="390" t="s">
        <v>228</v>
      </c>
      <c r="P18" s="264" t="str">
        <f t="shared" si="1"/>
        <v>Amplop Coklat Merk : Garda Ukuran Cabinet</v>
      </c>
      <c r="Q18" s="264" t="s">
        <v>710</v>
      </c>
      <c r="R18" s="525" t="s">
        <v>2596</v>
      </c>
      <c r="S18" s="399">
        <v>3</v>
      </c>
      <c r="T18" s="348" t="s">
        <v>3365</v>
      </c>
      <c r="U18" s="520">
        <v>23000</v>
      </c>
      <c r="V18" s="266">
        <v>69000</v>
      </c>
      <c r="W18" s="521" t="s">
        <v>227</v>
      </c>
      <c r="X18" s="521" t="s">
        <v>3383</v>
      </c>
      <c r="Y18" s="522" t="s">
        <v>2512</v>
      </c>
      <c r="Z18" s="523" t="s">
        <v>541</v>
      </c>
      <c r="AA18" s="521"/>
      <c r="AB18" s="521"/>
      <c r="AC18" s="521"/>
      <c r="AD18" s="521"/>
      <c r="AE18" s="521"/>
      <c r="AF18" s="521"/>
      <c r="AG18" s="264">
        <v>1</v>
      </c>
    </row>
    <row r="19" spans="1:33" s="526" customFormat="1" ht="29">
      <c r="A19" s="513">
        <v>17</v>
      </c>
      <c r="B19" s="514" t="s">
        <v>1542</v>
      </c>
      <c r="C19" s="515" t="s">
        <v>1542</v>
      </c>
      <c r="D19" s="262" t="s">
        <v>462</v>
      </c>
      <c r="E19" s="513">
        <v>17</v>
      </c>
      <c r="F19" s="515" t="s">
        <v>1542</v>
      </c>
      <c r="G19" s="516">
        <v>45296</v>
      </c>
      <c r="H19" s="516">
        <v>45297</v>
      </c>
      <c r="I19" s="516">
        <v>45297</v>
      </c>
      <c r="J19" s="516">
        <v>45297</v>
      </c>
      <c r="K19" s="517">
        <v>45314</v>
      </c>
      <c r="L19" s="518" t="s">
        <v>2589</v>
      </c>
      <c r="M19" s="264" t="s">
        <v>2587</v>
      </c>
      <c r="N19" s="262" t="s">
        <v>2176</v>
      </c>
      <c r="O19" s="390" t="s">
        <v>248</v>
      </c>
      <c r="P19" s="264" t="str">
        <f t="shared" si="1"/>
        <v>Kertas Label</v>
      </c>
      <c r="Q19" s="264" t="s">
        <v>710</v>
      </c>
      <c r="R19" s="525" t="s">
        <v>2597</v>
      </c>
      <c r="S19" s="399">
        <v>5</v>
      </c>
      <c r="T19" s="348" t="s">
        <v>3368</v>
      </c>
      <c r="U19" s="520">
        <v>25000</v>
      </c>
      <c r="V19" s="266">
        <v>125000</v>
      </c>
      <c r="W19" s="521" t="s">
        <v>227</v>
      </c>
      <c r="X19" s="521" t="s">
        <v>3383</v>
      </c>
      <c r="Y19" s="522" t="s">
        <v>2512</v>
      </c>
      <c r="Z19" s="523" t="s">
        <v>541</v>
      </c>
      <c r="AA19" s="521"/>
      <c r="AB19" s="521"/>
      <c r="AC19" s="521"/>
      <c r="AD19" s="521"/>
      <c r="AE19" s="521"/>
      <c r="AF19" s="521"/>
      <c r="AG19" s="264">
        <v>1</v>
      </c>
    </row>
    <row r="20" spans="1:33" s="526" customFormat="1" ht="43.5">
      <c r="A20" s="513">
        <v>18</v>
      </c>
      <c r="B20" s="514" t="s">
        <v>1542</v>
      </c>
      <c r="C20" s="515" t="s">
        <v>1542</v>
      </c>
      <c r="D20" s="262" t="s">
        <v>462</v>
      </c>
      <c r="E20" s="513">
        <v>18</v>
      </c>
      <c r="F20" s="515" t="s">
        <v>1542</v>
      </c>
      <c r="G20" s="516">
        <v>45296</v>
      </c>
      <c r="H20" s="516">
        <v>45297</v>
      </c>
      <c r="I20" s="516">
        <v>45297</v>
      </c>
      <c r="J20" s="516">
        <v>45297</v>
      </c>
      <c r="K20" s="517">
        <v>45314</v>
      </c>
      <c r="L20" s="518" t="s">
        <v>2589</v>
      </c>
      <c r="M20" s="264" t="s">
        <v>2587</v>
      </c>
      <c r="N20" s="262" t="s">
        <v>2176</v>
      </c>
      <c r="O20" s="390" t="s">
        <v>261</v>
      </c>
      <c r="P20" s="264" t="str">
        <f t="shared" si="1"/>
        <v>Spidol Refil Spidol White Board Snowman</v>
      </c>
      <c r="Q20" s="264" t="s">
        <v>710</v>
      </c>
      <c r="R20" s="519" t="s">
        <v>150</v>
      </c>
      <c r="S20" s="399">
        <v>10</v>
      </c>
      <c r="T20" s="348" t="s">
        <v>3363</v>
      </c>
      <c r="U20" s="520">
        <v>20900</v>
      </c>
      <c r="V20" s="266">
        <v>209000</v>
      </c>
      <c r="W20" s="521" t="s">
        <v>227</v>
      </c>
      <c r="X20" s="521" t="s">
        <v>3383</v>
      </c>
      <c r="Y20" s="522" t="s">
        <v>2512</v>
      </c>
      <c r="Z20" s="523" t="s">
        <v>541</v>
      </c>
      <c r="AA20" s="521"/>
      <c r="AB20" s="521"/>
      <c r="AC20" s="521"/>
      <c r="AD20" s="521"/>
      <c r="AE20" s="521"/>
      <c r="AF20" s="521"/>
      <c r="AG20" s="264">
        <v>1</v>
      </c>
    </row>
    <row r="21" spans="1:33" s="526" customFormat="1" ht="29">
      <c r="A21" s="513">
        <v>19</v>
      </c>
      <c r="B21" s="514" t="s">
        <v>1542</v>
      </c>
      <c r="C21" s="515" t="s">
        <v>1542</v>
      </c>
      <c r="D21" s="262" t="s">
        <v>462</v>
      </c>
      <c r="E21" s="513">
        <v>19</v>
      </c>
      <c r="F21" s="515" t="s">
        <v>1542</v>
      </c>
      <c r="G21" s="516">
        <v>45296</v>
      </c>
      <c r="H21" s="516">
        <v>45297</v>
      </c>
      <c r="I21" s="516">
        <v>45297</v>
      </c>
      <c r="J21" s="516">
        <v>45297</v>
      </c>
      <c r="K21" s="517">
        <v>45314</v>
      </c>
      <c r="L21" s="518" t="s">
        <v>2589</v>
      </c>
      <c r="M21" s="264" t="s">
        <v>2587</v>
      </c>
      <c r="N21" s="262" t="s">
        <v>2176</v>
      </c>
      <c r="O21" s="390" t="s">
        <v>241</v>
      </c>
      <c r="P21" s="264" t="str">
        <f t="shared" si="1"/>
        <v>Binder Klip Merk : KENKO nomor 105</v>
      </c>
      <c r="Q21" s="264" t="s">
        <v>710</v>
      </c>
      <c r="R21" s="525" t="s">
        <v>2598</v>
      </c>
      <c r="S21" s="399">
        <v>2</v>
      </c>
      <c r="T21" s="348" t="s">
        <v>3362</v>
      </c>
      <c r="U21" s="520">
        <v>5000</v>
      </c>
      <c r="V21" s="266">
        <v>10000</v>
      </c>
      <c r="W21" s="521" t="s">
        <v>227</v>
      </c>
      <c r="X21" s="521" t="s">
        <v>3383</v>
      </c>
      <c r="Y21" s="522" t="s">
        <v>2512</v>
      </c>
      <c r="Z21" s="523" t="s">
        <v>541</v>
      </c>
      <c r="AA21" s="521"/>
      <c r="AB21" s="521"/>
      <c r="AC21" s="521"/>
      <c r="AD21" s="521"/>
      <c r="AE21" s="521"/>
      <c r="AF21" s="521"/>
      <c r="AG21" s="264">
        <v>1</v>
      </c>
    </row>
    <row r="22" spans="1:33" s="526" customFormat="1" ht="29">
      <c r="A22" s="513">
        <v>20</v>
      </c>
      <c r="B22" s="514" t="s">
        <v>1542</v>
      </c>
      <c r="C22" s="515" t="s">
        <v>1542</v>
      </c>
      <c r="D22" s="262" t="s">
        <v>462</v>
      </c>
      <c r="E22" s="513">
        <v>20</v>
      </c>
      <c r="F22" s="515" t="s">
        <v>1542</v>
      </c>
      <c r="G22" s="516">
        <v>45296</v>
      </c>
      <c r="H22" s="516">
        <v>45297</v>
      </c>
      <c r="I22" s="516">
        <v>45297</v>
      </c>
      <c r="J22" s="516">
        <v>45297</v>
      </c>
      <c r="K22" s="517">
        <v>45314</v>
      </c>
      <c r="L22" s="518" t="s">
        <v>2589</v>
      </c>
      <c r="M22" s="264" t="s">
        <v>2587</v>
      </c>
      <c r="N22" s="262" t="s">
        <v>2176</v>
      </c>
      <c r="O22" s="390" t="s">
        <v>234</v>
      </c>
      <c r="P22" s="264" t="str">
        <f t="shared" si="1"/>
        <v>Ballpoint Pilot G2</v>
      </c>
      <c r="Q22" s="264" t="s">
        <v>710</v>
      </c>
      <c r="R22" s="519" t="s">
        <v>102</v>
      </c>
      <c r="S22" s="399">
        <v>1</v>
      </c>
      <c r="T22" s="348" t="s">
        <v>3364</v>
      </c>
      <c r="U22" s="520">
        <v>235000</v>
      </c>
      <c r="V22" s="266">
        <v>235000</v>
      </c>
      <c r="W22" s="521" t="s">
        <v>227</v>
      </c>
      <c r="X22" s="521" t="s">
        <v>3383</v>
      </c>
      <c r="Y22" s="522" t="s">
        <v>2512</v>
      </c>
      <c r="Z22" s="523" t="s">
        <v>541</v>
      </c>
      <c r="AA22" s="521"/>
      <c r="AB22" s="521"/>
      <c r="AC22" s="521"/>
      <c r="AD22" s="521"/>
      <c r="AE22" s="521"/>
      <c r="AF22" s="521"/>
      <c r="AG22" s="264">
        <v>1</v>
      </c>
    </row>
    <row r="23" spans="1:33" s="526" customFormat="1" ht="43.5">
      <c r="A23" s="513">
        <v>21</v>
      </c>
      <c r="B23" s="514" t="s">
        <v>1542</v>
      </c>
      <c r="C23" s="515" t="s">
        <v>1542</v>
      </c>
      <c r="D23" s="262" t="s">
        <v>462</v>
      </c>
      <c r="E23" s="513">
        <v>21</v>
      </c>
      <c r="F23" s="515" t="s">
        <v>1542</v>
      </c>
      <c r="G23" s="516">
        <v>45296</v>
      </c>
      <c r="H23" s="516">
        <v>45297</v>
      </c>
      <c r="I23" s="516">
        <v>45297</v>
      </c>
      <c r="J23" s="516">
        <v>45297</v>
      </c>
      <c r="K23" s="517">
        <v>45314</v>
      </c>
      <c r="L23" s="518" t="s">
        <v>2589</v>
      </c>
      <c r="M23" s="264" t="s">
        <v>2587</v>
      </c>
      <c r="N23" s="262" t="s">
        <v>2176</v>
      </c>
      <c r="O23" s="390" t="s">
        <v>2240</v>
      </c>
      <c r="P23" s="264" t="str">
        <f t="shared" si="1"/>
        <v>Ballpoint Boldiner Standar</v>
      </c>
      <c r="Q23" s="264" t="s">
        <v>710</v>
      </c>
      <c r="R23" s="519" t="s">
        <v>100</v>
      </c>
      <c r="S23" s="399">
        <v>2</v>
      </c>
      <c r="T23" s="348" t="s">
        <v>3364</v>
      </c>
      <c r="U23" s="520">
        <v>225000</v>
      </c>
      <c r="V23" s="266">
        <v>450000</v>
      </c>
      <c r="W23" s="521" t="s">
        <v>227</v>
      </c>
      <c r="X23" s="521" t="s">
        <v>3383</v>
      </c>
      <c r="Y23" s="522" t="s">
        <v>2512</v>
      </c>
      <c r="Z23" s="523" t="s">
        <v>541</v>
      </c>
      <c r="AA23" s="521"/>
      <c r="AB23" s="521"/>
      <c r="AC23" s="521"/>
      <c r="AD23" s="521"/>
      <c r="AE23" s="521"/>
      <c r="AF23" s="521"/>
      <c r="AG23" s="264">
        <v>1</v>
      </c>
    </row>
    <row r="24" spans="1:33" s="526" customFormat="1" ht="29">
      <c r="A24" s="513">
        <v>22</v>
      </c>
      <c r="B24" s="514" t="s">
        <v>1542</v>
      </c>
      <c r="C24" s="515" t="s">
        <v>1542</v>
      </c>
      <c r="D24" s="262" t="s">
        <v>462</v>
      </c>
      <c r="E24" s="513">
        <v>22</v>
      </c>
      <c r="F24" s="515" t="s">
        <v>1542</v>
      </c>
      <c r="G24" s="516">
        <v>45296</v>
      </c>
      <c r="H24" s="516">
        <v>45297</v>
      </c>
      <c r="I24" s="516">
        <v>45297</v>
      </c>
      <c r="J24" s="516">
        <v>45297</v>
      </c>
      <c r="K24" s="517">
        <v>45314</v>
      </c>
      <c r="L24" s="518" t="s">
        <v>2589</v>
      </c>
      <c r="M24" s="264" t="s">
        <v>2587</v>
      </c>
      <c r="N24" s="262" t="s">
        <v>2176</v>
      </c>
      <c r="O24" s="390" t="s">
        <v>243</v>
      </c>
      <c r="P24" s="264" t="str">
        <f t="shared" si="1"/>
        <v>C. Tinta Printer EPSON Tinta Printer Epson Blue</v>
      </c>
      <c r="Q24" s="264" t="s">
        <v>710</v>
      </c>
      <c r="R24" s="519" t="s">
        <v>117</v>
      </c>
      <c r="S24" s="399">
        <v>4</v>
      </c>
      <c r="T24" s="348" t="s">
        <v>3367</v>
      </c>
      <c r="U24" s="520">
        <v>110000</v>
      </c>
      <c r="V24" s="266">
        <v>440000</v>
      </c>
      <c r="W24" s="521" t="s">
        <v>227</v>
      </c>
      <c r="X24" s="521" t="s">
        <v>3383</v>
      </c>
      <c r="Y24" s="522" t="s">
        <v>2512</v>
      </c>
      <c r="Z24" s="523" t="s">
        <v>541</v>
      </c>
      <c r="AA24" s="521"/>
      <c r="AB24" s="521"/>
      <c r="AC24" s="521"/>
      <c r="AD24" s="521"/>
      <c r="AE24" s="521"/>
      <c r="AF24" s="521"/>
      <c r="AG24" s="264">
        <v>1</v>
      </c>
    </row>
    <row r="25" spans="1:33" s="526" customFormat="1" ht="29">
      <c r="A25" s="513">
        <v>23</v>
      </c>
      <c r="B25" s="514" t="s">
        <v>1542</v>
      </c>
      <c r="C25" s="515" t="s">
        <v>1542</v>
      </c>
      <c r="D25" s="262" t="s">
        <v>462</v>
      </c>
      <c r="E25" s="513">
        <v>23</v>
      </c>
      <c r="F25" s="515" t="s">
        <v>1542</v>
      </c>
      <c r="G25" s="516">
        <v>45296</v>
      </c>
      <c r="H25" s="516">
        <v>45297</v>
      </c>
      <c r="I25" s="516">
        <v>45297</v>
      </c>
      <c r="J25" s="516">
        <v>45297</v>
      </c>
      <c r="K25" s="517">
        <v>45314</v>
      </c>
      <c r="L25" s="518" t="s">
        <v>2589</v>
      </c>
      <c r="M25" s="264" t="s">
        <v>2587</v>
      </c>
      <c r="N25" s="262" t="s">
        <v>2176</v>
      </c>
      <c r="O25" s="390" t="s">
        <v>254</v>
      </c>
      <c r="P25" s="264" t="str">
        <f t="shared" si="1"/>
        <v>Map Binder</v>
      </c>
      <c r="Q25" s="264" t="s">
        <v>710</v>
      </c>
      <c r="R25" s="519" t="s">
        <v>142</v>
      </c>
      <c r="S25" s="399">
        <v>12</v>
      </c>
      <c r="T25" s="348" t="s">
        <v>3363</v>
      </c>
      <c r="U25" s="520">
        <v>35500</v>
      </c>
      <c r="V25" s="266">
        <v>426000</v>
      </c>
      <c r="W25" s="521" t="s">
        <v>227</v>
      </c>
      <c r="X25" s="521" t="s">
        <v>3383</v>
      </c>
      <c r="Y25" s="522" t="s">
        <v>2512</v>
      </c>
      <c r="Z25" s="523" t="s">
        <v>541</v>
      </c>
      <c r="AA25" s="521"/>
      <c r="AB25" s="521"/>
      <c r="AC25" s="521"/>
      <c r="AD25" s="521"/>
      <c r="AE25" s="521"/>
      <c r="AF25" s="521"/>
      <c r="AG25" s="264">
        <v>1</v>
      </c>
    </row>
    <row r="26" spans="1:33" s="526" customFormat="1" ht="29">
      <c r="A26" s="513">
        <v>24</v>
      </c>
      <c r="B26" s="514" t="s">
        <v>1542</v>
      </c>
      <c r="C26" s="515" t="s">
        <v>1542</v>
      </c>
      <c r="D26" s="262" t="s">
        <v>462</v>
      </c>
      <c r="E26" s="513">
        <v>24</v>
      </c>
      <c r="F26" s="515" t="s">
        <v>1542</v>
      </c>
      <c r="G26" s="516">
        <v>45296</v>
      </c>
      <c r="H26" s="516">
        <v>45297</v>
      </c>
      <c r="I26" s="516">
        <v>45297</v>
      </c>
      <c r="J26" s="516">
        <v>45297</v>
      </c>
      <c r="K26" s="517">
        <v>45314</v>
      </c>
      <c r="L26" s="518" t="s">
        <v>2589</v>
      </c>
      <c r="M26" s="264" t="s">
        <v>2587</v>
      </c>
      <c r="N26" s="262" t="s">
        <v>2176</v>
      </c>
      <c r="O26" s="390" t="s">
        <v>288</v>
      </c>
      <c r="P26" s="264" t="str">
        <f t="shared" si="1"/>
        <v>Stempel Manual</v>
      </c>
      <c r="Q26" s="264" t="s">
        <v>710</v>
      </c>
      <c r="R26" s="525" t="s">
        <v>2599</v>
      </c>
      <c r="S26" s="399">
        <v>5</v>
      </c>
      <c r="T26" s="348" t="s">
        <v>3363</v>
      </c>
      <c r="U26" s="520">
        <v>100000</v>
      </c>
      <c r="V26" s="266">
        <v>500000</v>
      </c>
      <c r="W26" s="521" t="s">
        <v>227</v>
      </c>
      <c r="X26" s="521" t="s">
        <v>3383</v>
      </c>
      <c r="Y26" s="522" t="s">
        <v>2512</v>
      </c>
      <c r="Z26" s="523" t="s">
        <v>541</v>
      </c>
      <c r="AA26" s="521"/>
      <c r="AB26" s="521"/>
      <c r="AC26" s="521"/>
      <c r="AD26" s="521"/>
      <c r="AE26" s="521"/>
      <c r="AF26" s="521"/>
      <c r="AG26" s="264">
        <v>1</v>
      </c>
    </row>
    <row r="27" spans="1:33" s="526" customFormat="1" ht="29">
      <c r="A27" s="513">
        <v>25</v>
      </c>
      <c r="B27" s="514" t="s">
        <v>1542</v>
      </c>
      <c r="C27" s="515" t="s">
        <v>1542</v>
      </c>
      <c r="D27" s="262" t="s">
        <v>462</v>
      </c>
      <c r="E27" s="513">
        <v>25</v>
      </c>
      <c r="F27" s="515" t="s">
        <v>1542</v>
      </c>
      <c r="G27" s="516">
        <v>45296</v>
      </c>
      <c r="H27" s="516">
        <v>45297</v>
      </c>
      <c r="I27" s="516">
        <v>45297</v>
      </c>
      <c r="J27" s="516">
        <v>45297</v>
      </c>
      <c r="K27" s="517">
        <v>45314</v>
      </c>
      <c r="L27" s="518" t="s">
        <v>2589</v>
      </c>
      <c r="M27" s="264" t="s">
        <v>2587</v>
      </c>
      <c r="N27" s="262" t="s">
        <v>2176</v>
      </c>
      <c r="O27" s="390" t="s">
        <v>2241</v>
      </c>
      <c r="P27" s="264" t="str">
        <f t="shared" si="1"/>
        <v>Stapler Stapler No, 50 MAX</v>
      </c>
      <c r="Q27" s="264" t="s">
        <v>710</v>
      </c>
      <c r="R27" s="519" t="s">
        <v>153</v>
      </c>
      <c r="S27" s="399">
        <v>2</v>
      </c>
      <c r="T27" s="348" t="s">
        <v>3363</v>
      </c>
      <c r="U27" s="520">
        <v>25000</v>
      </c>
      <c r="V27" s="266">
        <v>50000</v>
      </c>
      <c r="W27" s="521" t="s">
        <v>227</v>
      </c>
      <c r="X27" s="521" t="s">
        <v>3383</v>
      </c>
      <c r="Y27" s="522" t="s">
        <v>2512</v>
      </c>
      <c r="Z27" s="523" t="s">
        <v>541</v>
      </c>
      <c r="AA27" s="521"/>
      <c r="AB27" s="521"/>
      <c r="AC27" s="521"/>
      <c r="AD27" s="521"/>
      <c r="AE27" s="521"/>
      <c r="AF27" s="521"/>
      <c r="AG27" s="264">
        <v>1</v>
      </c>
    </row>
    <row r="28" spans="1:33" s="526" customFormat="1" ht="29">
      <c r="A28" s="513">
        <v>26</v>
      </c>
      <c r="B28" s="514" t="s">
        <v>1542</v>
      </c>
      <c r="C28" s="515" t="s">
        <v>1542</v>
      </c>
      <c r="D28" s="262" t="s">
        <v>462</v>
      </c>
      <c r="E28" s="513">
        <v>26</v>
      </c>
      <c r="F28" s="515" t="s">
        <v>1542</v>
      </c>
      <c r="G28" s="516">
        <v>45296</v>
      </c>
      <c r="H28" s="516">
        <v>45297</v>
      </c>
      <c r="I28" s="516">
        <v>45297</v>
      </c>
      <c r="J28" s="516">
        <v>45297</v>
      </c>
      <c r="K28" s="517">
        <v>45314</v>
      </c>
      <c r="L28" s="518" t="s">
        <v>2589</v>
      </c>
      <c r="M28" s="264" t="s">
        <v>2587</v>
      </c>
      <c r="N28" s="262" t="s">
        <v>2176</v>
      </c>
      <c r="O28" s="390" t="s">
        <v>230</v>
      </c>
      <c r="P28" s="264" t="str">
        <f t="shared" si="1"/>
        <v>Amplop Coklat Merk : GSU Ukuran : 1/2 folio, bergaris</v>
      </c>
      <c r="Q28" s="264" t="s">
        <v>710</v>
      </c>
      <c r="R28" s="525" t="s">
        <v>2600</v>
      </c>
      <c r="S28" s="399">
        <v>1</v>
      </c>
      <c r="T28" s="348" t="s">
        <v>3365</v>
      </c>
      <c r="U28" s="520">
        <v>45000</v>
      </c>
      <c r="V28" s="266">
        <v>45000</v>
      </c>
      <c r="W28" s="521" t="s">
        <v>227</v>
      </c>
      <c r="X28" s="521" t="s">
        <v>3383</v>
      </c>
      <c r="Y28" s="522" t="s">
        <v>2512</v>
      </c>
      <c r="Z28" s="523" t="s">
        <v>541</v>
      </c>
      <c r="AA28" s="521"/>
      <c r="AB28" s="521"/>
      <c r="AC28" s="521"/>
      <c r="AD28" s="521"/>
      <c r="AE28" s="521"/>
      <c r="AF28" s="521"/>
      <c r="AG28" s="264">
        <v>1</v>
      </c>
    </row>
    <row r="29" spans="1:33" s="526" customFormat="1" ht="29">
      <c r="A29" s="513">
        <v>27</v>
      </c>
      <c r="B29" s="514" t="s">
        <v>1542</v>
      </c>
      <c r="C29" s="515" t="s">
        <v>1542</v>
      </c>
      <c r="D29" s="262" t="s">
        <v>462</v>
      </c>
      <c r="E29" s="513">
        <v>27</v>
      </c>
      <c r="F29" s="515" t="s">
        <v>1542</v>
      </c>
      <c r="G29" s="516">
        <v>45296</v>
      </c>
      <c r="H29" s="516">
        <v>45297</v>
      </c>
      <c r="I29" s="516">
        <v>45297</v>
      </c>
      <c r="J29" s="516">
        <v>45297</v>
      </c>
      <c r="K29" s="517">
        <v>45314</v>
      </c>
      <c r="L29" s="518" t="s">
        <v>2589</v>
      </c>
      <c r="M29" s="264" t="s">
        <v>2587</v>
      </c>
      <c r="N29" s="262" t="s">
        <v>2176</v>
      </c>
      <c r="O29" s="390" t="s">
        <v>2242</v>
      </c>
      <c r="P29" s="264" t="str">
        <f t="shared" si="1"/>
        <v>Lakban Hitam--</v>
      </c>
      <c r="Q29" s="264" t="s">
        <v>710</v>
      </c>
      <c r="R29" s="519" t="s">
        <v>137</v>
      </c>
      <c r="S29" s="399">
        <v>5</v>
      </c>
      <c r="T29" s="348" t="s">
        <v>3363</v>
      </c>
      <c r="U29" s="520">
        <v>15500</v>
      </c>
      <c r="V29" s="266">
        <v>77500</v>
      </c>
      <c r="W29" s="521" t="s">
        <v>227</v>
      </c>
      <c r="X29" s="521" t="s">
        <v>3383</v>
      </c>
      <c r="Y29" s="522" t="s">
        <v>2512</v>
      </c>
      <c r="Z29" s="523" t="s">
        <v>541</v>
      </c>
      <c r="AA29" s="521"/>
      <c r="AB29" s="521"/>
      <c r="AC29" s="521"/>
      <c r="AD29" s="521"/>
      <c r="AE29" s="521"/>
      <c r="AF29" s="521"/>
      <c r="AG29" s="264">
        <v>1</v>
      </c>
    </row>
    <row r="30" spans="1:33" s="526" customFormat="1" ht="29">
      <c r="A30" s="513">
        <v>28</v>
      </c>
      <c r="B30" s="514" t="s">
        <v>1542</v>
      </c>
      <c r="C30" s="515" t="s">
        <v>1542</v>
      </c>
      <c r="D30" s="262" t="s">
        <v>462</v>
      </c>
      <c r="E30" s="513">
        <v>28</v>
      </c>
      <c r="F30" s="515" t="s">
        <v>1542</v>
      </c>
      <c r="G30" s="516">
        <v>45296</v>
      </c>
      <c r="H30" s="516">
        <v>45297</v>
      </c>
      <c r="I30" s="516">
        <v>45297</v>
      </c>
      <c r="J30" s="516">
        <v>45297</v>
      </c>
      <c r="K30" s="517">
        <v>45314</v>
      </c>
      <c r="L30" s="518" t="s">
        <v>2589</v>
      </c>
      <c r="M30" s="264" t="s">
        <v>2587</v>
      </c>
      <c r="N30" s="262" t="s">
        <v>2176</v>
      </c>
      <c r="O30" s="390" t="s">
        <v>256</v>
      </c>
      <c r="P30" s="264" t="str">
        <f t="shared" si="1"/>
        <v>Paper Clip No 1  Paper Clip No 3</v>
      </c>
      <c r="Q30" s="264" t="s">
        <v>710</v>
      </c>
      <c r="R30" s="519" t="s">
        <v>145</v>
      </c>
      <c r="S30" s="399">
        <v>5</v>
      </c>
      <c r="T30" s="348" t="s">
        <v>3362</v>
      </c>
      <c r="U30" s="520">
        <v>6000</v>
      </c>
      <c r="V30" s="266">
        <v>30000</v>
      </c>
      <c r="W30" s="521" t="s">
        <v>227</v>
      </c>
      <c r="X30" s="521" t="s">
        <v>3383</v>
      </c>
      <c r="Y30" s="522" t="s">
        <v>2512</v>
      </c>
      <c r="Z30" s="523" t="s">
        <v>541</v>
      </c>
      <c r="AA30" s="521"/>
      <c r="AB30" s="521"/>
      <c r="AC30" s="521"/>
      <c r="AD30" s="521"/>
      <c r="AE30" s="521"/>
      <c r="AF30" s="521"/>
      <c r="AG30" s="264">
        <v>1</v>
      </c>
    </row>
    <row r="31" spans="1:33" s="526" customFormat="1" ht="29">
      <c r="A31" s="513">
        <v>29</v>
      </c>
      <c r="B31" s="514" t="s">
        <v>1542</v>
      </c>
      <c r="C31" s="515" t="s">
        <v>1542</v>
      </c>
      <c r="D31" s="262" t="s">
        <v>462</v>
      </c>
      <c r="E31" s="513">
        <v>29</v>
      </c>
      <c r="F31" s="515" t="s">
        <v>1542</v>
      </c>
      <c r="G31" s="516">
        <v>45296</v>
      </c>
      <c r="H31" s="516">
        <v>45297</v>
      </c>
      <c r="I31" s="516">
        <v>45297</v>
      </c>
      <c r="J31" s="516">
        <v>45297</v>
      </c>
      <c r="K31" s="517">
        <v>45314</v>
      </c>
      <c r="L31" s="518" t="s">
        <v>2589</v>
      </c>
      <c r="M31" s="264" t="s">
        <v>2587</v>
      </c>
      <c r="N31" s="262" t="s">
        <v>2176</v>
      </c>
      <c r="O31" s="390" t="s">
        <v>2243</v>
      </c>
      <c r="P31" s="264" t="str">
        <f t="shared" si="1"/>
        <v>Lakban Hitam uk 2 " Warna hitam uk. 2 "</v>
      </c>
      <c r="Q31" s="264" t="s">
        <v>710</v>
      </c>
      <c r="R31" s="519" t="s">
        <v>140</v>
      </c>
      <c r="S31" s="399">
        <v>5</v>
      </c>
      <c r="T31" s="348" t="s">
        <v>3363</v>
      </c>
      <c r="U31" s="520">
        <v>25000</v>
      </c>
      <c r="V31" s="266">
        <v>125000</v>
      </c>
      <c r="W31" s="521" t="s">
        <v>227</v>
      </c>
      <c r="X31" s="521" t="s">
        <v>3383</v>
      </c>
      <c r="Y31" s="522" t="s">
        <v>2512</v>
      </c>
      <c r="Z31" s="523" t="s">
        <v>541</v>
      </c>
      <c r="AA31" s="521"/>
      <c r="AB31" s="521"/>
      <c r="AC31" s="521"/>
      <c r="AD31" s="521"/>
      <c r="AE31" s="521"/>
      <c r="AF31" s="521"/>
      <c r="AG31" s="264">
        <v>1</v>
      </c>
    </row>
    <row r="32" spans="1:33" s="526" customFormat="1" ht="29">
      <c r="A32" s="513">
        <v>30</v>
      </c>
      <c r="B32" s="514" t="s">
        <v>1542</v>
      </c>
      <c r="C32" s="515" t="s">
        <v>1542</v>
      </c>
      <c r="D32" s="262" t="s">
        <v>462</v>
      </c>
      <c r="E32" s="513">
        <v>30</v>
      </c>
      <c r="F32" s="515" t="s">
        <v>1542</v>
      </c>
      <c r="G32" s="516">
        <v>45296</v>
      </c>
      <c r="H32" s="516">
        <v>45297</v>
      </c>
      <c r="I32" s="516">
        <v>45297</v>
      </c>
      <c r="J32" s="516">
        <v>45297</v>
      </c>
      <c r="K32" s="517">
        <v>45314</v>
      </c>
      <c r="L32" s="518" t="s">
        <v>2589</v>
      </c>
      <c r="M32" s="264" t="s">
        <v>2587</v>
      </c>
      <c r="N32" s="262" t="s">
        <v>2176</v>
      </c>
      <c r="O32" s="390" t="s">
        <v>250</v>
      </c>
      <c r="P32" s="264" t="str">
        <f t="shared" si="1"/>
        <v>Kertas StensiI</v>
      </c>
      <c r="Q32" s="264" t="s">
        <v>710</v>
      </c>
      <c r="R32" s="519" t="s">
        <v>132</v>
      </c>
      <c r="S32" s="399">
        <v>10</v>
      </c>
      <c r="T32" s="348" t="s">
        <v>3365</v>
      </c>
      <c r="U32" s="520">
        <v>50000</v>
      </c>
      <c r="V32" s="266">
        <v>500000</v>
      </c>
      <c r="W32" s="521" t="s">
        <v>227</v>
      </c>
      <c r="X32" s="521" t="s">
        <v>3383</v>
      </c>
      <c r="Y32" s="522" t="s">
        <v>2512</v>
      </c>
      <c r="Z32" s="523" t="s">
        <v>541</v>
      </c>
      <c r="AA32" s="521"/>
      <c r="AB32" s="521"/>
      <c r="AC32" s="521"/>
      <c r="AD32" s="521"/>
      <c r="AE32" s="521"/>
      <c r="AF32" s="521"/>
      <c r="AG32" s="264">
        <v>1</v>
      </c>
    </row>
    <row r="33" spans="1:33" s="526" customFormat="1" ht="43.5">
      <c r="A33" s="513">
        <v>31</v>
      </c>
      <c r="B33" s="514" t="s">
        <v>1542</v>
      </c>
      <c r="C33" s="515" t="s">
        <v>1542</v>
      </c>
      <c r="D33" s="262" t="s">
        <v>462</v>
      </c>
      <c r="E33" s="513">
        <v>31</v>
      </c>
      <c r="F33" s="515" t="s">
        <v>1542</v>
      </c>
      <c r="G33" s="516">
        <v>45296</v>
      </c>
      <c r="H33" s="516">
        <v>45297</v>
      </c>
      <c r="I33" s="516">
        <v>45297</v>
      </c>
      <c r="J33" s="516">
        <v>45297</v>
      </c>
      <c r="K33" s="517">
        <v>45314</v>
      </c>
      <c r="L33" s="518" t="s">
        <v>2589</v>
      </c>
      <c r="M33" s="264" t="s">
        <v>2587</v>
      </c>
      <c r="N33" s="262" t="s">
        <v>2176</v>
      </c>
      <c r="O33" s="390" t="s">
        <v>262</v>
      </c>
      <c r="P33" s="264" t="str">
        <f t="shared" si="1"/>
        <v>Spidol White board</v>
      </c>
      <c r="Q33" s="264" t="s">
        <v>710</v>
      </c>
      <c r="R33" s="519" t="s">
        <v>151</v>
      </c>
      <c r="S33" s="399">
        <v>2</v>
      </c>
      <c r="T33" s="348" t="s">
        <v>3364</v>
      </c>
      <c r="U33" s="520">
        <v>120000</v>
      </c>
      <c r="V33" s="266">
        <v>240000</v>
      </c>
      <c r="W33" s="521" t="s">
        <v>227</v>
      </c>
      <c r="X33" s="521" t="s">
        <v>3383</v>
      </c>
      <c r="Y33" s="522" t="s">
        <v>2512</v>
      </c>
      <c r="Z33" s="523" t="s">
        <v>541</v>
      </c>
      <c r="AA33" s="521"/>
      <c r="AB33" s="521"/>
      <c r="AC33" s="521"/>
      <c r="AD33" s="521"/>
      <c r="AE33" s="521"/>
      <c r="AF33" s="521"/>
      <c r="AG33" s="264">
        <v>1</v>
      </c>
    </row>
    <row r="34" spans="1:33" s="526" customFormat="1" ht="29">
      <c r="A34" s="513">
        <v>32</v>
      </c>
      <c r="B34" s="514" t="s">
        <v>1542</v>
      </c>
      <c r="C34" s="515" t="s">
        <v>1542</v>
      </c>
      <c r="D34" s="262" t="s">
        <v>462</v>
      </c>
      <c r="E34" s="513">
        <v>32</v>
      </c>
      <c r="F34" s="515" t="s">
        <v>1542</v>
      </c>
      <c r="G34" s="516">
        <v>45296</v>
      </c>
      <c r="H34" s="516">
        <v>45297</v>
      </c>
      <c r="I34" s="516">
        <v>45297</v>
      </c>
      <c r="J34" s="516">
        <v>45297</v>
      </c>
      <c r="K34" s="517">
        <v>45314</v>
      </c>
      <c r="L34" s="518" t="s">
        <v>2589</v>
      </c>
      <c r="M34" s="264" t="s">
        <v>2587</v>
      </c>
      <c r="N34" s="262" t="s">
        <v>2176</v>
      </c>
      <c r="O34" s="390" t="s">
        <v>258</v>
      </c>
      <c r="P34" s="264" t="str">
        <f t="shared" si="1"/>
        <v>Pisau Cutter Kenko L-500</v>
      </c>
      <c r="Q34" s="264" t="s">
        <v>710</v>
      </c>
      <c r="R34" s="525" t="s">
        <v>2601</v>
      </c>
      <c r="S34" s="399">
        <v>2</v>
      </c>
      <c r="T34" s="348" t="s">
        <v>3363</v>
      </c>
      <c r="U34" s="520">
        <v>15000</v>
      </c>
      <c r="V34" s="266">
        <v>30000</v>
      </c>
      <c r="W34" s="521" t="s">
        <v>227</v>
      </c>
      <c r="X34" s="521" t="s">
        <v>3383</v>
      </c>
      <c r="Y34" s="522" t="s">
        <v>2512</v>
      </c>
      <c r="Z34" s="523" t="s">
        <v>541</v>
      </c>
      <c r="AA34" s="521"/>
      <c r="AB34" s="521"/>
      <c r="AC34" s="521"/>
      <c r="AD34" s="521"/>
      <c r="AE34" s="521"/>
      <c r="AF34" s="521"/>
      <c r="AG34" s="264">
        <v>1</v>
      </c>
    </row>
    <row r="35" spans="1:33" s="526" customFormat="1" ht="29">
      <c r="A35" s="513">
        <v>33</v>
      </c>
      <c r="B35" s="514" t="s">
        <v>1542</v>
      </c>
      <c r="C35" s="515" t="s">
        <v>1542</v>
      </c>
      <c r="D35" s="262" t="s">
        <v>462</v>
      </c>
      <c r="E35" s="513">
        <v>33</v>
      </c>
      <c r="F35" s="515" t="s">
        <v>1542</v>
      </c>
      <c r="G35" s="516">
        <v>45296</v>
      </c>
      <c r="H35" s="516">
        <v>45297</v>
      </c>
      <c r="I35" s="516">
        <v>45297</v>
      </c>
      <c r="J35" s="516">
        <v>45297</v>
      </c>
      <c r="K35" s="517">
        <v>45314</v>
      </c>
      <c r="L35" s="518" t="s">
        <v>2589</v>
      </c>
      <c r="M35" s="264" t="s">
        <v>2587</v>
      </c>
      <c r="N35" s="262" t="s">
        <v>2176</v>
      </c>
      <c r="O35" s="390" t="s">
        <v>2244</v>
      </c>
      <c r="P35" s="264" t="str">
        <f t="shared" si="1"/>
        <v>Lem Fox isi 500 gram--</v>
      </c>
      <c r="Q35" s="264" t="s">
        <v>710</v>
      </c>
      <c r="R35" s="519" t="s">
        <v>141</v>
      </c>
      <c r="S35" s="399">
        <v>2</v>
      </c>
      <c r="T35" s="348" t="s">
        <v>3363</v>
      </c>
      <c r="U35" s="520">
        <v>35400</v>
      </c>
      <c r="V35" s="266">
        <v>70800</v>
      </c>
      <c r="W35" s="521" t="s">
        <v>227</v>
      </c>
      <c r="X35" s="521" t="s">
        <v>3383</v>
      </c>
      <c r="Y35" s="522" t="s">
        <v>2512</v>
      </c>
      <c r="Z35" s="523" t="s">
        <v>541</v>
      </c>
      <c r="AA35" s="521"/>
      <c r="AB35" s="521"/>
      <c r="AC35" s="521"/>
      <c r="AD35" s="521"/>
      <c r="AE35" s="521"/>
      <c r="AF35" s="521"/>
      <c r="AG35" s="264">
        <v>1</v>
      </c>
    </row>
    <row r="36" spans="1:33" s="526" customFormat="1" ht="29">
      <c r="A36" s="513">
        <v>34</v>
      </c>
      <c r="B36" s="514" t="s">
        <v>1542</v>
      </c>
      <c r="C36" s="515" t="s">
        <v>1542</v>
      </c>
      <c r="D36" s="262" t="s">
        <v>462</v>
      </c>
      <c r="E36" s="513">
        <v>34</v>
      </c>
      <c r="F36" s="515" t="s">
        <v>1542</v>
      </c>
      <c r="G36" s="516">
        <v>45296</v>
      </c>
      <c r="H36" s="516">
        <v>45297</v>
      </c>
      <c r="I36" s="516">
        <v>45297</v>
      </c>
      <c r="J36" s="516">
        <v>45297</v>
      </c>
      <c r="K36" s="517">
        <v>45314</v>
      </c>
      <c r="L36" s="518" t="s">
        <v>2589</v>
      </c>
      <c r="M36" s="264" t="s">
        <v>2587</v>
      </c>
      <c r="N36" s="262" t="s">
        <v>2176</v>
      </c>
      <c r="O36" s="390" t="s">
        <v>2245</v>
      </c>
      <c r="P36" s="264" t="str">
        <f t="shared" si="1"/>
        <v>Buku Ekspedisi 100</v>
      </c>
      <c r="Q36" s="264" t="s">
        <v>710</v>
      </c>
      <c r="R36" s="519" t="s">
        <v>115</v>
      </c>
      <c r="S36" s="399">
        <v>6</v>
      </c>
      <c r="T36" s="348" t="s">
        <v>3363</v>
      </c>
      <c r="U36" s="520">
        <v>15000</v>
      </c>
      <c r="V36" s="266">
        <v>90000</v>
      </c>
      <c r="W36" s="521" t="s">
        <v>227</v>
      </c>
      <c r="X36" s="521" t="s">
        <v>3383</v>
      </c>
      <c r="Y36" s="522" t="s">
        <v>2512</v>
      </c>
      <c r="Z36" s="523" t="s">
        <v>541</v>
      </c>
      <c r="AA36" s="521"/>
      <c r="AB36" s="521"/>
      <c r="AC36" s="521"/>
      <c r="AD36" s="521"/>
      <c r="AE36" s="521"/>
      <c r="AF36" s="521"/>
      <c r="AG36" s="264">
        <v>1</v>
      </c>
    </row>
    <row r="37" spans="1:33" s="526" customFormat="1" ht="29">
      <c r="A37" s="513">
        <v>35</v>
      </c>
      <c r="B37" s="514" t="s">
        <v>1542</v>
      </c>
      <c r="C37" s="515" t="s">
        <v>1542</v>
      </c>
      <c r="D37" s="262" t="s">
        <v>462</v>
      </c>
      <c r="E37" s="513">
        <v>35</v>
      </c>
      <c r="F37" s="515" t="s">
        <v>1542</v>
      </c>
      <c r="G37" s="516">
        <v>45296</v>
      </c>
      <c r="H37" s="516">
        <v>45297</v>
      </c>
      <c r="I37" s="516">
        <v>45297</v>
      </c>
      <c r="J37" s="516">
        <v>45297</v>
      </c>
      <c r="K37" s="517">
        <v>45314</v>
      </c>
      <c r="L37" s="518" t="s">
        <v>2589</v>
      </c>
      <c r="M37" s="264" t="s">
        <v>2587</v>
      </c>
      <c r="N37" s="262" t="s">
        <v>2176</v>
      </c>
      <c r="O37" s="390" t="s">
        <v>240</v>
      </c>
      <c r="P37" s="264" t="str">
        <f t="shared" si="1"/>
        <v>Binder Klip  nomor 260</v>
      </c>
      <c r="Q37" s="264" t="s">
        <v>710</v>
      </c>
      <c r="R37" s="525" t="s">
        <v>2602</v>
      </c>
      <c r="S37" s="399">
        <v>10</v>
      </c>
      <c r="T37" s="348" t="s">
        <v>3362</v>
      </c>
      <c r="U37" s="520">
        <v>20000</v>
      </c>
      <c r="V37" s="266">
        <v>200000</v>
      </c>
      <c r="W37" s="521" t="s">
        <v>227</v>
      </c>
      <c r="X37" s="521" t="s">
        <v>3383</v>
      </c>
      <c r="Y37" s="522" t="s">
        <v>2512</v>
      </c>
      <c r="Z37" s="523" t="s">
        <v>541</v>
      </c>
      <c r="AA37" s="521"/>
      <c r="AB37" s="521"/>
      <c r="AC37" s="521"/>
      <c r="AD37" s="521"/>
      <c r="AE37" s="521"/>
      <c r="AF37" s="521"/>
      <c r="AG37" s="264">
        <v>1</v>
      </c>
    </row>
    <row r="38" spans="1:33" s="526" customFormat="1" ht="29">
      <c r="A38" s="513">
        <v>36</v>
      </c>
      <c r="B38" s="514" t="s">
        <v>1542</v>
      </c>
      <c r="C38" s="515" t="s">
        <v>1542</v>
      </c>
      <c r="D38" s="262" t="s">
        <v>462</v>
      </c>
      <c r="E38" s="513">
        <v>36</v>
      </c>
      <c r="F38" s="515" t="s">
        <v>1542</v>
      </c>
      <c r="G38" s="516">
        <v>45296</v>
      </c>
      <c r="H38" s="516">
        <v>45297</v>
      </c>
      <c r="I38" s="516">
        <v>45297</v>
      </c>
      <c r="J38" s="516">
        <v>45297</v>
      </c>
      <c r="K38" s="517">
        <v>45314</v>
      </c>
      <c r="L38" s="518" t="s">
        <v>2589</v>
      </c>
      <c r="M38" s="264" t="s">
        <v>2587</v>
      </c>
      <c r="N38" s="262" t="s">
        <v>2176</v>
      </c>
      <c r="O38" s="390" t="s">
        <v>246</v>
      </c>
      <c r="P38" s="264" t="str">
        <f t="shared" si="1"/>
        <v>C. Tinta Printer EPSON Tinta Printer Epson Yellow</v>
      </c>
      <c r="Q38" s="264" t="s">
        <v>710</v>
      </c>
      <c r="R38" s="519" t="s">
        <v>119</v>
      </c>
      <c r="S38" s="399">
        <v>4</v>
      </c>
      <c r="T38" s="348" t="s">
        <v>3367</v>
      </c>
      <c r="U38" s="520">
        <v>110000</v>
      </c>
      <c r="V38" s="266">
        <v>440000</v>
      </c>
      <c r="W38" s="521" t="s">
        <v>227</v>
      </c>
      <c r="X38" s="521" t="s">
        <v>3383</v>
      </c>
      <c r="Y38" s="522" t="s">
        <v>2512</v>
      </c>
      <c r="Z38" s="523" t="s">
        <v>541</v>
      </c>
      <c r="AA38" s="521"/>
      <c r="AB38" s="521"/>
      <c r="AC38" s="521"/>
      <c r="AD38" s="521"/>
      <c r="AE38" s="521"/>
      <c r="AF38" s="521"/>
      <c r="AG38" s="264">
        <v>1</v>
      </c>
    </row>
    <row r="39" spans="1:33" s="526" customFormat="1" ht="29">
      <c r="A39" s="513">
        <v>37</v>
      </c>
      <c r="B39" s="514" t="s">
        <v>1542</v>
      </c>
      <c r="C39" s="515" t="s">
        <v>1542</v>
      </c>
      <c r="D39" s="262" t="s">
        <v>462</v>
      </c>
      <c r="E39" s="513">
        <v>37</v>
      </c>
      <c r="F39" s="515" t="s">
        <v>1542</v>
      </c>
      <c r="G39" s="516">
        <v>45296</v>
      </c>
      <c r="H39" s="516">
        <v>45297</v>
      </c>
      <c r="I39" s="516">
        <v>45297</v>
      </c>
      <c r="J39" s="516">
        <v>45297</v>
      </c>
      <c r="K39" s="517">
        <v>45314</v>
      </c>
      <c r="L39" s="518" t="s">
        <v>2589</v>
      </c>
      <c r="M39" s="264" t="s">
        <v>2587</v>
      </c>
      <c r="N39" s="262" t="s">
        <v>2176</v>
      </c>
      <c r="O39" s="390" t="s">
        <v>255</v>
      </c>
      <c r="P39" s="264" t="str">
        <f t="shared" si="1"/>
        <v>PAPER CLIP  Paper Clip No 1</v>
      </c>
      <c r="Q39" s="264" t="s">
        <v>710</v>
      </c>
      <c r="R39" s="519" t="s">
        <v>144</v>
      </c>
      <c r="S39" s="399">
        <v>5</v>
      </c>
      <c r="T39" s="348" t="s">
        <v>3362</v>
      </c>
      <c r="U39" s="520">
        <v>5000</v>
      </c>
      <c r="V39" s="266">
        <v>25000</v>
      </c>
      <c r="W39" s="521" t="s">
        <v>227</v>
      </c>
      <c r="X39" s="521" t="s">
        <v>3383</v>
      </c>
      <c r="Y39" s="522" t="s">
        <v>2512</v>
      </c>
      <c r="Z39" s="523" t="s">
        <v>541</v>
      </c>
      <c r="AA39" s="521"/>
      <c r="AB39" s="521"/>
      <c r="AC39" s="521"/>
      <c r="AD39" s="521"/>
      <c r="AE39" s="521"/>
      <c r="AF39" s="521"/>
      <c r="AG39" s="264">
        <v>1</v>
      </c>
    </row>
    <row r="40" spans="1:33" s="526" customFormat="1" ht="29">
      <c r="A40" s="513">
        <v>38</v>
      </c>
      <c r="B40" s="514" t="s">
        <v>1542</v>
      </c>
      <c r="C40" s="515" t="s">
        <v>1542</v>
      </c>
      <c r="D40" s="262" t="s">
        <v>462</v>
      </c>
      <c r="E40" s="513">
        <v>38</v>
      </c>
      <c r="F40" s="515" t="s">
        <v>1542</v>
      </c>
      <c r="G40" s="516">
        <v>45296</v>
      </c>
      <c r="H40" s="516">
        <v>45297</v>
      </c>
      <c r="I40" s="516">
        <v>45297</v>
      </c>
      <c r="J40" s="516">
        <v>45297</v>
      </c>
      <c r="K40" s="517">
        <v>45314</v>
      </c>
      <c r="L40" s="518" t="s">
        <v>2589</v>
      </c>
      <c r="M40" s="264" t="s">
        <v>2587</v>
      </c>
      <c r="N40" s="262" t="s">
        <v>2176</v>
      </c>
      <c r="O40" s="390" t="s">
        <v>265</v>
      </c>
      <c r="P40" s="264" t="str">
        <f t="shared" si="1"/>
        <v>Tinta Stempel</v>
      </c>
      <c r="Q40" s="264" t="s">
        <v>710</v>
      </c>
      <c r="R40" s="519" t="s">
        <v>161</v>
      </c>
      <c r="S40" s="399">
        <v>5</v>
      </c>
      <c r="T40" s="348" t="s">
        <v>3367</v>
      </c>
      <c r="U40" s="520">
        <v>20000</v>
      </c>
      <c r="V40" s="266">
        <v>100000</v>
      </c>
      <c r="W40" s="521" t="s">
        <v>227</v>
      </c>
      <c r="X40" s="521" t="s">
        <v>3383</v>
      </c>
      <c r="Y40" s="522" t="s">
        <v>2512</v>
      </c>
      <c r="Z40" s="523" t="s">
        <v>541</v>
      </c>
      <c r="AA40" s="521"/>
      <c r="AB40" s="521"/>
      <c r="AC40" s="521"/>
      <c r="AD40" s="521"/>
      <c r="AE40" s="521"/>
      <c r="AF40" s="521"/>
      <c r="AG40" s="264">
        <v>1</v>
      </c>
    </row>
    <row r="41" spans="1:33" s="526" customFormat="1" ht="29">
      <c r="A41" s="513">
        <v>39</v>
      </c>
      <c r="B41" s="514" t="s">
        <v>1542</v>
      </c>
      <c r="C41" s="515" t="s">
        <v>1542</v>
      </c>
      <c r="D41" s="262" t="s">
        <v>462</v>
      </c>
      <c r="E41" s="513">
        <v>39</v>
      </c>
      <c r="F41" s="515" t="s">
        <v>1542</v>
      </c>
      <c r="G41" s="516">
        <v>45296</v>
      </c>
      <c r="H41" s="516">
        <v>45297</v>
      </c>
      <c r="I41" s="516">
        <v>45297</v>
      </c>
      <c r="J41" s="516">
        <v>45297</v>
      </c>
      <c r="K41" s="517">
        <v>45314</v>
      </c>
      <c r="L41" s="518" t="s">
        <v>2589</v>
      </c>
      <c r="M41" s="264" t="s">
        <v>2587</v>
      </c>
      <c r="N41" s="262" t="s">
        <v>2176</v>
      </c>
      <c r="O41" s="390" t="s">
        <v>247</v>
      </c>
      <c r="P41" s="264" t="str">
        <f t="shared" si="1"/>
        <v>Kertas HVS 80 gram Merk : Paper One A4, Ukuran : 8,27" x 11,69", Isi : 500 lembar</v>
      </c>
      <c r="Q41" s="264" t="s">
        <v>710</v>
      </c>
      <c r="R41" s="519" t="s">
        <v>1351</v>
      </c>
      <c r="S41" s="399">
        <v>40</v>
      </c>
      <c r="T41" s="348" t="s">
        <v>3369</v>
      </c>
      <c r="U41" s="520">
        <v>50000</v>
      </c>
      <c r="V41" s="266">
        <v>2000000</v>
      </c>
      <c r="W41" s="521" t="s">
        <v>227</v>
      </c>
      <c r="X41" s="521" t="s">
        <v>3383</v>
      </c>
      <c r="Y41" s="522" t="s">
        <v>2512</v>
      </c>
      <c r="Z41" s="523" t="s">
        <v>541</v>
      </c>
      <c r="AA41" s="521"/>
      <c r="AB41" s="521"/>
      <c r="AC41" s="521"/>
      <c r="AD41" s="521"/>
      <c r="AE41" s="521"/>
      <c r="AF41" s="521"/>
      <c r="AG41" s="264">
        <v>1</v>
      </c>
    </row>
    <row r="42" spans="1:33" s="526" customFormat="1" ht="29">
      <c r="A42" s="513">
        <v>40</v>
      </c>
      <c r="B42" s="514" t="s">
        <v>1542</v>
      </c>
      <c r="C42" s="515" t="s">
        <v>1542</v>
      </c>
      <c r="D42" s="262" t="s">
        <v>462</v>
      </c>
      <c r="E42" s="513">
        <v>40</v>
      </c>
      <c r="F42" s="515" t="s">
        <v>1542</v>
      </c>
      <c r="G42" s="516">
        <v>45296</v>
      </c>
      <c r="H42" s="516">
        <v>45297</v>
      </c>
      <c r="I42" s="516">
        <v>45297</v>
      </c>
      <c r="J42" s="516">
        <v>45297</v>
      </c>
      <c r="K42" s="517">
        <v>45314</v>
      </c>
      <c r="L42" s="518" t="s">
        <v>2589</v>
      </c>
      <c r="M42" s="264" t="s">
        <v>2587</v>
      </c>
      <c r="N42" s="262" t="s">
        <v>2176</v>
      </c>
      <c r="O42" s="390" t="s">
        <v>2246</v>
      </c>
      <c r="P42" s="264" t="str">
        <f t="shared" si="1"/>
        <v>Materai 10.000</v>
      </c>
      <c r="Q42" s="264" t="s">
        <v>710</v>
      </c>
      <c r="R42" s="519" t="s">
        <v>2603</v>
      </c>
      <c r="S42" s="399">
        <v>100</v>
      </c>
      <c r="T42" s="348" t="s">
        <v>3363</v>
      </c>
      <c r="U42" s="520">
        <v>12000</v>
      </c>
      <c r="V42" s="266">
        <v>1200000</v>
      </c>
      <c r="W42" s="521" t="s">
        <v>227</v>
      </c>
      <c r="X42" s="521" t="s">
        <v>3383</v>
      </c>
      <c r="Y42" s="522" t="s">
        <v>2512</v>
      </c>
      <c r="Z42" s="523" t="s">
        <v>541</v>
      </c>
      <c r="AA42" s="521"/>
      <c r="AB42" s="521"/>
      <c r="AC42" s="521"/>
      <c r="AD42" s="521"/>
      <c r="AE42" s="521"/>
      <c r="AF42" s="521"/>
      <c r="AG42" s="264">
        <v>1</v>
      </c>
    </row>
    <row r="43" spans="1:33" s="526" customFormat="1" ht="29">
      <c r="A43" s="513">
        <v>41</v>
      </c>
      <c r="B43" s="514" t="s">
        <v>1542</v>
      </c>
      <c r="C43" s="515" t="s">
        <v>1542</v>
      </c>
      <c r="D43" s="262" t="s">
        <v>462</v>
      </c>
      <c r="E43" s="513">
        <v>41</v>
      </c>
      <c r="F43" s="515" t="s">
        <v>1542</v>
      </c>
      <c r="G43" s="516">
        <v>45296</v>
      </c>
      <c r="H43" s="516">
        <v>45297</v>
      </c>
      <c r="I43" s="516">
        <v>45297</v>
      </c>
      <c r="J43" s="516">
        <v>45297</v>
      </c>
      <c r="K43" s="517">
        <v>45314</v>
      </c>
      <c r="L43" s="518" t="s">
        <v>2589</v>
      </c>
      <c r="M43" s="264" t="s">
        <v>2587</v>
      </c>
      <c r="N43" s="262" t="s">
        <v>2176</v>
      </c>
      <c r="O43" s="390" t="s">
        <v>264</v>
      </c>
      <c r="P43" s="264" t="str">
        <f t="shared" si="1"/>
        <v>Stofmap Transparan</v>
      </c>
      <c r="Q43" s="264" t="s">
        <v>710</v>
      </c>
      <c r="R43" s="519" t="s">
        <v>157</v>
      </c>
      <c r="S43" s="399">
        <v>100</v>
      </c>
      <c r="T43" s="348" t="s">
        <v>3363</v>
      </c>
      <c r="U43" s="520">
        <v>5500</v>
      </c>
      <c r="V43" s="266">
        <v>550000</v>
      </c>
      <c r="W43" s="521" t="s">
        <v>227</v>
      </c>
      <c r="X43" s="521" t="s">
        <v>3383</v>
      </c>
      <c r="Y43" s="522" t="s">
        <v>2512</v>
      </c>
      <c r="Z43" s="523" t="s">
        <v>541</v>
      </c>
      <c r="AA43" s="521"/>
      <c r="AB43" s="521"/>
      <c r="AC43" s="521"/>
      <c r="AD43" s="521"/>
      <c r="AE43" s="521"/>
      <c r="AF43" s="521"/>
      <c r="AG43" s="264">
        <v>1</v>
      </c>
    </row>
    <row r="44" spans="1:33" s="526" customFormat="1" ht="29">
      <c r="A44" s="513">
        <v>42</v>
      </c>
      <c r="B44" s="514" t="s">
        <v>1542</v>
      </c>
      <c r="C44" s="515" t="s">
        <v>1542</v>
      </c>
      <c r="D44" s="262" t="s">
        <v>462</v>
      </c>
      <c r="E44" s="513">
        <v>42</v>
      </c>
      <c r="F44" s="515" t="s">
        <v>1542</v>
      </c>
      <c r="G44" s="516">
        <v>45296</v>
      </c>
      <c r="H44" s="516">
        <v>45297</v>
      </c>
      <c r="I44" s="516">
        <v>45297</v>
      </c>
      <c r="J44" s="516">
        <v>45297</v>
      </c>
      <c r="K44" s="517">
        <v>45314</v>
      </c>
      <c r="L44" s="518" t="s">
        <v>2589</v>
      </c>
      <c r="M44" s="264" t="s">
        <v>2587</v>
      </c>
      <c r="N44" s="262" t="s">
        <v>2176</v>
      </c>
      <c r="O44" s="390" t="s">
        <v>2247</v>
      </c>
      <c r="P44" s="264" t="str">
        <f t="shared" si="1"/>
        <v>Amplop Panjang Putih Polos Merk : Jaya Ukuran : 11 x 23 cm</v>
      </c>
      <c r="Q44" s="264" t="s">
        <v>710</v>
      </c>
      <c r="R44" s="519" t="s">
        <v>99</v>
      </c>
      <c r="S44" s="399">
        <v>1</v>
      </c>
      <c r="T44" s="348" t="s">
        <v>3362</v>
      </c>
      <c r="U44" s="520">
        <v>48000</v>
      </c>
      <c r="V44" s="266">
        <v>48000</v>
      </c>
      <c r="W44" s="521" t="s">
        <v>227</v>
      </c>
      <c r="X44" s="521" t="s">
        <v>3383</v>
      </c>
      <c r="Y44" s="522" t="s">
        <v>2512</v>
      </c>
      <c r="Z44" s="523" t="s">
        <v>541</v>
      </c>
      <c r="AA44" s="521"/>
      <c r="AB44" s="521"/>
      <c r="AC44" s="521"/>
      <c r="AD44" s="521"/>
      <c r="AE44" s="521"/>
      <c r="AF44" s="521"/>
      <c r="AG44" s="264">
        <v>1</v>
      </c>
    </row>
    <row r="45" spans="1:33" s="526" customFormat="1" ht="29">
      <c r="A45" s="513">
        <v>43</v>
      </c>
      <c r="B45" s="514" t="s">
        <v>1542</v>
      </c>
      <c r="C45" s="515" t="s">
        <v>1542</v>
      </c>
      <c r="D45" s="262" t="s">
        <v>462</v>
      </c>
      <c r="E45" s="513">
        <v>43</v>
      </c>
      <c r="F45" s="515" t="s">
        <v>1542</v>
      </c>
      <c r="G45" s="516">
        <v>45296</v>
      </c>
      <c r="H45" s="516">
        <v>45297</v>
      </c>
      <c r="I45" s="516">
        <v>45297</v>
      </c>
      <c r="J45" s="516">
        <v>45297</v>
      </c>
      <c r="K45" s="517">
        <v>45314</v>
      </c>
      <c r="L45" s="518" t="s">
        <v>2589</v>
      </c>
      <c r="M45" s="264" t="s">
        <v>2587</v>
      </c>
      <c r="N45" s="262" t="s">
        <v>2176</v>
      </c>
      <c r="O45" s="390" t="s">
        <v>2248</v>
      </c>
      <c r="P45" s="264" t="str">
        <f t="shared" si="1"/>
        <v>canon catridge 741-catridge 741</v>
      </c>
      <c r="Q45" s="264" t="s">
        <v>710</v>
      </c>
      <c r="R45" s="519" t="s">
        <v>121</v>
      </c>
      <c r="S45" s="399">
        <v>4</v>
      </c>
      <c r="T45" s="348" t="s">
        <v>3363</v>
      </c>
      <c r="U45" s="520">
        <v>425000</v>
      </c>
      <c r="V45" s="266">
        <v>1700000</v>
      </c>
      <c r="W45" s="521" t="s">
        <v>227</v>
      </c>
      <c r="X45" s="521" t="s">
        <v>3383</v>
      </c>
      <c r="Y45" s="522" t="s">
        <v>2512</v>
      </c>
      <c r="Z45" s="523" t="s">
        <v>541</v>
      </c>
      <c r="AA45" s="521"/>
      <c r="AB45" s="521"/>
      <c r="AC45" s="521"/>
      <c r="AD45" s="521"/>
      <c r="AE45" s="521"/>
      <c r="AF45" s="521"/>
      <c r="AG45" s="264">
        <v>1</v>
      </c>
    </row>
    <row r="46" spans="1:33" s="526" customFormat="1" ht="29">
      <c r="A46" s="513">
        <v>44</v>
      </c>
      <c r="B46" s="514" t="s">
        <v>1542</v>
      </c>
      <c r="C46" s="515" t="s">
        <v>1542</v>
      </c>
      <c r="D46" s="262" t="s">
        <v>462</v>
      </c>
      <c r="E46" s="513">
        <v>44</v>
      </c>
      <c r="F46" s="515" t="s">
        <v>1542</v>
      </c>
      <c r="G46" s="516">
        <v>45296</v>
      </c>
      <c r="H46" s="516">
        <v>45297</v>
      </c>
      <c r="I46" s="516">
        <v>45297</v>
      </c>
      <c r="J46" s="516">
        <v>45297</v>
      </c>
      <c r="K46" s="517">
        <v>45314</v>
      </c>
      <c r="L46" s="518" t="s">
        <v>2589</v>
      </c>
      <c r="M46" s="264" t="s">
        <v>2587</v>
      </c>
      <c r="N46" s="262" t="s">
        <v>2176</v>
      </c>
      <c r="O46" s="390" t="s">
        <v>249</v>
      </c>
      <c r="P46" s="264" t="str">
        <f t="shared" si="1"/>
        <v>Kertas Post-It Warna Warni  Sign Here</v>
      </c>
      <c r="Q46" s="264" t="s">
        <v>710</v>
      </c>
      <c r="R46" s="525" t="s">
        <v>2604</v>
      </c>
      <c r="S46" s="399">
        <v>5</v>
      </c>
      <c r="T46" s="348" t="s">
        <v>3363</v>
      </c>
      <c r="U46" s="520">
        <v>22800</v>
      </c>
      <c r="V46" s="266">
        <v>114000</v>
      </c>
      <c r="W46" s="521" t="s">
        <v>227</v>
      </c>
      <c r="X46" s="521" t="s">
        <v>3383</v>
      </c>
      <c r="Y46" s="522" t="s">
        <v>2512</v>
      </c>
      <c r="Z46" s="523" t="s">
        <v>541</v>
      </c>
      <c r="AA46" s="521"/>
      <c r="AB46" s="521"/>
      <c r="AC46" s="521"/>
      <c r="AD46" s="521"/>
      <c r="AE46" s="521"/>
      <c r="AF46" s="521"/>
      <c r="AG46" s="264">
        <v>1</v>
      </c>
    </row>
    <row r="47" spans="1:33" s="526" customFormat="1" ht="37.5">
      <c r="A47" s="513">
        <v>45</v>
      </c>
      <c r="B47" s="514" t="s">
        <v>1542</v>
      </c>
      <c r="C47" s="515" t="s">
        <v>1542</v>
      </c>
      <c r="D47" s="262" t="s">
        <v>462</v>
      </c>
      <c r="E47" s="513">
        <v>45</v>
      </c>
      <c r="F47" s="515" t="s">
        <v>1542</v>
      </c>
      <c r="G47" s="516">
        <v>45296</v>
      </c>
      <c r="H47" s="516">
        <v>45297</v>
      </c>
      <c r="I47" s="516">
        <v>45297</v>
      </c>
      <c r="J47" s="516">
        <v>45297</v>
      </c>
      <c r="K47" s="517">
        <v>45314</v>
      </c>
      <c r="L47" s="518" t="s">
        <v>2589</v>
      </c>
      <c r="M47" s="264" t="s">
        <v>2587</v>
      </c>
      <c r="N47" s="262" t="s">
        <v>2176</v>
      </c>
      <c r="O47" s="390" t="s">
        <v>252</v>
      </c>
      <c r="P47" s="524" t="s">
        <v>2605</v>
      </c>
      <c r="Q47" s="264" t="s">
        <v>710</v>
      </c>
      <c r="R47" s="519" t="s">
        <v>134</v>
      </c>
      <c r="S47" s="399">
        <v>5</v>
      </c>
      <c r="T47" s="348" t="s">
        <v>2436</v>
      </c>
      <c r="U47" s="520">
        <v>10000</v>
      </c>
      <c r="V47" s="266">
        <v>50000</v>
      </c>
      <c r="W47" s="521" t="s">
        <v>227</v>
      </c>
      <c r="X47" s="521" t="s">
        <v>3383</v>
      </c>
      <c r="Y47" s="522" t="s">
        <v>2512</v>
      </c>
      <c r="Z47" s="523" t="s">
        <v>541</v>
      </c>
      <c r="AA47" s="521"/>
      <c r="AB47" s="521"/>
      <c r="AC47" s="521"/>
      <c r="AD47" s="521"/>
      <c r="AE47" s="521"/>
      <c r="AF47" s="521"/>
      <c r="AG47" s="264">
        <v>1</v>
      </c>
    </row>
    <row r="48" spans="1:33" s="526" customFormat="1" ht="29">
      <c r="A48" s="513">
        <v>46</v>
      </c>
      <c r="B48" s="514" t="s">
        <v>1542</v>
      </c>
      <c r="C48" s="515" t="s">
        <v>1542</v>
      </c>
      <c r="D48" s="262" t="s">
        <v>462</v>
      </c>
      <c r="E48" s="513">
        <v>46</v>
      </c>
      <c r="F48" s="515" t="s">
        <v>1542</v>
      </c>
      <c r="G48" s="516">
        <v>45296</v>
      </c>
      <c r="H48" s="516">
        <v>45297</v>
      </c>
      <c r="I48" s="516">
        <v>45297</v>
      </c>
      <c r="J48" s="516">
        <v>45297</v>
      </c>
      <c r="K48" s="517">
        <v>45314</v>
      </c>
      <c r="L48" s="518" t="s">
        <v>2589</v>
      </c>
      <c r="M48" s="264" t="s">
        <v>2587</v>
      </c>
      <c r="N48" s="262" t="s">
        <v>2176</v>
      </c>
      <c r="O48" s="390" t="s">
        <v>239</v>
      </c>
      <c r="P48" s="264" t="str">
        <f t="shared" ref="P48:P94" si="2">O48</f>
        <v>Binder Klip  nomor 200</v>
      </c>
      <c r="Q48" s="264" t="s">
        <v>710</v>
      </c>
      <c r="R48" s="519" t="s">
        <v>110</v>
      </c>
      <c r="S48" s="399">
        <v>10</v>
      </c>
      <c r="T48" s="348" t="s">
        <v>3362</v>
      </c>
      <c r="U48" s="520">
        <v>16500</v>
      </c>
      <c r="V48" s="266">
        <v>165000</v>
      </c>
      <c r="W48" s="521" t="s">
        <v>227</v>
      </c>
      <c r="X48" s="521" t="s">
        <v>3383</v>
      </c>
      <c r="Y48" s="522" t="s">
        <v>2512</v>
      </c>
      <c r="Z48" s="523" t="s">
        <v>541</v>
      </c>
      <c r="AA48" s="521"/>
      <c r="AB48" s="521"/>
      <c r="AC48" s="521"/>
      <c r="AD48" s="521"/>
      <c r="AE48" s="521"/>
      <c r="AF48" s="521"/>
      <c r="AG48" s="264">
        <v>1</v>
      </c>
    </row>
    <row r="49" spans="1:33" s="526" customFormat="1" ht="29">
      <c r="A49" s="513">
        <v>47</v>
      </c>
      <c r="B49" s="514" t="s">
        <v>1542</v>
      </c>
      <c r="C49" s="515" t="s">
        <v>1542</v>
      </c>
      <c r="D49" s="262" t="s">
        <v>462</v>
      </c>
      <c r="E49" s="513">
        <v>47</v>
      </c>
      <c r="F49" s="515" t="s">
        <v>1542</v>
      </c>
      <c r="G49" s="516">
        <v>45296</v>
      </c>
      <c r="H49" s="516">
        <v>45297</v>
      </c>
      <c r="I49" s="516">
        <v>45297</v>
      </c>
      <c r="J49" s="516">
        <v>45297</v>
      </c>
      <c r="K49" s="517">
        <v>45314</v>
      </c>
      <c r="L49" s="518" t="s">
        <v>2589</v>
      </c>
      <c r="M49" s="264" t="s">
        <v>2587</v>
      </c>
      <c r="N49" s="262" t="s">
        <v>2176</v>
      </c>
      <c r="O49" s="390" t="s">
        <v>2249</v>
      </c>
      <c r="P49" s="264" t="str">
        <f t="shared" si="2"/>
        <v>Baterey Tanggung</v>
      </c>
      <c r="Q49" s="264" t="s">
        <v>710</v>
      </c>
      <c r="R49" s="519" t="s">
        <v>107</v>
      </c>
      <c r="S49" s="399">
        <v>5</v>
      </c>
      <c r="T49" s="348" t="s">
        <v>3366</v>
      </c>
      <c r="U49" s="520">
        <v>20000</v>
      </c>
      <c r="V49" s="266">
        <v>100000</v>
      </c>
      <c r="W49" s="521" t="s">
        <v>227</v>
      </c>
      <c r="X49" s="521" t="s">
        <v>3383</v>
      </c>
      <c r="Y49" s="522" t="s">
        <v>2512</v>
      </c>
      <c r="Z49" s="523" t="s">
        <v>541</v>
      </c>
      <c r="AA49" s="521"/>
      <c r="AB49" s="521"/>
      <c r="AC49" s="521"/>
      <c r="AD49" s="521"/>
      <c r="AE49" s="521"/>
      <c r="AF49" s="521"/>
      <c r="AG49" s="264">
        <v>1</v>
      </c>
    </row>
    <row r="50" spans="1:33" s="526" customFormat="1" ht="29">
      <c r="A50" s="513">
        <v>48</v>
      </c>
      <c r="B50" s="514" t="s">
        <v>1542</v>
      </c>
      <c r="C50" s="515" t="s">
        <v>1542</v>
      </c>
      <c r="D50" s="262" t="s">
        <v>462</v>
      </c>
      <c r="E50" s="513">
        <v>48</v>
      </c>
      <c r="F50" s="515" t="s">
        <v>1542</v>
      </c>
      <c r="G50" s="516">
        <v>45296</v>
      </c>
      <c r="H50" s="516">
        <v>45297</v>
      </c>
      <c r="I50" s="516">
        <v>45297</v>
      </c>
      <c r="J50" s="516">
        <v>45297</v>
      </c>
      <c r="K50" s="517">
        <v>45314</v>
      </c>
      <c r="L50" s="518" t="s">
        <v>2589</v>
      </c>
      <c r="M50" s="264" t="s">
        <v>2587</v>
      </c>
      <c r="N50" s="262" t="s">
        <v>2176</v>
      </c>
      <c r="O50" s="390" t="s">
        <v>2250</v>
      </c>
      <c r="P50" s="264" t="str">
        <f t="shared" si="2"/>
        <v>C. Tinta Printer EPSON Toner Epson 664 Black</v>
      </c>
      <c r="Q50" s="264" t="s">
        <v>710</v>
      </c>
      <c r="R50" s="519" t="s">
        <v>120</v>
      </c>
      <c r="S50" s="399">
        <v>6</v>
      </c>
      <c r="T50" s="348" t="s">
        <v>3367</v>
      </c>
      <c r="U50" s="520">
        <v>85000</v>
      </c>
      <c r="V50" s="266">
        <v>510000</v>
      </c>
      <c r="W50" s="521" t="s">
        <v>227</v>
      </c>
      <c r="X50" s="521" t="s">
        <v>3383</v>
      </c>
      <c r="Y50" s="522" t="s">
        <v>2512</v>
      </c>
      <c r="Z50" s="523" t="s">
        <v>541</v>
      </c>
      <c r="AA50" s="521"/>
      <c r="AB50" s="521"/>
      <c r="AC50" s="521"/>
      <c r="AD50" s="521"/>
      <c r="AE50" s="521"/>
      <c r="AF50" s="521"/>
      <c r="AG50" s="264">
        <v>1</v>
      </c>
    </row>
    <row r="51" spans="1:33" s="526" customFormat="1" ht="29">
      <c r="A51" s="513">
        <v>49</v>
      </c>
      <c r="B51" s="514" t="s">
        <v>1542</v>
      </c>
      <c r="C51" s="515" t="s">
        <v>1542</v>
      </c>
      <c r="D51" s="262" t="s">
        <v>462</v>
      </c>
      <c r="E51" s="513">
        <v>49</v>
      </c>
      <c r="F51" s="515" t="s">
        <v>1542</v>
      </c>
      <c r="G51" s="516">
        <v>45296</v>
      </c>
      <c r="H51" s="516">
        <v>45297</v>
      </c>
      <c r="I51" s="516">
        <v>45297</v>
      </c>
      <c r="J51" s="516">
        <v>45297</v>
      </c>
      <c r="K51" s="517">
        <v>45314</v>
      </c>
      <c r="L51" s="518" t="s">
        <v>2589</v>
      </c>
      <c r="M51" s="264" t="s">
        <v>2587</v>
      </c>
      <c r="N51" s="262" t="s">
        <v>2176</v>
      </c>
      <c r="O51" s="390" t="s">
        <v>2251</v>
      </c>
      <c r="P51" s="264" t="str">
        <f t="shared" si="2"/>
        <v>Isi Staples Sedang</v>
      </c>
      <c r="Q51" s="264" t="s">
        <v>710</v>
      </c>
      <c r="R51" s="519" t="s">
        <v>126</v>
      </c>
      <c r="S51" s="399">
        <v>2</v>
      </c>
      <c r="T51" s="348" t="s">
        <v>3362</v>
      </c>
      <c r="U51" s="520">
        <v>40000</v>
      </c>
      <c r="V51" s="266">
        <v>80000</v>
      </c>
      <c r="W51" s="521" t="s">
        <v>227</v>
      </c>
      <c r="X51" s="521" t="s">
        <v>3383</v>
      </c>
      <c r="Y51" s="522" t="s">
        <v>2512</v>
      </c>
      <c r="Z51" s="523" t="s">
        <v>541</v>
      </c>
      <c r="AA51" s="521"/>
      <c r="AB51" s="521"/>
      <c r="AC51" s="521"/>
      <c r="AD51" s="521"/>
      <c r="AE51" s="521"/>
      <c r="AF51" s="521"/>
      <c r="AG51" s="264">
        <v>1</v>
      </c>
    </row>
    <row r="52" spans="1:33" s="526" customFormat="1" ht="29">
      <c r="A52" s="513">
        <v>50</v>
      </c>
      <c r="B52" s="514" t="s">
        <v>1542</v>
      </c>
      <c r="C52" s="515" t="s">
        <v>1542</v>
      </c>
      <c r="D52" s="262" t="s">
        <v>462</v>
      </c>
      <c r="E52" s="513">
        <v>50</v>
      </c>
      <c r="F52" s="515" t="s">
        <v>1542</v>
      </c>
      <c r="G52" s="516">
        <v>45296</v>
      </c>
      <c r="H52" s="516">
        <v>45297</v>
      </c>
      <c r="I52" s="516">
        <v>45297</v>
      </c>
      <c r="J52" s="516">
        <v>45297</v>
      </c>
      <c r="K52" s="517">
        <v>45314</v>
      </c>
      <c r="L52" s="518" t="s">
        <v>2589</v>
      </c>
      <c r="M52" s="264" t="s">
        <v>2587</v>
      </c>
      <c r="N52" s="262" t="s">
        <v>2176</v>
      </c>
      <c r="O52" s="390" t="s">
        <v>251</v>
      </c>
      <c r="P52" s="264" t="str">
        <f t="shared" si="2"/>
        <v>Kertas Warna Blank Folio, Ukuran : 8,5 x 14",  70 gram</v>
      </c>
      <c r="Q52" s="264" t="s">
        <v>710</v>
      </c>
      <c r="R52" s="519" t="s">
        <v>133</v>
      </c>
      <c r="S52" s="399">
        <v>2</v>
      </c>
      <c r="T52" s="348" t="s">
        <v>3369</v>
      </c>
      <c r="U52" s="520">
        <v>90000</v>
      </c>
      <c r="V52" s="266">
        <v>180000</v>
      </c>
      <c r="W52" s="521" t="s">
        <v>227</v>
      </c>
      <c r="X52" s="521" t="s">
        <v>3383</v>
      </c>
      <c r="Y52" s="522" t="s">
        <v>2512</v>
      </c>
      <c r="Z52" s="523" t="s">
        <v>541</v>
      </c>
      <c r="AA52" s="521"/>
      <c r="AB52" s="521"/>
      <c r="AC52" s="521"/>
      <c r="AD52" s="521"/>
      <c r="AE52" s="521"/>
      <c r="AF52" s="521"/>
      <c r="AG52" s="264">
        <v>1</v>
      </c>
    </row>
    <row r="53" spans="1:33" s="526" customFormat="1" ht="29">
      <c r="A53" s="513">
        <v>51</v>
      </c>
      <c r="B53" s="514" t="s">
        <v>1542</v>
      </c>
      <c r="C53" s="515" t="s">
        <v>1542</v>
      </c>
      <c r="D53" s="262" t="s">
        <v>462</v>
      </c>
      <c r="E53" s="513">
        <v>51</v>
      </c>
      <c r="F53" s="515" t="s">
        <v>1542</v>
      </c>
      <c r="G53" s="516">
        <v>45296</v>
      </c>
      <c r="H53" s="516">
        <v>45297</v>
      </c>
      <c r="I53" s="516">
        <v>45297</v>
      </c>
      <c r="J53" s="516">
        <v>45297</v>
      </c>
      <c r="K53" s="517">
        <v>45314</v>
      </c>
      <c r="L53" s="518" t="s">
        <v>2589</v>
      </c>
      <c r="M53" s="264" t="s">
        <v>2587</v>
      </c>
      <c r="N53" s="262" t="s">
        <v>2176</v>
      </c>
      <c r="O53" s="390" t="s">
        <v>260</v>
      </c>
      <c r="P53" s="264" t="str">
        <f t="shared" si="2"/>
        <v>Sampul Plastik</v>
      </c>
      <c r="Q53" s="264" t="s">
        <v>710</v>
      </c>
      <c r="R53" s="519" t="s">
        <v>149</v>
      </c>
      <c r="S53" s="399">
        <v>5</v>
      </c>
      <c r="T53" s="348" t="s">
        <v>3365</v>
      </c>
      <c r="U53" s="520">
        <v>65000</v>
      </c>
      <c r="V53" s="266">
        <v>325000</v>
      </c>
      <c r="W53" s="521" t="s">
        <v>227</v>
      </c>
      <c r="X53" s="521" t="s">
        <v>3383</v>
      </c>
      <c r="Y53" s="522" t="s">
        <v>2512</v>
      </c>
      <c r="Z53" s="523" t="s">
        <v>541</v>
      </c>
      <c r="AA53" s="521"/>
      <c r="AB53" s="521"/>
      <c r="AC53" s="521"/>
      <c r="AD53" s="521"/>
      <c r="AE53" s="521"/>
      <c r="AF53" s="521"/>
      <c r="AG53" s="264">
        <v>1</v>
      </c>
    </row>
    <row r="54" spans="1:33" s="526" customFormat="1" ht="29">
      <c r="A54" s="513">
        <v>52</v>
      </c>
      <c r="B54" s="514" t="s">
        <v>1542</v>
      </c>
      <c r="C54" s="515" t="s">
        <v>1542</v>
      </c>
      <c r="D54" s="262" t="s">
        <v>462</v>
      </c>
      <c r="E54" s="513">
        <v>52</v>
      </c>
      <c r="F54" s="515" t="s">
        <v>1542</v>
      </c>
      <c r="G54" s="516">
        <v>45296</v>
      </c>
      <c r="H54" s="516">
        <v>45297</v>
      </c>
      <c r="I54" s="516">
        <v>45297</v>
      </c>
      <c r="J54" s="516">
        <v>45297</v>
      </c>
      <c r="K54" s="517">
        <v>45314</v>
      </c>
      <c r="L54" s="518" t="s">
        <v>2589</v>
      </c>
      <c r="M54" s="264" t="s">
        <v>2587</v>
      </c>
      <c r="N54" s="262" t="s">
        <v>2176</v>
      </c>
      <c r="O54" s="390" t="s">
        <v>2252</v>
      </c>
      <c r="P54" s="264" t="str">
        <f t="shared" si="2"/>
        <v>Box File Merk : Bantex Ukuran : 115x270x325 mm</v>
      </c>
      <c r="Q54" s="264" t="s">
        <v>710</v>
      </c>
      <c r="R54" s="524" t="s">
        <v>2606</v>
      </c>
      <c r="S54" s="399">
        <v>4</v>
      </c>
      <c r="T54" s="348" t="s">
        <v>3363</v>
      </c>
      <c r="U54" s="520">
        <v>59800</v>
      </c>
      <c r="V54" s="266">
        <v>239200</v>
      </c>
      <c r="W54" s="521" t="s">
        <v>227</v>
      </c>
      <c r="X54" s="521" t="s">
        <v>3383</v>
      </c>
      <c r="Y54" s="522" t="s">
        <v>2512</v>
      </c>
      <c r="Z54" s="523" t="s">
        <v>541</v>
      </c>
      <c r="AA54" s="521"/>
      <c r="AB54" s="521"/>
      <c r="AC54" s="521"/>
      <c r="AD54" s="521"/>
      <c r="AE54" s="521"/>
      <c r="AF54" s="521"/>
      <c r="AG54" s="264">
        <v>1</v>
      </c>
    </row>
    <row r="55" spans="1:33" s="526" customFormat="1" ht="43.5">
      <c r="A55" s="513">
        <v>53</v>
      </c>
      <c r="B55" s="514" t="s">
        <v>1542</v>
      </c>
      <c r="C55" s="515" t="s">
        <v>1542</v>
      </c>
      <c r="D55" s="262" t="s">
        <v>462</v>
      </c>
      <c r="E55" s="513">
        <v>53</v>
      </c>
      <c r="F55" s="515" t="s">
        <v>1542</v>
      </c>
      <c r="G55" s="516">
        <v>45296</v>
      </c>
      <c r="H55" s="516">
        <v>45297</v>
      </c>
      <c r="I55" s="516">
        <v>45297</v>
      </c>
      <c r="J55" s="516">
        <v>45297</v>
      </c>
      <c r="K55" s="517">
        <v>45314</v>
      </c>
      <c r="L55" s="518" t="s">
        <v>2589</v>
      </c>
      <c r="M55" s="264" t="s">
        <v>2587</v>
      </c>
      <c r="N55" s="262" t="s">
        <v>2176</v>
      </c>
      <c r="O55" s="390" t="s">
        <v>2253</v>
      </c>
      <c r="P55" s="264" t="str">
        <f t="shared" si="2"/>
        <v>Catridge Printer Epson T 014--</v>
      </c>
      <c r="Q55" s="264" t="s">
        <v>710</v>
      </c>
      <c r="R55" s="519" t="s">
        <v>122</v>
      </c>
      <c r="S55" s="399">
        <v>4</v>
      </c>
      <c r="T55" s="348" t="s">
        <v>3367</v>
      </c>
      <c r="U55" s="520">
        <v>310000</v>
      </c>
      <c r="V55" s="266">
        <v>1240000</v>
      </c>
      <c r="W55" s="521" t="s">
        <v>227</v>
      </c>
      <c r="X55" s="521" t="s">
        <v>3383</v>
      </c>
      <c r="Y55" s="522" t="s">
        <v>2512</v>
      </c>
      <c r="Z55" s="523" t="s">
        <v>541</v>
      </c>
      <c r="AA55" s="521"/>
      <c r="AB55" s="521"/>
      <c r="AC55" s="521"/>
      <c r="AD55" s="521"/>
      <c r="AE55" s="521"/>
      <c r="AF55" s="521"/>
      <c r="AG55" s="264">
        <v>1</v>
      </c>
    </row>
    <row r="56" spans="1:33" s="526" customFormat="1" ht="29">
      <c r="A56" s="513">
        <v>54</v>
      </c>
      <c r="B56" s="514" t="s">
        <v>1542</v>
      </c>
      <c r="C56" s="515" t="s">
        <v>1542</v>
      </c>
      <c r="D56" s="262" t="s">
        <v>462</v>
      </c>
      <c r="E56" s="513">
        <v>54</v>
      </c>
      <c r="F56" s="515" t="s">
        <v>1542</v>
      </c>
      <c r="G56" s="516">
        <v>45296</v>
      </c>
      <c r="H56" s="516">
        <v>45297</v>
      </c>
      <c r="I56" s="516">
        <v>45297</v>
      </c>
      <c r="J56" s="516">
        <v>45297</v>
      </c>
      <c r="K56" s="517">
        <v>45314</v>
      </c>
      <c r="L56" s="518" t="s">
        <v>2589</v>
      </c>
      <c r="M56" s="264" t="s">
        <v>2587</v>
      </c>
      <c r="N56" s="262" t="s">
        <v>2176</v>
      </c>
      <c r="O56" s="390" t="s">
        <v>2254</v>
      </c>
      <c r="P56" s="264" t="str">
        <f t="shared" si="2"/>
        <v>USB FLASH DISK USB/Flash Disk 4GB</v>
      </c>
      <c r="Q56" s="264" t="s">
        <v>710</v>
      </c>
      <c r="R56" s="519" t="s">
        <v>162</v>
      </c>
      <c r="S56" s="399">
        <v>1</v>
      </c>
      <c r="T56" s="348" t="s">
        <v>3363</v>
      </c>
      <c r="U56" s="520">
        <v>80000</v>
      </c>
      <c r="V56" s="266">
        <v>80000</v>
      </c>
      <c r="W56" s="521" t="s">
        <v>227</v>
      </c>
      <c r="X56" s="521" t="s">
        <v>3383</v>
      </c>
      <c r="Y56" s="522" t="s">
        <v>2512</v>
      </c>
      <c r="Z56" s="523" t="s">
        <v>541</v>
      </c>
      <c r="AA56" s="521"/>
      <c r="AB56" s="521"/>
      <c r="AC56" s="521"/>
      <c r="AD56" s="521"/>
      <c r="AE56" s="521"/>
      <c r="AF56" s="521"/>
      <c r="AG56" s="264">
        <v>1</v>
      </c>
    </row>
    <row r="57" spans="1:33" s="526" customFormat="1" ht="29">
      <c r="A57" s="513">
        <v>55</v>
      </c>
      <c r="B57" s="514" t="s">
        <v>1542</v>
      </c>
      <c r="C57" s="515" t="s">
        <v>1542</v>
      </c>
      <c r="D57" s="262" t="s">
        <v>462</v>
      </c>
      <c r="E57" s="513">
        <v>55</v>
      </c>
      <c r="F57" s="515" t="s">
        <v>1542</v>
      </c>
      <c r="G57" s="516">
        <v>45296</v>
      </c>
      <c r="H57" s="516">
        <v>45297</v>
      </c>
      <c r="I57" s="516">
        <v>45297</v>
      </c>
      <c r="J57" s="516">
        <v>45297</v>
      </c>
      <c r="K57" s="517">
        <v>45314</v>
      </c>
      <c r="L57" s="518" t="s">
        <v>2589</v>
      </c>
      <c r="M57" s="264" t="s">
        <v>2587</v>
      </c>
      <c r="N57" s="262" t="s">
        <v>2176</v>
      </c>
      <c r="O57" s="390" t="s">
        <v>253</v>
      </c>
      <c r="P57" s="264" t="str">
        <f t="shared" si="2"/>
        <v>Lakban warna Uk 2" Warna Coklat Cofiie</v>
      </c>
      <c r="Q57" s="264" t="s">
        <v>710</v>
      </c>
      <c r="R57" s="519" t="s">
        <v>140</v>
      </c>
      <c r="S57" s="399">
        <v>3</v>
      </c>
      <c r="T57" s="348" t="s">
        <v>3363</v>
      </c>
      <c r="U57" s="520">
        <v>20000</v>
      </c>
      <c r="V57" s="266">
        <v>60000</v>
      </c>
      <c r="W57" s="521" t="s">
        <v>227</v>
      </c>
      <c r="X57" s="521" t="s">
        <v>3383</v>
      </c>
      <c r="Y57" s="522" t="s">
        <v>2512</v>
      </c>
      <c r="Z57" s="523" t="s">
        <v>541</v>
      </c>
      <c r="AA57" s="521"/>
      <c r="AB57" s="521"/>
      <c r="AC57" s="521"/>
      <c r="AD57" s="521"/>
      <c r="AE57" s="521"/>
      <c r="AF57" s="521"/>
      <c r="AG57" s="264">
        <v>1</v>
      </c>
    </row>
    <row r="58" spans="1:33" s="526" customFormat="1" ht="29">
      <c r="A58" s="513">
        <v>56</v>
      </c>
      <c r="B58" s="514" t="s">
        <v>1542</v>
      </c>
      <c r="C58" s="515" t="s">
        <v>1542</v>
      </c>
      <c r="D58" s="262" t="s">
        <v>462</v>
      </c>
      <c r="E58" s="513">
        <v>56</v>
      </c>
      <c r="F58" s="515" t="s">
        <v>1542</v>
      </c>
      <c r="G58" s="516">
        <v>45296</v>
      </c>
      <c r="H58" s="516">
        <v>45297</v>
      </c>
      <c r="I58" s="516">
        <v>45297</v>
      </c>
      <c r="J58" s="516">
        <v>45297</v>
      </c>
      <c r="K58" s="517">
        <v>45314</v>
      </c>
      <c r="L58" s="518" t="s">
        <v>2589</v>
      </c>
      <c r="M58" s="264" t="s">
        <v>2587</v>
      </c>
      <c r="N58" s="262" t="s">
        <v>2176</v>
      </c>
      <c r="O58" s="390" t="s">
        <v>2255</v>
      </c>
      <c r="P58" s="264" t="str">
        <f t="shared" si="2"/>
        <v>gunting kertas-ukuran : panjang 21cm x lebar 8cm, stainless steel</v>
      </c>
      <c r="Q58" s="264" t="s">
        <v>710</v>
      </c>
      <c r="R58" s="519" t="s">
        <v>123</v>
      </c>
      <c r="S58" s="399">
        <v>2</v>
      </c>
      <c r="T58" s="348" t="s">
        <v>3363</v>
      </c>
      <c r="U58" s="520">
        <v>20000</v>
      </c>
      <c r="V58" s="266">
        <v>40000</v>
      </c>
      <c r="W58" s="521" t="s">
        <v>227</v>
      </c>
      <c r="X58" s="521" t="s">
        <v>3383</v>
      </c>
      <c r="Y58" s="522" t="s">
        <v>2512</v>
      </c>
      <c r="Z58" s="523" t="s">
        <v>541</v>
      </c>
      <c r="AA58" s="521"/>
      <c r="AB58" s="521"/>
      <c r="AC58" s="521"/>
      <c r="AD58" s="521"/>
      <c r="AE58" s="521"/>
      <c r="AF58" s="521"/>
      <c r="AG58" s="264">
        <v>1</v>
      </c>
    </row>
    <row r="59" spans="1:33" s="526" customFormat="1" ht="29">
      <c r="A59" s="513">
        <v>57</v>
      </c>
      <c r="B59" s="514" t="s">
        <v>1542</v>
      </c>
      <c r="C59" s="515" t="s">
        <v>1542</v>
      </c>
      <c r="D59" s="262" t="s">
        <v>462</v>
      </c>
      <c r="E59" s="513">
        <v>57</v>
      </c>
      <c r="F59" s="515" t="s">
        <v>1542</v>
      </c>
      <c r="G59" s="516">
        <v>45296</v>
      </c>
      <c r="H59" s="516">
        <v>45297</v>
      </c>
      <c r="I59" s="516">
        <v>45297</v>
      </c>
      <c r="J59" s="516">
        <v>45297</v>
      </c>
      <c r="K59" s="517">
        <v>45314</v>
      </c>
      <c r="L59" s="518" t="s">
        <v>2589</v>
      </c>
      <c r="M59" s="264" t="s">
        <v>2587</v>
      </c>
      <c r="N59" s="262" t="s">
        <v>2176</v>
      </c>
      <c r="O59" s="390" t="s">
        <v>257</v>
      </c>
      <c r="P59" s="264" t="str">
        <f t="shared" si="2"/>
        <v>Penghapus White Board</v>
      </c>
      <c r="Q59" s="264" t="s">
        <v>710</v>
      </c>
      <c r="R59" s="519" t="s">
        <v>146</v>
      </c>
      <c r="S59" s="399">
        <v>30</v>
      </c>
      <c r="T59" s="348" t="s">
        <v>3363</v>
      </c>
      <c r="U59" s="520">
        <v>10000</v>
      </c>
      <c r="V59" s="266">
        <v>300000</v>
      </c>
      <c r="W59" s="521" t="s">
        <v>227</v>
      </c>
      <c r="X59" s="521" t="s">
        <v>3383</v>
      </c>
      <c r="Y59" s="522" t="s">
        <v>2512</v>
      </c>
      <c r="Z59" s="523" t="s">
        <v>541</v>
      </c>
      <c r="AA59" s="521"/>
      <c r="AB59" s="521"/>
      <c r="AC59" s="521"/>
      <c r="AD59" s="521"/>
      <c r="AE59" s="521"/>
      <c r="AF59" s="521"/>
      <c r="AG59" s="264">
        <v>1</v>
      </c>
    </row>
    <row r="60" spans="1:33" s="526" customFormat="1" ht="29">
      <c r="A60" s="513">
        <v>58</v>
      </c>
      <c r="B60" s="514" t="s">
        <v>1542</v>
      </c>
      <c r="C60" s="515" t="s">
        <v>1542</v>
      </c>
      <c r="D60" s="262" t="s">
        <v>462</v>
      </c>
      <c r="E60" s="513">
        <v>58</v>
      </c>
      <c r="F60" s="515" t="s">
        <v>1542</v>
      </c>
      <c r="G60" s="516">
        <v>45296</v>
      </c>
      <c r="H60" s="516">
        <v>45297</v>
      </c>
      <c r="I60" s="516">
        <v>45297</v>
      </c>
      <c r="J60" s="516">
        <v>45297</v>
      </c>
      <c r="K60" s="517">
        <v>45314</v>
      </c>
      <c r="L60" s="518" t="s">
        <v>2589</v>
      </c>
      <c r="M60" s="264" t="s">
        <v>2587</v>
      </c>
      <c r="N60" s="262" t="s">
        <v>2176</v>
      </c>
      <c r="O60" s="390" t="s">
        <v>2256</v>
      </c>
      <c r="P60" s="264" t="str">
        <f t="shared" si="2"/>
        <v>Ballpoint Standard AE7</v>
      </c>
      <c r="Q60" s="264" t="s">
        <v>710</v>
      </c>
      <c r="R60" s="519" t="s">
        <v>103</v>
      </c>
      <c r="S60" s="399">
        <v>2</v>
      </c>
      <c r="T60" s="348" t="s">
        <v>3364</v>
      </c>
      <c r="U60" s="520">
        <v>20000</v>
      </c>
      <c r="V60" s="266">
        <v>40000</v>
      </c>
      <c r="W60" s="521" t="s">
        <v>227</v>
      </c>
      <c r="X60" s="521" t="s">
        <v>3383</v>
      </c>
      <c r="Y60" s="522" t="s">
        <v>2512</v>
      </c>
      <c r="Z60" s="523" t="s">
        <v>541</v>
      </c>
      <c r="AA60" s="521"/>
      <c r="AB60" s="521"/>
      <c r="AC60" s="521"/>
      <c r="AD60" s="521"/>
      <c r="AE60" s="521"/>
      <c r="AF60" s="521"/>
      <c r="AG60" s="264">
        <v>1</v>
      </c>
    </row>
    <row r="61" spans="1:33" s="526" customFormat="1" ht="29">
      <c r="A61" s="513">
        <v>59</v>
      </c>
      <c r="B61" s="514" t="s">
        <v>1542</v>
      </c>
      <c r="C61" s="515" t="s">
        <v>1542</v>
      </c>
      <c r="D61" s="262" t="s">
        <v>462</v>
      </c>
      <c r="E61" s="513">
        <v>59</v>
      </c>
      <c r="F61" s="515" t="s">
        <v>1542</v>
      </c>
      <c r="G61" s="516">
        <v>45296</v>
      </c>
      <c r="H61" s="516">
        <v>45297</v>
      </c>
      <c r="I61" s="516">
        <v>45297</v>
      </c>
      <c r="J61" s="516">
        <v>45297</v>
      </c>
      <c r="K61" s="517">
        <v>45314</v>
      </c>
      <c r="L61" s="518" t="s">
        <v>2589</v>
      </c>
      <c r="M61" s="264" t="s">
        <v>2587</v>
      </c>
      <c r="N61" s="262" t="s">
        <v>2176</v>
      </c>
      <c r="O61" s="390" t="s">
        <v>245</v>
      </c>
      <c r="P61" s="264" t="str">
        <f t="shared" si="2"/>
        <v>C. Tinta Printer EPSON Tinta Printer Epson Read</v>
      </c>
      <c r="Q61" s="264" t="s">
        <v>710</v>
      </c>
      <c r="R61" s="528" t="s">
        <v>118</v>
      </c>
      <c r="S61" s="399">
        <v>4</v>
      </c>
      <c r="T61" s="348" t="s">
        <v>3367</v>
      </c>
      <c r="U61" s="520">
        <v>110000</v>
      </c>
      <c r="V61" s="266">
        <v>440000</v>
      </c>
      <c r="W61" s="521" t="s">
        <v>227</v>
      </c>
      <c r="X61" s="521" t="s">
        <v>3383</v>
      </c>
      <c r="Y61" s="522" t="s">
        <v>2512</v>
      </c>
      <c r="Z61" s="523" t="s">
        <v>541</v>
      </c>
      <c r="AA61" s="521"/>
      <c r="AB61" s="521"/>
      <c r="AC61" s="521"/>
      <c r="AD61" s="521"/>
      <c r="AE61" s="521"/>
      <c r="AF61" s="521"/>
      <c r="AG61" s="264">
        <v>1</v>
      </c>
    </row>
    <row r="62" spans="1:33" s="526" customFormat="1" ht="29">
      <c r="A62" s="513">
        <v>60</v>
      </c>
      <c r="B62" s="514" t="s">
        <v>1542</v>
      </c>
      <c r="C62" s="515" t="s">
        <v>1542</v>
      </c>
      <c r="D62" s="262" t="s">
        <v>462</v>
      </c>
      <c r="E62" s="513">
        <v>60</v>
      </c>
      <c r="F62" s="515" t="s">
        <v>1542</v>
      </c>
      <c r="G62" s="516">
        <v>45296</v>
      </c>
      <c r="H62" s="516">
        <v>45297</v>
      </c>
      <c r="I62" s="516">
        <v>45297</v>
      </c>
      <c r="J62" s="516">
        <v>45297</v>
      </c>
      <c r="K62" s="517">
        <v>45314</v>
      </c>
      <c r="L62" s="518" t="s">
        <v>2589</v>
      </c>
      <c r="M62" s="264" t="s">
        <v>2587</v>
      </c>
      <c r="N62" s="262" t="s">
        <v>2176</v>
      </c>
      <c r="O62" s="390" t="s">
        <v>263</v>
      </c>
      <c r="P62" s="264" t="str">
        <f t="shared" si="2"/>
        <v>Stofmap Kertas</v>
      </c>
      <c r="Q62" s="264" t="s">
        <v>710</v>
      </c>
      <c r="R62" s="519" t="s">
        <v>156</v>
      </c>
      <c r="S62" s="399">
        <v>1</v>
      </c>
      <c r="T62" s="348" t="s">
        <v>3370</v>
      </c>
      <c r="U62" s="520">
        <v>87500</v>
      </c>
      <c r="V62" s="266">
        <v>87500</v>
      </c>
      <c r="W62" s="521" t="s">
        <v>227</v>
      </c>
      <c r="X62" s="521" t="s">
        <v>3383</v>
      </c>
      <c r="Y62" s="522" t="s">
        <v>2512</v>
      </c>
      <c r="Z62" s="523" t="s">
        <v>541</v>
      </c>
      <c r="AA62" s="521"/>
      <c r="AB62" s="521"/>
      <c r="AC62" s="521"/>
      <c r="AD62" s="521"/>
      <c r="AE62" s="521"/>
      <c r="AF62" s="521"/>
      <c r="AG62" s="264">
        <v>1</v>
      </c>
    </row>
    <row r="63" spans="1:33" s="526" customFormat="1" ht="29">
      <c r="A63" s="513">
        <v>61</v>
      </c>
      <c r="B63" s="514" t="s">
        <v>1542</v>
      </c>
      <c r="C63" s="515" t="s">
        <v>1542</v>
      </c>
      <c r="D63" s="262" t="s">
        <v>462</v>
      </c>
      <c r="E63" s="513">
        <v>61</v>
      </c>
      <c r="F63" s="515" t="s">
        <v>1542</v>
      </c>
      <c r="G63" s="516">
        <v>45296</v>
      </c>
      <c r="H63" s="516">
        <v>45297</v>
      </c>
      <c r="I63" s="516">
        <v>45297</v>
      </c>
      <c r="J63" s="516">
        <v>45297</v>
      </c>
      <c r="K63" s="517">
        <v>45314</v>
      </c>
      <c r="L63" s="518" t="s">
        <v>2589</v>
      </c>
      <c r="M63" s="264" t="s">
        <v>2587</v>
      </c>
      <c r="N63" s="262" t="s">
        <v>2176</v>
      </c>
      <c r="O63" s="390" t="s">
        <v>2257</v>
      </c>
      <c r="P63" s="264" t="str">
        <f t="shared" si="2"/>
        <v>lakban hitam-ukuran : lebar 2 inch, panjang 12m, bahan : kain</v>
      </c>
      <c r="Q63" s="264" t="s">
        <v>710</v>
      </c>
      <c r="R63" s="519" t="s">
        <v>137</v>
      </c>
      <c r="S63" s="399">
        <v>4</v>
      </c>
      <c r="T63" s="348" t="s">
        <v>3363</v>
      </c>
      <c r="U63" s="520">
        <v>12500</v>
      </c>
      <c r="V63" s="266">
        <v>50000</v>
      </c>
      <c r="W63" s="521" t="s">
        <v>227</v>
      </c>
      <c r="X63" s="521" t="s">
        <v>3383</v>
      </c>
      <c r="Y63" s="522" t="s">
        <v>2512</v>
      </c>
      <c r="Z63" s="523" t="s">
        <v>541</v>
      </c>
      <c r="AA63" s="521"/>
      <c r="AB63" s="521"/>
      <c r="AC63" s="521"/>
      <c r="AD63" s="521"/>
      <c r="AE63" s="521"/>
      <c r="AF63" s="521"/>
      <c r="AG63" s="264">
        <v>1</v>
      </c>
    </row>
    <row r="64" spans="1:33" s="526" customFormat="1" ht="29">
      <c r="A64" s="513">
        <v>62</v>
      </c>
      <c r="B64" s="514" t="s">
        <v>1542</v>
      </c>
      <c r="C64" s="515" t="s">
        <v>1542</v>
      </c>
      <c r="D64" s="262" t="s">
        <v>462</v>
      </c>
      <c r="E64" s="513">
        <v>62</v>
      </c>
      <c r="F64" s="515" t="s">
        <v>1542</v>
      </c>
      <c r="G64" s="516">
        <v>45296</v>
      </c>
      <c r="H64" s="516">
        <v>45297</v>
      </c>
      <c r="I64" s="516">
        <v>45297</v>
      </c>
      <c r="J64" s="516">
        <v>45297</v>
      </c>
      <c r="K64" s="517">
        <v>45314</v>
      </c>
      <c r="L64" s="518" t="s">
        <v>2589</v>
      </c>
      <c r="M64" s="264" t="s">
        <v>2587</v>
      </c>
      <c r="N64" s="262" t="s">
        <v>2176</v>
      </c>
      <c r="O64" s="390" t="s">
        <v>2258</v>
      </c>
      <c r="P64" s="264" t="str">
        <f t="shared" si="2"/>
        <v>Lakban Besar</v>
      </c>
      <c r="Q64" s="264" t="s">
        <v>710</v>
      </c>
      <c r="R64" s="519" t="s">
        <v>2607</v>
      </c>
      <c r="S64" s="399">
        <v>5</v>
      </c>
      <c r="T64" s="348" t="s">
        <v>3363</v>
      </c>
      <c r="U64" s="520">
        <v>25000</v>
      </c>
      <c r="V64" s="266">
        <v>125000</v>
      </c>
      <c r="W64" s="521" t="s">
        <v>227</v>
      </c>
      <c r="X64" s="521" t="s">
        <v>3383</v>
      </c>
      <c r="Y64" s="522" t="s">
        <v>2512</v>
      </c>
      <c r="Z64" s="523" t="s">
        <v>541</v>
      </c>
      <c r="AA64" s="521"/>
      <c r="AB64" s="521"/>
      <c r="AC64" s="521"/>
      <c r="AD64" s="521"/>
      <c r="AE64" s="521"/>
      <c r="AF64" s="521"/>
      <c r="AG64" s="264">
        <v>1</v>
      </c>
    </row>
    <row r="65" spans="1:33" s="526" customFormat="1" ht="29">
      <c r="A65" s="513">
        <v>63</v>
      </c>
      <c r="B65" s="514" t="s">
        <v>1542</v>
      </c>
      <c r="C65" s="515" t="s">
        <v>1542</v>
      </c>
      <c r="D65" s="262" t="s">
        <v>462</v>
      </c>
      <c r="E65" s="513">
        <v>63</v>
      </c>
      <c r="F65" s="515" t="s">
        <v>1542</v>
      </c>
      <c r="G65" s="516">
        <v>45296</v>
      </c>
      <c r="H65" s="516">
        <v>45297</v>
      </c>
      <c r="I65" s="516">
        <v>45297</v>
      </c>
      <c r="J65" s="516">
        <v>45297</v>
      </c>
      <c r="K65" s="517">
        <v>45314</v>
      </c>
      <c r="L65" s="518" t="s">
        <v>2589</v>
      </c>
      <c r="M65" s="264" t="s">
        <v>2587</v>
      </c>
      <c r="N65" s="262" t="s">
        <v>2176</v>
      </c>
      <c r="O65" s="390" t="s">
        <v>2259</v>
      </c>
      <c r="P65" s="264" t="str">
        <f t="shared" si="2"/>
        <v>Buku Induk/Inventaris 35 cm x 50 cm</v>
      </c>
      <c r="Q65" s="264" t="s">
        <v>710</v>
      </c>
      <c r="R65" s="519" t="s">
        <v>116</v>
      </c>
      <c r="S65" s="399">
        <v>2</v>
      </c>
      <c r="T65" s="348" t="s">
        <v>3363</v>
      </c>
      <c r="U65" s="520">
        <v>50000</v>
      </c>
      <c r="V65" s="266">
        <v>100000</v>
      </c>
      <c r="W65" s="521" t="s">
        <v>227</v>
      </c>
      <c r="X65" s="521" t="s">
        <v>3383</v>
      </c>
      <c r="Y65" s="522" t="s">
        <v>2512</v>
      </c>
      <c r="Z65" s="523" t="s">
        <v>541</v>
      </c>
      <c r="AA65" s="521"/>
      <c r="AB65" s="521"/>
      <c r="AC65" s="521"/>
      <c r="AD65" s="521"/>
      <c r="AE65" s="521"/>
      <c r="AF65" s="521"/>
      <c r="AG65" s="264">
        <v>1</v>
      </c>
    </row>
    <row r="66" spans="1:33" s="526" customFormat="1" ht="29">
      <c r="A66" s="513">
        <v>64</v>
      </c>
      <c r="B66" s="514" t="s">
        <v>1542</v>
      </c>
      <c r="C66" s="515" t="s">
        <v>1542</v>
      </c>
      <c r="D66" s="262" t="s">
        <v>462</v>
      </c>
      <c r="E66" s="513">
        <v>64</v>
      </c>
      <c r="F66" s="515" t="s">
        <v>1542</v>
      </c>
      <c r="G66" s="516">
        <v>45296</v>
      </c>
      <c r="H66" s="516">
        <v>45297</v>
      </c>
      <c r="I66" s="516">
        <v>45297</v>
      </c>
      <c r="J66" s="516">
        <v>45297</v>
      </c>
      <c r="K66" s="517">
        <v>45314</v>
      </c>
      <c r="L66" s="518" t="s">
        <v>2589</v>
      </c>
      <c r="M66" s="264" t="s">
        <v>2587</v>
      </c>
      <c r="N66" s="262" t="s">
        <v>2176</v>
      </c>
      <c r="O66" s="390" t="s">
        <v>2260</v>
      </c>
      <c r="P66" s="264" t="str">
        <f t="shared" si="2"/>
        <v>Tinta Printer Canon 740 Hitam-740 Hitam</v>
      </c>
      <c r="Q66" s="264" t="s">
        <v>710</v>
      </c>
      <c r="R66" s="519" t="s">
        <v>159</v>
      </c>
      <c r="S66" s="399">
        <v>8</v>
      </c>
      <c r="T66" s="348" t="s">
        <v>3367</v>
      </c>
      <c r="U66" s="520">
        <v>30000</v>
      </c>
      <c r="V66" s="266">
        <v>240000</v>
      </c>
      <c r="W66" s="521" t="s">
        <v>227</v>
      </c>
      <c r="X66" s="521" t="s">
        <v>3383</v>
      </c>
      <c r="Y66" s="522" t="s">
        <v>2512</v>
      </c>
      <c r="Z66" s="523" t="s">
        <v>541</v>
      </c>
      <c r="AA66" s="521"/>
      <c r="AB66" s="521"/>
      <c r="AC66" s="521"/>
      <c r="AD66" s="521"/>
      <c r="AE66" s="521"/>
      <c r="AF66" s="521"/>
      <c r="AG66" s="264">
        <v>1</v>
      </c>
    </row>
    <row r="67" spans="1:33" s="526" customFormat="1" ht="29">
      <c r="A67" s="513">
        <v>65</v>
      </c>
      <c r="B67" s="514" t="s">
        <v>1542</v>
      </c>
      <c r="C67" s="515" t="s">
        <v>1542</v>
      </c>
      <c r="D67" s="262" t="s">
        <v>462</v>
      </c>
      <c r="E67" s="513">
        <v>65</v>
      </c>
      <c r="F67" s="515" t="s">
        <v>1542</v>
      </c>
      <c r="G67" s="516">
        <v>45296</v>
      </c>
      <c r="H67" s="516">
        <v>45297</v>
      </c>
      <c r="I67" s="516">
        <v>45297</v>
      </c>
      <c r="J67" s="516">
        <v>45297</v>
      </c>
      <c r="K67" s="517">
        <v>45314</v>
      </c>
      <c r="L67" s="518" t="s">
        <v>2589</v>
      </c>
      <c r="M67" s="264" t="s">
        <v>2587</v>
      </c>
      <c r="N67" s="262" t="s">
        <v>2176</v>
      </c>
      <c r="O67" s="390" t="s">
        <v>2261</v>
      </c>
      <c r="P67" s="264" t="str">
        <f t="shared" si="2"/>
        <v>Kertas HVS 60 gram Merk : Paper One HVS F4 uk. 8.27"x11.69"</v>
      </c>
      <c r="Q67" s="264" t="s">
        <v>710</v>
      </c>
      <c r="R67" s="519" t="s">
        <v>127</v>
      </c>
      <c r="S67" s="399">
        <v>10</v>
      </c>
      <c r="T67" s="348" t="s">
        <v>3369</v>
      </c>
      <c r="U67" s="520">
        <v>48500</v>
      </c>
      <c r="V67" s="266">
        <v>485000</v>
      </c>
      <c r="W67" s="521" t="s">
        <v>227</v>
      </c>
      <c r="X67" s="521" t="s">
        <v>3383</v>
      </c>
      <c r="Y67" s="522" t="s">
        <v>2512</v>
      </c>
      <c r="Z67" s="523" t="s">
        <v>541</v>
      </c>
      <c r="AA67" s="521"/>
      <c r="AB67" s="521"/>
      <c r="AC67" s="521"/>
      <c r="AD67" s="521"/>
      <c r="AE67" s="521"/>
      <c r="AF67" s="521"/>
      <c r="AG67" s="264">
        <v>1</v>
      </c>
    </row>
    <row r="68" spans="1:33" s="526" customFormat="1" ht="29">
      <c r="A68" s="513">
        <v>66</v>
      </c>
      <c r="B68" s="514" t="s">
        <v>1542</v>
      </c>
      <c r="C68" s="515" t="s">
        <v>1542</v>
      </c>
      <c r="D68" s="262" t="s">
        <v>462</v>
      </c>
      <c r="E68" s="513">
        <v>66</v>
      </c>
      <c r="F68" s="515" t="s">
        <v>1542</v>
      </c>
      <c r="G68" s="516">
        <v>45296</v>
      </c>
      <c r="H68" s="516">
        <v>45297</v>
      </c>
      <c r="I68" s="516">
        <v>45297</v>
      </c>
      <c r="J68" s="516">
        <v>45297</v>
      </c>
      <c r="K68" s="517">
        <v>45314</v>
      </c>
      <c r="L68" s="518" t="s">
        <v>2589</v>
      </c>
      <c r="M68" s="264" t="s">
        <v>2587</v>
      </c>
      <c r="N68" s="262" t="s">
        <v>2176</v>
      </c>
      <c r="O68" s="390" t="s">
        <v>242</v>
      </c>
      <c r="P68" s="264" t="str">
        <f t="shared" si="2"/>
        <v>Binder Klip Ordner</v>
      </c>
      <c r="Q68" s="264" t="s">
        <v>710</v>
      </c>
      <c r="R68" s="519" t="s">
        <v>113</v>
      </c>
      <c r="S68" s="399">
        <v>6</v>
      </c>
      <c r="T68" s="348" t="s">
        <v>3363</v>
      </c>
      <c r="U68" s="520">
        <v>49500</v>
      </c>
      <c r="V68" s="266">
        <v>297000</v>
      </c>
      <c r="W68" s="521" t="s">
        <v>227</v>
      </c>
      <c r="X68" s="521" t="s">
        <v>3383</v>
      </c>
      <c r="Y68" s="522" t="s">
        <v>2512</v>
      </c>
      <c r="Z68" s="523" t="s">
        <v>541</v>
      </c>
      <c r="AA68" s="521"/>
      <c r="AB68" s="521"/>
      <c r="AC68" s="521"/>
      <c r="AD68" s="521"/>
      <c r="AE68" s="521"/>
      <c r="AF68" s="521"/>
      <c r="AG68" s="264">
        <v>1</v>
      </c>
    </row>
    <row r="69" spans="1:33" s="526" customFormat="1" ht="29">
      <c r="A69" s="513">
        <v>67</v>
      </c>
      <c r="B69" s="514" t="s">
        <v>1542</v>
      </c>
      <c r="C69" s="515" t="s">
        <v>1542</v>
      </c>
      <c r="D69" s="262" t="s">
        <v>462</v>
      </c>
      <c r="E69" s="513">
        <v>67</v>
      </c>
      <c r="F69" s="515" t="s">
        <v>1542</v>
      </c>
      <c r="G69" s="516">
        <v>45296</v>
      </c>
      <c r="H69" s="516">
        <v>45297</v>
      </c>
      <c r="I69" s="516">
        <v>45297</v>
      </c>
      <c r="J69" s="516">
        <v>45297</v>
      </c>
      <c r="K69" s="517">
        <v>45314</v>
      </c>
      <c r="L69" s="518" t="s">
        <v>2589</v>
      </c>
      <c r="M69" s="264" t="s">
        <v>2587</v>
      </c>
      <c r="N69" s="262" t="s">
        <v>2176</v>
      </c>
      <c r="O69" s="390" t="s">
        <v>2262</v>
      </c>
      <c r="P69" s="264" t="str">
        <f t="shared" si="2"/>
        <v>Isi Staples besar</v>
      </c>
      <c r="Q69" s="264" t="s">
        <v>710</v>
      </c>
      <c r="R69" s="519" t="s">
        <v>125</v>
      </c>
      <c r="S69" s="399">
        <v>2</v>
      </c>
      <c r="T69" s="348" t="s">
        <v>3362</v>
      </c>
      <c r="U69" s="520">
        <v>80000</v>
      </c>
      <c r="V69" s="266">
        <v>160000</v>
      </c>
      <c r="W69" s="521" t="s">
        <v>227</v>
      </c>
      <c r="X69" s="521" t="s">
        <v>3383</v>
      </c>
      <c r="Y69" s="522" t="s">
        <v>2512</v>
      </c>
      <c r="Z69" s="523" t="s">
        <v>541</v>
      </c>
      <c r="AA69" s="521"/>
      <c r="AB69" s="521"/>
      <c r="AC69" s="521"/>
      <c r="AD69" s="521"/>
      <c r="AE69" s="521"/>
      <c r="AF69" s="521"/>
      <c r="AG69" s="264">
        <v>1</v>
      </c>
    </row>
    <row r="70" spans="1:33" s="526" customFormat="1" ht="43.5">
      <c r="A70" s="513">
        <v>68</v>
      </c>
      <c r="B70" s="514" t="s">
        <v>1544</v>
      </c>
      <c r="C70" s="515" t="s">
        <v>1544</v>
      </c>
      <c r="D70" s="262" t="s">
        <v>469</v>
      </c>
      <c r="E70" s="513">
        <v>68</v>
      </c>
      <c r="F70" s="515" t="s">
        <v>1544</v>
      </c>
      <c r="G70" s="516">
        <v>45296</v>
      </c>
      <c r="H70" s="516">
        <v>45297</v>
      </c>
      <c r="I70" s="516">
        <v>45297</v>
      </c>
      <c r="J70" s="516">
        <v>45297</v>
      </c>
      <c r="K70" s="517">
        <v>45314</v>
      </c>
      <c r="L70" s="518" t="s">
        <v>2608</v>
      </c>
      <c r="M70" s="264" t="s">
        <v>2587</v>
      </c>
      <c r="N70" s="262" t="s">
        <v>2177</v>
      </c>
      <c r="O70" s="390" t="s">
        <v>2263</v>
      </c>
      <c r="P70" s="264" t="str">
        <f t="shared" si="2"/>
        <v>Gayung</v>
      </c>
      <c r="Q70" s="264" t="s">
        <v>2609</v>
      </c>
      <c r="R70" s="519" t="s">
        <v>2610</v>
      </c>
      <c r="S70" s="399">
        <v>20</v>
      </c>
      <c r="T70" s="348" t="s">
        <v>3363</v>
      </c>
      <c r="U70" s="520">
        <v>15000</v>
      </c>
      <c r="V70" s="266">
        <v>300000</v>
      </c>
      <c r="W70" s="521" t="s">
        <v>227</v>
      </c>
      <c r="X70" s="521" t="s">
        <v>3383</v>
      </c>
      <c r="Y70" s="522" t="s">
        <v>2512</v>
      </c>
      <c r="Z70" s="523" t="s">
        <v>541</v>
      </c>
      <c r="AA70" s="521"/>
      <c r="AB70" s="521"/>
      <c r="AC70" s="521"/>
      <c r="AD70" s="521"/>
      <c r="AE70" s="521"/>
      <c r="AF70" s="521"/>
      <c r="AG70" s="264">
        <v>1</v>
      </c>
    </row>
    <row r="71" spans="1:33" s="526" customFormat="1" ht="29">
      <c r="A71" s="513">
        <v>69</v>
      </c>
      <c r="B71" s="514" t="s">
        <v>1544</v>
      </c>
      <c r="C71" s="515" t="s">
        <v>1544</v>
      </c>
      <c r="D71" s="262" t="s">
        <v>469</v>
      </c>
      <c r="E71" s="513">
        <v>69</v>
      </c>
      <c r="F71" s="515" t="s">
        <v>1544</v>
      </c>
      <c r="G71" s="516">
        <v>45296</v>
      </c>
      <c r="H71" s="516">
        <v>45297</v>
      </c>
      <c r="I71" s="516">
        <v>45297</v>
      </c>
      <c r="J71" s="516">
        <v>45297</v>
      </c>
      <c r="K71" s="517">
        <v>45314</v>
      </c>
      <c r="L71" s="518" t="s">
        <v>2608</v>
      </c>
      <c r="M71" s="264" t="s">
        <v>2587</v>
      </c>
      <c r="N71" s="262" t="s">
        <v>2177</v>
      </c>
      <c r="O71" s="390" t="s">
        <v>270</v>
      </c>
      <c r="P71" s="264" t="str">
        <f t="shared" si="2"/>
        <v>Handsoap/Pencuci Tangan</v>
      </c>
      <c r="Q71" s="264" t="s">
        <v>2609</v>
      </c>
      <c r="R71" s="519" t="s">
        <v>548</v>
      </c>
      <c r="S71" s="399">
        <v>5</v>
      </c>
      <c r="T71" s="348" t="s">
        <v>3367</v>
      </c>
      <c r="U71" s="520">
        <v>67000</v>
      </c>
      <c r="V71" s="266">
        <v>335000</v>
      </c>
      <c r="W71" s="521" t="s">
        <v>227</v>
      </c>
      <c r="X71" s="521" t="s">
        <v>3383</v>
      </c>
      <c r="Y71" s="522" t="s">
        <v>2512</v>
      </c>
      <c r="Z71" s="523" t="s">
        <v>541</v>
      </c>
      <c r="AA71" s="521"/>
      <c r="AB71" s="521"/>
      <c r="AC71" s="521"/>
      <c r="AD71" s="521"/>
      <c r="AE71" s="521"/>
      <c r="AF71" s="521"/>
      <c r="AG71" s="264">
        <v>1</v>
      </c>
    </row>
    <row r="72" spans="1:33" s="526" customFormat="1" ht="29">
      <c r="A72" s="513">
        <v>70</v>
      </c>
      <c r="B72" s="514" t="s">
        <v>1544</v>
      </c>
      <c r="C72" s="515" t="s">
        <v>1544</v>
      </c>
      <c r="D72" s="262" t="s">
        <v>469</v>
      </c>
      <c r="E72" s="513">
        <v>70</v>
      </c>
      <c r="F72" s="515" t="s">
        <v>1544</v>
      </c>
      <c r="G72" s="516">
        <v>45296</v>
      </c>
      <c r="H72" s="516">
        <v>45297</v>
      </c>
      <c r="I72" s="516">
        <v>45297</v>
      </c>
      <c r="J72" s="516">
        <v>45297</v>
      </c>
      <c r="K72" s="517">
        <v>45314</v>
      </c>
      <c r="L72" s="518" t="s">
        <v>2608</v>
      </c>
      <c r="M72" s="264" t="s">
        <v>2587</v>
      </c>
      <c r="N72" s="262" t="s">
        <v>2177</v>
      </c>
      <c r="O72" s="390" t="s">
        <v>2264</v>
      </c>
      <c r="P72" s="264" t="str">
        <f t="shared" si="2"/>
        <v>Kain Lap  Bahan : Katun bermotif kotak-kotak</v>
      </c>
      <c r="Q72" s="264" t="s">
        <v>2609</v>
      </c>
      <c r="R72" s="525" t="s">
        <v>2611</v>
      </c>
      <c r="S72" s="399">
        <v>10</v>
      </c>
      <c r="T72" s="348" t="s">
        <v>3364</v>
      </c>
      <c r="U72" s="520">
        <v>75000</v>
      </c>
      <c r="V72" s="266">
        <v>750000</v>
      </c>
      <c r="W72" s="521" t="s">
        <v>227</v>
      </c>
      <c r="X72" s="521" t="s">
        <v>3383</v>
      </c>
      <c r="Y72" s="522" t="s">
        <v>2512</v>
      </c>
      <c r="Z72" s="523" t="s">
        <v>541</v>
      </c>
      <c r="AA72" s="521"/>
      <c r="AB72" s="521"/>
      <c r="AC72" s="521"/>
      <c r="AD72" s="521"/>
      <c r="AE72" s="521"/>
      <c r="AF72" s="521"/>
      <c r="AG72" s="264">
        <v>1</v>
      </c>
    </row>
    <row r="73" spans="1:33" s="526" customFormat="1" ht="29">
      <c r="A73" s="513">
        <v>71</v>
      </c>
      <c r="B73" s="514" t="s">
        <v>1544</v>
      </c>
      <c r="C73" s="515" t="s">
        <v>1544</v>
      </c>
      <c r="D73" s="262" t="s">
        <v>469</v>
      </c>
      <c r="E73" s="513">
        <v>71</v>
      </c>
      <c r="F73" s="515" t="s">
        <v>1544</v>
      </c>
      <c r="G73" s="516">
        <v>45296</v>
      </c>
      <c r="H73" s="516">
        <v>45297</v>
      </c>
      <c r="I73" s="516">
        <v>45297</v>
      </c>
      <c r="J73" s="516">
        <v>45297</v>
      </c>
      <c r="K73" s="517">
        <v>45314</v>
      </c>
      <c r="L73" s="518" t="s">
        <v>2608</v>
      </c>
      <c r="M73" s="264" t="s">
        <v>2587</v>
      </c>
      <c r="N73" s="262" t="s">
        <v>2177</v>
      </c>
      <c r="O73" s="390" t="s">
        <v>2265</v>
      </c>
      <c r="P73" s="264" t="str">
        <f t="shared" si="2"/>
        <v>Serok Sampah--</v>
      </c>
      <c r="Q73" s="264" t="s">
        <v>2609</v>
      </c>
      <c r="R73" s="525" t="s">
        <v>545</v>
      </c>
      <c r="S73" s="399">
        <v>15</v>
      </c>
      <c r="T73" s="348" t="s">
        <v>3363</v>
      </c>
      <c r="U73" s="520">
        <v>25000</v>
      </c>
      <c r="V73" s="266">
        <v>375000</v>
      </c>
      <c r="W73" s="521" t="s">
        <v>227</v>
      </c>
      <c r="X73" s="521" t="s">
        <v>3383</v>
      </c>
      <c r="Y73" s="522" t="s">
        <v>2512</v>
      </c>
      <c r="Z73" s="523" t="s">
        <v>541</v>
      </c>
      <c r="AA73" s="521"/>
      <c r="AB73" s="521"/>
      <c r="AC73" s="521"/>
      <c r="AD73" s="521"/>
      <c r="AE73" s="521"/>
      <c r="AF73" s="521"/>
      <c r="AG73" s="264">
        <v>1</v>
      </c>
    </row>
    <row r="74" spans="1:33" s="526" customFormat="1" ht="58">
      <c r="A74" s="513">
        <v>72</v>
      </c>
      <c r="B74" s="514" t="s">
        <v>1544</v>
      </c>
      <c r="C74" s="515" t="s">
        <v>1544</v>
      </c>
      <c r="D74" s="262" t="s">
        <v>469</v>
      </c>
      <c r="E74" s="513">
        <v>72</v>
      </c>
      <c r="F74" s="515" t="s">
        <v>1544</v>
      </c>
      <c r="G74" s="516">
        <v>45296</v>
      </c>
      <c r="H74" s="516">
        <v>45297</v>
      </c>
      <c r="I74" s="516">
        <v>45297</v>
      </c>
      <c r="J74" s="516">
        <v>45297</v>
      </c>
      <c r="K74" s="517">
        <v>45314</v>
      </c>
      <c r="L74" s="518" t="s">
        <v>2608</v>
      </c>
      <c r="M74" s="264" t="s">
        <v>2587</v>
      </c>
      <c r="N74" s="262" t="s">
        <v>2177</v>
      </c>
      <c r="O74" s="390" t="s">
        <v>268</v>
      </c>
      <c r="P74" s="264" t="str">
        <f t="shared" si="2"/>
        <v>Alat Pel lantai besar</v>
      </c>
      <c r="Q74" s="264" t="s">
        <v>2609</v>
      </c>
      <c r="R74" s="519" t="s">
        <v>558</v>
      </c>
      <c r="S74" s="399">
        <v>5</v>
      </c>
      <c r="T74" s="348" t="s">
        <v>3363</v>
      </c>
      <c r="U74" s="520">
        <v>169000</v>
      </c>
      <c r="V74" s="266">
        <v>845000</v>
      </c>
      <c r="W74" s="521" t="s">
        <v>227</v>
      </c>
      <c r="X74" s="521" t="s">
        <v>3383</v>
      </c>
      <c r="Y74" s="522" t="s">
        <v>2512</v>
      </c>
      <c r="Z74" s="523" t="s">
        <v>541</v>
      </c>
      <c r="AA74" s="521"/>
      <c r="AB74" s="521"/>
      <c r="AC74" s="521"/>
      <c r="AD74" s="521"/>
      <c r="AE74" s="521"/>
      <c r="AF74" s="521"/>
      <c r="AG74" s="264">
        <v>1</v>
      </c>
    </row>
    <row r="75" spans="1:33" s="526" customFormat="1" ht="43.5">
      <c r="A75" s="513">
        <v>73</v>
      </c>
      <c r="B75" s="514" t="s">
        <v>1544</v>
      </c>
      <c r="C75" s="515" t="s">
        <v>1544</v>
      </c>
      <c r="D75" s="262" t="s">
        <v>469</v>
      </c>
      <c r="E75" s="513">
        <v>73</v>
      </c>
      <c r="F75" s="515" t="s">
        <v>1544</v>
      </c>
      <c r="G75" s="516">
        <v>45296</v>
      </c>
      <c r="H75" s="516">
        <v>45297</v>
      </c>
      <c r="I75" s="516">
        <v>45297</v>
      </c>
      <c r="J75" s="516">
        <v>45297</v>
      </c>
      <c r="K75" s="517">
        <v>45314</v>
      </c>
      <c r="L75" s="518" t="s">
        <v>2608</v>
      </c>
      <c r="M75" s="264" t="s">
        <v>2587</v>
      </c>
      <c r="N75" s="262" t="s">
        <v>2177</v>
      </c>
      <c r="O75" s="390" t="s">
        <v>272</v>
      </c>
      <c r="P75" s="264" t="str">
        <f t="shared" si="2"/>
        <v>Sapu</v>
      </c>
      <c r="Q75" s="264" t="s">
        <v>2609</v>
      </c>
      <c r="R75" s="519" t="s">
        <v>2612</v>
      </c>
      <c r="S75" s="399">
        <v>60</v>
      </c>
      <c r="T75" s="348" t="s">
        <v>3363</v>
      </c>
      <c r="U75" s="520">
        <v>65000</v>
      </c>
      <c r="V75" s="266">
        <v>3900000</v>
      </c>
      <c r="W75" s="521" t="s">
        <v>227</v>
      </c>
      <c r="X75" s="521" t="s">
        <v>3383</v>
      </c>
      <c r="Y75" s="522" t="s">
        <v>2512</v>
      </c>
      <c r="Z75" s="523" t="s">
        <v>541</v>
      </c>
      <c r="AA75" s="521"/>
      <c r="AB75" s="521"/>
      <c r="AC75" s="521"/>
      <c r="AD75" s="521"/>
      <c r="AE75" s="521"/>
      <c r="AF75" s="521"/>
      <c r="AG75" s="264">
        <v>1</v>
      </c>
    </row>
    <row r="76" spans="1:33" s="526" customFormat="1" ht="29">
      <c r="A76" s="513">
        <v>74</v>
      </c>
      <c r="B76" s="514" t="s">
        <v>1544</v>
      </c>
      <c r="C76" s="515" t="s">
        <v>1544</v>
      </c>
      <c r="D76" s="262" t="s">
        <v>469</v>
      </c>
      <c r="E76" s="513">
        <v>74</v>
      </c>
      <c r="F76" s="515" t="s">
        <v>1544</v>
      </c>
      <c r="G76" s="516">
        <v>45296</v>
      </c>
      <c r="H76" s="516">
        <v>45297</v>
      </c>
      <c r="I76" s="516">
        <v>45297</v>
      </c>
      <c r="J76" s="516">
        <v>45297</v>
      </c>
      <c r="K76" s="517">
        <v>45314</v>
      </c>
      <c r="L76" s="518" t="s">
        <v>2608</v>
      </c>
      <c r="M76" s="264" t="s">
        <v>2587</v>
      </c>
      <c r="N76" s="262" t="s">
        <v>2177</v>
      </c>
      <c r="O76" s="390" t="s">
        <v>2266</v>
      </c>
      <c r="P76" s="264" t="str">
        <f t="shared" si="2"/>
        <v>Perlengkapan Kebersihan Pembersih Lantai Super Pel Varian 800ml</v>
      </c>
      <c r="Q76" s="264" t="s">
        <v>2609</v>
      </c>
      <c r="R76" s="525" t="s">
        <v>2613</v>
      </c>
      <c r="S76" s="399">
        <v>15</v>
      </c>
      <c r="T76" s="348" t="s">
        <v>3363</v>
      </c>
      <c r="U76" s="520">
        <v>13700</v>
      </c>
      <c r="V76" s="266">
        <v>205500</v>
      </c>
      <c r="W76" s="521" t="s">
        <v>227</v>
      </c>
      <c r="X76" s="521" t="s">
        <v>3383</v>
      </c>
      <c r="Y76" s="522" t="s">
        <v>2512</v>
      </c>
      <c r="Z76" s="523" t="s">
        <v>541</v>
      </c>
      <c r="AA76" s="521"/>
      <c r="AB76" s="521"/>
      <c r="AC76" s="521"/>
      <c r="AD76" s="521"/>
      <c r="AE76" s="521"/>
      <c r="AF76" s="521"/>
      <c r="AG76" s="264">
        <v>1</v>
      </c>
    </row>
    <row r="77" spans="1:33" s="526" customFormat="1" ht="29">
      <c r="A77" s="513">
        <v>75</v>
      </c>
      <c r="B77" s="514" t="s">
        <v>1544</v>
      </c>
      <c r="C77" s="515" t="s">
        <v>1544</v>
      </c>
      <c r="D77" s="262" t="s">
        <v>469</v>
      </c>
      <c r="E77" s="513">
        <v>75</v>
      </c>
      <c r="F77" s="515" t="s">
        <v>1544</v>
      </c>
      <c r="G77" s="516">
        <v>45296</v>
      </c>
      <c r="H77" s="516">
        <v>45297</v>
      </c>
      <c r="I77" s="516">
        <v>45297</v>
      </c>
      <c r="J77" s="516">
        <v>45297</v>
      </c>
      <c r="K77" s="517">
        <v>45314</v>
      </c>
      <c r="L77" s="518" t="s">
        <v>2608</v>
      </c>
      <c r="M77" s="264" t="s">
        <v>2587</v>
      </c>
      <c r="N77" s="262" t="s">
        <v>2177</v>
      </c>
      <c r="O77" s="390" t="s">
        <v>2267</v>
      </c>
      <c r="P77" s="264" t="str">
        <f t="shared" si="2"/>
        <v>Serok Air Besar--</v>
      </c>
      <c r="Q77" s="264" t="s">
        <v>2609</v>
      </c>
      <c r="R77" s="525" t="s">
        <v>2614</v>
      </c>
      <c r="S77" s="399">
        <v>5</v>
      </c>
      <c r="T77" s="348" t="s">
        <v>3363</v>
      </c>
      <c r="U77" s="520">
        <v>40000</v>
      </c>
      <c r="V77" s="266">
        <v>200000</v>
      </c>
      <c r="W77" s="521" t="s">
        <v>227</v>
      </c>
      <c r="X77" s="521" t="s">
        <v>3383</v>
      </c>
      <c r="Y77" s="522" t="s">
        <v>2512</v>
      </c>
      <c r="Z77" s="523" t="s">
        <v>541</v>
      </c>
      <c r="AA77" s="521"/>
      <c r="AB77" s="521"/>
      <c r="AC77" s="521"/>
      <c r="AD77" s="521"/>
      <c r="AE77" s="521"/>
      <c r="AF77" s="521"/>
      <c r="AG77" s="264">
        <v>1</v>
      </c>
    </row>
    <row r="78" spans="1:33" s="526" customFormat="1" ht="29">
      <c r="A78" s="513">
        <v>76</v>
      </c>
      <c r="B78" s="514" t="s">
        <v>1544</v>
      </c>
      <c r="C78" s="515" t="s">
        <v>1544</v>
      </c>
      <c r="D78" s="262" t="s">
        <v>469</v>
      </c>
      <c r="E78" s="513">
        <v>76</v>
      </c>
      <c r="F78" s="515" t="s">
        <v>1544</v>
      </c>
      <c r="G78" s="516">
        <v>45296</v>
      </c>
      <c r="H78" s="516">
        <v>45297</v>
      </c>
      <c r="I78" s="516">
        <v>45297</v>
      </c>
      <c r="J78" s="516">
        <v>45297</v>
      </c>
      <c r="K78" s="517">
        <v>45314</v>
      </c>
      <c r="L78" s="518" t="s">
        <v>2608</v>
      </c>
      <c r="M78" s="264" t="s">
        <v>2587</v>
      </c>
      <c r="N78" s="262" t="s">
        <v>2177</v>
      </c>
      <c r="O78" s="390" t="s">
        <v>271</v>
      </c>
      <c r="P78" s="264" t="str">
        <f t="shared" si="2"/>
        <v>Pengharum Ruangan</v>
      </c>
      <c r="Q78" s="264" t="s">
        <v>2609</v>
      </c>
      <c r="R78" s="519" t="s">
        <v>2615</v>
      </c>
      <c r="S78" s="399">
        <v>10</v>
      </c>
      <c r="T78" s="348" t="s">
        <v>3363</v>
      </c>
      <c r="U78" s="520">
        <v>12100</v>
      </c>
      <c r="V78" s="266">
        <v>121000</v>
      </c>
      <c r="W78" s="521" t="s">
        <v>227</v>
      </c>
      <c r="X78" s="521" t="s">
        <v>3383</v>
      </c>
      <c r="Y78" s="522" t="s">
        <v>2512</v>
      </c>
      <c r="Z78" s="523" t="s">
        <v>541</v>
      </c>
      <c r="AA78" s="521"/>
      <c r="AB78" s="521"/>
      <c r="AC78" s="521"/>
      <c r="AD78" s="521"/>
      <c r="AE78" s="521"/>
      <c r="AF78" s="521"/>
      <c r="AG78" s="264">
        <v>1</v>
      </c>
    </row>
    <row r="79" spans="1:33" s="526" customFormat="1" ht="29">
      <c r="A79" s="513">
        <v>77</v>
      </c>
      <c r="B79" s="514" t="s">
        <v>1544</v>
      </c>
      <c r="C79" s="515" t="s">
        <v>1544</v>
      </c>
      <c r="D79" s="262" t="s">
        <v>469</v>
      </c>
      <c r="E79" s="513">
        <v>77</v>
      </c>
      <c r="F79" s="515" t="s">
        <v>1544</v>
      </c>
      <c r="G79" s="516">
        <v>45296</v>
      </c>
      <c r="H79" s="516">
        <v>45297</v>
      </c>
      <c r="I79" s="516">
        <v>45297</v>
      </c>
      <c r="J79" s="516">
        <v>45297</v>
      </c>
      <c r="K79" s="517">
        <v>45314</v>
      </c>
      <c r="L79" s="518" t="s">
        <v>2608</v>
      </c>
      <c r="M79" s="264" t="s">
        <v>2587</v>
      </c>
      <c r="N79" s="262" t="s">
        <v>2177</v>
      </c>
      <c r="O79" s="390" t="s">
        <v>2268</v>
      </c>
      <c r="P79" s="264" t="str">
        <f t="shared" si="2"/>
        <v>Perlengkapan Kebersihan Pembersih Pakaian Sunlight Refil 800ml</v>
      </c>
      <c r="Q79" s="264" t="s">
        <v>2609</v>
      </c>
      <c r="R79" s="525" t="s">
        <v>2616</v>
      </c>
      <c r="S79" s="399">
        <v>3</v>
      </c>
      <c r="T79" s="348" t="s">
        <v>3363</v>
      </c>
      <c r="U79" s="520">
        <v>15000</v>
      </c>
      <c r="V79" s="266">
        <v>45000</v>
      </c>
      <c r="W79" s="521" t="s">
        <v>227</v>
      </c>
      <c r="X79" s="521" t="s">
        <v>3383</v>
      </c>
      <c r="Y79" s="522" t="s">
        <v>2512</v>
      </c>
      <c r="Z79" s="523" t="s">
        <v>541</v>
      </c>
      <c r="AA79" s="521"/>
      <c r="AB79" s="521"/>
      <c r="AC79" s="521"/>
      <c r="AD79" s="521"/>
      <c r="AE79" s="521"/>
      <c r="AF79" s="521"/>
      <c r="AG79" s="264">
        <v>1</v>
      </c>
    </row>
    <row r="80" spans="1:33" s="526" customFormat="1" ht="29">
      <c r="A80" s="513">
        <v>78</v>
      </c>
      <c r="B80" s="514" t="s">
        <v>1544</v>
      </c>
      <c r="C80" s="515" t="s">
        <v>1544</v>
      </c>
      <c r="D80" s="262" t="s">
        <v>469</v>
      </c>
      <c r="E80" s="513">
        <v>78</v>
      </c>
      <c r="F80" s="515" t="s">
        <v>1544</v>
      </c>
      <c r="G80" s="516">
        <v>45296</v>
      </c>
      <c r="H80" s="516">
        <v>45297</v>
      </c>
      <c r="I80" s="516">
        <v>45297</v>
      </c>
      <c r="J80" s="516">
        <v>45297</v>
      </c>
      <c r="K80" s="517">
        <v>45314</v>
      </c>
      <c r="L80" s="518" t="s">
        <v>2608</v>
      </c>
      <c r="M80" s="264" t="s">
        <v>2587</v>
      </c>
      <c r="N80" s="262" t="s">
        <v>2177</v>
      </c>
      <c r="O80" s="390" t="s">
        <v>276</v>
      </c>
      <c r="P80" s="264" t="str">
        <f t="shared" si="2"/>
        <v>vixal 500ml</v>
      </c>
      <c r="Q80" s="264" t="s">
        <v>2609</v>
      </c>
      <c r="R80" s="519" t="s">
        <v>2566</v>
      </c>
      <c r="S80" s="399">
        <v>10</v>
      </c>
      <c r="T80" s="348" t="s">
        <v>3367</v>
      </c>
      <c r="U80" s="520">
        <v>30000</v>
      </c>
      <c r="V80" s="266">
        <v>300000</v>
      </c>
      <c r="W80" s="521" t="s">
        <v>227</v>
      </c>
      <c r="X80" s="521" t="s">
        <v>3383</v>
      </c>
      <c r="Y80" s="522" t="s">
        <v>2512</v>
      </c>
      <c r="Z80" s="523" t="s">
        <v>541</v>
      </c>
      <c r="AA80" s="521"/>
      <c r="AB80" s="521"/>
      <c r="AC80" s="521"/>
      <c r="AD80" s="521"/>
      <c r="AE80" s="521"/>
      <c r="AF80" s="521"/>
      <c r="AG80" s="264">
        <v>1</v>
      </c>
    </row>
    <row r="81" spans="1:33" s="526" customFormat="1" ht="43.5">
      <c r="A81" s="513">
        <v>79</v>
      </c>
      <c r="B81" s="514" t="s">
        <v>1544</v>
      </c>
      <c r="C81" s="515" t="s">
        <v>1544</v>
      </c>
      <c r="D81" s="262" t="s">
        <v>469</v>
      </c>
      <c r="E81" s="513">
        <v>79</v>
      </c>
      <c r="F81" s="515" t="s">
        <v>1544</v>
      </c>
      <c r="G81" s="516">
        <v>45296</v>
      </c>
      <c r="H81" s="516">
        <v>45297</v>
      </c>
      <c r="I81" s="516">
        <v>45297</v>
      </c>
      <c r="J81" s="516">
        <v>45297</v>
      </c>
      <c r="K81" s="517">
        <v>45314</v>
      </c>
      <c r="L81" s="518" t="s">
        <v>2608</v>
      </c>
      <c r="M81" s="264" t="s">
        <v>2587</v>
      </c>
      <c r="N81" s="262" t="s">
        <v>2177</v>
      </c>
      <c r="O81" s="390" t="s">
        <v>274</v>
      </c>
      <c r="P81" s="264" t="str">
        <f t="shared" si="2"/>
        <v>Spon Cuci</v>
      </c>
      <c r="Q81" s="264" t="s">
        <v>2609</v>
      </c>
      <c r="R81" s="519" t="s">
        <v>2617</v>
      </c>
      <c r="S81" s="399">
        <v>5</v>
      </c>
      <c r="T81" s="348" t="s">
        <v>3363</v>
      </c>
      <c r="U81" s="520">
        <v>12000</v>
      </c>
      <c r="V81" s="266">
        <v>60000</v>
      </c>
      <c r="W81" s="521" t="s">
        <v>227</v>
      </c>
      <c r="X81" s="521" t="s">
        <v>3383</v>
      </c>
      <c r="Y81" s="522" t="s">
        <v>2512</v>
      </c>
      <c r="Z81" s="523" t="s">
        <v>541</v>
      </c>
      <c r="AA81" s="521"/>
      <c r="AB81" s="521"/>
      <c r="AC81" s="521"/>
      <c r="AD81" s="521"/>
      <c r="AE81" s="521"/>
      <c r="AF81" s="521"/>
      <c r="AG81" s="264">
        <v>1</v>
      </c>
    </row>
    <row r="82" spans="1:33" s="526" customFormat="1" ht="29">
      <c r="A82" s="513">
        <v>80</v>
      </c>
      <c r="B82" s="514" t="s">
        <v>1544</v>
      </c>
      <c r="C82" s="515" t="s">
        <v>1544</v>
      </c>
      <c r="D82" s="262" t="s">
        <v>469</v>
      </c>
      <c r="E82" s="513">
        <v>80</v>
      </c>
      <c r="F82" s="515" t="s">
        <v>1544</v>
      </c>
      <c r="G82" s="516">
        <v>45296</v>
      </c>
      <c r="H82" s="516">
        <v>45297</v>
      </c>
      <c r="I82" s="516">
        <v>45297</v>
      </c>
      <c r="J82" s="516">
        <v>45297</v>
      </c>
      <c r="K82" s="517">
        <v>45314</v>
      </c>
      <c r="L82" s="518" t="s">
        <v>2608</v>
      </c>
      <c r="M82" s="264" t="s">
        <v>2587</v>
      </c>
      <c r="N82" s="262" t="s">
        <v>2177</v>
      </c>
      <c r="O82" s="390" t="s">
        <v>2269</v>
      </c>
      <c r="P82" s="264" t="str">
        <f t="shared" si="2"/>
        <v>Tisu--</v>
      </c>
      <c r="Q82" s="264" t="s">
        <v>2609</v>
      </c>
      <c r="R82" s="519" t="s">
        <v>537</v>
      </c>
      <c r="S82" s="399">
        <v>12</v>
      </c>
      <c r="T82" s="348" t="s">
        <v>3363</v>
      </c>
      <c r="U82" s="520">
        <v>12500</v>
      </c>
      <c r="V82" s="266">
        <v>150000</v>
      </c>
      <c r="W82" s="521" t="s">
        <v>227</v>
      </c>
      <c r="X82" s="521" t="s">
        <v>3383</v>
      </c>
      <c r="Y82" s="522" t="s">
        <v>2512</v>
      </c>
      <c r="Z82" s="523" t="s">
        <v>541</v>
      </c>
      <c r="AA82" s="521"/>
      <c r="AB82" s="521"/>
      <c r="AC82" s="521"/>
      <c r="AD82" s="521"/>
      <c r="AE82" s="521"/>
      <c r="AF82" s="521"/>
      <c r="AG82" s="264">
        <v>1</v>
      </c>
    </row>
    <row r="83" spans="1:33" s="526" customFormat="1" ht="29">
      <c r="A83" s="513">
        <v>81</v>
      </c>
      <c r="B83" s="514" t="s">
        <v>1544</v>
      </c>
      <c r="C83" s="515" t="s">
        <v>1544</v>
      </c>
      <c r="D83" s="262" t="s">
        <v>469</v>
      </c>
      <c r="E83" s="513">
        <v>81</v>
      </c>
      <c r="F83" s="515" t="s">
        <v>1544</v>
      </c>
      <c r="G83" s="516">
        <v>45296</v>
      </c>
      <c r="H83" s="516">
        <v>45297</v>
      </c>
      <c r="I83" s="516">
        <v>45297</v>
      </c>
      <c r="J83" s="516">
        <v>45297</v>
      </c>
      <c r="K83" s="517">
        <v>45314</v>
      </c>
      <c r="L83" s="518" t="s">
        <v>2608</v>
      </c>
      <c r="M83" s="264" t="s">
        <v>2587</v>
      </c>
      <c r="N83" s="262" t="s">
        <v>2177</v>
      </c>
      <c r="O83" s="390" t="s">
        <v>2270</v>
      </c>
      <c r="P83" s="264" t="str">
        <f t="shared" si="2"/>
        <v>Cairan Pembersih Kaca</v>
      </c>
      <c r="Q83" s="264" t="s">
        <v>2609</v>
      </c>
      <c r="R83" s="525" t="s">
        <v>2618</v>
      </c>
      <c r="S83" s="399">
        <v>5</v>
      </c>
      <c r="T83" s="348" t="s">
        <v>3363</v>
      </c>
      <c r="U83" s="520">
        <v>12000</v>
      </c>
      <c r="V83" s="266">
        <v>60000</v>
      </c>
      <c r="W83" s="521" t="s">
        <v>227</v>
      </c>
      <c r="X83" s="521" t="s">
        <v>3383</v>
      </c>
      <c r="Y83" s="522" t="s">
        <v>2512</v>
      </c>
      <c r="Z83" s="523" t="s">
        <v>541</v>
      </c>
      <c r="AA83" s="521"/>
      <c r="AB83" s="521"/>
      <c r="AC83" s="521"/>
      <c r="AD83" s="521"/>
      <c r="AE83" s="521"/>
      <c r="AF83" s="521"/>
      <c r="AG83" s="264">
        <v>1</v>
      </c>
    </row>
    <row r="84" spans="1:33" s="526" customFormat="1" ht="29">
      <c r="A84" s="513">
        <v>82</v>
      </c>
      <c r="B84" s="514" t="s">
        <v>1544</v>
      </c>
      <c r="C84" s="515" t="s">
        <v>1544</v>
      </c>
      <c r="D84" s="262" t="s">
        <v>469</v>
      </c>
      <c r="E84" s="513">
        <v>82</v>
      </c>
      <c r="F84" s="515" t="s">
        <v>1544</v>
      </c>
      <c r="G84" s="516">
        <v>45296</v>
      </c>
      <c r="H84" s="516">
        <v>45297</v>
      </c>
      <c r="I84" s="516">
        <v>45297</v>
      </c>
      <c r="J84" s="516">
        <v>45297</v>
      </c>
      <c r="K84" s="517">
        <v>45314</v>
      </c>
      <c r="L84" s="518" t="s">
        <v>2608</v>
      </c>
      <c r="M84" s="264" t="s">
        <v>2587</v>
      </c>
      <c r="N84" s="262" t="s">
        <v>2177</v>
      </c>
      <c r="O84" s="390" t="s">
        <v>275</v>
      </c>
      <c r="P84" s="264" t="str">
        <f t="shared" si="2"/>
        <v>Tempat sampah</v>
      </c>
      <c r="Q84" s="264" t="s">
        <v>2609</v>
      </c>
      <c r="R84" s="519" t="s">
        <v>560</v>
      </c>
      <c r="S84" s="399">
        <v>35</v>
      </c>
      <c r="T84" s="348" t="s">
        <v>3363</v>
      </c>
      <c r="U84" s="520">
        <v>20000</v>
      </c>
      <c r="V84" s="266">
        <v>700000</v>
      </c>
      <c r="W84" s="521" t="s">
        <v>227</v>
      </c>
      <c r="X84" s="521" t="s">
        <v>3383</v>
      </c>
      <c r="Y84" s="522" t="s">
        <v>2512</v>
      </c>
      <c r="Z84" s="523" t="s">
        <v>541</v>
      </c>
      <c r="AA84" s="521"/>
      <c r="AB84" s="521"/>
      <c r="AC84" s="521"/>
      <c r="AD84" s="521"/>
      <c r="AE84" s="521"/>
      <c r="AF84" s="521"/>
      <c r="AG84" s="264">
        <v>1</v>
      </c>
    </row>
    <row r="85" spans="1:33" s="526" customFormat="1" ht="29">
      <c r="A85" s="513">
        <v>83</v>
      </c>
      <c r="B85" s="514" t="s">
        <v>1544</v>
      </c>
      <c r="C85" s="515" t="s">
        <v>1544</v>
      </c>
      <c r="D85" s="262" t="s">
        <v>469</v>
      </c>
      <c r="E85" s="513">
        <v>83</v>
      </c>
      <c r="F85" s="515" t="s">
        <v>1544</v>
      </c>
      <c r="G85" s="516">
        <v>45296</v>
      </c>
      <c r="H85" s="516">
        <v>45297</v>
      </c>
      <c r="I85" s="516">
        <v>45297</v>
      </c>
      <c r="J85" s="516">
        <v>45297</v>
      </c>
      <c r="K85" s="517">
        <v>45314</v>
      </c>
      <c r="L85" s="518" t="s">
        <v>2608</v>
      </c>
      <c r="M85" s="264" t="s">
        <v>2587</v>
      </c>
      <c r="N85" s="262" t="s">
        <v>2177</v>
      </c>
      <c r="O85" s="390" t="s">
        <v>267</v>
      </c>
      <c r="P85" s="264" t="str">
        <f t="shared" si="2"/>
        <v>Alat Pel</v>
      </c>
      <c r="Q85" s="264" t="s">
        <v>2609</v>
      </c>
      <c r="R85" s="525" t="s">
        <v>2619</v>
      </c>
      <c r="S85" s="399">
        <v>25</v>
      </c>
      <c r="T85" s="348" t="s">
        <v>3363</v>
      </c>
      <c r="U85" s="520">
        <v>35000</v>
      </c>
      <c r="V85" s="266">
        <v>875000</v>
      </c>
      <c r="W85" s="521" t="s">
        <v>227</v>
      </c>
      <c r="X85" s="521" t="s">
        <v>3383</v>
      </c>
      <c r="Y85" s="522" t="s">
        <v>2512</v>
      </c>
      <c r="Z85" s="523" t="s">
        <v>541</v>
      </c>
      <c r="AA85" s="521"/>
      <c r="AB85" s="521"/>
      <c r="AC85" s="521"/>
      <c r="AD85" s="521"/>
      <c r="AE85" s="521"/>
      <c r="AF85" s="521"/>
      <c r="AG85" s="264">
        <v>1</v>
      </c>
    </row>
    <row r="86" spans="1:33" s="526" customFormat="1" ht="29">
      <c r="A86" s="513">
        <v>84</v>
      </c>
      <c r="B86" s="514" t="s">
        <v>1544</v>
      </c>
      <c r="C86" s="515" t="s">
        <v>1544</v>
      </c>
      <c r="D86" s="262" t="s">
        <v>469</v>
      </c>
      <c r="E86" s="513">
        <v>84</v>
      </c>
      <c r="F86" s="515" t="s">
        <v>1544</v>
      </c>
      <c r="G86" s="516">
        <v>45296</v>
      </c>
      <c r="H86" s="516">
        <v>45297</v>
      </c>
      <c r="I86" s="516">
        <v>45297</v>
      </c>
      <c r="J86" s="516">
        <v>45297</v>
      </c>
      <c r="K86" s="517">
        <v>45314</v>
      </c>
      <c r="L86" s="518" t="s">
        <v>2608</v>
      </c>
      <c r="M86" s="264" t="s">
        <v>2587</v>
      </c>
      <c r="N86" s="262" t="s">
        <v>2177</v>
      </c>
      <c r="O86" s="390" t="s">
        <v>2271</v>
      </c>
      <c r="P86" s="264" t="str">
        <f t="shared" si="2"/>
        <v>Sikat Pembersih</v>
      </c>
      <c r="Q86" s="264" t="s">
        <v>2609</v>
      </c>
      <c r="R86" s="525" t="s">
        <v>2620</v>
      </c>
      <c r="S86" s="399">
        <v>15</v>
      </c>
      <c r="T86" s="348" t="s">
        <v>3363</v>
      </c>
      <c r="U86" s="520">
        <v>60000</v>
      </c>
      <c r="V86" s="266">
        <v>900000</v>
      </c>
      <c r="W86" s="521" t="s">
        <v>227</v>
      </c>
      <c r="X86" s="521" t="s">
        <v>3383</v>
      </c>
      <c r="Y86" s="522" t="s">
        <v>2512</v>
      </c>
      <c r="Z86" s="523" t="s">
        <v>541</v>
      </c>
      <c r="AA86" s="521"/>
      <c r="AB86" s="521"/>
      <c r="AC86" s="521"/>
      <c r="AD86" s="521"/>
      <c r="AE86" s="521"/>
      <c r="AF86" s="521"/>
      <c r="AG86" s="264">
        <v>1</v>
      </c>
    </row>
    <row r="87" spans="1:33" s="526" customFormat="1" ht="29">
      <c r="A87" s="513">
        <v>85</v>
      </c>
      <c r="B87" s="514" t="s">
        <v>1544</v>
      </c>
      <c r="C87" s="515" t="s">
        <v>1544</v>
      </c>
      <c r="D87" s="262" t="s">
        <v>469</v>
      </c>
      <c r="E87" s="513">
        <v>85</v>
      </c>
      <c r="F87" s="515" t="s">
        <v>1544</v>
      </c>
      <c r="G87" s="516">
        <v>45296</v>
      </c>
      <c r="H87" s="516">
        <v>45297</v>
      </c>
      <c r="I87" s="516">
        <v>45297</v>
      </c>
      <c r="J87" s="516">
        <v>45297</v>
      </c>
      <c r="K87" s="517">
        <v>45314</v>
      </c>
      <c r="L87" s="518" t="s">
        <v>2608</v>
      </c>
      <c r="M87" s="264" t="s">
        <v>2587</v>
      </c>
      <c r="N87" s="262" t="s">
        <v>2177</v>
      </c>
      <c r="O87" s="390" t="s">
        <v>2272</v>
      </c>
      <c r="P87" s="264" t="str">
        <f t="shared" si="2"/>
        <v>Hand Sanitizer-Unit</v>
      </c>
      <c r="Q87" s="264" t="s">
        <v>2609</v>
      </c>
      <c r="R87" s="524" t="s">
        <v>2621</v>
      </c>
      <c r="S87" s="399">
        <v>5</v>
      </c>
      <c r="T87" s="348" t="s">
        <v>3371</v>
      </c>
      <c r="U87" s="520">
        <v>70000</v>
      </c>
      <c r="V87" s="266">
        <v>350000</v>
      </c>
      <c r="W87" s="521" t="s">
        <v>227</v>
      </c>
      <c r="X87" s="521" t="s">
        <v>3383</v>
      </c>
      <c r="Y87" s="522" t="s">
        <v>2512</v>
      </c>
      <c r="Z87" s="523" t="s">
        <v>541</v>
      </c>
      <c r="AA87" s="521"/>
      <c r="AB87" s="521"/>
      <c r="AC87" s="521"/>
      <c r="AD87" s="521"/>
      <c r="AE87" s="521"/>
      <c r="AF87" s="521"/>
      <c r="AG87" s="264">
        <v>1</v>
      </c>
    </row>
    <row r="88" spans="1:33" s="526" customFormat="1" ht="29">
      <c r="A88" s="513">
        <v>86</v>
      </c>
      <c r="B88" s="514" t="s">
        <v>1544</v>
      </c>
      <c r="C88" s="515" t="s">
        <v>1544</v>
      </c>
      <c r="D88" s="262" t="s">
        <v>469</v>
      </c>
      <c r="E88" s="513">
        <v>86</v>
      </c>
      <c r="F88" s="515" t="s">
        <v>1544</v>
      </c>
      <c r="G88" s="516">
        <v>45296</v>
      </c>
      <c r="H88" s="516">
        <v>45297</v>
      </c>
      <c r="I88" s="516">
        <v>45297</v>
      </c>
      <c r="J88" s="516">
        <v>45297</v>
      </c>
      <c r="K88" s="517">
        <v>45314</v>
      </c>
      <c r="L88" s="518" t="s">
        <v>2608</v>
      </c>
      <c r="M88" s="264" t="s">
        <v>2587</v>
      </c>
      <c r="N88" s="262" t="s">
        <v>2177</v>
      </c>
      <c r="O88" s="390" t="s">
        <v>273</v>
      </c>
      <c r="P88" s="264" t="str">
        <f t="shared" si="2"/>
        <v>Sapu Lidi</v>
      </c>
      <c r="Q88" s="264" t="s">
        <v>2609</v>
      </c>
      <c r="R88" s="519" t="s">
        <v>556</v>
      </c>
      <c r="S88" s="399">
        <v>15</v>
      </c>
      <c r="T88" s="348" t="s">
        <v>3363</v>
      </c>
      <c r="U88" s="520">
        <v>25000</v>
      </c>
      <c r="V88" s="266">
        <v>375000</v>
      </c>
      <c r="W88" s="521" t="s">
        <v>227</v>
      </c>
      <c r="X88" s="521" t="s">
        <v>3383</v>
      </c>
      <c r="Y88" s="522" t="s">
        <v>2512</v>
      </c>
      <c r="Z88" s="523" t="s">
        <v>541</v>
      </c>
      <c r="AA88" s="521"/>
      <c r="AB88" s="521"/>
      <c r="AC88" s="521"/>
      <c r="AD88" s="521"/>
      <c r="AE88" s="521"/>
      <c r="AF88" s="521"/>
      <c r="AG88" s="264">
        <v>1</v>
      </c>
    </row>
    <row r="89" spans="1:33" s="526" customFormat="1" ht="29">
      <c r="A89" s="513">
        <v>87</v>
      </c>
      <c r="B89" s="514" t="s">
        <v>1544</v>
      </c>
      <c r="C89" s="515" t="s">
        <v>1544</v>
      </c>
      <c r="D89" s="262" t="s">
        <v>469</v>
      </c>
      <c r="E89" s="513">
        <v>87</v>
      </c>
      <c r="F89" s="515" t="s">
        <v>1544</v>
      </c>
      <c r="G89" s="516">
        <v>45296</v>
      </c>
      <c r="H89" s="516">
        <v>45297</v>
      </c>
      <c r="I89" s="516">
        <v>45297</v>
      </c>
      <c r="J89" s="516">
        <v>45297</v>
      </c>
      <c r="K89" s="517">
        <v>45314</v>
      </c>
      <c r="L89" s="518" t="s">
        <v>2608</v>
      </c>
      <c r="M89" s="264" t="s">
        <v>2587</v>
      </c>
      <c r="N89" s="262" t="s">
        <v>2177</v>
      </c>
      <c r="O89" s="390" t="s">
        <v>2273</v>
      </c>
      <c r="P89" s="264" t="str">
        <f t="shared" si="2"/>
        <v>Sikat WC Type : Gagang Panjang</v>
      </c>
      <c r="Q89" s="264" t="s">
        <v>2609</v>
      </c>
      <c r="R89" s="519" t="s">
        <v>2622</v>
      </c>
      <c r="S89" s="399">
        <v>15</v>
      </c>
      <c r="T89" s="348" t="s">
        <v>3363</v>
      </c>
      <c r="U89" s="520">
        <v>34000</v>
      </c>
      <c r="V89" s="266">
        <v>510000</v>
      </c>
      <c r="W89" s="521" t="s">
        <v>227</v>
      </c>
      <c r="X89" s="521" t="s">
        <v>3383</v>
      </c>
      <c r="Y89" s="522" t="s">
        <v>2512</v>
      </c>
      <c r="Z89" s="523" t="s">
        <v>541</v>
      </c>
      <c r="AA89" s="521"/>
      <c r="AB89" s="521"/>
      <c r="AC89" s="521"/>
      <c r="AD89" s="521"/>
      <c r="AE89" s="521"/>
      <c r="AF89" s="521"/>
      <c r="AG89" s="264">
        <v>1</v>
      </c>
    </row>
    <row r="90" spans="1:33" s="526" customFormat="1" ht="43.5">
      <c r="A90" s="513">
        <v>88</v>
      </c>
      <c r="B90" s="514" t="s">
        <v>1546</v>
      </c>
      <c r="C90" s="515" t="s">
        <v>1546</v>
      </c>
      <c r="D90" s="262" t="s">
        <v>475</v>
      </c>
      <c r="E90" s="513">
        <v>88</v>
      </c>
      <c r="F90" s="515" t="s">
        <v>1546</v>
      </c>
      <c r="G90" s="516">
        <v>45296</v>
      </c>
      <c r="H90" s="516">
        <v>45297</v>
      </c>
      <c r="I90" s="516">
        <v>45297</v>
      </c>
      <c r="J90" s="516">
        <v>45297</v>
      </c>
      <c r="K90" s="517">
        <v>45314</v>
      </c>
      <c r="L90" s="518" t="s">
        <v>2623</v>
      </c>
      <c r="M90" s="264" t="s">
        <v>2624</v>
      </c>
      <c r="N90" s="262" t="s">
        <v>2178</v>
      </c>
      <c r="O90" s="390" t="s">
        <v>2274</v>
      </c>
      <c r="P90" s="264" t="str">
        <f t="shared" si="2"/>
        <v>Obat Magh</v>
      </c>
      <c r="Q90" s="264" t="s">
        <v>2625</v>
      </c>
      <c r="R90" s="528" t="s">
        <v>169</v>
      </c>
      <c r="S90" s="399">
        <v>5</v>
      </c>
      <c r="T90" s="348" t="s">
        <v>3363</v>
      </c>
      <c r="U90" s="520">
        <v>12000</v>
      </c>
      <c r="V90" s="266">
        <v>60000</v>
      </c>
      <c r="W90" s="521" t="s">
        <v>2629</v>
      </c>
      <c r="X90" s="521"/>
      <c r="Y90" s="522" t="s">
        <v>2512</v>
      </c>
      <c r="Z90" s="523" t="s">
        <v>2630</v>
      </c>
      <c r="AA90" s="521"/>
      <c r="AB90" s="521"/>
      <c r="AC90" s="521"/>
      <c r="AD90" s="521"/>
      <c r="AE90" s="521"/>
      <c r="AF90" s="521"/>
      <c r="AG90" s="264">
        <v>1</v>
      </c>
    </row>
    <row r="91" spans="1:33" s="526" customFormat="1" ht="29">
      <c r="A91" s="513">
        <v>89</v>
      </c>
      <c r="B91" s="514" t="s">
        <v>1546</v>
      </c>
      <c r="C91" s="515" t="s">
        <v>1546</v>
      </c>
      <c r="D91" s="262" t="s">
        <v>475</v>
      </c>
      <c r="E91" s="513">
        <v>89</v>
      </c>
      <c r="F91" s="515" t="s">
        <v>1546</v>
      </c>
      <c r="G91" s="516">
        <v>45296</v>
      </c>
      <c r="H91" s="516">
        <v>45297</v>
      </c>
      <c r="I91" s="516">
        <v>45297</v>
      </c>
      <c r="J91" s="516">
        <v>45297</v>
      </c>
      <c r="K91" s="517">
        <v>45314</v>
      </c>
      <c r="L91" s="518" t="s">
        <v>2623</v>
      </c>
      <c r="M91" s="264" t="s">
        <v>2624</v>
      </c>
      <c r="N91" s="262" t="s">
        <v>2178</v>
      </c>
      <c r="O91" s="390" t="s">
        <v>172</v>
      </c>
      <c r="P91" s="264" t="str">
        <f t="shared" si="2"/>
        <v>Perban Kain Kasa</v>
      </c>
      <c r="Q91" s="264" t="s">
        <v>2625</v>
      </c>
      <c r="R91" s="528" t="s">
        <v>2626</v>
      </c>
      <c r="S91" s="399">
        <v>2</v>
      </c>
      <c r="T91" s="348" t="s">
        <v>3362</v>
      </c>
      <c r="U91" s="520">
        <v>80000</v>
      </c>
      <c r="V91" s="266">
        <v>160000</v>
      </c>
      <c r="W91" s="521" t="s">
        <v>2629</v>
      </c>
      <c r="X91" s="521"/>
      <c r="Y91" s="522" t="s">
        <v>2512</v>
      </c>
      <c r="Z91" s="523" t="s">
        <v>2630</v>
      </c>
      <c r="AA91" s="521"/>
      <c r="AB91" s="521"/>
      <c r="AC91" s="521"/>
      <c r="AD91" s="521"/>
      <c r="AE91" s="521"/>
      <c r="AF91" s="521"/>
      <c r="AG91" s="264">
        <v>1</v>
      </c>
    </row>
    <row r="92" spans="1:33" s="526" customFormat="1" ht="43.5">
      <c r="A92" s="513">
        <v>90</v>
      </c>
      <c r="B92" s="514" t="s">
        <v>1546</v>
      </c>
      <c r="C92" s="515" t="s">
        <v>1546</v>
      </c>
      <c r="D92" s="262" t="s">
        <v>475</v>
      </c>
      <c r="E92" s="513">
        <v>90</v>
      </c>
      <c r="F92" s="515" t="s">
        <v>1546</v>
      </c>
      <c r="G92" s="516">
        <v>45296</v>
      </c>
      <c r="H92" s="516">
        <v>45297</v>
      </c>
      <c r="I92" s="516">
        <v>45297</v>
      </c>
      <c r="J92" s="516">
        <v>45297</v>
      </c>
      <c r="K92" s="517">
        <v>45314</v>
      </c>
      <c r="L92" s="518" t="s">
        <v>2623</v>
      </c>
      <c r="M92" s="264" t="s">
        <v>2624</v>
      </c>
      <c r="N92" s="262" t="s">
        <v>2178</v>
      </c>
      <c r="O92" s="390" t="s">
        <v>2275</v>
      </c>
      <c r="P92" s="264" t="str">
        <f t="shared" si="2"/>
        <v>Obat Diare/sakit perut</v>
      </c>
      <c r="Q92" s="264" t="s">
        <v>2625</v>
      </c>
      <c r="R92" s="528" t="s">
        <v>168</v>
      </c>
      <c r="S92" s="399">
        <v>5</v>
      </c>
      <c r="T92" s="348" t="s">
        <v>3363</v>
      </c>
      <c r="U92" s="520">
        <v>15000</v>
      </c>
      <c r="V92" s="266">
        <v>75000</v>
      </c>
      <c r="W92" s="521" t="s">
        <v>2629</v>
      </c>
      <c r="X92" s="521"/>
      <c r="Y92" s="522" t="s">
        <v>2512</v>
      </c>
      <c r="Z92" s="523" t="s">
        <v>2630</v>
      </c>
      <c r="AA92" s="521"/>
      <c r="AB92" s="521"/>
      <c r="AC92" s="521"/>
      <c r="AD92" s="521"/>
      <c r="AE92" s="521"/>
      <c r="AF92" s="521"/>
      <c r="AG92" s="264">
        <v>1</v>
      </c>
    </row>
    <row r="93" spans="1:33" s="526" customFormat="1" ht="29">
      <c r="A93" s="513">
        <v>91</v>
      </c>
      <c r="B93" s="514" t="s">
        <v>1546</v>
      </c>
      <c r="C93" s="515" t="s">
        <v>1546</v>
      </c>
      <c r="D93" s="262" t="s">
        <v>475</v>
      </c>
      <c r="E93" s="513">
        <v>91</v>
      </c>
      <c r="F93" s="515" t="s">
        <v>1546</v>
      </c>
      <c r="G93" s="516">
        <v>45296</v>
      </c>
      <c r="H93" s="516">
        <v>45297</v>
      </c>
      <c r="I93" s="516">
        <v>45297</v>
      </c>
      <c r="J93" s="516">
        <v>45297</v>
      </c>
      <c r="K93" s="517">
        <v>45314</v>
      </c>
      <c r="L93" s="518" t="s">
        <v>2623</v>
      </c>
      <c r="M93" s="264" t="s">
        <v>2624</v>
      </c>
      <c r="N93" s="262" t="s">
        <v>2178</v>
      </c>
      <c r="O93" s="390" t="s">
        <v>2276</v>
      </c>
      <c r="P93" s="264" t="str">
        <f t="shared" si="2"/>
        <v>Antiseptic Obat Luar</v>
      </c>
      <c r="Q93" s="264" t="s">
        <v>2625</v>
      </c>
      <c r="R93" s="528" t="s">
        <v>170</v>
      </c>
      <c r="S93" s="399">
        <v>5</v>
      </c>
      <c r="T93" s="348" t="s">
        <v>3363</v>
      </c>
      <c r="U93" s="520">
        <v>22000</v>
      </c>
      <c r="V93" s="266">
        <v>110000</v>
      </c>
      <c r="W93" s="521" t="s">
        <v>2629</v>
      </c>
      <c r="X93" s="521"/>
      <c r="Y93" s="522" t="s">
        <v>2512</v>
      </c>
      <c r="Z93" s="523" t="s">
        <v>2630</v>
      </c>
      <c r="AA93" s="521"/>
      <c r="AB93" s="521"/>
      <c r="AC93" s="521"/>
      <c r="AD93" s="521"/>
      <c r="AE93" s="521"/>
      <c r="AF93" s="521"/>
      <c r="AG93" s="264">
        <v>1</v>
      </c>
    </row>
    <row r="94" spans="1:33" s="526" customFormat="1" ht="29">
      <c r="A94" s="513">
        <v>92</v>
      </c>
      <c r="B94" s="514" t="s">
        <v>1546</v>
      </c>
      <c r="C94" s="515" t="s">
        <v>1546</v>
      </c>
      <c r="D94" s="262" t="s">
        <v>475</v>
      </c>
      <c r="E94" s="513">
        <v>92</v>
      </c>
      <c r="F94" s="515" t="s">
        <v>1546</v>
      </c>
      <c r="G94" s="516">
        <v>45296</v>
      </c>
      <c r="H94" s="516">
        <v>45297</v>
      </c>
      <c r="I94" s="516">
        <v>45297</v>
      </c>
      <c r="J94" s="516">
        <v>45297</v>
      </c>
      <c r="K94" s="517">
        <v>45314</v>
      </c>
      <c r="L94" s="518" t="s">
        <v>2623</v>
      </c>
      <c r="M94" s="264" t="s">
        <v>2624</v>
      </c>
      <c r="N94" s="262" t="s">
        <v>2178</v>
      </c>
      <c r="O94" s="390" t="s">
        <v>171</v>
      </c>
      <c r="P94" s="264" t="str">
        <f t="shared" si="2"/>
        <v>Kapas Pembalut 1000 gr</v>
      </c>
      <c r="Q94" s="264" t="s">
        <v>2625</v>
      </c>
      <c r="R94" s="528" t="s">
        <v>2627</v>
      </c>
      <c r="S94" s="399">
        <v>2</v>
      </c>
      <c r="T94" s="348" t="s">
        <v>3363</v>
      </c>
      <c r="U94" s="520">
        <v>120000</v>
      </c>
      <c r="V94" s="266">
        <v>240000</v>
      </c>
      <c r="W94" s="521" t="s">
        <v>2629</v>
      </c>
      <c r="X94" s="521"/>
      <c r="Y94" s="522" t="s">
        <v>2512</v>
      </c>
      <c r="Z94" s="523" t="s">
        <v>2630</v>
      </c>
      <c r="AA94" s="521"/>
      <c r="AB94" s="521"/>
      <c r="AC94" s="521"/>
      <c r="AD94" s="521"/>
      <c r="AE94" s="521"/>
      <c r="AF94" s="521"/>
      <c r="AG94" s="264">
        <v>1</v>
      </c>
    </row>
    <row r="95" spans="1:33" s="526" customFormat="1" ht="29">
      <c r="A95" s="513">
        <v>93</v>
      </c>
      <c r="B95" s="514" t="s">
        <v>1546</v>
      </c>
      <c r="C95" s="515" t="s">
        <v>1546</v>
      </c>
      <c r="D95" s="262" t="s">
        <v>475</v>
      </c>
      <c r="E95" s="513">
        <v>93</v>
      </c>
      <c r="F95" s="515" t="s">
        <v>1546</v>
      </c>
      <c r="G95" s="516">
        <v>45296</v>
      </c>
      <c r="H95" s="516">
        <v>45297</v>
      </c>
      <c r="I95" s="516">
        <v>45297</v>
      </c>
      <c r="J95" s="516">
        <v>45297</v>
      </c>
      <c r="K95" s="517">
        <v>45314</v>
      </c>
      <c r="L95" s="518" t="s">
        <v>2623</v>
      </c>
      <c r="M95" s="264" t="s">
        <v>2624</v>
      </c>
      <c r="N95" s="262" t="s">
        <v>2178</v>
      </c>
      <c r="O95" s="390" t="s">
        <v>278</v>
      </c>
      <c r="P95" s="264" t="s">
        <v>2628</v>
      </c>
      <c r="Q95" s="264" t="s">
        <v>2625</v>
      </c>
      <c r="R95" s="528" t="s">
        <v>167</v>
      </c>
      <c r="S95" s="399">
        <v>5</v>
      </c>
      <c r="T95" s="348" t="s">
        <v>3363</v>
      </c>
      <c r="U95" s="520">
        <v>15000</v>
      </c>
      <c r="V95" s="266">
        <v>75000</v>
      </c>
      <c r="W95" s="521" t="s">
        <v>2629</v>
      </c>
      <c r="X95" s="521"/>
      <c r="Y95" s="521"/>
      <c r="Z95" s="523" t="s">
        <v>2630</v>
      </c>
      <c r="AA95" s="521"/>
      <c r="AB95" s="521"/>
      <c r="AC95" s="521"/>
      <c r="AD95" s="521"/>
      <c r="AE95" s="521"/>
      <c r="AF95" s="521"/>
      <c r="AG95" s="264">
        <v>1</v>
      </c>
    </row>
    <row r="96" spans="1:33" s="526" customFormat="1" ht="37.5">
      <c r="A96" s="513">
        <v>94</v>
      </c>
      <c r="B96" s="514" t="s">
        <v>1547</v>
      </c>
      <c r="C96" s="515" t="s">
        <v>1547</v>
      </c>
      <c r="D96" s="262" t="s">
        <v>478</v>
      </c>
      <c r="E96" s="513">
        <v>94</v>
      </c>
      <c r="F96" s="515" t="s">
        <v>1547</v>
      </c>
      <c r="G96" s="516">
        <v>45296</v>
      </c>
      <c r="H96" s="516">
        <v>45297</v>
      </c>
      <c r="I96" s="516">
        <v>45297</v>
      </c>
      <c r="J96" s="516">
        <v>45297</v>
      </c>
      <c r="K96" s="517">
        <v>45314</v>
      </c>
      <c r="L96" s="518" t="s">
        <v>2631</v>
      </c>
      <c r="M96" s="264" t="s">
        <v>2632</v>
      </c>
      <c r="N96" s="262" t="s">
        <v>2179</v>
      </c>
      <c r="O96" s="390" t="s">
        <v>2277</v>
      </c>
      <c r="P96" s="264" t="s">
        <v>2633</v>
      </c>
      <c r="Q96" s="264" t="s">
        <v>280</v>
      </c>
      <c r="R96" s="528" t="s">
        <v>165</v>
      </c>
      <c r="S96" s="399">
        <v>60</v>
      </c>
      <c r="T96" s="348" t="s">
        <v>3362</v>
      </c>
      <c r="U96" s="520">
        <v>15000</v>
      </c>
      <c r="V96" s="266">
        <v>900000</v>
      </c>
      <c r="W96" s="521" t="s">
        <v>10</v>
      </c>
      <c r="X96" s="521" t="s">
        <v>11</v>
      </c>
      <c r="Y96" s="522" t="s">
        <v>2092</v>
      </c>
      <c r="Z96" s="523" t="s">
        <v>2634</v>
      </c>
      <c r="AA96" s="521"/>
      <c r="AB96" s="521"/>
      <c r="AC96" s="521"/>
      <c r="AD96" s="521"/>
      <c r="AE96" s="521"/>
      <c r="AF96" s="521"/>
      <c r="AG96" s="264">
        <v>1</v>
      </c>
    </row>
    <row r="97" spans="1:33" s="526" customFormat="1" ht="37.5">
      <c r="A97" s="513">
        <v>95</v>
      </c>
      <c r="B97" s="514" t="s">
        <v>1548</v>
      </c>
      <c r="C97" s="515" t="s">
        <v>1548</v>
      </c>
      <c r="D97" s="262" t="s">
        <v>480</v>
      </c>
      <c r="E97" s="513">
        <v>95</v>
      </c>
      <c r="F97" s="515" t="s">
        <v>1548</v>
      </c>
      <c r="G97" s="516">
        <v>45296</v>
      </c>
      <c r="H97" s="516">
        <v>45297</v>
      </c>
      <c r="I97" s="516">
        <v>45297</v>
      </c>
      <c r="J97" s="516">
        <v>45297</v>
      </c>
      <c r="K97" s="517">
        <v>45314</v>
      </c>
      <c r="L97" s="518" t="s">
        <v>2631</v>
      </c>
      <c r="M97" s="264" t="s">
        <v>2632</v>
      </c>
      <c r="N97" s="262" t="s">
        <v>2179</v>
      </c>
      <c r="O97" s="390" t="s">
        <v>2278</v>
      </c>
      <c r="P97" s="264" t="s">
        <v>467</v>
      </c>
      <c r="Q97" s="264" t="s">
        <v>8</v>
      </c>
      <c r="R97" s="519" t="s">
        <v>2635</v>
      </c>
      <c r="S97" s="399">
        <v>60</v>
      </c>
      <c r="T97" s="348" t="s">
        <v>3362</v>
      </c>
      <c r="U97" s="520">
        <v>40000</v>
      </c>
      <c r="V97" s="266">
        <v>2400000</v>
      </c>
      <c r="W97" s="521" t="s">
        <v>2507</v>
      </c>
      <c r="X97" s="521" t="s">
        <v>2508</v>
      </c>
      <c r="Y97" s="522" t="s">
        <v>2516</v>
      </c>
      <c r="Z97" s="523" t="s">
        <v>2636</v>
      </c>
      <c r="AA97" s="521"/>
      <c r="AB97" s="521"/>
      <c r="AC97" s="521"/>
      <c r="AD97" s="521"/>
      <c r="AE97" s="521"/>
      <c r="AF97" s="521"/>
      <c r="AG97" s="264">
        <v>1</v>
      </c>
    </row>
    <row r="98" spans="1:33" s="526" customFormat="1" ht="37.5">
      <c r="A98" s="513">
        <v>96</v>
      </c>
      <c r="B98" s="514" t="s">
        <v>1549</v>
      </c>
      <c r="C98" s="515" t="s">
        <v>1549</v>
      </c>
      <c r="D98" s="262" t="s">
        <v>485</v>
      </c>
      <c r="E98" s="513">
        <v>96</v>
      </c>
      <c r="F98" s="515" t="s">
        <v>1549</v>
      </c>
      <c r="G98" s="543">
        <v>45299</v>
      </c>
      <c r="H98" s="543">
        <v>45299</v>
      </c>
      <c r="I98" s="543">
        <v>45299</v>
      </c>
      <c r="J98" s="543">
        <v>45299</v>
      </c>
      <c r="K98" s="517">
        <v>45314</v>
      </c>
      <c r="L98" s="518" t="s">
        <v>2631</v>
      </c>
      <c r="M98" s="264" t="s">
        <v>2637</v>
      </c>
      <c r="N98" s="262" t="s">
        <v>2181</v>
      </c>
      <c r="O98" s="390" t="s">
        <v>2279</v>
      </c>
      <c r="P98" s="264" t="s">
        <v>2633</v>
      </c>
      <c r="Q98" s="264" t="s">
        <v>280</v>
      </c>
      <c r="R98" s="528" t="s">
        <v>165</v>
      </c>
      <c r="S98" s="399">
        <v>120</v>
      </c>
      <c r="T98" s="348" t="s">
        <v>3362</v>
      </c>
      <c r="U98" s="520">
        <v>15000</v>
      </c>
      <c r="V98" s="266">
        <v>1800000</v>
      </c>
      <c r="W98" s="521" t="s">
        <v>10</v>
      </c>
      <c r="X98" s="521" t="s">
        <v>11</v>
      </c>
      <c r="Y98" s="522" t="s">
        <v>2092</v>
      </c>
      <c r="Z98" s="523" t="s">
        <v>2634</v>
      </c>
      <c r="AA98" s="521"/>
      <c r="AB98" s="521"/>
      <c r="AC98" s="521"/>
      <c r="AD98" s="521"/>
      <c r="AE98" s="521"/>
      <c r="AF98" s="521"/>
      <c r="AG98" s="264">
        <v>1</v>
      </c>
    </row>
    <row r="99" spans="1:33" s="526" customFormat="1" ht="37.5">
      <c r="A99" s="513">
        <v>97</v>
      </c>
      <c r="B99" s="514" t="s">
        <v>1550</v>
      </c>
      <c r="C99" s="515" t="s">
        <v>1550</v>
      </c>
      <c r="D99" s="262" t="s">
        <v>2126</v>
      </c>
      <c r="E99" s="513">
        <v>97</v>
      </c>
      <c r="F99" s="515" t="s">
        <v>1550</v>
      </c>
      <c r="G99" s="543">
        <v>45299</v>
      </c>
      <c r="H99" s="543">
        <v>45299</v>
      </c>
      <c r="I99" s="543">
        <v>45299</v>
      </c>
      <c r="J99" s="543">
        <v>45299</v>
      </c>
      <c r="K99" s="517">
        <v>45314</v>
      </c>
      <c r="L99" s="518" t="s">
        <v>2631</v>
      </c>
      <c r="M99" s="264" t="s">
        <v>2637</v>
      </c>
      <c r="N99" s="262" t="s">
        <v>2181</v>
      </c>
      <c r="O99" s="390" t="s">
        <v>2280</v>
      </c>
      <c r="P99" s="264" t="s">
        <v>467</v>
      </c>
      <c r="Q99" s="264" t="s">
        <v>8</v>
      </c>
      <c r="R99" s="519" t="s">
        <v>2635</v>
      </c>
      <c r="S99" s="399">
        <v>60</v>
      </c>
      <c r="T99" s="348" t="s">
        <v>3362</v>
      </c>
      <c r="U99" s="520">
        <v>40000</v>
      </c>
      <c r="V99" s="266">
        <v>2400000</v>
      </c>
      <c r="W99" s="521" t="s">
        <v>2507</v>
      </c>
      <c r="X99" s="521" t="s">
        <v>2508</v>
      </c>
      <c r="Y99" s="522" t="s">
        <v>2516</v>
      </c>
      <c r="Z99" s="523" t="s">
        <v>2636</v>
      </c>
      <c r="AA99" s="521"/>
      <c r="AB99" s="521"/>
      <c r="AC99" s="521"/>
      <c r="AD99" s="521"/>
      <c r="AE99" s="521"/>
      <c r="AF99" s="521"/>
      <c r="AG99" s="264">
        <v>1</v>
      </c>
    </row>
    <row r="100" spans="1:33" s="526" customFormat="1" ht="29">
      <c r="A100" s="513">
        <v>98</v>
      </c>
      <c r="B100" s="514" t="s">
        <v>1551</v>
      </c>
      <c r="C100" s="515" t="s">
        <v>1551</v>
      </c>
      <c r="D100" s="262" t="s">
        <v>491</v>
      </c>
      <c r="E100" s="513">
        <v>98</v>
      </c>
      <c r="F100" s="515" t="s">
        <v>1551</v>
      </c>
      <c r="G100" s="543">
        <v>45300</v>
      </c>
      <c r="H100" s="543">
        <v>45300</v>
      </c>
      <c r="I100" s="543">
        <v>45300</v>
      </c>
      <c r="J100" s="543">
        <v>45300</v>
      </c>
      <c r="K100" s="517">
        <v>45314</v>
      </c>
      <c r="L100" s="518" t="s">
        <v>2631</v>
      </c>
      <c r="M100" s="264" t="s">
        <v>2638</v>
      </c>
      <c r="N100" s="262" t="s">
        <v>818</v>
      </c>
      <c r="O100" s="390" t="s">
        <v>2281</v>
      </c>
      <c r="P100" s="264" t="s">
        <v>2633</v>
      </c>
      <c r="Q100" s="264" t="s">
        <v>280</v>
      </c>
      <c r="R100" s="528" t="s">
        <v>165</v>
      </c>
      <c r="S100" s="399">
        <v>60</v>
      </c>
      <c r="T100" s="348" t="s">
        <v>3362</v>
      </c>
      <c r="U100" s="520">
        <v>15000</v>
      </c>
      <c r="V100" s="266">
        <v>900000</v>
      </c>
      <c r="W100" s="521" t="s">
        <v>10</v>
      </c>
      <c r="X100" s="521" t="s">
        <v>11</v>
      </c>
      <c r="Y100" s="522" t="s">
        <v>2092</v>
      </c>
      <c r="Z100" s="523" t="s">
        <v>2634</v>
      </c>
      <c r="AA100" s="521"/>
      <c r="AB100" s="521"/>
      <c r="AC100" s="521"/>
      <c r="AD100" s="521"/>
      <c r="AE100" s="521"/>
      <c r="AF100" s="521"/>
      <c r="AG100" s="264">
        <v>1</v>
      </c>
    </row>
    <row r="101" spans="1:33" s="526" customFormat="1" ht="29">
      <c r="A101" s="513">
        <v>99</v>
      </c>
      <c r="B101" s="514" t="s">
        <v>1552</v>
      </c>
      <c r="C101" s="515" t="s">
        <v>1552</v>
      </c>
      <c r="D101" s="262" t="s">
        <v>495</v>
      </c>
      <c r="E101" s="513">
        <v>99</v>
      </c>
      <c r="F101" s="515" t="s">
        <v>1552</v>
      </c>
      <c r="G101" s="543">
        <v>45300</v>
      </c>
      <c r="H101" s="543">
        <v>45300</v>
      </c>
      <c r="I101" s="543">
        <v>45300</v>
      </c>
      <c r="J101" s="543">
        <v>45300</v>
      </c>
      <c r="K101" s="517">
        <v>45314</v>
      </c>
      <c r="L101" s="518" t="s">
        <v>2631</v>
      </c>
      <c r="M101" s="264" t="s">
        <v>2638</v>
      </c>
      <c r="N101" s="262" t="s">
        <v>818</v>
      </c>
      <c r="O101" s="390" t="s">
        <v>2282</v>
      </c>
      <c r="P101" s="264" t="s">
        <v>467</v>
      </c>
      <c r="Q101" s="264" t="s">
        <v>8</v>
      </c>
      <c r="R101" s="519" t="s">
        <v>2635</v>
      </c>
      <c r="S101" s="399">
        <v>60</v>
      </c>
      <c r="T101" s="348" t="s">
        <v>3362</v>
      </c>
      <c r="U101" s="520">
        <v>40000</v>
      </c>
      <c r="V101" s="266">
        <v>2400000</v>
      </c>
      <c r="W101" s="521" t="s">
        <v>2507</v>
      </c>
      <c r="X101" s="521" t="s">
        <v>2508</v>
      </c>
      <c r="Y101" s="522" t="s">
        <v>2516</v>
      </c>
      <c r="Z101" s="523" t="s">
        <v>2636</v>
      </c>
      <c r="AA101" s="521"/>
      <c r="AB101" s="521"/>
      <c r="AC101" s="521"/>
      <c r="AD101" s="521"/>
      <c r="AE101" s="521"/>
      <c r="AF101" s="521"/>
      <c r="AG101" s="264">
        <v>1</v>
      </c>
    </row>
    <row r="102" spans="1:33" s="526" customFormat="1" ht="29">
      <c r="A102" s="513">
        <v>100</v>
      </c>
      <c r="B102" s="514" t="s">
        <v>2639</v>
      </c>
      <c r="C102" s="515" t="s">
        <v>2639</v>
      </c>
      <c r="D102" s="262" t="s">
        <v>497</v>
      </c>
      <c r="E102" s="513">
        <v>100</v>
      </c>
      <c r="F102" s="515" t="s">
        <v>2639</v>
      </c>
      <c r="G102" s="543">
        <v>45302</v>
      </c>
      <c r="H102" s="543">
        <v>45302</v>
      </c>
      <c r="I102" s="543">
        <v>45302</v>
      </c>
      <c r="J102" s="543">
        <v>45302</v>
      </c>
      <c r="K102" s="517">
        <v>45314</v>
      </c>
      <c r="L102" s="518" t="s">
        <v>2631</v>
      </c>
      <c r="M102" s="264" t="s">
        <v>2640</v>
      </c>
      <c r="N102" s="262" t="s">
        <v>2182</v>
      </c>
      <c r="O102" s="390" t="s">
        <v>2283</v>
      </c>
      <c r="P102" s="264" t="s">
        <v>2633</v>
      </c>
      <c r="Q102" s="264" t="s">
        <v>280</v>
      </c>
      <c r="R102" s="528" t="s">
        <v>165</v>
      </c>
      <c r="S102" s="399">
        <v>60</v>
      </c>
      <c r="T102" s="348" t="s">
        <v>3362</v>
      </c>
      <c r="U102" s="520">
        <v>15000</v>
      </c>
      <c r="V102" s="266">
        <v>900000</v>
      </c>
      <c r="W102" s="521" t="s">
        <v>10</v>
      </c>
      <c r="X102" s="521" t="s">
        <v>11</v>
      </c>
      <c r="Y102" s="522" t="s">
        <v>2092</v>
      </c>
      <c r="Z102" s="523" t="s">
        <v>2634</v>
      </c>
      <c r="AA102" s="521"/>
      <c r="AB102" s="521"/>
      <c r="AC102" s="521"/>
      <c r="AD102" s="521"/>
      <c r="AE102" s="521"/>
      <c r="AF102" s="521"/>
      <c r="AG102" s="264">
        <v>1</v>
      </c>
    </row>
    <row r="103" spans="1:33" s="526" customFormat="1" ht="29">
      <c r="A103" s="513">
        <v>101</v>
      </c>
      <c r="B103" s="514" t="s">
        <v>2641</v>
      </c>
      <c r="C103" s="515" t="s">
        <v>2641</v>
      </c>
      <c r="D103" s="262" t="s">
        <v>501</v>
      </c>
      <c r="E103" s="513">
        <v>101</v>
      </c>
      <c r="F103" s="515" t="s">
        <v>2641</v>
      </c>
      <c r="G103" s="543">
        <v>45302</v>
      </c>
      <c r="H103" s="543">
        <v>45302</v>
      </c>
      <c r="I103" s="543">
        <v>45302</v>
      </c>
      <c r="J103" s="543">
        <v>45302</v>
      </c>
      <c r="K103" s="517">
        <v>45314</v>
      </c>
      <c r="L103" s="518" t="s">
        <v>2631</v>
      </c>
      <c r="M103" s="264" t="s">
        <v>2640</v>
      </c>
      <c r="N103" s="262" t="s">
        <v>2182</v>
      </c>
      <c r="O103" s="390" t="s">
        <v>2284</v>
      </c>
      <c r="P103" s="264" t="s">
        <v>467</v>
      </c>
      <c r="Q103" s="264" t="s">
        <v>8</v>
      </c>
      <c r="R103" s="519" t="s">
        <v>2635</v>
      </c>
      <c r="S103" s="399">
        <v>60</v>
      </c>
      <c r="T103" s="348" t="s">
        <v>3362</v>
      </c>
      <c r="U103" s="520">
        <v>40000</v>
      </c>
      <c r="V103" s="266">
        <v>2400000</v>
      </c>
      <c r="W103" s="521" t="s">
        <v>2507</v>
      </c>
      <c r="X103" s="521" t="s">
        <v>2508</v>
      </c>
      <c r="Y103" s="522" t="s">
        <v>2516</v>
      </c>
      <c r="Z103" s="523" t="s">
        <v>2636</v>
      </c>
      <c r="AA103" s="521"/>
      <c r="AB103" s="521"/>
      <c r="AC103" s="521"/>
      <c r="AD103" s="521"/>
      <c r="AE103" s="521"/>
      <c r="AF103" s="521"/>
      <c r="AG103" s="264">
        <v>1</v>
      </c>
    </row>
    <row r="104" spans="1:33" s="526" customFormat="1" ht="29">
      <c r="A104" s="513">
        <v>102</v>
      </c>
      <c r="B104" s="514" t="s">
        <v>2642</v>
      </c>
      <c r="C104" s="515" t="s">
        <v>2642</v>
      </c>
      <c r="D104" s="262" t="s">
        <v>503</v>
      </c>
      <c r="E104" s="513">
        <v>102</v>
      </c>
      <c r="F104" s="515" t="s">
        <v>2642</v>
      </c>
      <c r="G104" s="543">
        <v>45304</v>
      </c>
      <c r="H104" s="543">
        <v>45304</v>
      </c>
      <c r="I104" s="543">
        <v>45304</v>
      </c>
      <c r="J104" s="543">
        <v>45304</v>
      </c>
      <c r="K104" s="517">
        <v>45314</v>
      </c>
      <c r="L104" s="518" t="s">
        <v>2631</v>
      </c>
      <c r="M104" s="264" t="s">
        <v>2643</v>
      </c>
      <c r="N104" s="262" t="s">
        <v>2183</v>
      </c>
      <c r="O104" s="390" t="s">
        <v>2285</v>
      </c>
      <c r="P104" s="264" t="s">
        <v>2442</v>
      </c>
      <c r="Q104" s="264" t="s">
        <v>1545</v>
      </c>
      <c r="R104" s="519" t="s">
        <v>163</v>
      </c>
      <c r="S104" s="399">
        <v>25</v>
      </c>
      <c r="T104" s="348" t="s">
        <v>3372</v>
      </c>
      <c r="U104" s="520">
        <v>50000</v>
      </c>
      <c r="V104" s="266">
        <v>1250000</v>
      </c>
      <c r="W104" s="521" t="s">
        <v>10</v>
      </c>
      <c r="X104" s="521" t="s">
        <v>11</v>
      </c>
      <c r="Y104" s="522" t="s">
        <v>2092</v>
      </c>
      <c r="Z104" s="523" t="s">
        <v>2634</v>
      </c>
      <c r="AA104" s="521"/>
      <c r="AB104" s="521"/>
      <c r="AC104" s="521"/>
      <c r="AD104" s="521"/>
      <c r="AE104" s="521"/>
      <c r="AF104" s="521"/>
      <c r="AG104" s="264">
        <v>1</v>
      </c>
    </row>
    <row r="105" spans="1:33" s="526" customFormat="1" ht="29">
      <c r="A105" s="513">
        <v>103</v>
      </c>
      <c r="B105" s="514" t="s">
        <v>2644</v>
      </c>
      <c r="C105" s="515" t="s">
        <v>2644</v>
      </c>
      <c r="D105" s="262" t="s">
        <v>506</v>
      </c>
      <c r="E105" s="513">
        <v>103</v>
      </c>
      <c r="F105" s="515" t="s">
        <v>2644</v>
      </c>
      <c r="G105" s="543">
        <v>45304</v>
      </c>
      <c r="H105" s="543">
        <v>45304</v>
      </c>
      <c r="I105" s="543">
        <v>45304</v>
      </c>
      <c r="J105" s="543">
        <v>45304</v>
      </c>
      <c r="K105" s="517">
        <v>45314</v>
      </c>
      <c r="L105" s="518" t="s">
        <v>2645</v>
      </c>
      <c r="M105" s="264" t="s">
        <v>2646</v>
      </c>
      <c r="N105" s="262" t="s">
        <v>2184</v>
      </c>
      <c r="O105" s="524" t="s">
        <v>2569</v>
      </c>
      <c r="P105" s="264" t="str">
        <f>O105</f>
        <v>bola lampu hannock-45 watt</v>
      </c>
      <c r="Q105" s="264" t="s">
        <v>799</v>
      </c>
      <c r="R105" s="518" t="s">
        <v>2569</v>
      </c>
      <c r="S105" s="399">
        <v>21</v>
      </c>
      <c r="T105" s="348" t="s">
        <v>3363</v>
      </c>
      <c r="U105" s="520">
        <v>77800</v>
      </c>
      <c r="V105" s="266">
        <v>1633800</v>
      </c>
      <c r="W105" s="521" t="s">
        <v>12</v>
      </c>
      <c r="X105" s="521" t="s">
        <v>13</v>
      </c>
      <c r="Y105" s="522" t="s">
        <v>2514</v>
      </c>
      <c r="Z105" s="523" t="s">
        <v>541</v>
      </c>
      <c r="AA105" s="521"/>
      <c r="AB105" s="521"/>
      <c r="AC105" s="521"/>
      <c r="AD105" s="521"/>
      <c r="AE105" s="521"/>
      <c r="AF105" s="521"/>
      <c r="AG105" s="264">
        <v>1</v>
      </c>
    </row>
    <row r="106" spans="1:33" s="526" customFormat="1" ht="29">
      <c r="A106" s="513">
        <v>104</v>
      </c>
      <c r="B106" s="514" t="s">
        <v>2647</v>
      </c>
      <c r="C106" s="515" t="s">
        <v>2647</v>
      </c>
      <c r="D106" s="262" t="s">
        <v>509</v>
      </c>
      <c r="E106" s="513">
        <v>104</v>
      </c>
      <c r="F106" s="515" t="s">
        <v>2647</v>
      </c>
      <c r="G106" s="543">
        <v>45304</v>
      </c>
      <c r="H106" s="543">
        <v>45304</v>
      </c>
      <c r="I106" s="543">
        <v>45305</v>
      </c>
      <c r="J106" s="543">
        <v>45305</v>
      </c>
      <c r="K106" s="517">
        <v>45314</v>
      </c>
      <c r="L106" s="518" t="s">
        <v>2648</v>
      </c>
      <c r="M106" s="264" t="s">
        <v>2649</v>
      </c>
      <c r="N106" s="262" t="s">
        <v>2185</v>
      </c>
      <c r="O106" s="390" t="s">
        <v>2287</v>
      </c>
      <c r="P106" s="264" t="str">
        <f>O106</f>
        <v>Spanduk Uk. 1 x 6 meter-</v>
      </c>
      <c r="Q106" s="264" t="s">
        <v>2650</v>
      </c>
      <c r="R106" s="528" t="s">
        <v>2651</v>
      </c>
      <c r="S106" s="399">
        <v>2</v>
      </c>
      <c r="T106" s="348" t="s">
        <v>3363</v>
      </c>
      <c r="U106" s="520">
        <v>300000</v>
      </c>
      <c r="V106" s="266">
        <v>600000</v>
      </c>
      <c r="W106" s="521" t="s">
        <v>2652</v>
      </c>
      <c r="X106" s="521" t="s">
        <v>2653</v>
      </c>
      <c r="Y106" s="522" t="s">
        <v>2512</v>
      </c>
      <c r="Z106" s="523" t="s">
        <v>541</v>
      </c>
      <c r="AA106" s="521"/>
      <c r="AB106" s="521"/>
      <c r="AC106" s="521"/>
      <c r="AD106" s="521"/>
      <c r="AE106" s="521"/>
      <c r="AF106" s="521"/>
      <c r="AG106" s="264">
        <v>1</v>
      </c>
    </row>
    <row r="107" spans="1:33" s="526" customFormat="1" ht="29">
      <c r="A107" s="513">
        <v>105</v>
      </c>
      <c r="B107" s="514" t="s">
        <v>2654</v>
      </c>
      <c r="C107" s="515" t="s">
        <v>2654</v>
      </c>
      <c r="D107" s="262" t="s">
        <v>511</v>
      </c>
      <c r="E107" s="513">
        <v>105</v>
      </c>
      <c r="F107" s="515" t="s">
        <v>2654</v>
      </c>
      <c r="G107" s="543">
        <v>45304</v>
      </c>
      <c r="H107" s="543">
        <v>45305</v>
      </c>
      <c r="I107" s="543">
        <v>45306</v>
      </c>
      <c r="J107" s="543">
        <v>45306</v>
      </c>
      <c r="K107" s="517">
        <v>45314</v>
      </c>
      <c r="L107" s="518" t="s">
        <v>2631</v>
      </c>
      <c r="M107" s="264" t="s">
        <v>2649</v>
      </c>
      <c r="N107" s="262" t="s">
        <v>2185</v>
      </c>
      <c r="O107" s="390" t="s">
        <v>2288</v>
      </c>
      <c r="P107" s="264" t="s">
        <v>2633</v>
      </c>
      <c r="Q107" s="264" t="s">
        <v>280</v>
      </c>
      <c r="R107" s="528" t="s">
        <v>165</v>
      </c>
      <c r="S107" s="399">
        <v>300</v>
      </c>
      <c r="T107" s="348" t="s">
        <v>3362</v>
      </c>
      <c r="U107" s="520">
        <v>15000</v>
      </c>
      <c r="V107" s="266">
        <v>4500000</v>
      </c>
      <c r="W107" s="521" t="s">
        <v>10</v>
      </c>
      <c r="X107" s="521" t="s">
        <v>11</v>
      </c>
      <c r="Y107" s="522" t="s">
        <v>2092</v>
      </c>
      <c r="Z107" s="523" t="s">
        <v>2634</v>
      </c>
      <c r="AA107" s="521"/>
      <c r="AB107" s="521"/>
      <c r="AC107" s="521"/>
      <c r="AD107" s="521"/>
      <c r="AE107" s="521"/>
      <c r="AF107" s="521"/>
      <c r="AG107" s="264">
        <v>1</v>
      </c>
    </row>
    <row r="108" spans="1:33" s="526" customFormat="1" ht="29">
      <c r="A108" s="513">
        <v>106</v>
      </c>
      <c r="B108" s="514" t="s">
        <v>2655</v>
      </c>
      <c r="C108" s="515" t="s">
        <v>2655</v>
      </c>
      <c r="D108" s="262" t="s">
        <v>514</v>
      </c>
      <c r="E108" s="513">
        <v>106</v>
      </c>
      <c r="F108" s="515" t="s">
        <v>2655</v>
      </c>
      <c r="G108" s="543">
        <v>45304</v>
      </c>
      <c r="H108" s="543">
        <v>45305</v>
      </c>
      <c r="I108" s="543">
        <v>45306</v>
      </c>
      <c r="J108" s="543">
        <v>45306</v>
      </c>
      <c r="K108" s="517">
        <v>45314</v>
      </c>
      <c r="L108" s="518" t="s">
        <v>2631</v>
      </c>
      <c r="M108" s="264" t="s">
        <v>2649</v>
      </c>
      <c r="N108" s="262" t="s">
        <v>2185</v>
      </c>
      <c r="O108" s="390" t="s">
        <v>2289</v>
      </c>
      <c r="P108" s="264" t="s">
        <v>467</v>
      </c>
      <c r="Q108" s="264" t="s">
        <v>8</v>
      </c>
      <c r="R108" s="519" t="s">
        <v>2635</v>
      </c>
      <c r="S108" s="399">
        <v>60</v>
      </c>
      <c r="T108" s="348" t="s">
        <v>3362</v>
      </c>
      <c r="U108" s="520">
        <v>40000</v>
      </c>
      <c r="V108" s="266">
        <v>2400000</v>
      </c>
      <c r="W108" s="521" t="s">
        <v>2507</v>
      </c>
      <c r="X108" s="521" t="s">
        <v>2508</v>
      </c>
      <c r="Y108" s="522" t="s">
        <v>2516</v>
      </c>
      <c r="Z108" s="523" t="s">
        <v>2636</v>
      </c>
      <c r="AA108" s="521"/>
      <c r="AB108" s="521"/>
      <c r="AC108" s="521"/>
      <c r="AD108" s="521"/>
      <c r="AE108" s="521"/>
      <c r="AF108" s="521"/>
      <c r="AG108" s="264">
        <v>1</v>
      </c>
    </row>
    <row r="109" spans="1:33" s="526" customFormat="1" ht="25">
      <c r="A109" s="513">
        <v>107</v>
      </c>
      <c r="B109" s="514" t="s">
        <v>2656</v>
      </c>
      <c r="C109" s="515" t="s">
        <v>2656</v>
      </c>
      <c r="D109" s="262" t="s">
        <v>516</v>
      </c>
      <c r="E109" s="513">
        <v>107</v>
      </c>
      <c r="F109" s="515" t="s">
        <v>2656</v>
      </c>
      <c r="G109" s="543">
        <v>45304</v>
      </c>
      <c r="H109" s="543">
        <v>45305</v>
      </c>
      <c r="I109" s="543">
        <v>45306</v>
      </c>
      <c r="J109" s="543">
        <v>45306</v>
      </c>
      <c r="K109" s="517">
        <v>45314</v>
      </c>
      <c r="L109" s="518" t="s">
        <v>2657</v>
      </c>
      <c r="M109" s="264" t="s">
        <v>2649</v>
      </c>
      <c r="N109" s="262" t="s">
        <v>2185</v>
      </c>
      <c r="O109" s="390" t="s">
        <v>2290</v>
      </c>
      <c r="P109" s="264" t="str">
        <f>O109</f>
        <v>Sewa Gedung Pada Kegiatan Syukuran Hari Raya Natal dan Tahun Baru 2024</v>
      </c>
      <c r="Q109" s="264" t="s">
        <v>2658</v>
      </c>
      <c r="R109" s="528" t="s">
        <v>3388</v>
      </c>
      <c r="S109" s="399">
        <v>1</v>
      </c>
      <c r="T109" s="348" t="s">
        <v>3371</v>
      </c>
      <c r="U109" s="520">
        <v>3000000</v>
      </c>
      <c r="V109" s="266">
        <v>3000000</v>
      </c>
      <c r="W109" s="521" t="s">
        <v>3386</v>
      </c>
      <c r="X109" s="521" t="s">
        <v>3387</v>
      </c>
      <c r="Y109" s="522" t="s">
        <v>2660</v>
      </c>
      <c r="Z109" s="523" t="s">
        <v>3389</v>
      </c>
      <c r="AA109" s="521"/>
      <c r="AB109" s="521"/>
      <c r="AC109" s="521"/>
      <c r="AD109" s="521"/>
      <c r="AE109" s="521"/>
      <c r="AF109" s="521"/>
      <c r="AG109" s="264">
        <v>1</v>
      </c>
    </row>
    <row r="110" spans="1:33" s="526" customFormat="1" ht="29">
      <c r="A110" s="513">
        <v>108</v>
      </c>
      <c r="B110" s="514" t="s">
        <v>2662</v>
      </c>
      <c r="C110" s="515" t="s">
        <v>2662</v>
      </c>
      <c r="D110" s="262" t="s">
        <v>519</v>
      </c>
      <c r="E110" s="513">
        <v>108</v>
      </c>
      <c r="F110" s="515" t="s">
        <v>2662</v>
      </c>
      <c r="G110" s="516">
        <v>44930</v>
      </c>
      <c r="H110" s="517">
        <v>45314</v>
      </c>
      <c r="I110" s="517">
        <v>45314</v>
      </c>
      <c r="J110" s="517">
        <v>45314</v>
      </c>
      <c r="K110" s="517">
        <v>45314</v>
      </c>
      <c r="L110" s="518" t="s">
        <v>584</v>
      </c>
      <c r="M110" s="264" t="s">
        <v>2663</v>
      </c>
      <c r="N110" s="262" t="s">
        <v>2186</v>
      </c>
      <c r="O110" s="390" t="s">
        <v>2291</v>
      </c>
      <c r="P110" s="264" t="str">
        <f>O110</f>
        <v>Biaya Rekening Listrik--</v>
      </c>
      <c r="Q110" s="264" t="s">
        <v>2664</v>
      </c>
      <c r="R110" s="519" t="s">
        <v>2665</v>
      </c>
      <c r="S110" s="399">
        <v>1</v>
      </c>
      <c r="T110" s="348" t="s">
        <v>3373</v>
      </c>
      <c r="U110" s="520">
        <v>2000000</v>
      </c>
      <c r="V110" s="266">
        <v>1691940</v>
      </c>
      <c r="W110" s="521" t="s">
        <v>2666</v>
      </c>
      <c r="X110" s="521" t="s">
        <v>2659</v>
      </c>
      <c r="Y110" s="522" t="s">
        <v>2660</v>
      </c>
      <c r="Z110" s="523" t="s">
        <v>2661</v>
      </c>
      <c r="AA110" s="521"/>
      <c r="AB110" s="521"/>
      <c r="AC110" s="521"/>
      <c r="AD110" s="521"/>
      <c r="AE110" s="521"/>
      <c r="AF110" s="521"/>
      <c r="AG110" s="264">
        <v>1</v>
      </c>
    </row>
    <row r="111" spans="1:33" s="526" customFormat="1" ht="29">
      <c r="A111" s="513">
        <v>109</v>
      </c>
      <c r="B111" s="514" t="s">
        <v>2667</v>
      </c>
      <c r="C111" s="515" t="s">
        <v>2667</v>
      </c>
      <c r="D111" s="262" t="s">
        <v>523</v>
      </c>
      <c r="E111" s="513">
        <v>109</v>
      </c>
      <c r="F111" s="515" t="s">
        <v>2667</v>
      </c>
      <c r="G111" s="516">
        <v>44930</v>
      </c>
      <c r="H111" s="517">
        <v>45314</v>
      </c>
      <c r="I111" s="517">
        <v>45314</v>
      </c>
      <c r="J111" s="517">
        <v>45314</v>
      </c>
      <c r="K111" s="517">
        <v>45314</v>
      </c>
      <c r="L111" s="518" t="s">
        <v>590</v>
      </c>
      <c r="M111" s="264" t="s">
        <v>2663</v>
      </c>
      <c r="N111" s="262" t="s">
        <v>2187</v>
      </c>
      <c r="O111" s="524" t="s">
        <v>3382</v>
      </c>
      <c r="P111" s="264" t="str">
        <f>O111</f>
        <v>Biaya Langganan Internet--</v>
      </c>
      <c r="Q111" s="264" t="s">
        <v>2668</v>
      </c>
      <c r="R111" s="519" t="s">
        <v>2669</v>
      </c>
      <c r="S111" s="399">
        <v>1</v>
      </c>
      <c r="T111" s="348" t="s">
        <v>3373</v>
      </c>
      <c r="U111" s="520">
        <v>1500000</v>
      </c>
      <c r="V111" s="266">
        <v>1235850</v>
      </c>
      <c r="W111" s="521" t="s">
        <v>3381</v>
      </c>
      <c r="X111" s="521" t="s">
        <v>2659</v>
      </c>
      <c r="Y111" s="522" t="s">
        <v>2660</v>
      </c>
      <c r="Z111" s="523" t="s">
        <v>2661</v>
      </c>
      <c r="AA111" s="521"/>
      <c r="AB111" s="521"/>
      <c r="AC111" s="521"/>
      <c r="AD111" s="521"/>
      <c r="AE111" s="521"/>
      <c r="AF111" s="521"/>
      <c r="AG111" s="264">
        <v>1</v>
      </c>
    </row>
    <row r="112" spans="1:33" s="526" customFormat="1" ht="29">
      <c r="A112" s="513">
        <v>110</v>
      </c>
      <c r="B112" s="514" t="s">
        <v>2670</v>
      </c>
      <c r="C112" s="515" t="s">
        <v>2670</v>
      </c>
      <c r="D112" s="262" t="s">
        <v>525</v>
      </c>
      <c r="E112" s="513">
        <v>110</v>
      </c>
      <c r="F112" s="515" t="s">
        <v>2670</v>
      </c>
      <c r="G112" s="516">
        <v>44930</v>
      </c>
      <c r="H112" s="517">
        <v>45315</v>
      </c>
      <c r="I112" s="517">
        <v>45315</v>
      </c>
      <c r="J112" s="517">
        <v>45315</v>
      </c>
      <c r="K112" s="517">
        <v>45315</v>
      </c>
      <c r="L112" s="518" t="s">
        <v>2180</v>
      </c>
      <c r="M112" s="264" t="s">
        <v>2649</v>
      </c>
      <c r="N112" s="262" t="s">
        <v>2188</v>
      </c>
      <c r="O112" s="390" t="s">
        <v>2293</v>
      </c>
      <c r="P112" s="264" t="s">
        <v>2633</v>
      </c>
      <c r="Q112" s="264" t="s">
        <v>280</v>
      </c>
      <c r="R112" s="528" t="s">
        <v>165</v>
      </c>
      <c r="S112" s="399">
        <v>100</v>
      </c>
      <c r="T112" s="348" t="s">
        <v>3362</v>
      </c>
      <c r="U112" s="520">
        <v>15000</v>
      </c>
      <c r="V112" s="266">
        <v>1500000</v>
      </c>
      <c r="W112" s="521" t="s">
        <v>10</v>
      </c>
      <c r="X112" s="521" t="s">
        <v>11</v>
      </c>
      <c r="Y112" s="522" t="s">
        <v>2092</v>
      </c>
      <c r="Z112" s="523" t="s">
        <v>2634</v>
      </c>
      <c r="AA112" s="521"/>
      <c r="AB112" s="521"/>
      <c r="AC112" s="521"/>
      <c r="AD112" s="521"/>
      <c r="AE112" s="521"/>
      <c r="AF112" s="521"/>
      <c r="AG112" s="264">
        <v>1</v>
      </c>
    </row>
    <row r="113" spans="1:33" s="526" customFormat="1" ht="29">
      <c r="A113" s="513">
        <v>111</v>
      </c>
      <c r="B113" s="514" t="s">
        <v>2671</v>
      </c>
      <c r="C113" s="515" t="s">
        <v>2671</v>
      </c>
      <c r="D113" s="262" t="s">
        <v>529</v>
      </c>
      <c r="E113" s="513">
        <v>111</v>
      </c>
      <c r="F113" s="515" t="s">
        <v>2671</v>
      </c>
      <c r="G113" s="517">
        <v>45315</v>
      </c>
      <c r="H113" s="517">
        <v>45316</v>
      </c>
      <c r="I113" s="517">
        <v>45316</v>
      </c>
      <c r="J113" s="517">
        <v>45316</v>
      </c>
      <c r="K113" s="517">
        <v>45316</v>
      </c>
      <c r="L113" s="518" t="s">
        <v>611</v>
      </c>
      <c r="M113" s="264" t="s">
        <v>2587</v>
      </c>
      <c r="N113" s="262" t="s">
        <v>2189</v>
      </c>
      <c r="O113" s="390" t="s">
        <v>2294</v>
      </c>
      <c r="P113" s="264" t="str">
        <f t="shared" ref="P113:P126" si="3">O113</f>
        <v>Belanja Jasa Tenaga Operator Komputer--</v>
      </c>
      <c r="Q113" s="264" t="s">
        <v>2672</v>
      </c>
      <c r="R113" s="528" t="s">
        <v>2673</v>
      </c>
      <c r="S113" s="399">
        <v>1</v>
      </c>
      <c r="T113" s="348" t="s">
        <v>3373</v>
      </c>
      <c r="U113" s="520">
        <v>1000000</v>
      </c>
      <c r="V113" s="266">
        <v>1000000</v>
      </c>
      <c r="W113" s="521" t="s">
        <v>2659</v>
      </c>
      <c r="X113" s="521" t="s">
        <v>2659</v>
      </c>
      <c r="Y113" s="522" t="s">
        <v>2660</v>
      </c>
      <c r="Z113" s="523" t="s">
        <v>2661</v>
      </c>
      <c r="AA113" s="521"/>
      <c r="AB113" s="521"/>
      <c r="AC113" s="521"/>
      <c r="AD113" s="521"/>
      <c r="AE113" s="521"/>
      <c r="AF113" s="521"/>
      <c r="AG113" s="264">
        <v>1</v>
      </c>
    </row>
    <row r="114" spans="1:33" s="526" customFormat="1" ht="29">
      <c r="A114" s="513">
        <v>112</v>
      </c>
      <c r="B114" s="514" t="s">
        <v>2674</v>
      </c>
      <c r="C114" s="515" t="s">
        <v>2674</v>
      </c>
      <c r="D114" s="262" t="s">
        <v>531</v>
      </c>
      <c r="E114" s="513">
        <v>112</v>
      </c>
      <c r="F114" s="515" t="s">
        <v>2674</v>
      </c>
      <c r="G114" s="517">
        <v>45316</v>
      </c>
      <c r="H114" s="517">
        <v>45317</v>
      </c>
      <c r="I114" s="517">
        <v>45318</v>
      </c>
      <c r="J114" s="517">
        <v>45318</v>
      </c>
      <c r="K114" s="517">
        <v>45318</v>
      </c>
      <c r="L114" s="518" t="s">
        <v>571</v>
      </c>
      <c r="M114" s="264" t="s">
        <v>2587</v>
      </c>
      <c r="N114" s="262" t="s">
        <v>2176</v>
      </c>
      <c r="O114" s="390" t="s">
        <v>9</v>
      </c>
      <c r="P114" s="264" t="str">
        <f t="shared" si="3"/>
        <v>Foto Copy Filio dan Kuarto</v>
      </c>
      <c r="Q114" s="525" t="s">
        <v>2675</v>
      </c>
      <c r="R114" s="525" t="s">
        <v>2676</v>
      </c>
      <c r="S114" s="399">
        <v>4739</v>
      </c>
      <c r="T114" s="348" t="s">
        <v>3368</v>
      </c>
      <c r="U114" s="520">
        <v>350</v>
      </c>
      <c r="V114" s="266">
        <v>1658650</v>
      </c>
      <c r="W114" s="521" t="s">
        <v>227</v>
      </c>
      <c r="X114" s="521" t="s">
        <v>3383</v>
      </c>
      <c r="Y114" s="522" t="s">
        <v>2512</v>
      </c>
      <c r="Z114" s="523" t="s">
        <v>541</v>
      </c>
      <c r="AA114" s="521"/>
      <c r="AB114" s="521"/>
      <c r="AC114" s="521"/>
      <c r="AD114" s="521"/>
      <c r="AE114" s="521"/>
      <c r="AF114" s="521"/>
      <c r="AG114" s="264">
        <v>1</v>
      </c>
    </row>
    <row r="115" spans="1:33" s="526" customFormat="1">
      <c r="A115" s="513">
        <v>113</v>
      </c>
      <c r="B115" s="514">
        <v>25</v>
      </c>
      <c r="C115" s="515">
        <v>25</v>
      </c>
      <c r="D115" s="262" t="s">
        <v>2677</v>
      </c>
      <c r="E115" s="513">
        <v>113</v>
      </c>
      <c r="F115" s="544">
        <v>25</v>
      </c>
      <c r="G115" s="517">
        <v>45319</v>
      </c>
      <c r="H115" s="517">
        <v>45320</v>
      </c>
      <c r="I115" s="517">
        <v>45320</v>
      </c>
      <c r="J115" s="517">
        <v>45320</v>
      </c>
      <c r="K115" s="517">
        <v>45320</v>
      </c>
      <c r="L115" s="518" t="s">
        <v>2678</v>
      </c>
      <c r="M115" s="264" t="s">
        <v>2679</v>
      </c>
      <c r="N115" s="262" t="s">
        <v>2680</v>
      </c>
      <c r="O115" s="390" t="s">
        <v>2681</v>
      </c>
      <c r="P115" s="264" t="str">
        <f t="shared" si="3"/>
        <v>Selatieli Nehe</v>
      </c>
      <c r="Q115" s="264" t="s">
        <v>2682</v>
      </c>
      <c r="R115" s="528" t="s">
        <v>2683</v>
      </c>
      <c r="S115" s="399">
        <v>33</v>
      </c>
      <c r="T115" s="348" t="s">
        <v>3374</v>
      </c>
      <c r="U115" s="520">
        <v>75000</v>
      </c>
      <c r="V115" s="266">
        <v>2475000</v>
      </c>
      <c r="W115" s="521" t="s">
        <v>2684</v>
      </c>
      <c r="X115" s="521">
        <v>0</v>
      </c>
      <c r="Y115" s="521"/>
      <c r="Z115" s="523"/>
      <c r="AA115" s="521"/>
      <c r="AB115" s="521"/>
      <c r="AC115" s="521"/>
      <c r="AD115" s="521"/>
      <c r="AE115" s="521"/>
      <c r="AF115" s="521"/>
      <c r="AG115" s="264">
        <v>1</v>
      </c>
    </row>
    <row r="116" spans="1:33" s="526" customFormat="1">
      <c r="A116" s="513">
        <v>114</v>
      </c>
      <c r="B116" s="514">
        <v>26</v>
      </c>
      <c r="C116" s="515">
        <v>26</v>
      </c>
      <c r="D116" s="262" t="s">
        <v>2685</v>
      </c>
      <c r="E116" s="513">
        <v>114</v>
      </c>
      <c r="F116" s="544">
        <v>26</v>
      </c>
      <c r="G116" s="517">
        <v>45319</v>
      </c>
      <c r="H116" s="517">
        <v>45320</v>
      </c>
      <c r="I116" s="517">
        <v>45320</v>
      </c>
      <c r="J116" s="517">
        <v>45320</v>
      </c>
      <c r="K116" s="517">
        <v>45320</v>
      </c>
      <c r="L116" s="518" t="s">
        <v>2678</v>
      </c>
      <c r="M116" s="264" t="s">
        <v>2679</v>
      </c>
      <c r="N116" s="262" t="s">
        <v>2680</v>
      </c>
      <c r="O116" s="390" t="s">
        <v>2686</v>
      </c>
      <c r="P116" s="264" t="str">
        <f t="shared" si="3"/>
        <v>Arifin Metodi Bate'e</v>
      </c>
      <c r="Q116" s="264" t="s">
        <v>2682</v>
      </c>
      <c r="R116" s="528" t="s">
        <v>2683</v>
      </c>
      <c r="S116" s="399">
        <v>34</v>
      </c>
      <c r="T116" s="348" t="s">
        <v>3374</v>
      </c>
      <c r="U116" s="520">
        <v>75000</v>
      </c>
      <c r="V116" s="266">
        <v>2550000</v>
      </c>
      <c r="W116" s="521" t="s">
        <v>2684</v>
      </c>
      <c r="X116" s="521">
        <v>0</v>
      </c>
      <c r="Y116" s="521">
        <v>0</v>
      </c>
      <c r="Z116" s="523">
        <v>0</v>
      </c>
      <c r="AA116" s="521"/>
      <c r="AB116" s="521"/>
      <c r="AC116" s="521"/>
      <c r="AD116" s="521"/>
      <c r="AE116" s="521"/>
      <c r="AF116" s="521"/>
      <c r="AG116" s="264">
        <v>1</v>
      </c>
    </row>
    <row r="117" spans="1:33" s="526" customFormat="1">
      <c r="A117" s="513">
        <v>115</v>
      </c>
      <c r="B117" s="514">
        <v>27</v>
      </c>
      <c r="C117" s="515">
        <v>27</v>
      </c>
      <c r="D117" s="262" t="s">
        <v>2687</v>
      </c>
      <c r="E117" s="513">
        <v>115</v>
      </c>
      <c r="F117" s="544">
        <v>27</v>
      </c>
      <c r="G117" s="517">
        <v>45319</v>
      </c>
      <c r="H117" s="517">
        <v>45320</v>
      </c>
      <c r="I117" s="517">
        <v>45320</v>
      </c>
      <c r="J117" s="517">
        <v>45320</v>
      </c>
      <c r="K117" s="517">
        <v>45320</v>
      </c>
      <c r="L117" s="518" t="s">
        <v>2678</v>
      </c>
      <c r="M117" s="264" t="s">
        <v>2679</v>
      </c>
      <c r="N117" s="262" t="s">
        <v>2680</v>
      </c>
      <c r="O117" s="390" t="s">
        <v>2688</v>
      </c>
      <c r="P117" s="264" t="str">
        <f t="shared" si="3"/>
        <v>Ferdiwati Wau</v>
      </c>
      <c r="Q117" s="264" t="s">
        <v>2682</v>
      </c>
      <c r="R117" s="528" t="s">
        <v>2683</v>
      </c>
      <c r="S117" s="399">
        <v>30</v>
      </c>
      <c r="T117" s="348" t="s">
        <v>3374</v>
      </c>
      <c r="U117" s="520">
        <v>75000</v>
      </c>
      <c r="V117" s="266">
        <v>2250000</v>
      </c>
      <c r="W117" s="521" t="s">
        <v>2684</v>
      </c>
      <c r="X117" s="521">
        <v>0</v>
      </c>
      <c r="Y117" s="521">
        <v>0</v>
      </c>
      <c r="Z117" s="523">
        <v>0</v>
      </c>
      <c r="AA117" s="521"/>
      <c r="AB117" s="521"/>
      <c r="AC117" s="521"/>
      <c r="AD117" s="521"/>
      <c r="AE117" s="521"/>
      <c r="AF117" s="521"/>
      <c r="AG117" s="264">
        <v>1</v>
      </c>
    </row>
    <row r="118" spans="1:33" s="526" customFormat="1">
      <c r="A118" s="513">
        <v>116</v>
      </c>
      <c r="B118" s="514">
        <v>28</v>
      </c>
      <c r="C118" s="515">
        <v>28</v>
      </c>
      <c r="D118" s="262" t="s">
        <v>2689</v>
      </c>
      <c r="E118" s="513">
        <v>116</v>
      </c>
      <c r="F118" s="544">
        <v>28</v>
      </c>
      <c r="G118" s="517">
        <v>45319</v>
      </c>
      <c r="H118" s="517">
        <v>45320</v>
      </c>
      <c r="I118" s="517">
        <v>45320</v>
      </c>
      <c r="J118" s="517">
        <v>45320</v>
      </c>
      <c r="K118" s="517">
        <v>45320</v>
      </c>
      <c r="L118" s="518" t="s">
        <v>2678</v>
      </c>
      <c r="M118" s="264" t="s">
        <v>2679</v>
      </c>
      <c r="N118" s="262" t="s">
        <v>2680</v>
      </c>
      <c r="O118" s="390" t="s">
        <v>2690</v>
      </c>
      <c r="P118" s="264" t="str">
        <f t="shared" si="3"/>
        <v>Noni Alfanita Sarumaha, S.Pd</v>
      </c>
      <c r="Q118" s="264" t="s">
        <v>2682</v>
      </c>
      <c r="R118" s="528" t="s">
        <v>2683</v>
      </c>
      <c r="S118" s="399">
        <v>33</v>
      </c>
      <c r="T118" s="348" t="s">
        <v>3374</v>
      </c>
      <c r="U118" s="520">
        <v>75000</v>
      </c>
      <c r="V118" s="266">
        <v>2475000</v>
      </c>
      <c r="W118" s="521" t="s">
        <v>2684</v>
      </c>
      <c r="X118" s="521">
        <v>0</v>
      </c>
      <c r="Y118" s="521">
        <v>0</v>
      </c>
      <c r="Z118" s="523">
        <v>0</v>
      </c>
      <c r="AA118" s="521"/>
      <c r="AB118" s="521"/>
      <c r="AC118" s="521"/>
      <c r="AD118" s="521"/>
      <c r="AE118" s="521"/>
      <c r="AF118" s="521"/>
      <c r="AG118" s="264">
        <v>1</v>
      </c>
    </row>
    <row r="119" spans="1:33" s="526" customFormat="1">
      <c r="A119" s="513">
        <v>117</v>
      </c>
      <c r="B119" s="514">
        <v>29</v>
      </c>
      <c r="C119" s="515">
        <v>29</v>
      </c>
      <c r="D119" s="262" t="s">
        <v>2691</v>
      </c>
      <c r="E119" s="513">
        <v>117</v>
      </c>
      <c r="F119" s="544">
        <v>29</v>
      </c>
      <c r="G119" s="517">
        <v>45319</v>
      </c>
      <c r="H119" s="517">
        <v>45320</v>
      </c>
      <c r="I119" s="517">
        <v>45320</v>
      </c>
      <c r="J119" s="517">
        <v>45320</v>
      </c>
      <c r="K119" s="517">
        <v>45320</v>
      </c>
      <c r="L119" s="518" t="s">
        <v>2678</v>
      </c>
      <c r="M119" s="264" t="s">
        <v>2679</v>
      </c>
      <c r="N119" s="262" t="s">
        <v>2680</v>
      </c>
      <c r="O119" s="390" t="s">
        <v>2692</v>
      </c>
      <c r="P119" s="264" t="str">
        <f t="shared" si="3"/>
        <v>EMILA HAFO</v>
      </c>
      <c r="Q119" s="264" t="s">
        <v>2682</v>
      </c>
      <c r="R119" s="528" t="s">
        <v>2683</v>
      </c>
      <c r="S119" s="399">
        <v>28</v>
      </c>
      <c r="T119" s="348" t="s">
        <v>3374</v>
      </c>
      <c r="U119" s="520">
        <v>75000</v>
      </c>
      <c r="V119" s="266">
        <v>2100000</v>
      </c>
      <c r="W119" s="521" t="s">
        <v>2684</v>
      </c>
      <c r="X119" s="521">
        <v>0</v>
      </c>
      <c r="Y119" s="521">
        <v>0</v>
      </c>
      <c r="Z119" s="523">
        <v>0</v>
      </c>
      <c r="AA119" s="521"/>
      <c r="AB119" s="521"/>
      <c r="AC119" s="521"/>
      <c r="AD119" s="521"/>
      <c r="AE119" s="521"/>
      <c r="AF119" s="521"/>
      <c r="AG119" s="264">
        <v>1</v>
      </c>
    </row>
    <row r="120" spans="1:33" s="526" customFormat="1">
      <c r="A120" s="513">
        <v>118</v>
      </c>
      <c r="B120" s="514">
        <v>30</v>
      </c>
      <c r="C120" s="515">
        <v>30</v>
      </c>
      <c r="D120" s="262" t="s">
        <v>2693</v>
      </c>
      <c r="E120" s="513">
        <v>118</v>
      </c>
      <c r="F120" s="544">
        <v>30</v>
      </c>
      <c r="G120" s="517">
        <v>45319</v>
      </c>
      <c r="H120" s="517">
        <v>45320</v>
      </c>
      <c r="I120" s="517">
        <v>45320</v>
      </c>
      <c r="J120" s="517">
        <v>45320</v>
      </c>
      <c r="K120" s="517">
        <v>45320</v>
      </c>
      <c r="L120" s="518" t="s">
        <v>2678</v>
      </c>
      <c r="M120" s="264" t="s">
        <v>2679</v>
      </c>
      <c r="N120" s="262" t="s">
        <v>2680</v>
      </c>
      <c r="O120" s="390" t="s">
        <v>2694</v>
      </c>
      <c r="P120" s="264" t="str">
        <f t="shared" si="3"/>
        <v>Asep Nurhidayat</v>
      </c>
      <c r="Q120" s="264" t="s">
        <v>2682</v>
      </c>
      <c r="R120" s="528" t="s">
        <v>2683</v>
      </c>
      <c r="S120" s="399">
        <v>33</v>
      </c>
      <c r="T120" s="348" t="s">
        <v>3374</v>
      </c>
      <c r="U120" s="520">
        <v>75000</v>
      </c>
      <c r="V120" s="266">
        <v>2475000</v>
      </c>
      <c r="W120" s="521" t="s">
        <v>2684</v>
      </c>
      <c r="X120" s="521">
        <v>0</v>
      </c>
      <c r="Y120" s="521">
        <v>0</v>
      </c>
      <c r="Z120" s="523">
        <v>0</v>
      </c>
      <c r="AA120" s="521"/>
      <c r="AB120" s="521"/>
      <c r="AC120" s="521"/>
      <c r="AD120" s="521"/>
      <c r="AE120" s="521"/>
      <c r="AF120" s="521"/>
      <c r="AG120" s="264">
        <v>1</v>
      </c>
    </row>
    <row r="121" spans="1:33" s="526" customFormat="1">
      <c r="A121" s="513">
        <v>119</v>
      </c>
      <c r="B121" s="514">
        <v>31</v>
      </c>
      <c r="C121" s="515">
        <v>31</v>
      </c>
      <c r="D121" s="262" t="s">
        <v>2695</v>
      </c>
      <c r="E121" s="513">
        <v>119</v>
      </c>
      <c r="F121" s="544">
        <v>31</v>
      </c>
      <c r="G121" s="517">
        <v>45319</v>
      </c>
      <c r="H121" s="517">
        <v>45320</v>
      </c>
      <c r="I121" s="517">
        <v>45320</v>
      </c>
      <c r="J121" s="517">
        <v>45320</v>
      </c>
      <c r="K121" s="517">
        <v>45320</v>
      </c>
      <c r="L121" s="518" t="s">
        <v>2696</v>
      </c>
      <c r="M121" s="264" t="s">
        <v>2679</v>
      </c>
      <c r="N121" s="262" t="s">
        <v>2697</v>
      </c>
      <c r="O121" s="390" t="s">
        <v>2698</v>
      </c>
      <c r="P121" s="264" t="str">
        <f t="shared" si="3"/>
        <v>Estera Nehe</v>
      </c>
      <c r="Q121" s="264" t="s">
        <v>2699</v>
      </c>
      <c r="R121" s="528" t="s">
        <v>2700</v>
      </c>
      <c r="S121" s="399">
        <v>1</v>
      </c>
      <c r="T121" s="348" t="s">
        <v>3373</v>
      </c>
      <c r="U121" s="520">
        <v>2000000</v>
      </c>
      <c r="V121" s="266">
        <v>2000000</v>
      </c>
      <c r="W121" s="521" t="s">
        <v>2684</v>
      </c>
      <c r="X121" s="521">
        <v>0</v>
      </c>
      <c r="Y121" s="521">
        <v>0</v>
      </c>
      <c r="Z121" s="523">
        <v>0</v>
      </c>
      <c r="AA121" s="521"/>
      <c r="AB121" s="521"/>
      <c r="AC121" s="521"/>
      <c r="AD121" s="521"/>
      <c r="AE121" s="521"/>
      <c r="AF121" s="521"/>
      <c r="AG121" s="264">
        <v>1</v>
      </c>
    </row>
    <row r="122" spans="1:33" s="526" customFormat="1">
      <c r="A122" s="513">
        <v>120</v>
      </c>
      <c r="B122" s="514">
        <v>32</v>
      </c>
      <c r="C122" s="515">
        <v>32</v>
      </c>
      <c r="D122" s="262" t="s">
        <v>2701</v>
      </c>
      <c r="E122" s="513">
        <v>120</v>
      </c>
      <c r="F122" s="544">
        <v>32</v>
      </c>
      <c r="G122" s="517">
        <v>45319</v>
      </c>
      <c r="H122" s="517">
        <v>45320</v>
      </c>
      <c r="I122" s="517">
        <v>45320</v>
      </c>
      <c r="J122" s="517">
        <v>45320</v>
      </c>
      <c r="K122" s="517">
        <v>45320</v>
      </c>
      <c r="L122" s="518" t="s">
        <v>2696</v>
      </c>
      <c r="M122" s="264" t="s">
        <v>2679</v>
      </c>
      <c r="N122" s="262" t="s">
        <v>2697</v>
      </c>
      <c r="O122" s="390" t="s">
        <v>2702</v>
      </c>
      <c r="P122" s="264" t="str">
        <f t="shared" si="3"/>
        <v>Hatieli Buulolo</v>
      </c>
      <c r="Q122" s="264" t="s">
        <v>2699</v>
      </c>
      <c r="R122" s="528" t="s">
        <v>2700</v>
      </c>
      <c r="S122" s="399">
        <v>1</v>
      </c>
      <c r="T122" s="348" t="s">
        <v>3373</v>
      </c>
      <c r="U122" s="520">
        <v>2000000</v>
      </c>
      <c r="V122" s="266">
        <v>2000000</v>
      </c>
      <c r="W122" s="521" t="s">
        <v>2684</v>
      </c>
      <c r="X122" s="521">
        <v>0</v>
      </c>
      <c r="Y122" s="521">
        <v>0</v>
      </c>
      <c r="Z122" s="523">
        <v>0</v>
      </c>
      <c r="AA122" s="521"/>
      <c r="AB122" s="521"/>
      <c r="AC122" s="521"/>
      <c r="AD122" s="521"/>
      <c r="AE122" s="521"/>
      <c r="AF122" s="521"/>
      <c r="AG122" s="264">
        <v>1</v>
      </c>
    </row>
    <row r="123" spans="1:33" s="526" customFormat="1">
      <c r="A123" s="513">
        <v>121</v>
      </c>
      <c r="B123" s="514">
        <v>33</v>
      </c>
      <c r="C123" s="515">
        <v>33</v>
      </c>
      <c r="D123" s="262" t="s">
        <v>2703</v>
      </c>
      <c r="E123" s="513">
        <v>121</v>
      </c>
      <c r="F123" s="544">
        <v>33</v>
      </c>
      <c r="G123" s="517">
        <v>45319</v>
      </c>
      <c r="H123" s="517">
        <v>45320</v>
      </c>
      <c r="I123" s="517">
        <v>45320</v>
      </c>
      <c r="J123" s="517">
        <v>45320</v>
      </c>
      <c r="K123" s="517">
        <v>45320</v>
      </c>
      <c r="L123" s="518" t="s">
        <v>2696</v>
      </c>
      <c r="M123" s="264" t="s">
        <v>2679</v>
      </c>
      <c r="N123" s="262" t="s">
        <v>2697</v>
      </c>
      <c r="O123" s="390" t="s">
        <v>2704</v>
      </c>
      <c r="P123" s="264" t="str">
        <f t="shared" si="3"/>
        <v>David J. Sitinjak</v>
      </c>
      <c r="Q123" s="264" t="s">
        <v>2699</v>
      </c>
      <c r="R123" s="528" t="s">
        <v>2700</v>
      </c>
      <c r="S123" s="399">
        <v>1</v>
      </c>
      <c r="T123" s="348" t="s">
        <v>3373</v>
      </c>
      <c r="U123" s="520">
        <v>2000000</v>
      </c>
      <c r="V123" s="266">
        <v>2000000</v>
      </c>
      <c r="W123" s="521" t="s">
        <v>2684</v>
      </c>
      <c r="X123" s="521">
        <v>0</v>
      </c>
      <c r="Y123" s="521">
        <v>0</v>
      </c>
      <c r="Z123" s="523">
        <v>0</v>
      </c>
      <c r="AA123" s="521"/>
      <c r="AB123" s="521"/>
      <c r="AC123" s="521"/>
      <c r="AD123" s="521"/>
      <c r="AE123" s="521"/>
      <c r="AF123" s="521"/>
      <c r="AG123" s="264">
        <v>1</v>
      </c>
    </row>
    <row r="124" spans="1:33" s="526" customFormat="1">
      <c r="A124" s="513">
        <v>122</v>
      </c>
      <c r="B124" s="514">
        <v>34</v>
      </c>
      <c r="C124" s="515">
        <v>34</v>
      </c>
      <c r="D124" s="262" t="s">
        <v>2705</v>
      </c>
      <c r="E124" s="513">
        <v>122</v>
      </c>
      <c r="F124" s="544">
        <v>34</v>
      </c>
      <c r="G124" s="517">
        <v>45319</v>
      </c>
      <c r="H124" s="517">
        <v>45320</v>
      </c>
      <c r="I124" s="517">
        <v>45320</v>
      </c>
      <c r="J124" s="517">
        <v>45320</v>
      </c>
      <c r="K124" s="517">
        <v>45320</v>
      </c>
      <c r="L124" s="518" t="s">
        <v>2696</v>
      </c>
      <c r="M124" s="264" t="s">
        <v>2679</v>
      </c>
      <c r="N124" s="262" t="s">
        <v>2697</v>
      </c>
      <c r="O124" s="390" t="s">
        <v>2706</v>
      </c>
      <c r="P124" s="264" t="str">
        <f t="shared" si="3"/>
        <v>Siona Ziraluo</v>
      </c>
      <c r="Q124" s="264" t="s">
        <v>2699</v>
      </c>
      <c r="R124" s="528" t="s">
        <v>2700</v>
      </c>
      <c r="S124" s="399">
        <v>1</v>
      </c>
      <c r="T124" s="348" t="s">
        <v>3373</v>
      </c>
      <c r="U124" s="520">
        <v>2000000</v>
      </c>
      <c r="V124" s="266">
        <v>2000000</v>
      </c>
      <c r="W124" s="521" t="s">
        <v>2684</v>
      </c>
      <c r="X124" s="521">
        <v>0</v>
      </c>
      <c r="Y124" s="521">
        <v>0</v>
      </c>
      <c r="Z124" s="523">
        <v>0</v>
      </c>
      <c r="AA124" s="521"/>
      <c r="AB124" s="521"/>
      <c r="AC124" s="521"/>
      <c r="AD124" s="521"/>
      <c r="AE124" s="521"/>
      <c r="AF124" s="521"/>
      <c r="AG124" s="264">
        <v>1</v>
      </c>
    </row>
    <row r="125" spans="1:33" s="526" customFormat="1">
      <c r="A125" s="513">
        <v>123</v>
      </c>
      <c r="B125" s="514">
        <v>35</v>
      </c>
      <c r="C125" s="515">
        <v>35</v>
      </c>
      <c r="D125" s="262" t="s">
        <v>2707</v>
      </c>
      <c r="E125" s="513">
        <v>123</v>
      </c>
      <c r="F125" s="544">
        <v>35</v>
      </c>
      <c r="G125" s="517">
        <v>45319</v>
      </c>
      <c r="H125" s="517">
        <v>45320</v>
      </c>
      <c r="I125" s="517">
        <v>45320</v>
      </c>
      <c r="J125" s="517">
        <v>45320</v>
      </c>
      <c r="K125" s="517">
        <v>45320</v>
      </c>
      <c r="L125" s="518" t="s">
        <v>2696</v>
      </c>
      <c r="M125" s="264" t="s">
        <v>2679</v>
      </c>
      <c r="N125" s="262" t="s">
        <v>2697</v>
      </c>
      <c r="O125" s="390" t="s">
        <v>2708</v>
      </c>
      <c r="P125" s="264" t="str">
        <f t="shared" si="3"/>
        <v>Merdina Ziraluo</v>
      </c>
      <c r="Q125" s="264" t="s">
        <v>2699</v>
      </c>
      <c r="R125" s="528" t="s">
        <v>2700</v>
      </c>
      <c r="S125" s="399">
        <v>1</v>
      </c>
      <c r="T125" s="348" t="s">
        <v>3373</v>
      </c>
      <c r="U125" s="520">
        <v>2000000</v>
      </c>
      <c r="V125" s="266">
        <v>2000000</v>
      </c>
      <c r="W125" s="521" t="s">
        <v>2684</v>
      </c>
      <c r="X125" s="521">
        <v>0</v>
      </c>
      <c r="Y125" s="521">
        <v>0</v>
      </c>
      <c r="Z125" s="523">
        <v>0</v>
      </c>
      <c r="AA125" s="521"/>
      <c r="AB125" s="521"/>
      <c r="AC125" s="521"/>
      <c r="AD125" s="521"/>
      <c r="AE125" s="521"/>
      <c r="AF125" s="521"/>
      <c r="AG125" s="264">
        <v>1</v>
      </c>
    </row>
    <row r="126" spans="1:33" s="526" customFormat="1">
      <c r="A126" s="513">
        <v>124</v>
      </c>
      <c r="B126" s="514">
        <v>36</v>
      </c>
      <c r="C126" s="515">
        <v>36</v>
      </c>
      <c r="D126" s="262" t="s">
        <v>2709</v>
      </c>
      <c r="E126" s="513">
        <v>124</v>
      </c>
      <c r="F126" s="544">
        <v>36</v>
      </c>
      <c r="G126" s="517">
        <v>45319</v>
      </c>
      <c r="H126" s="517">
        <v>45320</v>
      </c>
      <c r="I126" s="517">
        <v>45320</v>
      </c>
      <c r="J126" s="517">
        <v>45320</v>
      </c>
      <c r="K126" s="517">
        <v>45320</v>
      </c>
      <c r="L126" s="518" t="s">
        <v>2710</v>
      </c>
      <c r="M126" s="264" t="s">
        <v>2679</v>
      </c>
      <c r="N126" s="262" t="s">
        <v>2711</v>
      </c>
      <c r="O126" s="390" t="s">
        <v>2712</v>
      </c>
      <c r="P126" s="264" t="str">
        <f t="shared" si="3"/>
        <v>Fransiskus Lombu</v>
      </c>
      <c r="Q126" s="264" t="s">
        <v>2713</v>
      </c>
      <c r="R126" s="528" t="s">
        <v>2714</v>
      </c>
      <c r="S126" s="399">
        <v>1</v>
      </c>
      <c r="T126" s="348" t="s">
        <v>3373</v>
      </c>
      <c r="U126" s="520">
        <v>1000000</v>
      </c>
      <c r="V126" s="266">
        <v>1000000</v>
      </c>
      <c r="W126" s="521" t="s">
        <v>2715</v>
      </c>
      <c r="X126" s="521">
        <v>0</v>
      </c>
      <c r="Y126" s="521"/>
      <c r="Z126" s="523"/>
      <c r="AA126" s="521"/>
      <c r="AB126" s="521"/>
      <c r="AC126" s="521"/>
      <c r="AD126" s="521"/>
      <c r="AE126" s="521"/>
      <c r="AF126" s="521"/>
      <c r="AG126" s="264">
        <v>1</v>
      </c>
    </row>
    <row r="127" spans="1:33" s="526" customFormat="1" ht="37.5">
      <c r="A127" s="513">
        <v>127</v>
      </c>
      <c r="B127" s="514">
        <v>37</v>
      </c>
      <c r="C127" s="515">
        <v>37</v>
      </c>
      <c r="D127" s="262" t="s">
        <v>561</v>
      </c>
      <c r="E127" s="513">
        <v>125</v>
      </c>
      <c r="F127" s="544">
        <v>37</v>
      </c>
      <c r="G127" s="517">
        <v>45319</v>
      </c>
      <c r="H127" s="517">
        <v>45320</v>
      </c>
      <c r="I127" s="517">
        <v>45321</v>
      </c>
      <c r="J127" s="517">
        <v>45321</v>
      </c>
      <c r="K127" s="517">
        <v>45321</v>
      </c>
      <c r="L127" s="518" t="s">
        <v>464</v>
      </c>
      <c r="M127" s="264" t="s">
        <v>2587</v>
      </c>
      <c r="N127" s="262" t="s">
        <v>610</v>
      </c>
      <c r="O127" s="390" t="s">
        <v>2295</v>
      </c>
      <c r="P127" s="264" t="s">
        <v>467</v>
      </c>
      <c r="Q127" s="264" t="s">
        <v>8</v>
      </c>
      <c r="R127" s="519" t="s">
        <v>2635</v>
      </c>
      <c r="S127" s="399">
        <v>80</v>
      </c>
      <c r="T127" s="348" t="s">
        <v>3362</v>
      </c>
      <c r="U127" s="520">
        <v>40000</v>
      </c>
      <c r="V127" s="266">
        <v>3200000</v>
      </c>
      <c r="W127" s="521" t="s">
        <v>2507</v>
      </c>
      <c r="X127" s="521" t="s">
        <v>2508</v>
      </c>
      <c r="Y127" s="522" t="s">
        <v>2516</v>
      </c>
      <c r="Z127" s="523" t="s">
        <v>2636</v>
      </c>
      <c r="AA127" s="521"/>
      <c r="AB127" s="521"/>
      <c r="AC127" s="521"/>
      <c r="AD127" s="521"/>
      <c r="AE127" s="521"/>
      <c r="AF127" s="521"/>
      <c r="AG127" s="264">
        <v>1</v>
      </c>
    </row>
    <row r="128" spans="1:33" s="526" customFormat="1" ht="37.5">
      <c r="A128" s="513">
        <v>128</v>
      </c>
      <c r="B128" s="514">
        <v>38</v>
      </c>
      <c r="C128" s="515">
        <v>38</v>
      </c>
      <c r="D128" s="262" t="s">
        <v>565</v>
      </c>
      <c r="E128" s="513">
        <v>126</v>
      </c>
      <c r="F128" s="544">
        <v>38</v>
      </c>
      <c r="G128" s="517">
        <v>45319</v>
      </c>
      <c r="H128" s="517">
        <v>45320</v>
      </c>
      <c r="I128" s="517">
        <v>45321</v>
      </c>
      <c r="J128" s="517">
        <v>45321</v>
      </c>
      <c r="K128" s="517">
        <v>45321</v>
      </c>
      <c r="L128" s="518" t="s">
        <v>464</v>
      </c>
      <c r="M128" s="264" t="s">
        <v>2587</v>
      </c>
      <c r="N128" s="262" t="s">
        <v>610</v>
      </c>
      <c r="O128" s="390" t="s">
        <v>2296</v>
      </c>
      <c r="P128" s="264" t="s">
        <v>2633</v>
      </c>
      <c r="Q128" s="264" t="s">
        <v>280</v>
      </c>
      <c r="R128" s="528" t="s">
        <v>165</v>
      </c>
      <c r="S128" s="399">
        <v>80</v>
      </c>
      <c r="T128" s="348" t="s">
        <v>3362</v>
      </c>
      <c r="U128" s="520">
        <v>15000</v>
      </c>
      <c r="V128" s="266">
        <v>1200000</v>
      </c>
      <c r="W128" s="521" t="s">
        <v>10</v>
      </c>
      <c r="X128" s="521" t="s">
        <v>11</v>
      </c>
      <c r="Y128" s="522" t="s">
        <v>2092</v>
      </c>
      <c r="Z128" s="523" t="s">
        <v>2634</v>
      </c>
      <c r="AA128" s="521"/>
      <c r="AB128" s="521"/>
      <c r="AC128" s="521"/>
      <c r="AD128" s="521"/>
      <c r="AE128" s="521"/>
      <c r="AF128" s="521"/>
      <c r="AG128" s="264">
        <v>1</v>
      </c>
    </row>
    <row r="129" spans="1:33" s="526" customFormat="1" ht="29">
      <c r="A129" s="513">
        <v>129</v>
      </c>
      <c r="B129" s="514">
        <v>39</v>
      </c>
      <c r="C129" s="515">
        <v>39</v>
      </c>
      <c r="D129" s="545" t="s">
        <v>567</v>
      </c>
      <c r="E129" s="513">
        <v>127</v>
      </c>
      <c r="F129" s="544">
        <v>39</v>
      </c>
      <c r="G129" s="517">
        <v>45319</v>
      </c>
      <c r="H129" s="517">
        <v>45320</v>
      </c>
      <c r="I129" s="517">
        <v>45321</v>
      </c>
      <c r="J129" s="517">
        <v>45321</v>
      </c>
      <c r="K129" s="546">
        <v>45321</v>
      </c>
      <c r="L129" s="518" t="s">
        <v>2180</v>
      </c>
      <c r="M129" s="264" t="s">
        <v>2587</v>
      </c>
      <c r="N129" s="545" t="s">
        <v>1004</v>
      </c>
      <c r="O129" s="547" t="s">
        <v>2297</v>
      </c>
      <c r="P129" s="264" t="s">
        <v>2633</v>
      </c>
      <c r="Q129" s="264" t="s">
        <v>280</v>
      </c>
      <c r="R129" s="528" t="s">
        <v>165</v>
      </c>
      <c r="S129" s="399">
        <v>60</v>
      </c>
      <c r="T129" s="348" t="s">
        <v>3363</v>
      </c>
      <c r="U129" s="520">
        <v>15000</v>
      </c>
      <c r="V129" s="548">
        <v>900000</v>
      </c>
      <c r="W129" s="521" t="s">
        <v>10</v>
      </c>
      <c r="X129" s="521" t="s">
        <v>11</v>
      </c>
      <c r="Y129" s="522" t="s">
        <v>2092</v>
      </c>
      <c r="Z129" s="523" t="s">
        <v>2634</v>
      </c>
      <c r="AA129" s="521"/>
      <c r="AB129" s="521"/>
      <c r="AC129" s="521"/>
      <c r="AD129" s="521"/>
      <c r="AE129" s="521"/>
      <c r="AF129" s="521"/>
      <c r="AG129" s="264">
        <v>1</v>
      </c>
    </row>
    <row r="130" spans="1:33" s="526" customFormat="1" ht="29">
      <c r="A130" s="406">
        <v>125</v>
      </c>
      <c r="B130" s="514">
        <v>23</v>
      </c>
      <c r="C130" s="515">
        <v>23</v>
      </c>
      <c r="D130" s="352" t="s">
        <v>2716</v>
      </c>
      <c r="E130" s="406">
        <v>128</v>
      </c>
      <c r="F130" s="549">
        <v>23</v>
      </c>
      <c r="G130" s="550">
        <v>45309</v>
      </c>
      <c r="H130" s="551">
        <v>45317</v>
      </c>
      <c r="I130" s="551">
        <v>45317</v>
      </c>
      <c r="J130" s="551">
        <v>45317</v>
      </c>
      <c r="K130" s="550">
        <v>45320</v>
      </c>
      <c r="L130" s="552" t="s">
        <v>2190</v>
      </c>
      <c r="M130" s="355" t="s">
        <v>2717</v>
      </c>
      <c r="N130" s="352" t="s">
        <v>2718</v>
      </c>
      <c r="O130" s="387" t="s">
        <v>2719</v>
      </c>
      <c r="P130" s="355" t="str">
        <f t="shared" ref="P130:P139" si="4">O130</f>
        <v>Laptop</v>
      </c>
      <c r="Q130" s="355" t="s">
        <v>2720</v>
      </c>
      <c r="R130" s="553"/>
      <c r="S130" s="400">
        <v>2</v>
      </c>
      <c r="T130" s="401" t="s">
        <v>3371</v>
      </c>
      <c r="U130" s="450">
        <v>14000000</v>
      </c>
      <c r="V130" s="403">
        <v>28000000</v>
      </c>
      <c r="W130" s="554" t="s">
        <v>2521</v>
      </c>
      <c r="X130" s="554" t="s">
        <v>2721</v>
      </c>
      <c r="Y130" s="555" t="s">
        <v>2722</v>
      </c>
      <c r="Z130" s="556" t="s">
        <v>2723</v>
      </c>
      <c r="AA130" s="521"/>
      <c r="AB130" s="521"/>
      <c r="AC130" s="521"/>
      <c r="AD130" s="521"/>
      <c r="AE130" s="521"/>
      <c r="AF130" s="521"/>
      <c r="AG130" s="264">
        <v>1</v>
      </c>
    </row>
    <row r="131" spans="1:33" s="526" customFormat="1" ht="29">
      <c r="A131" s="406">
        <v>126</v>
      </c>
      <c r="B131" s="514">
        <v>24</v>
      </c>
      <c r="C131" s="515">
        <v>24</v>
      </c>
      <c r="D131" s="352" t="s">
        <v>2724</v>
      </c>
      <c r="E131" s="406">
        <v>129</v>
      </c>
      <c r="F131" s="549">
        <v>24</v>
      </c>
      <c r="G131" s="550">
        <v>45309</v>
      </c>
      <c r="H131" s="551">
        <v>45317</v>
      </c>
      <c r="I131" s="551">
        <v>45317</v>
      </c>
      <c r="J131" s="551">
        <v>45317</v>
      </c>
      <c r="K131" s="550">
        <v>45320</v>
      </c>
      <c r="L131" s="552" t="s">
        <v>2190</v>
      </c>
      <c r="M131" s="355" t="s">
        <v>2717</v>
      </c>
      <c r="N131" s="352" t="s">
        <v>2725</v>
      </c>
      <c r="O131" s="387" t="s">
        <v>2726</v>
      </c>
      <c r="P131" s="355" t="str">
        <f t="shared" si="4"/>
        <v>Proyektor</v>
      </c>
      <c r="Q131" s="355" t="s">
        <v>2720</v>
      </c>
      <c r="R131" s="553"/>
      <c r="S131" s="400">
        <v>2</v>
      </c>
      <c r="T131" s="401" t="s">
        <v>3371</v>
      </c>
      <c r="U131" s="450">
        <v>7800000</v>
      </c>
      <c r="V131" s="403">
        <v>15600000</v>
      </c>
      <c r="W131" s="554" t="s">
        <v>2521</v>
      </c>
      <c r="X131" s="554" t="s">
        <v>2721</v>
      </c>
      <c r="Y131" s="555" t="s">
        <v>2722</v>
      </c>
      <c r="Z131" s="556" t="s">
        <v>2723</v>
      </c>
      <c r="AA131" s="521"/>
      <c r="AB131" s="521"/>
      <c r="AC131" s="521"/>
      <c r="AD131" s="521"/>
      <c r="AE131" s="521"/>
      <c r="AF131" s="521"/>
      <c r="AG131" s="264">
        <v>1</v>
      </c>
    </row>
    <row r="132" spans="1:33" s="526" customFormat="1" ht="29">
      <c r="A132" s="513">
        <v>130</v>
      </c>
      <c r="B132" s="514" t="s">
        <v>2727</v>
      </c>
      <c r="C132" s="515" t="s">
        <v>2727</v>
      </c>
      <c r="D132" s="262" t="s">
        <v>2127</v>
      </c>
      <c r="E132" s="513">
        <v>131</v>
      </c>
      <c r="F132" s="544" t="s">
        <v>2727</v>
      </c>
      <c r="G132" s="517">
        <v>45323</v>
      </c>
      <c r="H132" s="517">
        <v>45324</v>
      </c>
      <c r="I132" s="517">
        <v>45324</v>
      </c>
      <c r="J132" s="517">
        <v>45324</v>
      </c>
      <c r="K132" s="517">
        <v>45324</v>
      </c>
      <c r="L132" s="518" t="s">
        <v>705</v>
      </c>
      <c r="M132" s="264" t="s">
        <v>2587</v>
      </c>
      <c r="N132" s="262" t="s">
        <v>2176</v>
      </c>
      <c r="O132" s="390" t="s">
        <v>238</v>
      </c>
      <c r="P132" s="264" t="str">
        <f t="shared" si="4"/>
        <v>Binder Klip  nomor 111</v>
      </c>
      <c r="Q132" s="264" t="s">
        <v>710</v>
      </c>
      <c r="R132" s="519" t="s">
        <v>109</v>
      </c>
      <c r="S132" s="399">
        <v>5</v>
      </c>
      <c r="T132" s="348" t="s">
        <v>3362</v>
      </c>
      <c r="U132" s="520">
        <v>11000</v>
      </c>
      <c r="V132" s="266">
        <v>55000</v>
      </c>
      <c r="W132" s="521" t="s">
        <v>227</v>
      </c>
      <c r="X132" s="521" t="s">
        <v>3383</v>
      </c>
      <c r="Y132" s="522" t="s">
        <v>2512</v>
      </c>
      <c r="Z132" s="523" t="s">
        <v>541</v>
      </c>
      <c r="AA132" s="521"/>
      <c r="AB132" s="521"/>
      <c r="AC132" s="521"/>
      <c r="AD132" s="521"/>
      <c r="AE132" s="521"/>
      <c r="AF132" s="521"/>
      <c r="AG132" s="264">
        <v>2</v>
      </c>
    </row>
    <row r="133" spans="1:33" s="526" customFormat="1" ht="29">
      <c r="A133" s="513">
        <v>131</v>
      </c>
      <c r="B133" s="514" t="s">
        <v>2727</v>
      </c>
      <c r="C133" s="515" t="s">
        <v>2727</v>
      </c>
      <c r="D133" s="262" t="s">
        <v>2127</v>
      </c>
      <c r="E133" s="513">
        <v>132</v>
      </c>
      <c r="F133" s="544" t="s">
        <v>2727</v>
      </c>
      <c r="G133" s="517">
        <v>45323</v>
      </c>
      <c r="H133" s="517">
        <v>45324</v>
      </c>
      <c r="I133" s="517">
        <v>45324</v>
      </c>
      <c r="J133" s="517">
        <v>45324</v>
      </c>
      <c r="K133" s="517">
        <v>45324</v>
      </c>
      <c r="L133" s="518" t="s">
        <v>705</v>
      </c>
      <c r="M133" s="264" t="s">
        <v>2587</v>
      </c>
      <c r="N133" s="262" t="s">
        <v>2176</v>
      </c>
      <c r="O133" s="390" t="s">
        <v>233</v>
      </c>
      <c r="P133" s="264" t="str">
        <f t="shared" si="4"/>
        <v>Ballpoint Drawing Pen 0,1 Snowman</v>
      </c>
      <c r="Q133" s="264" t="s">
        <v>710</v>
      </c>
      <c r="R133" s="525" t="s">
        <v>2590</v>
      </c>
      <c r="S133" s="399">
        <v>1</v>
      </c>
      <c r="T133" s="348" t="s">
        <v>3364</v>
      </c>
      <c r="U133" s="520">
        <v>95000</v>
      </c>
      <c r="V133" s="266">
        <v>95000</v>
      </c>
      <c r="W133" s="521" t="s">
        <v>227</v>
      </c>
      <c r="X133" s="521" t="s">
        <v>3383</v>
      </c>
      <c r="Y133" s="522" t="s">
        <v>2512</v>
      </c>
      <c r="Z133" s="523" t="s">
        <v>541</v>
      </c>
      <c r="AA133" s="521"/>
      <c r="AB133" s="521"/>
      <c r="AC133" s="521"/>
      <c r="AD133" s="521"/>
      <c r="AE133" s="521"/>
      <c r="AF133" s="521"/>
      <c r="AG133" s="264">
        <v>2</v>
      </c>
    </row>
    <row r="134" spans="1:33" s="526" customFormat="1" ht="29">
      <c r="A134" s="513">
        <v>132</v>
      </c>
      <c r="B134" s="514" t="s">
        <v>2727</v>
      </c>
      <c r="C134" s="515" t="s">
        <v>2727</v>
      </c>
      <c r="D134" s="262" t="s">
        <v>2127</v>
      </c>
      <c r="E134" s="513">
        <v>133</v>
      </c>
      <c r="F134" s="544" t="s">
        <v>2727</v>
      </c>
      <c r="G134" s="517">
        <v>45323</v>
      </c>
      <c r="H134" s="517">
        <v>45324</v>
      </c>
      <c r="I134" s="517">
        <v>45324</v>
      </c>
      <c r="J134" s="517">
        <v>45324</v>
      </c>
      <c r="K134" s="517">
        <v>45324</v>
      </c>
      <c r="L134" s="518" t="s">
        <v>705</v>
      </c>
      <c r="M134" s="264" t="s">
        <v>2587</v>
      </c>
      <c r="N134" s="262" t="s">
        <v>2176</v>
      </c>
      <c r="O134" s="390" t="s">
        <v>2234</v>
      </c>
      <c r="P134" s="264" t="str">
        <f t="shared" si="4"/>
        <v>Stofmap Transparan tali</v>
      </c>
      <c r="Q134" s="264" t="s">
        <v>710</v>
      </c>
      <c r="R134" s="519" t="s">
        <v>158</v>
      </c>
      <c r="S134" s="399">
        <v>100</v>
      </c>
      <c r="T134" s="348" t="s">
        <v>3363</v>
      </c>
      <c r="U134" s="520">
        <v>5500</v>
      </c>
      <c r="V134" s="266">
        <v>550000</v>
      </c>
      <c r="W134" s="521" t="s">
        <v>227</v>
      </c>
      <c r="X134" s="521" t="s">
        <v>3383</v>
      </c>
      <c r="Y134" s="522" t="s">
        <v>2512</v>
      </c>
      <c r="Z134" s="523" t="s">
        <v>541</v>
      </c>
      <c r="AA134" s="521"/>
      <c r="AB134" s="521"/>
      <c r="AC134" s="521"/>
      <c r="AD134" s="521"/>
      <c r="AE134" s="521"/>
      <c r="AF134" s="521"/>
      <c r="AG134" s="264">
        <v>2</v>
      </c>
    </row>
    <row r="135" spans="1:33" s="526" customFormat="1" ht="29">
      <c r="A135" s="513">
        <v>133</v>
      </c>
      <c r="B135" s="514" t="s">
        <v>2727</v>
      </c>
      <c r="C135" s="515" t="s">
        <v>2727</v>
      </c>
      <c r="D135" s="262" t="s">
        <v>2127</v>
      </c>
      <c r="E135" s="513">
        <v>134</v>
      </c>
      <c r="F135" s="544" t="s">
        <v>2727</v>
      </c>
      <c r="G135" s="517">
        <v>45323</v>
      </c>
      <c r="H135" s="517">
        <v>45324</v>
      </c>
      <c r="I135" s="517">
        <v>45324</v>
      </c>
      <c r="J135" s="517">
        <v>45324</v>
      </c>
      <c r="K135" s="517">
        <v>45324</v>
      </c>
      <c r="L135" s="518" t="s">
        <v>705</v>
      </c>
      <c r="M135" s="264" t="s">
        <v>2587</v>
      </c>
      <c r="N135" s="262" t="s">
        <v>2176</v>
      </c>
      <c r="O135" s="390" t="s">
        <v>2235</v>
      </c>
      <c r="P135" s="264" t="str">
        <f t="shared" si="4"/>
        <v>Amplop Coklat Merk : GSU Ukuran Folio polos</v>
      </c>
      <c r="Q135" s="264" t="s">
        <v>710</v>
      </c>
      <c r="R135" s="529" t="s">
        <v>2593</v>
      </c>
      <c r="S135" s="399">
        <v>2</v>
      </c>
      <c r="T135" s="348" t="s">
        <v>3365</v>
      </c>
      <c r="U135" s="520">
        <v>60000</v>
      </c>
      <c r="V135" s="266">
        <v>120000</v>
      </c>
      <c r="W135" s="521" t="s">
        <v>227</v>
      </c>
      <c r="X135" s="521" t="s">
        <v>3383</v>
      </c>
      <c r="Y135" s="522" t="s">
        <v>2512</v>
      </c>
      <c r="Z135" s="523" t="s">
        <v>541</v>
      </c>
      <c r="AA135" s="521"/>
      <c r="AB135" s="521"/>
      <c r="AC135" s="521"/>
      <c r="AD135" s="521"/>
      <c r="AE135" s="521"/>
      <c r="AF135" s="521"/>
      <c r="AG135" s="264">
        <v>2</v>
      </c>
    </row>
    <row r="136" spans="1:33" s="526" customFormat="1" ht="29">
      <c r="A136" s="513">
        <v>134</v>
      </c>
      <c r="B136" s="514" t="s">
        <v>2727</v>
      </c>
      <c r="C136" s="515" t="s">
        <v>2727</v>
      </c>
      <c r="D136" s="262" t="s">
        <v>2127</v>
      </c>
      <c r="E136" s="513">
        <v>135</v>
      </c>
      <c r="F136" s="544" t="s">
        <v>2727</v>
      </c>
      <c r="G136" s="517">
        <v>45323</v>
      </c>
      <c r="H136" s="517">
        <v>45324</v>
      </c>
      <c r="I136" s="517">
        <v>45324</v>
      </c>
      <c r="J136" s="517">
        <v>45324</v>
      </c>
      <c r="K136" s="517">
        <v>45324</v>
      </c>
      <c r="L136" s="518" t="s">
        <v>705</v>
      </c>
      <c r="M136" s="264" t="s">
        <v>2587</v>
      </c>
      <c r="N136" s="262" t="s">
        <v>2176</v>
      </c>
      <c r="O136" s="390" t="s">
        <v>2236</v>
      </c>
      <c r="P136" s="264" t="str">
        <f t="shared" si="4"/>
        <v>Stapler HD-10--</v>
      </c>
      <c r="Q136" s="264" t="s">
        <v>710</v>
      </c>
      <c r="R136" s="519" t="s">
        <v>152</v>
      </c>
      <c r="S136" s="399">
        <v>2</v>
      </c>
      <c r="T136" s="348" t="s">
        <v>3363</v>
      </c>
      <c r="U136" s="520">
        <v>20000</v>
      </c>
      <c r="V136" s="266">
        <v>40000</v>
      </c>
      <c r="W136" s="521" t="s">
        <v>227</v>
      </c>
      <c r="X136" s="521" t="s">
        <v>3383</v>
      </c>
      <c r="Y136" s="522" t="s">
        <v>2512</v>
      </c>
      <c r="Z136" s="523" t="s">
        <v>541</v>
      </c>
      <c r="AA136" s="521"/>
      <c r="AB136" s="521"/>
      <c r="AC136" s="521"/>
      <c r="AD136" s="521"/>
      <c r="AE136" s="521"/>
      <c r="AF136" s="521"/>
      <c r="AG136" s="264">
        <v>2</v>
      </c>
    </row>
    <row r="137" spans="1:33" s="526" customFormat="1" ht="29">
      <c r="A137" s="513">
        <v>135</v>
      </c>
      <c r="B137" s="514" t="s">
        <v>2727</v>
      </c>
      <c r="C137" s="515" t="s">
        <v>2727</v>
      </c>
      <c r="D137" s="262" t="s">
        <v>2127</v>
      </c>
      <c r="E137" s="513">
        <v>136</v>
      </c>
      <c r="F137" s="544" t="s">
        <v>2727</v>
      </c>
      <c r="G137" s="517">
        <v>45323</v>
      </c>
      <c r="H137" s="517">
        <v>45324</v>
      </c>
      <c r="I137" s="517">
        <v>45324</v>
      </c>
      <c r="J137" s="517">
        <v>45324</v>
      </c>
      <c r="K137" s="517">
        <v>45324</v>
      </c>
      <c r="L137" s="518" t="s">
        <v>705</v>
      </c>
      <c r="M137" s="264" t="s">
        <v>2587</v>
      </c>
      <c r="N137" s="262" t="s">
        <v>2176</v>
      </c>
      <c r="O137" s="390" t="s">
        <v>2237</v>
      </c>
      <c r="P137" s="264" t="str">
        <f t="shared" si="4"/>
        <v>Kertas Lain-Lain Kertas Buffalo</v>
      </c>
      <c r="Q137" s="264" t="s">
        <v>710</v>
      </c>
      <c r="R137" s="519" t="s">
        <v>130</v>
      </c>
      <c r="S137" s="399">
        <v>5</v>
      </c>
      <c r="T137" s="348" t="s">
        <v>3365</v>
      </c>
      <c r="U137" s="520">
        <v>31000</v>
      </c>
      <c r="V137" s="266">
        <v>155000</v>
      </c>
      <c r="W137" s="521" t="s">
        <v>227</v>
      </c>
      <c r="X137" s="521" t="s">
        <v>3383</v>
      </c>
      <c r="Y137" s="522" t="s">
        <v>2512</v>
      </c>
      <c r="Z137" s="523" t="s">
        <v>541</v>
      </c>
      <c r="AA137" s="521"/>
      <c r="AB137" s="521"/>
      <c r="AC137" s="521"/>
      <c r="AD137" s="521"/>
      <c r="AE137" s="521"/>
      <c r="AF137" s="521"/>
      <c r="AG137" s="264">
        <v>2</v>
      </c>
    </row>
    <row r="138" spans="1:33" s="526" customFormat="1" ht="29">
      <c r="A138" s="513">
        <v>136</v>
      </c>
      <c r="B138" s="514" t="s">
        <v>2727</v>
      </c>
      <c r="C138" s="515" t="s">
        <v>2727</v>
      </c>
      <c r="D138" s="262" t="s">
        <v>2127</v>
      </c>
      <c r="E138" s="513">
        <v>137</v>
      </c>
      <c r="F138" s="544" t="s">
        <v>2727</v>
      </c>
      <c r="G138" s="517">
        <v>45323</v>
      </c>
      <c r="H138" s="517">
        <v>45324</v>
      </c>
      <c r="I138" s="517">
        <v>45324</v>
      </c>
      <c r="J138" s="517">
        <v>45324</v>
      </c>
      <c r="K138" s="517">
        <v>45324</v>
      </c>
      <c r="L138" s="518" t="s">
        <v>705</v>
      </c>
      <c r="M138" s="264" t="s">
        <v>2587</v>
      </c>
      <c r="N138" s="262" t="s">
        <v>2176</v>
      </c>
      <c r="O138" s="390" t="s">
        <v>236</v>
      </c>
      <c r="P138" s="264" t="str">
        <f t="shared" si="4"/>
        <v>Baterey Kecil</v>
      </c>
      <c r="Q138" s="264" t="s">
        <v>710</v>
      </c>
      <c r="R138" s="519" t="s">
        <v>106</v>
      </c>
      <c r="S138" s="399">
        <v>2</v>
      </c>
      <c r="T138" s="348" t="s">
        <v>3366</v>
      </c>
      <c r="U138" s="520">
        <v>20000</v>
      </c>
      <c r="V138" s="266">
        <v>40000</v>
      </c>
      <c r="W138" s="521" t="s">
        <v>227</v>
      </c>
      <c r="X138" s="521" t="s">
        <v>3383</v>
      </c>
      <c r="Y138" s="522" t="s">
        <v>2512</v>
      </c>
      <c r="Z138" s="523" t="s">
        <v>541</v>
      </c>
      <c r="AA138" s="521"/>
      <c r="AB138" s="521"/>
      <c r="AC138" s="521"/>
      <c r="AD138" s="521"/>
      <c r="AE138" s="521"/>
      <c r="AF138" s="521"/>
      <c r="AG138" s="264">
        <v>2</v>
      </c>
    </row>
    <row r="139" spans="1:33" s="526" customFormat="1" ht="29">
      <c r="A139" s="513">
        <v>137</v>
      </c>
      <c r="B139" s="514" t="s">
        <v>2727</v>
      </c>
      <c r="C139" s="515" t="s">
        <v>2727</v>
      </c>
      <c r="D139" s="262" t="s">
        <v>2127</v>
      </c>
      <c r="E139" s="513">
        <v>138</v>
      </c>
      <c r="F139" s="544" t="s">
        <v>2727</v>
      </c>
      <c r="G139" s="517">
        <v>45323</v>
      </c>
      <c r="H139" s="517">
        <v>45324</v>
      </c>
      <c r="I139" s="517">
        <v>45324</v>
      </c>
      <c r="J139" s="517">
        <v>45324</v>
      </c>
      <c r="K139" s="517">
        <v>45324</v>
      </c>
      <c r="L139" s="518" t="s">
        <v>705</v>
      </c>
      <c r="M139" s="264" t="s">
        <v>2587</v>
      </c>
      <c r="N139" s="262" t="s">
        <v>2176</v>
      </c>
      <c r="O139" s="390" t="s">
        <v>2239</v>
      </c>
      <c r="P139" s="264" t="str">
        <f t="shared" si="4"/>
        <v>Tinta Printer Canon 741 Warna-741 Warna</v>
      </c>
      <c r="Q139" s="264" t="s">
        <v>710</v>
      </c>
      <c r="R139" s="519" t="s">
        <v>160</v>
      </c>
      <c r="S139" s="399">
        <v>12</v>
      </c>
      <c r="T139" s="348" t="s">
        <v>3367</v>
      </c>
      <c r="U139" s="520">
        <v>33000</v>
      </c>
      <c r="V139" s="266">
        <v>396000</v>
      </c>
      <c r="W139" s="521" t="s">
        <v>227</v>
      </c>
      <c r="X139" s="521" t="s">
        <v>3383</v>
      </c>
      <c r="Y139" s="522" t="s">
        <v>2512</v>
      </c>
      <c r="Z139" s="523" t="s">
        <v>541</v>
      </c>
      <c r="AA139" s="521"/>
      <c r="AB139" s="521"/>
      <c r="AC139" s="521"/>
      <c r="AD139" s="521"/>
      <c r="AE139" s="521"/>
      <c r="AF139" s="521"/>
      <c r="AG139" s="264">
        <v>2</v>
      </c>
    </row>
    <row r="140" spans="1:33" s="526" customFormat="1" ht="37.5">
      <c r="A140" s="513">
        <v>138</v>
      </c>
      <c r="B140" s="514" t="s">
        <v>2727</v>
      </c>
      <c r="C140" s="515" t="s">
        <v>2727</v>
      </c>
      <c r="D140" s="262" t="s">
        <v>2127</v>
      </c>
      <c r="E140" s="513">
        <v>139</v>
      </c>
      <c r="F140" s="544" t="s">
        <v>2727</v>
      </c>
      <c r="G140" s="517">
        <v>45323</v>
      </c>
      <c r="H140" s="517">
        <v>45324</v>
      </c>
      <c r="I140" s="517">
        <v>45324</v>
      </c>
      <c r="J140" s="517">
        <v>45324</v>
      </c>
      <c r="K140" s="517">
        <v>45324</v>
      </c>
      <c r="L140" s="518" t="s">
        <v>705</v>
      </c>
      <c r="M140" s="264" t="s">
        <v>2587</v>
      </c>
      <c r="N140" s="262" t="s">
        <v>2176</v>
      </c>
      <c r="O140" s="390" t="s">
        <v>252</v>
      </c>
      <c r="P140" s="524" t="s">
        <v>2571</v>
      </c>
      <c r="Q140" s="264" t="s">
        <v>710</v>
      </c>
      <c r="R140" s="519" t="s">
        <v>136</v>
      </c>
      <c r="S140" s="399">
        <v>5</v>
      </c>
      <c r="T140" s="348" t="s">
        <v>2436</v>
      </c>
      <c r="U140" s="520">
        <v>15000</v>
      </c>
      <c r="V140" s="266">
        <v>75000</v>
      </c>
      <c r="W140" s="521" t="s">
        <v>227</v>
      </c>
      <c r="X140" s="521" t="s">
        <v>3383</v>
      </c>
      <c r="Y140" s="522" t="s">
        <v>2512</v>
      </c>
      <c r="Z140" s="523" t="s">
        <v>541</v>
      </c>
      <c r="AA140" s="521"/>
      <c r="AB140" s="521"/>
      <c r="AC140" s="521"/>
      <c r="AD140" s="521"/>
      <c r="AE140" s="521"/>
      <c r="AF140" s="521"/>
      <c r="AG140" s="264">
        <v>2</v>
      </c>
    </row>
    <row r="141" spans="1:33" s="526" customFormat="1" ht="29">
      <c r="A141" s="513">
        <v>139</v>
      </c>
      <c r="B141" s="514" t="s">
        <v>2727</v>
      </c>
      <c r="C141" s="515" t="s">
        <v>2727</v>
      </c>
      <c r="D141" s="262" t="s">
        <v>2127</v>
      </c>
      <c r="E141" s="513">
        <v>140</v>
      </c>
      <c r="F141" s="544" t="s">
        <v>2727</v>
      </c>
      <c r="G141" s="517">
        <v>45323</v>
      </c>
      <c r="H141" s="517">
        <v>45324</v>
      </c>
      <c r="I141" s="517">
        <v>45324</v>
      </c>
      <c r="J141" s="517">
        <v>45324</v>
      </c>
      <c r="K141" s="517">
        <v>45324</v>
      </c>
      <c r="L141" s="518" t="s">
        <v>705</v>
      </c>
      <c r="M141" s="264" t="s">
        <v>2587</v>
      </c>
      <c r="N141" s="262" t="s">
        <v>2176</v>
      </c>
      <c r="O141" s="390" t="s">
        <v>259</v>
      </c>
      <c r="P141" s="264" t="str">
        <f t="shared" ref="P141:P164" si="5">O141</f>
        <v>Plastik Mika</v>
      </c>
      <c r="Q141" s="264" t="s">
        <v>710</v>
      </c>
      <c r="R141" s="519" t="s">
        <v>148</v>
      </c>
      <c r="S141" s="399">
        <v>5</v>
      </c>
      <c r="T141" s="348" t="s">
        <v>3365</v>
      </c>
      <c r="U141" s="520">
        <v>60000</v>
      </c>
      <c r="V141" s="266">
        <v>300000</v>
      </c>
      <c r="W141" s="521" t="s">
        <v>227</v>
      </c>
      <c r="X141" s="521" t="s">
        <v>3383</v>
      </c>
      <c r="Y141" s="522" t="s">
        <v>2512</v>
      </c>
      <c r="Z141" s="523" t="s">
        <v>541</v>
      </c>
      <c r="AA141" s="521"/>
      <c r="AB141" s="521"/>
      <c r="AC141" s="521"/>
      <c r="AD141" s="521"/>
      <c r="AE141" s="521"/>
      <c r="AF141" s="521"/>
      <c r="AG141" s="264">
        <v>2</v>
      </c>
    </row>
    <row r="142" spans="1:33" s="526" customFormat="1" ht="29">
      <c r="A142" s="513">
        <v>140</v>
      </c>
      <c r="B142" s="514" t="s">
        <v>2727</v>
      </c>
      <c r="C142" s="515" t="s">
        <v>2727</v>
      </c>
      <c r="D142" s="262" t="s">
        <v>2127</v>
      </c>
      <c r="E142" s="513">
        <v>141</v>
      </c>
      <c r="F142" s="544" t="s">
        <v>2727</v>
      </c>
      <c r="G142" s="517">
        <v>45323</v>
      </c>
      <c r="H142" s="517">
        <v>45324</v>
      </c>
      <c r="I142" s="517">
        <v>45324</v>
      </c>
      <c r="J142" s="517">
        <v>45324</v>
      </c>
      <c r="K142" s="517">
        <v>45324</v>
      </c>
      <c r="L142" s="518" t="s">
        <v>705</v>
      </c>
      <c r="M142" s="264" t="s">
        <v>2587</v>
      </c>
      <c r="N142" s="262" t="s">
        <v>2176</v>
      </c>
      <c r="O142" s="390" t="s">
        <v>237</v>
      </c>
      <c r="P142" s="264" t="str">
        <f t="shared" si="5"/>
        <v>Binder Klip  nomor 107</v>
      </c>
      <c r="Q142" s="264" t="s">
        <v>710</v>
      </c>
      <c r="R142" s="525" t="s">
        <v>2595</v>
      </c>
      <c r="S142" s="399">
        <v>5</v>
      </c>
      <c r="T142" s="348" t="s">
        <v>3362</v>
      </c>
      <c r="U142" s="520">
        <v>7500</v>
      </c>
      <c r="V142" s="266">
        <v>37500</v>
      </c>
      <c r="W142" s="521" t="s">
        <v>227</v>
      </c>
      <c r="X142" s="521" t="s">
        <v>3383</v>
      </c>
      <c r="Y142" s="522" t="s">
        <v>2512</v>
      </c>
      <c r="Z142" s="523" t="s">
        <v>541</v>
      </c>
      <c r="AA142" s="521"/>
      <c r="AB142" s="521"/>
      <c r="AC142" s="521"/>
      <c r="AD142" s="521"/>
      <c r="AE142" s="521"/>
      <c r="AF142" s="521"/>
      <c r="AG142" s="264">
        <v>2</v>
      </c>
    </row>
    <row r="143" spans="1:33" s="526" customFormat="1" ht="29">
      <c r="A143" s="513">
        <v>141</v>
      </c>
      <c r="B143" s="514" t="s">
        <v>2727</v>
      </c>
      <c r="C143" s="515" t="s">
        <v>2727</v>
      </c>
      <c r="D143" s="262" t="s">
        <v>2127</v>
      </c>
      <c r="E143" s="513">
        <v>142</v>
      </c>
      <c r="F143" s="544" t="s">
        <v>2727</v>
      </c>
      <c r="G143" s="517">
        <v>45323</v>
      </c>
      <c r="H143" s="517">
        <v>45324</v>
      </c>
      <c r="I143" s="517">
        <v>45324</v>
      </c>
      <c r="J143" s="517">
        <v>45324</v>
      </c>
      <c r="K143" s="517">
        <v>45324</v>
      </c>
      <c r="L143" s="518" t="s">
        <v>705</v>
      </c>
      <c r="M143" s="264" t="s">
        <v>2587</v>
      </c>
      <c r="N143" s="262" t="s">
        <v>2176</v>
      </c>
      <c r="O143" s="390" t="s">
        <v>228</v>
      </c>
      <c r="P143" s="264" t="str">
        <f t="shared" si="5"/>
        <v>Amplop Coklat Merk : Garda Ukuran Cabinet</v>
      </c>
      <c r="Q143" s="264" t="s">
        <v>710</v>
      </c>
      <c r="R143" s="525" t="s">
        <v>2596</v>
      </c>
      <c r="S143" s="399">
        <v>3</v>
      </c>
      <c r="T143" s="348" t="s">
        <v>3365</v>
      </c>
      <c r="U143" s="520">
        <v>23000</v>
      </c>
      <c r="V143" s="266">
        <v>69000</v>
      </c>
      <c r="W143" s="521" t="s">
        <v>227</v>
      </c>
      <c r="X143" s="521" t="s">
        <v>3383</v>
      </c>
      <c r="Y143" s="522" t="s">
        <v>2512</v>
      </c>
      <c r="Z143" s="523" t="s">
        <v>541</v>
      </c>
      <c r="AA143" s="521"/>
      <c r="AB143" s="521"/>
      <c r="AC143" s="521"/>
      <c r="AD143" s="521"/>
      <c r="AE143" s="521"/>
      <c r="AF143" s="521"/>
      <c r="AG143" s="264">
        <v>2</v>
      </c>
    </row>
    <row r="144" spans="1:33" s="526" customFormat="1" ht="29">
      <c r="A144" s="513">
        <v>142</v>
      </c>
      <c r="B144" s="514" t="s">
        <v>2727</v>
      </c>
      <c r="C144" s="515" t="s">
        <v>2727</v>
      </c>
      <c r="D144" s="262" t="s">
        <v>2127</v>
      </c>
      <c r="E144" s="513">
        <v>143</v>
      </c>
      <c r="F144" s="544" t="s">
        <v>2727</v>
      </c>
      <c r="G144" s="517">
        <v>45323</v>
      </c>
      <c r="H144" s="517">
        <v>45324</v>
      </c>
      <c r="I144" s="517">
        <v>45324</v>
      </c>
      <c r="J144" s="517">
        <v>45324</v>
      </c>
      <c r="K144" s="517">
        <v>45324</v>
      </c>
      <c r="L144" s="518" t="s">
        <v>705</v>
      </c>
      <c r="M144" s="264" t="s">
        <v>2587</v>
      </c>
      <c r="N144" s="262" t="s">
        <v>2176</v>
      </c>
      <c r="O144" s="390" t="s">
        <v>248</v>
      </c>
      <c r="P144" s="264" t="str">
        <f t="shared" si="5"/>
        <v>Kertas Label</v>
      </c>
      <c r="Q144" s="264" t="s">
        <v>710</v>
      </c>
      <c r="R144" s="525" t="s">
        <v>2597</v>
      </c>
      <c r="S144" s="399">
        <v>5</v>
      </c>
      <c r="T144" s="348" t="s">
        <v>3368</v>
      </c>
      <c r="U144" s="520">
        <v>25000</v>
      </c>
      <c r="V144" s="266">
        <v>125000</v>
      </c>
      <c r="W144" s="521" t="s">
        <v>227</v>
      </c>
      <c r="X144" s="521" t="s">
        <v>3383</v>
      </c>
      <c r="Y144" s="522" t="s">
        <v>2512</v>
      </c>
      <c r="Z144" s="523" t="s">
        <v>541</v>
      </c>
      <c r="AA144" s="521"/>
      <c r="AB144" s="521"/>
      <c r="AC144" s="521"/>
      <c r="AD144" s="521"/>
      <c r="AE144" s="521"/>
      <c r="AF144" s="521"/>
      <c r="AG144" s="264">
        <v>2</v>
      </c>
    </row>
    <row r="145" spans="1:33" s="526" customFormat="1" ht="43.5">
      <c r="A145" s="513">
        <v>143</v>
      </c>
      <c r="B145" s="514" t="s">
        <v>2727</v>
      </c>
      <c r="C145" s="515" t="s">
        <v>2727</v>
      </c>
      <c r="D145" s="262" t="s">
        <v>2127</v>
      </c>
      <c r="E145" s="513">
        <v>144</v>
      </c>
      <c r="F145" s="544" t="s">
        <v>2727</v>
      </c>
      <c r="G145" s="517">
        <v>45323</v>
      </c>
      <c r="H145" s="517">
        <v>45324</v>
      </c>
      <c r="I145" s="517">
        <v>45324</v>
      </c>
      <c r="J145" s="517">
        <v>45324</v>
      </c>
      <c r="K145" s="517">
        <v>45324</v>
      </c>
      <c r="L145" s="518" t="s">
        <v>705</v>
      </c>
      <c r="M145" s="264" t="s">
        <v>2587</v>
      </c>
      <c r="N145" s="262" t="s">
        <v>2176</v>
      </c>
      <c r="O145" s="390" t="s">
        <v>261</v>
      </c>
      <c r="P145" s="264" t="str">
        <f t="shared" si="5"/>
        <v>Spidol Refil Spidol White Board Snowman</v>
      </c>
      <c r="Q145" s="264" t="s">
        <v>710</v>
      </c>
      <c r="R145" s="519" t="s">
        <v>150</v>
      </c>
      <c r="S145" s="399">
        <v>10</v>
      </c>
      <c r="T145" s="348" t="s">
        <v>3363</v>
      </c>
      <c r="U145" s="520">
        <v>20900</v>
      </c>
      <c r="V145" s="266">
        <v>209000</v>
      </c>
      <c r="W145" s="521" t="s">
        <v>227</v>
      </c>
      <c r="X145" s="521" t="s">
        <v>3383</v>
      </c>
      <c r="Y145" s="522" t="s">
        <v>2512</v>
      </c>
      <c r="Z145" s="523" t="s">
        <v>541</v>
      </c>
      <c r="AA145" s="521"/>
      <c r="AB145" s="521"/>
      <c r="AC145" s="521"/>
      <c r="AD145" s="521"/>
      <c r="AE145" s="521"/>
      <c r="AF145" s="521"/>
      <c r="AG145" s="264">
        <v>2</v>
      </c>
    </row>
    <row r="146" spans="1:33" s="526" customFormat="1" ht="29">
      <c r="A146" s="513">
        <v>144</v>
      </c>
      <c r="B146" s="514" t="s">
        <v>2727</v>
      </c>
      <c r="C146" s="515" t="s">
        <v>2727</v>
      </c>
      <c r="D146" s="262" t="s">
        <v>2127</v>
      </c>
      <c r="E146" s="513">
        <v>145</v>
      </c>
      <c r="F146" s="544" t="s">
        <v>2727</v>
      </c>
      <c r="G146" s="517">
        <v>45323</v>
      </c>
      <c r="H146" s="517">
        <v>45324</v>
      </c>
      <c r="I146" s="517">
        <v>45324</v>
      </c>
      <c r="J146" s="517">
        <v>45324</v>
      </c>
      <c r="K146" s="517">
        <v>45324</v>
      </c>
      <c r="L146" s="518" t="s">
        <v>705</v>
      </c>
      <c r="M146" s="264" t="s">
        <v>2587</v>
      </c>
      <c r="N146" s="262" t="s">
        <v>2176</v>
      </c>
      <c r="O146" s="390" t="s">
        <v>241</v>
      </c>
      <c r="P146" s="264" t="str">
        <f t="shared" si="5"/>
        <v>Binder Klip Merk : KENKO nomor 105</v>
      </c>
      <c r="Q146" s="264" t="s">
        <v>710</v>
      </c>
      <c r="R146" s="525" t="s">
        <v>2728</v>
      </c>
      <c r="S146" s="399">
        <v>2</v>
      </c>
      <c r="T146" s="348" t="s">
        <v>3362</v>
      </c>
      <c r="U146" s="520">
        <v>5000</v>
      </c>
      <c r="V146" s="266">
        <v>10000</v>
      </c>
      <c r="W146" s="521" t="s">
        <v>227</v>
      </c>
      <c r="X146" s="521" t="s">
        <v>3383</v>
      </c>
      <c r="Y146" s="522" t="s">
        <v>2512</v>
      </c>
      <c r="Z146" s="523" t="s">
        <v>541</v>
      </c>
      <c r="AA146" s="521"/>
      <c r="AB146" s="521"/>
      <c r="AC146" s="521"/>
      <c r="AD146" s="521"/>
      <c r="AE146" s="521"/>
      <c r="AF146" s="521"/>
      <c r="AG146" s="264">
        <v>2</v>
      </c>
    </row>
    <row r="147" spans="1:33" s="526" customFormat="1" ht="29">
      <c r="A147" s="513">
        <v>145</v>
      </c>
      <c r="B147" s="514" t="s">
        <v>2727</v>
      </c>
      <c r="C147" s="515" t="s">
        <v>2727</v>
      </c>
      <c r="D147" s="262" t="s">
        <v>2127</v>
      </c>
      <c r="E147" s="513">
        <v>146</v>
      </c>
      <c r="F147" s="544" t="s">
        <v>2727</v>
      </c>
      <c r="G147" s="517">
        <v>45323</v>
      </c>
      <c r="H147" s="517">
        <v>45324</v>
      </c>
      <c r="I147" s="517">
        <v>45324</v>
      </c>
      <c r="J147" s="517">
        <v>45324</v>
      </c>
      <c r="K147" s="517">
        <v>45324</v>
      </c>
      <c r="L147" s="518" t="s">
        <v>705</v>
      </c>
      <c r="M147" s="264" t="s">
        <v>2587</v>
      </c>
      <c r="N147" s="262" t="s">
        <v>2176</v>
      </c>
      <c r="O147" s="390" t="s">
        <v>234</v>
      </c>
      <c r="P147" s="264" t="str">
        <f t="shared" si="5"/>
        <v>Ballpoint Pilot G2</v>
      </c>
      <c r="Q147" s="264" t="s">
        <v>710</v>
      </c>
      <c r="R147" s="519" t="s">
        <v>102</v>
      </c>
      <c r="S147" s="399">
        <v>1</v>
      </c>
      <c r="T147" s="348" t="s">
        <v>3364</v>
      </c>
      <c r="U147" s="520">
        <v>235000</v>
      </c>
      <c r="V147" s="266">
        <v>235000</v>
      </c>
      <c r="W147" s="521" t="s">
        <v>227</v>
      </c>
      <c r="X147" s="521" t="s">
        <v>3383</v>
      </c>
      <c r="Y147" s="522" t="s">
        <v>2512</v>
      </c>
      <c r="Z147" s="523" t="s">
        <v>541</v>
      </c>
      <c r="AA147" s="521"/>
      <c r="AB147" s="521"/>
      <c r="AC147" s="521"/>
      <c r="AD147" s="521"/>
      <c r="AE147" s="521"/>
      <c r="AF147" s="521"/>
      <c r="AG147" s="264">
        <v>2</v>
      </c>
    </row>
    <row r="148" spans="1:33" s="526" customFormat="1" ht="29">
      <c r="A148" s="513">
        <v>146</v>
      </c>
      <c r="B148" s="514" t="s">
        <v>2727</v>
      </c>
      <c r="C148" s="515" t="s">
        <v>2727</v>
      </c>
      <c r="D148" s="262" t="s">
        <v>2127</v>
      </c>
      <c r="E148" s="513">
        <v>147</v>
      </c>
      <c r="F148" s="544" t="s">
        <v>2727</v>
      </c>
      <c r="G148" s="517">
        <v>45323</v>
      </c>
      <c r="H148" s="517">
        <v>45324</v>
      </c>
      <c r="I148" s="517">
        <v>45324</v>
      </c>
      <c r="J148" s="517">
        <v>45324</v>
      </c>
      <c r="K148" s="517">
        <v>45324</v>
      </c>
      <c r="L148" s="518" t="s">
        <v>705</v>
      </c>
      <c r="M148" s="264" t="s">
        <v>2587</v>
      </c>
      <c r="N148" s="262" t="s">
        <v>2176</v>
      </c>
      <c r="O148" s="390" t="s">
        <v>243</v>
      </c>
      <c r="P148" s="264" t="str">
        <f t="shared" si="5"/>
        <v>C. Tinta Printer EPSON Tinta Printer Epson Blue</v>
      </c>
      <c r="Q148" s="264" t="s">
        <v>710</v>
      </c>
      <c r="R148" s="519" t="s">
        <v>117</v>
      </c>
      <c r="S148" s="399">
        <v>4</v>
      </c>
      <c r="T148" s="348" t="s">
        <v>3367</v>
      </c>
      <c r="U148" s="520">
        <v>110000</v>
      </c>
      <c r="V148" s="266">
        <v>440000</v>
      </c>
      <c r="W148" s="521" t="s">
        <v>227</v>
      </c>
      <c r="X148" s="521" t="s">
        <v>3383</v>
      </c>
      <c r="Y148" s="522" t="s">
        <v>2512</v>
      </c>
      <c r="Z148" s="523" t="s">
        <v>541</v>
      </c>
      <c r="AA148" s="521"/>
      <c r="AB148" s="521"/>
      <c r="AC148" s="521"/>
      <c r="AD148" s="521"/>
      <c r="AE148" s="521"/>
      <c r="AF148" s="521"/>
      <c r="AG148" s="264">
        <v>2</v>
      </c>
    </row>
    <row r="149" spans="1:33" s="526" customFormat="1" ht="29">
      <c r="A149" s="513">
        <v>147</v>
      </c>
      <c r="B149" s="514" t="s">
        <v>2727</v>
      </c>
      <c r="C149" s="515" t="s">
        <v>2727</v>
      </c>
      <c r="D149" s="262" t="s">
        <v>2127</v>
      </c>
      <c r="E149" s="513">
        <v>148</v>
      </c>
      <c r="F149" s="544" t="s">
        <v>2727</v>
      </c>
      <c r="G149" s="517">
        <v>45323</v>
      </c>
      <c r="H149" s="517">
        <v>45324</v>
      </c>
      <c r="I149" s="517">
        <v>45324</v>
      </c>
      <c r="J149" s="517">
        <v>45324</v>
      </c>
      <c r="K149" s="517">
        <v>45324</v>
      </c>
      <c r="L149" s="518" t="s">
        <v>705</v>
      </c>
      <c r="M149" s="264" t="s">
        <v>2587</v>
      </c>
      <c r="N149" s="262" t="s">
        <v>2176</v>
      </c>
      <c r="O149" s="390" t="s">
        <v>254</v>
      </c>
      <c r="P149" s="264" t="str">
        <f t="shared" si="5"/>
        <v>Map Binder</v>
      </c>
      <c r="Q149" s="264" t="s">
        <v>710</v>
      </c>
      <c r="R149" s="519" t="s">
        <v>142</v>
      </c>
      <c r="S149" s="399">
        <v>12</v>
      </c>
      <c r="T149" s="348" t="s">
        <v>3363</v>
      </c>
      <c r="U149" s="520">
        <v>35500</v>
      </c>
      <c r="V149" s="266">
        <v>426000</v>
      </c>
      <c r="W149" s="521" t="s">
        <v>227</v>
      </c>
      <c r="X149" s="521" t="s">
        <v>3383</v>
      </c>
      <c r="Y149" s="522" t="s">
        <v>2512</v>
      </c>
      <c r="Z149" s="523" t="s">
        <v>541</v>
      </c>
      <c r="AA149" s="521"/>
      <c r="AB149" s="521"/>
      <c r="AC149" s="521"/>
      <c r="AD149" s="521"/>
      <c r="AE149" s="521"/>
      <c r="AF149" s="521"/>
      <c r="AG149" s="264">
        <v>2</v>
      </c>
    </row>
    <row r="150" spans="1:33" s="526" customFormat="1" ht="29">
      <c r="A150" s="513">
        <v>148</v>
      </c>
      <c r="B150" s="514" t="s">
        <v>2727</v>
      </c>
      <c r="C150" s="515" t="s">
        <v>2727</v>
      </c>
      <c r="D150" s="262" t="s">
        <v>2127</v>
      </c>
      <c r="E150" s="513">
        <v>149</v>
      </c>
      <c r="F150" s="544" t="s">
        <v>2727</v>
      </c>
      <c r="G150" s="517">
        <v>45323</v>
      </c>
      <c r="H150" s="517">
        <v>45324</v>
      </c>
      <c r="I150" s="517">
        <v>45324</v>
      </c>
      <c r="J150" s="517">
        <v>45324</v>
      </c>
      <c r="K150" s="517">
        <v>45324</v>
      </c>
      <c r="L150" s="518" t="s">
        <v>705</v>
      </c>
      <c r="M150" s="264" t="s">
        <v>2587</v>
      </c>
      <c r="N150" s="262" t="s">
        <v>2176</v>
      </c>
      <c r="O150" s="390" t="s">
        <v>2241</v>
      </c>
      <c r="P150" s="264" t="str">
        <f t="shared" si="5"/>
        <v>Stapler Stapler No, 50 MAX</v>
      </c>
      <c r="Q150" s="264" t="s">
        <v>710</v>
      </c>
      <c r="R150" s="519" t="s">
        <v>153</v>
      </c>
      <c r="S150" s="399">
        <v>2</v>
      </c>
      <c r="T150" s="348" t="s">
        <v>3363</v>
      </c>
      <c r="U150" s="520">
        <v>25000</v>
      </c>
      <c r="V150" s="266">
        <v>50000</v>
      </c>
      <c r="W150" s="521" t="s">
        <v>227</v>
      </c>
      <c r="X150" s="521" t="s">
        <v>3383</v>
      </c>
      <c r="Y150" s="522" t="s">
        <v>2512</v>
      </c>
      <c r="Z150" s="523" t="s">
        <v>541</v>
      </c>
      <c r="AA150" s="521"/>
      <c r="AB150" s="521"/>
      <c r="AC150" s="521"/>
      <c r="AD150" s="521"/>
      <c r="AE150" s="521"/>
      <c r="AF150" s="521"/>
      <c r="AG150" s="264">
        <v>2</v>
      </c>
    </row>
    <row r="151" spans="1:33" s="526" customFormat="1" ht="29">
      <c r="A151" s="513">
        <v>149</v>
      </c>
      <c r="B151" s="514" t="s">
        <v>2727</v>
      </c>
      <c r="C151" s="515" t="s">
        <v>2727</v>
      </c>
      <c r="D151" s="262" t="s">
        <v>2127</v>
      </c>
      <c r="E151" s="513">
        <v>150</v>
      </c>
      <c r="F151" s="544" t="s">
        <v>2727</v>
      </c>
      <c r="G151" s="517">
        <v>45323</v>
      </c>
      <c r="H151" s="517">
        <v>45324</v>
      </c>
      <c r="I151" s="517">
        <v>45324</v>
      </c>
      <c r="J151" s="517">
        <v>45324</v>
      </c>
      <c r="K151" s="517">
        <v>45324</v>
      </c>
      <c r="L151" s="518" t="s">
        <v>705</v>
      </c>
      <c r="M151" s="264" t="s">
        <v>2587</v>
      </c>
      <c r="N151" s="262" t="s">
        <v>2176</v>
      </c>
      <c r="O151" s="390" t="s">
        <v>230</v>
      </c>
      <c r="P151" s="264" t="str">
        <f t="shared" si="5"/>
        <v>Amplop Coklat Merk : GSU Ukuran : 1/2 folio, bergaris</v>
      </c>
      <c r="Q151" s="264" t="s">
        <v>710</v>
      </c>
      <c r="R151" s="525" t="s">
        <v>2600</v>
      </c>
      <c r="S151" s="399">
        <v>1</v>
      </c>
      <c r="T151" s="348" t="s">
        <v>3365</v>
      </c>
      <c r="U151" s="520">
        <v>45000</v>
      </c>
      <c r="V151" s="266">
        <v>45000</v>
      </c>
      <c r="W151" s="521" t="s">
        <v>227</v>
      </c>
      <c r="X151" s="521" t="s">
        <v>3383</v>
      </c>
      <c r="Y151" s="522" t="s">
        <v>2512</v>
      </c>
      <c r="Z151" s="523" t="s">
        <v>541</v>
      </c>
      <c r="AA151" s="521"/>
      <c r="AB151" s="521"/>
      <c r="AC151" s="521"/>
      <c r="AD151" s="521"/>
      <c r="AE151" s="521"/>
      <c r="AF151" s="521"/>
      <c r="AG151" s="264">
        <v>2</v>
      </c>
    </row>
    <row r="152" spans="1:33" s="526" customFormat="1" ht="29">
      <c r="A152" s="513">
        <v>150</v>
      </c>
      <c r="B152" s="514" t="s">
        <v>2727</v>
      </c>
      <c r="C152" s="515" t="s">
        <v>2727</v>
      </c>
      <c r="D152" s="262" t="s">
        <v>2127</v>
      </c>
      <c r="E152" s="513">
        <v>151</v>
      </c>
      <c r="F152" s="544" t="s">
        <v>2727</v>
      </c>
      <c r="G152" s="517">
        <v>45323</v>
      </c>
      <c r="H152" s="517">
        <v>45324</v>
      </c>
      <c r="I152" s="517">
        <v>45324</v>
      </c>
      <c r="J152" s="517">
        <v>45324</v>
      </c>
      <c r="K152" s="517">
        <v>45324</v>
      </c>
      <c r="L152" s="518" t="s">
        <v>705</v>
      </c>
      <c r="M152" s="264" t="s">
        <v>2587</v>
      </c>
      <c r="N152" s="262" t="s">
        <v>2176</v>
      </c>
      <c r="O152" s="390" t="s">
        <v>2242</v>
      </c>
      <c r="P152" s="264" t="str">
        <f t="shared" si="5"/>
        <v>Lakban Hitam--</v>
      </c>
      <c r="Q152" s="264" t="s">
        <v>710</v>
      </c>
      <c r="R152" s="519" t="s">
        <v>137</v>
      </c>
      <c r="S152" s="399">
        <v>5</v>
      </c>
      <c r="T152" s="348" t="s">
        <v>3363</v>
      </c>
      <c r="U152" s="520">
        <v>15500</v>
      </c>
      <c r="V152" s="266">
        <v>77500</v>
      </c>
      <c r="W152" s="521" t="s">
        <v>227</v>
      </c>
      <c r="X152" s="521" t="s">
        <v>3383</v>
      </c>
      <c r="Y152" s="522" t="s">
        <v>2512</v>
      </c>
      <c r="Z152" s="523" t="s">
        <v>541</v>
      </c>
      <c r="AA152" s="521"/>
      <c r="AB152" s="521"/>
      <c r="AC152" s="521"/>
      <c r="AD152" s="521"/>
      <c r="AE152" s="521"/>
      <c r="AF152" s="521"/>
      <c r="AG152" s="264">
        <v>2</v>
      </c>
    </row>
    <row r="153" spans="1:33" s="526" customFormat="1" ht="29">
      <c r="A153" s="513">
        <v>151</v>
      </c>
      <c r="B153" s="514" t="s">
        <v>2727</v>
      </c>
      <c r="C153" s="515" t="s">
        <v>2727</v>
      </c>
      <c r="D153" s="262" t="s">
        <v>2127</v>
      </c>
      <c r="E153" s="513">
        <v>152</v>
      </c>
      <c r="F153" s="544" t="s">
        <v>2727</v>
      </c>
      <c r="G153" s="517">
        <v>45323</v>
      </c>
      <c r="H153" s="517">
        <v>45324</v>
      </c>
      <c r="I153" s="517">
        <v>45324</v>
      </c>
      <c r="J153" s="517">
        <v>45324</v>
      </c>
      <c r="K153" s="517">
        <v>45324</v>
      </c>
      <c r="L153" s="518" t="s">
        <v>705</v>
      </c>
      <c r="M153" s="264" t="s">
        <v>2587</v>
      </c>
      <c r="N153" s="262" t="s">
        <v>2176</v>
      </c>
      <c r="O153" s="390" t="s">
        <v>256</v>
      </c>
      <c r="P153" s="264" t="str">
        <f t="shared" si="5"/>
        <v>Paper Clip No 1  Paper Clip No 3</v>
      </c>
      <c r="Q153" s="264" t="s">
        <v>710</v>
      </c>
      <c r="R153" s="519" t="s">
        <v>145</v>
      </c>
      <c r="S153" s="399">
        <v>5</v>
      </c>
      <c r="T153" s="348" t="s">
        <v>3362</v>
      </c>
      <c r="U153" s="520">
        <v>6000</v>
      </c>
      <c r="V153" s="266">
        <v>30000</v>
      </c>
      <c r="W153" s="521" t="s">
        <v>227</v>
      </c>
      <c r="X153" s="521" t="s">
        <v>3383</v>
      </c>
      <c r="Y153" s="522" t="s">
        <v>2512</v>
      </c>
      <c r="Z153" s="523" t="s">
        <v>541</v>
      </c>
      <c r="AA153" s="521"/>
      <c r="AB153" s="521"/>
      <c r="AC153" s="521"/>
      <c r="AD153" s="521"/>
      <c r="AE153" s="521"/>
      <c r="AF153" s="521"/>
      <c r="AG153" s="264">
        <v>2</v>
      </c>
    </row>
    <row r="154" spans="1:33" s="526" customFormat="1" ht="29">
      <c r="A154" s="513">
        <v>152</v>
      </c>
      <c r="B154" s="514" t="s">
        <v>2727</v>
      </c>
      <c r="C154" s="515" t="s">
        <v>2727</v>
      </c>
      <c r="D154" s="262" t="s">
        <v>2127</v>
      </c>
      <c r="E154" s="513">
        <v>153</v>
      </c>
      <c r="F154" s="544" t="s">
        <v>2727</v>
      </c>
      <c r="G154" s="517">
        <v>45323</v>
      </c>
      <c r="H154" s="517">
        <v>45324</v>
      </c>
      <c r="I154" s="517">
        <v>45324</v>
      </c>
      <c r="J154" s="517">
        <v>45324</v>
      </c>
      <c r="K154" s="517">
        <v>45324</v>
      </c>
      <c r="L154" s="518" t="s">
        <v>705</v>
      </c>
      <c r="M154" s="264" t="s">
        <v>2587</v>
      </c>
      <c r="N154" s="262" t="s">
        <v>2176</v>
      </c>
      <c r="O154" s="390" t="s">
        <v>2243</v>
      </c>
      <c r="P154" s="264" t="str">
        <f t="shared" si="5"/>
        <v>Lakban Hitam uk 2 " Warna hitam uk. 2 "</v>
      </c>
      <c r="Q154" s="264" t="s">
        <v>710</v>
      </c>
      <c r="R154" s="519" t="s">
        <v>140</v>
      </c>
      <c r="S154" s="399">
        <v>5</v>
      </c>
      <c r="T154" s="348" t="s">
        <v>3363</v>
      </c>
      <c r="U154" s="520">
        <v>25000</v>
      </c>
      <c r="V154" s="266">
        <v>125000</v>
      </c>
      <c r="W154" s="521" t="s">
        <v>227</v>
      </c>
      <c r="X154" s="521" t="s">
        <v>3383</v>
      </c>
      <c r="Y154" s="522" t="s">
        <v>2512</v>
      </c>
      <c r="Z154" s="523" t="s">
        <v>541</v>
      </c>
      <c r="AA154" s="521"/>
      <c r="AB154" s="521"/>
      <c r="AC154" s="521"/>
      <c r="AD154" s="521"/>
      <c r="AE154" s="521"/>
      <c r="AF154" s="521"/>
      <c r="AG154" s="264">
        <v>2</v>
      </c>
    </row>
    <row r="155" spans="1:33" s="526" customFormat="1" ht="29">
      <c r="A155" s="513">
        <v>153</v>
      </c>
      <c r="B155" s="514" t="s">
        <v>2727</v>
      </c>
      <c r="C155" s="515" t="s">
        <v>2727</v>
      </c>
      <c r="D155" s="262" t="s">
        <v>2127</v>
      </c>
      <c r="E155" s="513">
        <v>154</v>
      </c>
      <c r="F155" s="544" t="s">
        <v>2727</v>
      </c>
      <c r="G155" s="517">
        <v>45323</v>
      </c>
      <c r="H155" s="517">
        <v>45324</v>
      </c>
      <c r="I155" s="517">
        <v>45324</v>
      </c>
      <c r="J155" s="517">
        <v>45324</v>
      </c>
      <c r="K155" s="517">
        <v>45324</v>
      </c>
      <c r="L155" s="518" t="s">
        <v>705</v>
      </c>
      <c r="M155" s="264" t="s">
        <v>2587</v>
      </c>
      <c r="N155" s="262" t="s">
        <v>2176</v>
      </c>
      <c r="O155" s="390" t="s">
        <v>250</v>
      </c>
      <c r="P155" s="264" t="str">
        <f t="shared" si="5"/>
        <v>Kertas StensiI</v>
      </c>
      <c r="Q155" s="264" t="s">
        <v>710</v>
      </c>
      <c r="R155" s="519" t="s">
        <v>132</v>
      </c>
      <c r="S155" s="399">
        <v>10</v>
      </c>
      <c r="T155" s="348" t="s">
        <v>3365</v>
      </c>
      <c r="U155" s="520">
        <v>50000</v>
      </c>
      <c r="V155" s="266">
        <v>500000</v>
      </c>
      <c r="W155" s="521" t="s">
        <v>227</v>
      </c>
      <c r="X155" s="521" t="s">
        <v>3383</v>
      </c>
      <c r="Y155" s="522" t="s">
        <v>2512</v>
      </c>
      <c r="Z155" s="523" t="s">
        <v>541</v>
      </c>
      <c r="AA155" s="521"/>
      <c r="AB155" s="521"/>
      <c r="AC155" s="521"/>
      <c r="AD155" s="521"/>
      <c r="AE155" s="521"/>
      <c r="AF155" s="521"/>
      <c r="AG155" s="264">
        <v>2</v>
      </c>
    </row>
    <row r="156" spans="1:33" s="526" customFormat="1" ht="43.5">
      <c r="A156" s="513">
        <v>154</v>
      </c>
      <c r="B156" s="514" t="s">
        <v>2727</v>
      </c>
      <c r="C156" s="515" t="s">
        <v>2727</v>
      </c>
      <c r="D156" s="262" t="s">
        <v>2127</v>
      </c>
      <c r="E156" s="513">
        <v>155</v>
      </c>
      <c r="F156" s="544" t="s">
        <v>2727</v>
      </c>
      <c r="G156" s="517">
        <v>45323</v>
      </c>
      <c r="H156" s="517">
        <v>45324</v>
      </c>
      <c r="I156" s="517">
        <v>45324</v>
      </c>
      <c r="J156" s="517">
        <v>45324</v>
      </c>
      <c r="K156" s="517">
        <v>45324</v>
      </c>
      <c r="L156" s="518" t="s">
        <v>705</v>
      </c>
      <c r="M156" s="264" t="s">
        <v>2587</v>
      </c>
      <c r="N156" s="262" t="s">
        <v>2176</v>
      </c>
      <c r="O156" s="390" t="s">
        <v>262</v>
      </c>
      <c r="P156" s="264" t="str">
        <f t="shared" si="5"/>
        <v>Spidol White board</v>
      </c>
      <c r="Q156" s="264" t="s">
        <v>710</v>
      </c>
      <c r="R156" s="519" t="s">
        <v>151</v>
      </c>
      <c r="S156" s="399">
        <v>2</v>
      </c>
      <c r="T156" s="348" t="s">
        <v>3364</v>
      </c>
      <c r="U156" s="520">
        <v>120000</v>
      </c>
      <c r="V156" s="266">
        <v>240000</v>
      </c>
      <c r="W156" s="521" t="s">
        <v>227</v>
      </c>
      <c r="X156" s="521" t="s">
        <v>3383</v>
      </c>
      <c r="Y156" s="522" t="s">
        <v>2512</v>
      </c>
      <c r="Z156" s="523" t="s">
        <v>541</v>
      </c>
      <c r="AA156" s="521"/>
      <c r="AB156" s="521"/>
      <c r="AC156" s="521"/>
      <c r="AD156" s="521"/>
      <c r="AE156" s="521"/>
      <c r="AF156" s="521"/>
      <c r="AG156" s="264">
        <v>2</v>
      </c>
    </row>
    <row r="157" spans="1:33" s="526" customFormat="1" ht="29">
      <c r="A157" s="513">
        <v>155</v>
      </c>
      <c r="B157" s="514" t="s">
        <v>2727</v>
      </c>
      <c r="C157" s="515" t="s">
        <v>2727</v>
      </c>
      <c r="D157" s="262" t="s">
        <v>2127</v>
      </c>
      <c r="E157" s="513">
        <v>156</v>
      </c>
      <c r="F157" s="544" t="s">
        <v>2727</v>
      </c>
      <c r="G157" s="517">
        <v>45323</v>
      </c>
      <c r="H157" s="517">
        <v>45324</v>
      </c>
      <c r="I157" s="517">
        <v>45324</v>
      </c>
      <c r="J157" s="517">
        <v>45324</v>
      </c>
      <c r="K157" s="517">
        <v>45324</v>
      </c>
      <c r="L157" s="518" t="s">
        <v>705</v>
      </c>
      <c r="M157" s="264" t="s">
        <v>2587</v>
      </c>
      <c r="N157" s="262" t="s">
        <v>2176</v>
      </c>
      <c r="O157" s="390" t="s">
        <v>258</v>
      </c>
      <c r="P157" s="264" t="str">
        <f t="shared" si="5"/>
        <v>Pisau Cutter Kenko L-500</v>
      </c>
      <c r="Q157" s="264" t="s">
        <v>710</v>
      </c>
      <c r="R157" s="525" t="s">
        <v>2601</v>
      </c>
      <c r="S157" s="399">
        <v>2</v>
      </c>
      <c r="T157" s="348" t="s">
        <v>3363</v>
      </c>
      <c r="U157" s="520">
        <v>15000</v>
      </c>
      <c r="V157" s="266">
        <v>30000</v>
      </c>
      <c r="W157" s="521" t="s">
        <v>227</v>
      </c>
      <c r="X157" s="521" t="s">
        <v>3383</v>
      </c>
      <c r="Y157" s="522" t="s">
        <v>2512</v>
      </c>
      <c r="Z157" s="523" t="s">
        <v>541</v>
      </c>
      <c r="AA157" s="521"/>
      <c r="AB157" s="521"/>
      <c r="AC157" s="521"/>
      <c r="AD157" s="521"/>
      <c r="AE157" s="521"/>
      <c r="AF157" s="521"/>
      <c r="AG157" s="264">
        <v>2</v>
      </c>
    </row>
    <row r="158" spans="1:33" s="526" customFormat="1" ht="29">
      <c r="A158" s="513">
        <v>156</v>
      </c>
      <c r="B158" s="514" t="s">
        <v>2727</v>
      </c>
      <c r="C158" s="515" t="s">
        <v>2727</v>
      </c>
      <c r="D158" s="262" t="s">
        <v>2127</v>
      </c>
      <c r="E158" s="513">
        <v>157</v>
      </c>
      <c r="F158" s="544" t="s">
        <v>2727</v>
      </c>
      <c r="G158" s="517">
        <v>45323</v>
      </c>
      <c r="H158" s="517">
        <v>45324</v>
      </c>
      <c r="I158" s="517">
        <v>45324</v>
      </c>
      <c r="J158" s="517">
        <v>45324</v>
      </c>
      <c r="K158" s="517">
        <v>45324</v>
      </c>
      <c r="L158" s="518" t="s">
        <v>705</v>
      </c>
      <c r="M158" s="264" t="s">
        <v>2587</v>
      </c>
      <c r="N158" s="262" t="s">
        <v>2176</v>
      </c>
      <c r="O158" s="390" t="s">
        <v>240</v>
      </c>
      <c r="P158" s="264" t="str">
        <f t="shared" si="5"/>
        <v>Binder Klip  nomor 260</v>
      </c>
      <c r="Q158" s="264" t="s">
        <v>710</v>
      </c>
      <c r="R158" s="525" t="s">
        <v>2602</v>
      </c>
      <c r="S158" s="399">
        <v>10</v>
      </c>
      <c r="T158" s="348" t="s">
        <v>3362</v>
      </c>
      <c r="U158" s="520">
        <v>20000</v>
      </c>
      <c r="V158" s="266">
        <v>200000</v>
      </c>
      <c r="W158" s="521" t="s">
        <v>227</v>
      </c>
      <c r="X158" s="521" t="s">
        <v>3383</v>
      </c>
      <c r="Y158" s="522" t="s">
        <v>2512</v>
      </c>
      <c r="Z158" s="523" t="s">
        <v>541</v>
      </c>
      <c r="AA158" s="521"/>
      <c r="AB158" s="521"/>
      <c r="AC158" s="521"/>
      <c r="AD158" s="521"/>
      <c r="AE158" s="521"/>
      <c r="AF158" s="521"/>
      <c r="AG158" s="264">
        <v>2</v>
      </c>
    </row>
    <row r="159" spans="1:33" s="526" customFormat="1" ht="29">
      <c r="A159" s="513">
        <v>157</v>
      </c>
      <c r="B159" s="514" t="s">
        <v>2727</v>
      </c>
      <c r="C159" s="515" t="s">
        <v>2727</v>
      </c>
      <c r="D159" s="262" t="s">
        <v>2127</v>
      </c>
      <c r="E159" s="513">
        <v>158</v>
      </c>
      <c r="F159" s="544" t="s">
        <v>2727</v>
      </c>
      <c r="G159" s="517">
        <v>45323</v>
      </c>
      <c r="H159" s="517">
        <v>45324</v>
      </c>
      <c r="I159" s="517">
        <v>45324</v>
      </c>
      <c r="J159" s="517">
        <v>45324</v>
      </c>
      <c r="K159" s="517">
        <v>45324</v>
      </c>
      <c r="L159" s="518" t="s">
        <v>705</v>
      </c>
      <c r="M159" s="264" t="s">
        <v>2587</v>
      </c>
      <c r="N159" s="262" t="s">
        <v>2176</v>
      </c>
      <c r="O159" s="390" t="s">
        <v>246</v>
      </c>
      <c r="P159" s="264" t="str">
        <f t="shared" si="5"/>
        <v>C. Tinta Printer EPSON Tinta Printer Epson Yellow</v>
      </c>
      <c r="Q159" s="264" t="s">
        <v>710</v>
      </c>
      <c r="R159" s="519" t="s">
        <v>119</v>
      </c>
      <c r="S159" s="399">
        <v>4</v>
      </c>
      <c r="T159" s="348" t="s">
        <v>3367</v>
      </c>
      <c r="U159" s="520">
        <v>110000</v>
      </c>
      <c r="V159" s="266">
        <v>440000</v>
      </c>
      <c r="W159" s="521" t="s">
        <v>227</v>
      </c>
      <c r="X159" s="521" t="s">
        <v>3383</v>
      </c>
      <c r="Y159" s="522" t="s">
        <v>2512</v>
      </c>
      <c r="Z159" s="523" t="s">
        <v>541</v>
      </c>
      <c r="AA159" s="521"/>
      <c r="AB159" s="521"/>
      <c r="AC159" s="521"/>
      <c r="AD159" s="521"/>
      <c r="AE159" s="521"/>
      <c r="AF159" s="521"/>
      <c r="AG159" s="264">
        <v>2</v>
      </c>
    </row>
    <row r="160" spans="1:33" s="526" customFormat="1" ht="29">
      <c r="A160" s="513">
        <v>158</v>
      </c>
      <c r="B160" s="514" t="s">
        <v>2727</v>
      </c>
      <c r="C160" s="515" t="s">
        <v>2727</v>
      </c>
      <c r="D160" s="262" t="s">
        <v>2127</v>
      </c>
      <c r="E160" s="513">
        <v>159</v>
      </c>
      <c r="F160" s="544" t="s">
        <v>2727</v>
      </c>
      <c r="G160" s="517">
        <v>45323</v>
      </c>
      <c r="H160" s="517">
        <v>45324</v>
      </c>
      <c r="I160" s="517">
        <v>45324</v>
      </c>
      <c r="J160" s="517">
        <v>45324</v>
      </c>
      <c r="K160" s="517">
        <v>45324</v>
      </c>
      <c r="L160" s="518" t="s">
        <v>705</v>
      </c>
      <c r="M160" s="264" t="s">
        <v>2587</v>
      </c>
      <c r="N160" s="262" t="s">
        <v>2176</v>
      </c>
      <c r="O160" s="390" t="s">
        <v>255</v>
      </c>
      <c r="P160" s="264" t="str">
        <f t="shared" si="5"/>
        <v>PAPER CLIP  Paper Clip No 1</v>
      </c>
      <c r="Q160" s="264" t="s">
        <v>710</v>
      </c>
      <c r="R160" s="519" t="s">
        <v>144</v>
      </c>
      <c r="S160" s="399">
        <v>5</v>
      </c>
      <c r="T160" s="348" t="s">
        <v>3362</v>
      </c>
      <c r="U160" s="520">
        <v>5000</v>
      </c>
      <c r="V160" s="266">
        <v>25000</v>
      </c>
      <c r="W160" s="521" t="s">
        <v>227</v>
      </c>
      <c r="X160" s="521" t="s">
        <v>3383</v>
      </c>
      <c r="Y160" s="522" t="s">
        <v>2512</v>
      </c>
      <c r="Z160" s="523" t="s">
        <v>541</v>
      </c>
      <c r="AA160" s="521"/>
      <c r="AB160" s="521"/>
      <c r="AC160" s="521"/>
      <c r="AD160" s="521"/>
      <c r="AE160" s="521"/>
      <c r="AF160" s="521"/>
      <c r="AG160" s="264">
        <v>2</v>
      </c>
    </row>
    <row r="161" spans="1:33" s="526" customFormat="1" ht="29">
      <c r="A161" s="513">
        <v>159</v>
      </c>
      <c r="B161" s="514" t="s">
        <v>2727</v>
      </c>
      <c r="C161" s="515" t="s">
        <v>2727</v>
      </c>
      <c r="D161" s="262" t="s">
        <v>2127</v>
      </c>
      <c r="E161" s="513">
        <v>160</v>
      </c>
      <c r="F161" s="544" t="s">
        <v>2727</v>
      </c>
      <c r="G161" s="517">
        <v>45323</v>
      </c>
      <c r="H161" s="517">
        <v>45324</v>
      </c>
      <c r="I161" s="517">
        <v>45324</v>
      </c>
      <c r="J161" s="517">
        <v>45324</v>
      </c>
      <c r="K161" s="517">
        <v>45324</v>
      </c>
      <c r="L161" s="518" t="s">
        <v>705</v>
      </c>
      <c r="M161" s="264" t="s">
        <v>2587</v>
      </c>
      <c r="N161" s="262" t="s">
        <v>2176</v>
      </c>
      <c r="O161" s="390" t="s">
        <v>247</v>
      </c>
      <c r="P161" s="264" t="str">
        <f t="shared" si="5"/>
        <v>Kertas HVS 80 gram Merk : Paper One A4, Ukuran : 8,27" x 11,69", Isi : 500 lembar</v>
      </c>
      <c r="Q161" s="264" t="s">
        <v>710</v>
      </c>
      <c r="R161" s="519" t="s">
        <v>1351</v>
      </c>
      <c r="S161" s="399">
        <v>40</v>
      </c>
      <c r="T161" s="348" t="s">
        <v>3369</v>
      </c>
      <c r="U161" s="520">
        <v>50000</v>
      </c>
      <c r="V161" s="266">
        <v>2000000</v>
      </c>
      <c r="W161" s="521" t="s">
        <v>227</v>
      </c>
      <c r="X161" s="521" t="s">
        <v>3383</v>
      </c>
      <c r="Y161" s="522" t="s">
        <v>2512</v>
      </c>
      <c r="Z161" s="523" t="s">
        <v>541</v>
      </c>
      <c r="AA161" s="521"/>
      <c r="AB161" s="521"/>
      <c r="AC161" s="521"/>
      <c r="AD161" s="521"/>
      <c r="AE161" s="521"/>
      <c r="AF161" s="521"/>
      <c r="AG161" s="264">
        <v>2</v>
      </c>
    </row>
    <row r="162" spans="1:33" s="526" customFormat="1" ht="29">
      <c r="A162" s="513">
        <v>160</v>
      </c>
      <c r="B162" s="514" t="s">
        <v>2727</v>
      </c>
      <c r="C162" s="515" t="s">
        <v>2727</v>
      </c>
      <c r="D162" s="262" t="s">
        <v>2127</v>
      </c>
      <c r="E162" s="513">
        <v>161</v>
      </c>
      <c r="F162" s="544" t="s">
        <v>2727</v>
      </c>
      <c r="G162" s="517">
        <v>45323</v>
      </c>
      <c r="H162" s="517">
        <v>45324</v>
      </c>
      <c r="I162" s="517">
        <v>45324</v>
      </c>
      <c r="J162" s="517">
        <v>45324</v>
      </c>
      <c r="K162" s="517">
        <v>45324</v>
      </c>
      <c r="L162" s="518" t="s">
        <v>705</v>
      </c>
      <c r="M162" s="264" t="s">
        <v>2587</v>
      </c>
      <c r="N162" s="262" t="s">
        <v>2176</v>
      </c>
      <c r="O162" s="390" t="s">
        <v>264</v>
      </c>
      <c r="P162" s="264" t="str">
        <f t="shared" si="5"/>
        <v>Stofmap Transparan</v>
      </c>
      <c r="Q162" s="264" t="s">
        <v>710</v>
      </c>
      <c r="R162" s="519" t="s">
        <v>157</v>
      </c>
      <c r="S162" s="399">
        <v>100</v>
      </c>
      <c r="T162" s="348" t="s">
        <v>3363</v>
      </c>
      <c r="U162" s="520">
        <v>5500</v>
      </c>
      <c r="V162" s="266">
        <v>550000</v>
      </c>
      <c r="W162" s="521" t="s">
        <v>227</v>
      </c>
      <c r="X162" s="521" t="s">
        <v>3383</v>
      </c>
      <c r="Y162" s="522" t="s">
        <v>2512</v>
      </c>
      <c r="Z162" s="523" t="s">
        <v>541</v>
      </c>
      <c r="AA162" s="521"/>
      <c r="AB162" s="521"/>
      <c r="AC162" s="521"/>
      <c r="AD162" s="521"/>
      <c r="AE162" s="521"/>
      <c r="AF162" s="521"/>
      <c r="AG162" s="264">
        <v>2</v>
      </c>
    </row>
    <row r="163" spans="1:33" s="526" customFormat="1" ht="29">
      <c r="A163" s="513">
        <v>161</v>
      </c>
      <c r="B163" s="514" t="s">
        <v>2727</v>
      </c>
      <c r="C163" s="515" t="s">
        <v>2727</v>
      </c>
      <c r="D163" s="262" t="s">
        <v>2127</v>
      </c>
      <c r="E163" s="513">
        <v>162</v>
      </c>
      <c r="F163" s="544" t="s">
        <v>2727</v>
      </c>
      <c r="G163" s="517">
        <v>45323</v>
      </c>
      <c r="H163" s="517">
        <v>45324</v>
      </c>
      <c r="I163" s="517">
        <v>45324</v>
      </c>
      <c r="J163" s="517">
        <v>45324</v>
      </c>
      <c r="K163" s="517">
        <v>45324</v>
      </c>
      <c r="L163" s="518" t="s">
        <v>705</v>
      </c>
      <c r="M163" s="264" t="s">
        <v>2587</v>
      </c>
      <c r="N163" s="262" t="s">
        <v>2176</v>
      </c>
      <c r="O163" s="390" t="s">
        <v>2247</v>
      </c>
      <c r="P163" s="264" t="str">
        <f t="shared" si="5"/>
        <v>Amplop Panjang Putih Polos Merk : Jaya Ukuran : 11 x 23 cm</v>
      </c>
      <c r="Q163" s="264" t="s">
        <v>710</v>
      </c>
      <c r="R163" s="519" t="s">
        <v>99</v>
      </c>
      <c r="S163" s="399">
        <v>1</v>
      </c>
      <c r="T163" s="348" t="s">
        <v>3362</v>
      </c>
      <c r="U163" s="520">
        <v>48000</v>
      </c>
      <c r="V163" s="266">
        <v>48000</v>
      </c>
      <c r="W163" s="521" t="s">
        <v>227</v>
      </c>
      <c r="X163" s="521" t="s">
        <v>3383</v>
      </c>
      <c r="Y163" s="522" t="s">
        <v>2512</v>
      </c>
      <c r="Z163" s="523" t="s">
        <v>541</v>
      </c>
      <c r="AA163" s="521"/>
      <c r="AB163" s="521"/>
      <c r="AC163" s="521"/>
      <c r="AD163" s="521"/>
      <c r="AE163" s="521"/>
      <c r="AF163" s="521"/>
      <c r="AG163" s="264">
        <v>2</v>
      </c>
    </row>
    <row r="164" spans="1:33" s="526" customFormat="1" ht="29">
      <c r="A164" s="513">
        <v>162</v>
      </c>
      <c r="B164" s="514" t="s">
        <v>2727</v>
      </c>
      <c r="C164" s="515" t="s">
        <v>2727</v>
      </c>
      <c r="D164" s="262" t="s">
        <v>2127</v>
      </c>
      <c r="E164" s="513">
        <v>163</v>
      </c>
      <c r="F164" s="544" t="s">
        <v>2727</v>
      </c>
      <c r="G164" s="517">
        <v>45323</v>
      </c>
      <c r="H164" s="517">
        <v>45324</v>
      </c>
      <c r="I164" s="517">
        <v>45324</v>
      </c>
      <c r="J164" s="517">
        <v>45324</v>
      </c>
      <c r="K164" s="517">
        <v>45324</v>
      </c>
      <c r="L164" s="518" t="s">
        <v>705</v>
      </c>
      <c r="M164" s="264" t="s">
        <v>2587</v>
      </c>
      <c r="N164" s="262" t="s">
        <v>2176</v>
      </c>
      <c r="O164" s="390" t="s">
        <v>249</v>
      </c>
      <c r="P164" s="264" t="str">
        <f t="shared" si="5"/>
        <v>Kertas Post-It Warna Warni  Sign Here</v>
      </c>
      <c r="Q164" s="264" t="s">
        <v>710</v>
      </c>
      <c r="R164" s="525" t="s">
        <v>2604</v>
      </c>
      <c r="S164" s="399">
        <v>5</v>
      </c>
      <c r="T164" s="348" t="s">
        <v>3363</v>
      </c>
      <c r="U164" s="520">
        <v>22800</v>
      </c>
      <c r="V164" s="266">
        <v>114000</v>
      </c>
      <c r="W164" s="521" t="s">
        <v>227</v>
      </c>
      <c r="X164" s="521" t="s">
        <v>3383</v>
      </c>
      <c r="Y164" s="522" t="s">
        <v>2512</v>
      </c>
      <c r="Z164" s="523" t="s">
        <v>541</v>
      </c>
      <c r="AA164" s="521"/>
      <c r="AB164" s="521"/>
      <c r="AC164" s="521"/>
      <c r="AD164" s="521"/>
      <c r="AE164" s="521"/>
      <c r="AF164" s="521"/>
      <c r="AG164" s="264">
        <v>2</v>
      </c>
    </row>
    <row r="165" spans="1:33" s="526" customFormat="1" ht="37.5">
      <c r="A165" s="513">
        <v>163</v>
      </c>
      <c r="B165" s="514" t="s">
        <v>2727</v>
      </c>
      <c r="C165" s="515" t="s">
        <v>2727</v>
      </c>
      <c r="D165" s="262" t="s">
        <v>2127</v>
      </c>
      <c r="E165" s="513">
        <v>164</v>
      </c>
      <c r="F165" s="544" t="s">
        <v>2727</v>
      </c>
      <c r="G165" s="517">
        <v>45323</v>
      </c>
      <c r="H165" s="517">
        <v>45324</v>
      </c>
      <c r="I165" s="517">
        <v>45324</v>
      </c>
      <c r="J165" s="517">
        <v>45324</v>
      </c>
      <c r="K165" s="517">
        <v>45324</v>
      </c>
      <c r="L165" s="518" t="s">
        <v>705</v>
      </c>
      <c r="M165" s="264" t="s">
        <v>2587</v>
      </c>
      <c r="N165" s="262" t="s">
        <v>2176</v>
      </c>
      <c r="O165" s="390" t="s">
        <v>252</v>
      </c>
      <c r="P165" s="524" t="s">
        <v>2605</v>
      </c>
      <c r="Q165" s="264" t="s">
        <v>710</v>
      </c>
      <c r="R165" s="519" t="s">
        <v>134</v>
      </c>
      <c r="S165" s="399">
        <v>5</v>
      </c>
      <c r="T165" s="348" t="s">
        <v>2436</v>
      </c>
      <c r="U165" s="520">
        <v>10000</v>
      </c>
      <c r="V165" s="266">
        <v>50000</v>
      </c>
      <c r="W165" s="521" t="s">
        <v>227</v>
      </c>
      <c r="X165" s="521" t="s">
        <v>3383</v>
      </c>
      <c r="Y165" s="522" t="s">
        <v>2512</v>
      </c>
      <c r="Z165" s="523" t="s">
        <v>541</v>
      </c>
      <c r="AA165" s="521"/>
      <c r="AB165" s="521"/>
      <c r="AC165" s="521"/>
      <c r="AD165" s="521"/>
      <c r="AE165" s="521"/>
      <c r="AF165" s="521"/>
      <c r="AG165" s="264">
        <v>2</v>
      </c>
    </row>
    <row r="166" spans="1:33" s="526" customFormat="1" ht="29">
      <c r="A166" s="513">
        <v>164</v>
      </c>
      <c r="B166" s="514" t="s">
        <v>2727</v>
      </c>
      <c r="C166" s="515" t="s">
        <v>2727</v>
      </c>
      <c r="D166" s="262" t="s">
        <v>2127</v>
      </c>
      <c r="E166" s="513">
        <v>165</v>
      </c>
      <c r="F166" s="544" t="s">
        <v>2727</v>
      </c>
      <c r="G166" s="517">
        <v>45323</v>
      </c>
      <c r="H166" s="517">
        <v>45324</v>
      </c>
      <c r="I166" s="517">
        <v>45324</v>
      </c>
      <c r="J166" s="517">
        <v>45324</v>
      </c>
      <c r="K166" s="517">
        <v>45324</v>
      </c>
      <c r="L166" s="518" t="s">
        <v>705</v>
      </c>
      <c r="M166" s="264" t="s">
        <v>2587</v>
      </c>
      <c r="N166" s="262" t="s">
        <v>2176</v>
      </c>
      <c r="O166" s="390" t="s">
        <v>239</v>
      </c>
      <c r="P166" s="264" t="str">
        <f t="shared" ref="P166:P193" si="6">O166</f>
        <v>Binder Klip  nomor 200</v>
      </c>
      <c r="Q166" s="264" t="s">
        <v>710</v>
      </c>
      <c r="R166" s="519" t="s">
        <v>110</v>
      </c>
      <c r="S166" s="399">
        <v>10</v>
      </c>
      <c r="T166" s="348" t="s">
        <v>3362</v>
      </c>
      <c r="U166" s="520">
        <v>16500</v>
      </c>
      <c r="V166" s="266">
        <v>165000</v>
      </c>
      <c r="W166" s="521" t="s">
        <v>227</v>
      </c>
      <c r="X166" s="521" t="s">
        <v>3383</v>
      </c>
      <c r="Y166" s="522" t="s">
        <v>2512</v>
      </c>
      <c r="Z166" s="523" t="s">
        <v>541</v>
      </c>
      <c r="AA166" s="521"/>
      <c r="AB166" s="521"/>
      <c r="AC166" s="521"/>
      <c r="AD166" s="521"/>
      <c r="AE166" s="521"/>
      <c r="AF166" s="521"/>
      <c r="AG166" s="264">
        <v>2</v>
      </c>
    </row>
    <row r="167" spans="1:33" s="526" customFormat="1" ht="29">
      <c r="A167" s="513">
        <v>165</v>
      </c>
      <c r="B167" s="514" t="s">
        <v>2727</v>
      </c>
      <c r="C167" s="515" t="s">
        <v>2727</v>
      </c>
      <c r="D167" s="262" t="s">
        <v>2127</v>
      </c>
      <c r="E167" s="513">
        <v>166</v>
      </c>
      <c r="F167" s="544" t="s">
        <v>2727</v>
      </c>
      <c r="G167" s="517">
        <v>45323</v>
      </c>
      <c r="H167" s="517">
        <v>45324</v>
      </c>
      <c r="I167" s="517">
        <v>45324</v>
      </c>
      <c r="J167" s="517">
        <v>45324</v>
      </c>
      <c r="K167" s="517">
        <v>45324</v>
      </c>
      <c r="L167" s="518" t="s">
        <v>705</v>
      </c>
      <c r="M167" s="264" t="s">
        <v>2587</v>
      </c>
      <c r="N167" s="262" t="s">
        <v>2176</v>
      </c>
      <c r="O167" s="390" t="s">
        <v>2250</v>
      </c>
      <c r="P167" s="264" t="str">
        <f t="shared" si="6"/>
        <v>C. Tinta Printer EPSON Toner Epson 664 Black</v>
      </c>
      <c r="Q167" s="264" t="s">
        <v>710</v>
      </c>
      <c r="R167" s="519" t="s">
        <v>120</v>
      </c>
      <c r="S167" s="399">
        <v>6</v>
      </c>
      <c r="T167" s="348" t="s">
        <v>3367</v>
      </c>
      <c r="U167" s="520">
        <v>85000</v>
      </c>
      <c r="V167" s="266">
        <v>510000</v>
      </c>
      <c r="W167" s="521" t="s">
        <v>227</v>
      </c>
      <c r="X167" s="521" t="s">
        <v>3383</v>
      </c>
      <c r="Y167" s="522" t="s">
        <v>2512</v>
      </c>
      <c r="Z167" s="523" t="s">
        <v>541</v>
      </c>
      <c r="AA167" s="521"/>
      <c r="AB167" s="521"/>
      <c r="AC167" s="521"/>
      <c r="AD167" s="521"/>
      <c r="AE167" s="521"/>
      <c r="AF167" s="521"/>
      <c r="AG167" s="264">
        <v>2</v>
      </c>
    </row>
    <row r="168" spans="1:33" s="526" customFormat="1" ht="29">
      <c r="A168" s="513">
        <v>166</v>
      </c>
      <c r="B168" s="514" t="s">
        <v>2727</v>
      </c>
      <c r="C168" s="515" t="s">
        <v>2727</v>
      </c>
      <c r="D168" s="262" t="s">
        <v>2127</v>
      </c>
      <c r="E168" s="513">
        <v>167</v>
      </c>
      <c r="F168" s="544" t="s">
        <v>2727</v>
      </c>
      <c r="G168" s="517">
        <v>45323</v>
      </c>
      <c r="H168" s="517">
        <v>45324</v>
      </c>
      <c r="I168" s="517">
        <v>45324</v>
      </c>
      <c r="J168" s="517">
        <v>45324</v>
      </c>
      <c r="K168" s="517">
        <v>45324</v>
      </c>
      <c r="L168" s="518" t="s">
        <v>705</v>
      </c>
      <c r="M168" s="264" t="s">
        <v>2587</v>
      </c>
      <c r="N168" s="262" t="s">
        <v>2176</v>
      </c>
      <c r="O168" s="390" t="s">
        <v>251</v>
      </c>
      <c r="P168" s="264" t="str">
        <f t="shared" si="6"/>
        <v>Kertas Warna Blank Folio, Ukuran : 8,5 x 14",  70 gram</v>
      </c>
      <c r="Q168" s="264" t="s">
        <v>710</v>
      </c>
      <c r="R168" s="519" t="s">
        <v>133</v>
      </c>
      <c r="S168" s="399">
        <v>2</v>
      </c>
      <c r="T168" s="348" t="s">
        <v>3369</v>
      </c>
      <c r="U168" s="520">
        <v>90000</v>
      </c>
      <c r="V168" s="266">
        <v>180000</v>
      </c>
      <c r="W168" s="521" t="s">
        <v>227</v>
      </c>
      <c r="X168" s="521" t="s">
        <v>3383</v>
      </c>
      <c r="Y168" s="522" t="s">
        <v>2512</v>
      </c>
      <c r="Z168" s="523" t="s">
        <v>541</v>
      </c>
      <c r="AA168" s="521"/>
      <c r="AB168" s="521"/>
      <c r="AC168" s="521"/>
      <c r="AD168" s="521"/>
      <c r="AE168" s="521"/>
      <c r="AF168" s="521"/>
      <c r="AG168" s="264">
        <v>2</v>
      </c>
    </row>
    <row r="169" spans="1:33" s="526" customFormat="1" ht="29">
      <c r="A169" s="513">
        <v>167</v>
      </c>
      <c r="B169" s="514" t="s">
        <v>2727</v>
      </c>
      <c r="C169" s="515" t="s">
        <v>2727</v>
      </c>
      <c r="D169" s="262" t="s">
        <v>2127</v>
      </c>
      <c r="E169" s="513">
        <v>168</v>
      </c>
      <c r="F169" s="544" t="s">
        <v>2727</v>
      </c>
      <c r="G169" s="517">
        <v>45323</v>
      </c>
      <c r="H169" s="517">
        <v>45324</v>
      </c>
      <c r="I169" s="517">
        <v>45324</v>
      </c>
      <c r="J169" s="517">
        <v>45324</v>
      </c>
      <c r="K169" s="517">
        <v>45324</v>
      </c>
      <c r="L169" s="518" t="s">
        <v>705</v>
      </c>
      <c r="M169" s="264" t="s">
        <v>2587</v>
      </c>
      <c r="N169" s="262" t="s">
        <v>2176</v>
      </c>
      <c r="O169" s="390" t="s">
        <v>260</v>
      </c>
      <c r="P169" s="264" t="str">
        <f t="shared" si="6"/>
        <v>Sampul Plastik</v>
      </c>
      <c r="Q169" s="264" t="s">
        <v>710</v>
      </c>
      <c r="R169" s="519" t="s">
        <v>149</v>
      </c>
      <c r="S169" s="399">
        <v>5</v>
      </c>
      <c r="T169" s="348" t="s">
        <v>3365</v>
      </c>
      <c r="U169" s="520">
        <v>65000</v>
      </c>
      <c r="V169" s="266">
        <v>325000</v>
      </c>
      <c r="W169" s="521" t="s">
        <v>227</v>
      </c>
      <c r="X169" s="521" t="s">
        <v>3383</v>
      </c>
      <c r="Y169" s="522" t="s">
        <v>2512</v>
      </c>
      <c r="Z169" s="523" t="s">
        <v>541</v>
      </c>
      <c r="AA169" s="521"/>
      <c r="AB169" s="521"/>
      <c r="AC169" s="521"/>
      <c r="AD169" s="521"/>
      <c r="AE169" s="521"/>
      <c r="AF169" s="521"/>
      <c r="AG169" s="264">
        <v>2</v>
      </c>
    </row>
    <row r="170" spans="1:33" s="526" customFormat="1" ht="29">
      <c r="A170" s="513">
        <v>168</v>
      </c>
      <c r="B170" s="514" t="s">
        <v>2727</v>
      </c>
      <c r="C170" s="515" t="s">
        <v>2727</v>
      </c>
      <c r="D170" s="262" t="s">
        <v>2127</v>
      </c>
      <c r="E170" s="513">
        <v>169</v>
      </c>
      <c r="F170" s="544" t="s">
        <v>2727</v>
      </c>
      <c r="G170" s="517">
        <v>45323</v>
      </c>
      <c r="H170" s="517">
        <v>45324</v>
      </c>
      <c r="I170" s="517">
        <v>45324</v>
      </c>
      <c r="J170" s="517">
        <v>45324</v>
      </c>
      <c r="K170" s="517">
        <v>45324</v>
      </c>
      <c r="L170" s="518" t="s">
        <v>705</v>
      </c>
      <c r="M170" s="264" t="s">
        <v>2587</v>
      </c>
      <c r="N170" s="262" t="s">
        <v>2176</v>
      </c>
      <c r="O170" s="390" t="s">
        <v>2252</v>
      </c>
      <c r="P170" s="264" t="str">
        <f t="shared" si="6"/>
        <v>Box File Merk : Bantex Ukuran : 115x270x325 mm</v>
      </c>
      <c r="Q170" s="264" t="s">
        <v>710</v>
      </c>
      <c r="R170" s="524" t="s">
        <v>2606</v>
      </c>
      <c r="S170" s="399">
        <v>4</v>
      </c>
      <c r="T170" s="348" t="s">
        <v>3363</v>
      </c>
      <c r="U170" s="520">
        <v>59800</v>
      </c>
      <c r="V170" s="266">
        <v>239200</v>
      </c>
      <c r="W170" s="521" t="s">
        <v>227</v>
      </c>
      <c r="X170" s="521" t="s">
        <v>3383</v>
      </c>
      <c r="Y170" s="522" t="s">
        <v>2512</v>
      </c>
      <c r="Z170" s="523" t="s">
        <v>541</v>
      </c>
      <c r="AA170" s="521"/>
      <c r="AB170" s="521"/>
      <c r="AC170" s="521"/>
      <c r="AD170" s="521"/>
      <c r="AE170" s="521"/>
      <c r="AF170" s="521"/>
      <c r="AG170" s="264">
        <v>2</v>
      </c>
    </row>
    <row r="171" spans="1:33" s="526" customFormat="1" ht="29">
      <c r="A171" s="513">
        <v>169</v>
      </c>
      <c r="B171" s="514" t="s">
        <v>2727</v>
      </c>
      <c r="C171" s="515" t="s">
        <v>2727</v>
      </c>
      <c r="D171" s="262" t="s">
        <v>2127</v>
      </c>
      <c r="E171" s="513">
        <v>170</v>
      </c>
      <c r="F171" s="544" t="s">
        <v>2727</v>
      </c>
      <c r="G171" s="517">
        <v>45323</v>
      </c>
      <c r="H171" s="517">
        <v>45324</v>
      </c>
      <c r="I171" s="517">
        <v>45324</v>
      </c>
      <c r="J171" s="517">
        <v>45324</v>
      </c>
      <c r="K171" s="517">
        <v>45324</v>
      </c>
      <c r="L171" s="518" t="s">
        <v>705</v>
      </c>
      <c r="M171" s="264" t="s">
        <v>2587</v>
      </c>
      <c r="N171" s="262" t="s">
        <v>2176</v>
      </c>
      <c r="O171" s="390" t="s">
        <v>253</v>
      </c>
      <c r="P171" s="264" t="str">
        <f t="shared" si="6"/>
        <v>Lakban warna Uk 2" Warna Coklat Cofiie</v>
      </c>
      <c r="Q171" s="264" t="s">
        <v>710</v>
      </c>
      <c r="R171" s="519" t="s">
        <v>140</v>
      </c>
      <c r="S171" s="399">
        <v>3</v>
      </c>
      <c r="T171" s="348" t="s">
        <v>3363</v>
      </c>
      <c r="U171" s="520">
        <v>20000</v>
      </c>
      <c r="V171" s="266">
        <v>60000</v>
      </c>
      <c r="W171" s="521" t="s">
        <v>227</v>
      </c>
      <c r="X171" s="521" t="s">
        <v>3383</v>
      </c>
      <c r="Y171" s="522" t="s">
        <v>2512</v>
      </c>
      <c r="Z171" s="523" t="s">
        <v>541</v>
      </c>
      <c r="AA171" s="521"/>
      <c r="AB171" s="521"/>
      <c r="AC171" s="521"/>
      <c r="AD171" s="521"/>
      <c r="AE171" s="521"/>
      <c r="AF171" s="521"/>
      <c r="AG171" s="264">
        <v>2</v>
      </c>
    </row>
    <row r="172" spans="1:33" s="526" customFormat="1" ht="29">
      <c r="A172" s="513">
        <v>170</v>
      </c>
      <c r="B172" s="514" t="s">
        <v>2727</v>
      </c>
      <c r="C172" s="515" t="s">
        <v>2727</v>
      </c>
      <c r="D172" s="262" t="s">
        <v>2127</v>
      </c>
      <c r="E172" s="513">
        <v>171</v>
      </c>
      <c r="F172" s="544" t="s">
        <v>2727</v>
      </c>
      <c r="G172" s="517">
        <v>45323</v>
      </c>
      <c r="H172" s="517">
        <v>45324</v>
      </c>
      <c r="I172" s="517">
        <v>45324</v>
      </c>
      <c r="J172" s="517">
        <v>45324</v>
      </c>
      <c r="K172" s="517">
        <v>45324</v>
      </c>
      <c r="L172" s="518" t="s">
        <v>705</v>
      </c>
      <c r="M172" s="264" t="s">
        <v>2587</v>
      </c>
      <c r="N172" s="262" t="s">
        <v>2176</v>
      </c>
      <c r="O172" s="390" t="s">
        <v>2255</v>
      </c>
      <c r="P172" s="264" t="str">
        <f t="shared" si="6"/>
        <v>gunting kertas-ukuran : panjang 21cm x lebar 8cm, stainless steel</v>
      </c>
      <c r="Q172" s="264" t="s">
        <v>710</v>
      </c>
      <c r="R172" s="519" t="s">
        <v>123</v>
      </c>
      <c r="S172" s="399">
        <v>2</v>
      </c>
      <c r="T172" s="348" t="s">
        <v>3363</v>
      </c>
      <c r="U172" s="520">
        <v>20000</v>
      </c>
      <c r="V172" s="266">
        <v>40000</v>
      </c>
      <c r="W172" s="521" t="s">
        <v>227</v>
      </c>
      <c r="X172" s="521" t="s">
        <v>3383</v>
      </c>
      <c r="Y172" s="522" t="s">
        <v>2512</v>
      </c>
      <c r="Z172" s="523" t="s">
        <v>541</v>
      </c>
      <c r="AA172" s="521"/>
      <c r="AB172" s="521"/>
      <c r="AC172" s="521"/>
      <c r="AD172" s="521"/>
      <c r="AE172" s="521"/>
      <c r="AF172" s="521"/>
      <c r="AG172" s="264">
        <v>2</v>
      </c>
    </row>
    <row r="173" spans="1:33" s="526" customFormat="1" ht="29">
      <c r="A173" s="513">
        <v>171</v>
      </c>
      <c r="B173" s="514" t="s">
        <v>2727</v>
      </c>
      <c r="C173" s="515" t="s">
        <v>2727</v>
      </c>
      <c r="D173" s="262" t="s">
        <v>2127</v>
      </c>
      <c r="E173" s="513">
        <v>172</v>
      </c>
      <c r="F173" s="544" t="s">
        <v>2727</v>
      </c>
      <c r="G173" s="517">
        <v>45323</v>
      </c>
      <c r="H173" s="517">
        <v>45324</v>
      </c>
      <c r="I173" s="517">
        <v>45324</v>
      </c>
      <c r="J173" s="517">
        <v>45324</v>
      </c>
      <c r="K173" s="517">
        <v>45324</v>
      </c>
      <c r="L173" s="518" t="s">
        <v>705</v>
      </c>
      <c r="M173" s="264" t="s">
        <v>2587</v>
      </c>
      <c r="N173" s="262" t="s">
        <v>2176</v>
      </c>
      <c r="O173" s="390" t="s">
        <v>2256</v>
      </c>
      <c r="P173" s="264" t="str">
        <f t="shared" si="6"/>
        <v>Ballpoint Standard AE7</v>
      </c>
      <c r="Q173" s="264" t="s">
        <v>710</v>
      </c>
      <c r="R173" s="519" t="s">
        <v>103</v>
      </c>
      <c r="S173" s="399">
        <v>2</v>
      </c>
      <c r="T173" s="348" t="s">
        <v>3364</v>
      </c>
      <c r="U173" s="520">
        <v>20000</v>
      </c>
      <c r="V173" s="266">
        <v>40000</v>
      </c>
      <c r="W173" s="521" t="s">
        <v>227</v>
      </c>
      <c r="X173" s="521" t="s">
        <v>3383</v>
      </c>
      <c r="Y173" s="522" t="s">
        <v>2512</v>
      </c>
      <c r="Z173" s="523" t="s">
        <v>541</v>
      </c>
      <c r="AA173" s="521"/>
      <c r="AB173" s="521"/>
      <c r="AC173" s="521"/>
      <c r="AD173" s="521"/>
      <c r="AE173" s="521"/>
      <c r="AF173" s="521"/>
      <c r="AG173" s="264">
        <v>2</v>
      </c>
    </row>
    <row r="174" spans="1:33" s="526" customFormat="1" ht="29">
      <c r="A174" s="513">
        <v>172</v>
      </c>
      <c r="B174" s="514" t="s">
        <v>2727</v>
      </c>
      <c r="C174" s="515" t="s">
        <v>2727</v>
      </c>
      <c r="D174" s="262" t="s">
        <v>2127</v>
      </c>
      <c r="E174" s="513">
        <v>173</v>
      </c>
      <c r="F174" s="544" t="s">
        <v>2727</v>
      </c>
      <c r="G174" s="517">
        <v>45323</v>
      </c>
      <c r="H174" s="517">
        <v>45324</v>
      </c>
      <c r="I174" s="517">
        <v>45324</v>
      </c>
      <c r="J174" s="517">
        <v>45324</v>
      </c>
      <c r="K174" s="517">
        <v>45324</v>
      </c>
      <c r="L174" s="518" t="s">
        <v>705</v>
      </c>
      <c r="M174" s="264" t="s">
        <v>2587</v>
      </c>
      <c r="N174" s="262" t="s">
        <v>2176</v>
      </c>
      <c r="O174" s="390" t="s">
        <v>245</v>
      </c>
      <c r="P174" s="264" t="str">
        <f t="shared" si="6"/>
        <v>C. Tinta Printer EPSON Tinta Printer Epson Read</v>
      </c>
      <c r="Q174" s="264" t="s">
        <v>710</v>
      </c>
      <c r="R174" s="528" t="s">
        <v>118</v>
      </c>
      <c r="S174" s="399">
        <v>4</v>
      </c>
      <c r="T174" s="348" t="s">
        <v>3367</v>
      </c>
      <c r="U174" s="520">
        <v>110000</v>
      </c>
      <c r="V174" s="266">
        <v>440000</v>
      </c>
      <c r="W174" s="521" t="s">
        <v>227</v>
      </c>
      <c r="X174" s="521" t="s">
        <v>3383</v>
      </c>
      <c r="Y174" s="522" t="s">
        <v>2512</v>
      </c>
      <c r="Z174" s="523" t="s">
        <v>541</v>
      </c>
      <c r="AA174" s="521"/>
      <c r="AB174" s="521"/>
      <c r="AC174" s="521"/>
      <c r="AD174" s="521"/>
      <c r="AE174" s="521"/>
      <c r="AF174" s="521"/>
      <c r="AG174" s="264">
        <v>2</v>
      </c>
    </row>
    <row r="175" spans="1:33" s="526" customFormat="1" ht="29">
      <c r="A175" s="513">
        <v>173</v>
      </c>
      <c r="B175" s="514" t="s">
        <v>2727</v>
      </c>
      <c r="C175" s="515" t="s">
        <v>2727</v>
      </c>
      <c r="D175" s="262" t="s">
        <v>2127</v>
      </c>
      <c r="E175" s="513">
        <v>174</v>
      </c>
      <c r="F175" s="544" t="s">
        <v>2727</v>
      </c>
      <c r="G175" s="517">
        <v>45323</v>
      </c>
      <c r="H175" s="517">
        <v>45324</v>
      </c>
      <c r="I175" s="517">
        <v>45324</v>
      </c>
      <c r="J175" s="517">
        <v>45324</v>
      </c>
      <c r="K175" s="517">
        <v>45324</v>
      </c>
      <c r="L175" s="518" t="s">
        <v>705</v>
      </c>
      <c r="M175" s="264" t="s">
        <v>2587</v>
      </c>
      <c r="N175" s="262" t="s">
        <v>2176</v>
      </c>
      <c r="O175" s="390" t="s">
        <v>263</v>
      </c>
      <c r="P175" s="264" t="str">
        <f t="shared" si="6"/>
        <v>Stofmap Kertas</v>
      </c>
      <c r="Q175" s="264" t="s">
        <v>710</v>
      </c>
      <c r="R175" s="519" t="s">
        <v>156</v>
      </c>
      <c r="S175" s="399">
        <v>1</v>
      </c>
      <c r="T175" s="348" t="s">
        <v>3370</v>
      </c>
      <c r="U175" s="520">
        <v>87500</v>
      </c>
      <c r="V175" s="266">
        <v>87500</v>
      </c>
      <c r="W175" s="521" t="s">
        <v>227</v>
      </c>
      <c r="X175" s="521" t="s">
        <v>3383</v>
      </c>
      <c r="Y175" s="522" t="s">
        <v>2512</v>
      </c>
      <c r="Z175" s="523" t="s">
        <v>541</v>
      </c>
      <c r="AA175" s="521"/>
      <c r="AB175" s="521"/>
      <c r="AC175" s="521"/>
      <c r="AD175" s="521"/>
      <c r="AE175" s="521"/>
      <c r="AF175" s="521"/>
      <c r="AG175" s="264">
        <v>2</v>
      </c>
    </row>
    <row r="176" spans="1:33" s="526" customFormat="1" ht="29">
      <c r="A176" s="513">
        <v>174</v>
      </c>
      <c r="B176" s="514" t="s">
        <v>2727</v>
      </c>
      <c r="C176" s="515" t="s">
        <v>2727</v>
      </c>
      <c r="D176" s="262" t="s">
        <v>2127</v>
      </c>
      <c r="E176" s="513">
        <v>175</v>
      </c>
      <c r="F176" s="544" t="s">
        <v>2727</v>
      </c>
      <c r="G176" s="517">
        <v>45323</v>
      </c>
      <c r="H176" s="517">
        <v>45324</v>
      </c>
      <c r="I176" s="517">
        <v>45324</v>
      </c>
      <c r="J176" s="517">
        <v>45324</v>
      </c>
      <c r="K176" s="517">
        <v>45324</v>
      </c>
      <c r="L176" s="518" t="s">
        <v>705</v>
      </c>
      <c r="M176" s="264" t="s">
        <v>2587</v>
      </c>
      <c r="N176" s="262" t="s">
        <v>2176</v>
      </c>
      <c r="O176" s="390" t="s">
        <v>2257</v>
      </c>
      <c r="P176" s="264" t="str">
        <f t="shared" si="6"/>
        <v>lakban hitam-ukuran : lebar 2 inch, panjang 12m, bahan : kain</v>
      </c>
      <c r="Q176" s="264" t="s">
        <v>710</v>
      </c>
      <c r="R176" s="519" t="s">
        <v>137</v>
      </c>
      <c r="S176" s="399">
        <v>4</v>
      </c>
      <c r="T176" s="348" t="s">
        <v>3363</v>
      </c>
      <c r="U176" s="520">
        <v>12500</v>
      </c>
      <c r="V176" s="266">
        <v>50000</v>
      </c>
      <c r="W176" s="521" t="s">
        <v>227</v>
      </c>
      <c r="X176" s="521" t="s">
        <v>3383</v>
      </c>
      <c r="Y176" s="522" t="s">
        <v>2512</v>
      </c>
      <c r="Z176" s="523" t="s">
        <v>541</v>
      </c>
      <c r="AA176" s="521"/>
      <c r="AB176" s="521"/>
      <c r="AC176" s="521"/>
      <c r="AD176" s="521"/>
      <c r="AE176" s="521"/>
      <c r="AF176" s="521"/>
      <c r="AG176" s="264">
        <v>2</v>
      </c>
    </row>
    <row r="177" spans="1:33" s="526" customFormat="1" ht="29">
      <c r="A177" s="513">
        <v>175</v>
      </c>
      <c r="B177" s="514" t="s">
        <v>2727</v>
      </c>
      <c r="C177" s="515" t="s">
        <v>2727</v>
      </c>
      <c r="D177" s="262" t="s">
        <v>2127</v>
      </c>
      <c r="E177" s="513">
        <v>176</v>
      </c>
      <c r="F177" s="544" t="s">
        <v>2727</v>
      </c>
      <c r="G177" s="517">
        <v>45323</v>
      </c>
      <c r="H177" s="517">
        <v>45324</v>
      </c>
      <c r="I177" s="517">
        <v>45324</v>
      </c>
      <c r="J177" s="517">
        <v>45324</v>
      </c>
      <c r="K177" s="517">
        <v>45324</v>
      </c>
      <c r="L177" s="518" t="s">
        <v>705</v>
      </c>
      <c r="M177" s="264" t="s">
        <v>2587</v>
      </c>
      <c r="N177" s="262" t="s">
        <v>2176</v>
      </c>
      <c r="O177" s="390" t="s">
        <v>2258</v>
      </c>
      <c r="P177" s="264" t="str">
        <f t="shared" si="6"/>
        <v>Lakban Besar</v>
      </c>
      <c r="Q177" s="264" t="s">
        <v>710</v>
      </c>
      <c r="R177" s="519" t="s">
        <v>2607</v>
      </c>
      <c r="S177" s="399">
        <v>5</v>
      </c>
      <c r="T177" s="348" t="s">
        <v>3363</v>
      </c>
      <c r="U177" s="520">
        <v>25000</v>
      </c>
      <c r="V177" s="266">
        <v>125000</v>
      </c>
      <c r="W177" s="521" t="s">
        <v>227</v>
      </c>
      <c r="X177" s="521" t="s">
        <v>3383</v>
      </c>
      <c r="Y177" s="522" t="s">
        <v>2512</v>
      </c>
      <c r="Z177" s="523" t="s">
        <v>541</v>
      </c>
      <c r="AA177" s="521"/>
      <c r="AB177" s="521"/>
      <c r="AC177" s="521"/>
      <c r="AD177" s="521"/>
      <c r="AE177" s="521"/>
      <c r="AF177" s="521"/>
      <c r="AG177" s="264">
        <v>2</v>
      </c>
    </row>
    <row r="178" spans="1:33" s="526" customFormat="1" ht="29">
      <c r="A178" s="513">
        <v>176</v>
      </c>
      <c r="B178" s="514" t="s">
        <v>2727</v>
      </c>
      <c r="C178" s="515" t="s">
        <v>2727</v>
      </c>
      <c r="D178" s="262" t="s">
        <v>2127</v>
      </c>
      <c r="E178" s="513">
        <v>177</v>
      </c>
      <c r="F178" s="544" t="s">
        <v>2727</v>
      </c>
      <c r="G178" s="517">
        <v>45323</v>
      </c>
      <c r="H178" s="517">
        <v>45324</v>
      </c>
      <c r="I178" s="517">
        <v>45324</v>
      </c>
      <c r="J178" s="517">
        <v>45324</v>
      </c>
      <c r="K178" s="517">
        <v>45324</v>
      </c>
      <c r="L178" s="518" t="s">
        <v>705</v>
      </c>
      <c r="M178" s="264" t="s">
        <v>2587</v>
      </c>
      <c r="N178" s="262" t="s">
        <v>2176</v>
      </c>
      <c r="O178" s="390" t="s">
        <v>2260</v>
      </c>
      <c r="P178" s="264" t="str">
        <f t="shared" si="6"/>
        <v>Tinta Printer Canon 740 Hitam-740 Hitam</v>
      </c>
      <c r="Q178" s="264" t="s">
        <v>710</v>
      </c>
      <c r="R178" s="519" t="s">
        <v>159</v>
      </c>
      <c r="S178" s="399">
        <v>8</v>
      </c>
      <c r="T178" s="348" t="s">
        <v>3367</v>
      </c>
      <c r="U178" s="520">
        <v>30000</v>
      </c>
      <c r="V178" s="266">
        <v>240000</v>
      </c>
      <c r="W178" s="521" t="s">
        <v>227</v>
      </c>
      <c r="X178" s="521" t="s">
        <v>3383</v>
      </c>
      <c r="Y178" s="522" t="s">
        <v>2512</v>
      </c>
      <c r="Z178" s="523" t="s">
        <v>541</v>
      </c>
      <c r="AA178" s="521"/>
      <c r="AB178" s="521"/>
      <c r="AC178" s="521"/>
      <c r="AD178" s="521"/>
      <c r="AE178" s="521"/>
      <c r="AF178" s="521"/>
      <c r="AG178" s="264">
        <v>2</v>
      </c>
    </row>
    <row r="179" spans="1:33" s="526" customFormat="1" ht="29">
      <c r="A179" s="513">
        <v>177</v>
      </c>
      <c r="B179" s="514" t="s">
        <v>2727</v>
      </c>
      <c r="C179" s="515" t="s">
        <v>2727</v>
      </c>
      <c r="D179" s="262" t="s">
        <v>2127</v>
      </c>
      <c r="E179" s="513">
        <v>178</v>
      </c>
      <c r="F179" s="544" t="s">
        <v>2727</v>
      </c>
      <c r="G179" s="517">
        <v>45323</v>
      </c>
      <c r="H179" s="517">
        <v>45324</v>
      </c>
      <c r="I179" s="517">
        <v>45324</v>
      </c>
      <c r="J179" s="517">
        <v>45324</v>
      </c>
      <c r="K179" s="517">
        <v>45324</v>
      </c>
      <c r="L179" s="518" t="s">
        <v>705</v>
      </c>
      <c r="M179" s="264" t="s">
        <v>2587</v>
      </c>
      <c r="N179" s="262" t="s">
        <v>2176</v>
      </c>
      <c r="O179" s="390" t="s">
        <v>2261</v>
      </c>
      <c r="P179" s="264" t="str">
        <f t="shared" si="6"/>
        <v>Kertas HVS 60 gram Merk : Paper One HVS F4 uk. 8.27"x11.69"</v>
      </c>
      <c r="Q179" s="264" t="s">
        <v>710</v>
      </c>
      <c r="R179" s="519" t="s">
        <v>127</v>
      </c>
      <c r="S179" s="399">
        <v>10</v>
      </c>
      <c r="T179" s="348" t="s">
        <v>3369</v>
      </c>
      <c r="U179" s="520">
        <v>48500</v>
      </c>
      <c r="V179" s="266">
        <v>485000</v>
      </c>
      <c r="W179" s="521" t="s">
        <v>227</v>
      </c>
      <c r="X179" s="521" t="s">
        <v>3383</v>
      </c>
      <c r="Y179" s="522" t="s">
        <v>2512</v>
      </c>
      <c r="Z179" s="523" t="s">
        <v>541</v>
      </c>
      <c r="AA179" s="521"/>
      <c r="AB179" s="521"/>
      <c r="AC179" s="521"/>
      <c r="AD179" s="521"/>
      <c r="AE179" s="521"/>
      <c r="AF179" s="521"/>
      <c r="AG179" s="264">
        <v>2</v>
      </c>
    </row>
    <row r="180" spans="1:33" s="526" customFormat="1" ht="29">
      <c r="A180" s="513">
        <v>178</v>
      </c>
      <c r="B180" s="514" t="s">
        <v>2727</v>
      </c>
      <c r="C180" s="515" t="s">
        <v>2727</v>
      </c>
      <c r="D180" s="262" t="s">
        <v>2127</v>
      </c>
      <c r="E180" s="513">
        <v>179</v>
      </c>
      <c r="F180" s="544" t="s">
        <v>2727</v>
      </c>
      <c r="G180" s="517">
        <v>45323</v>
      </c>
      <c r="H180" s="517">
        <v>45324</v>
      </c>
      <c r="I180" s="517">
        <v>45324</v>
      </c>
      <c r="J180" s="517">
        <v>45324</v>
      </c>
      <c r="K180" s="517">
        <v>45324</v>
      </c>
      <c r="L180" s="518" t="s">
        <v>705</v>
      </c>
      <c r="M180" s="264" t="s">
        <v>2587</v>
      </c>
      <c r="N180" s="262" t="s">
        <v>2176</v>
      </c>
      <c r="O180" s="390" t="s">
        <v>242</v>
      </c>
      <c r="P180" s="264" t="str">
        <f t="shared" si="6"/>
        <v>Binder Klip Ordner</v>
      </c>
      <c r="Q180" s="264" t="s">
        <v>710</v>
      </c>
      <c r="R180" s="519" t="s">
        <v>113</v>
      </c>
      <c r="S180" s="399">
        <v>6</v>
      </c>
      <c r="T180" s="348" t="s">
        <v>3363</v>
      </c>
      <c r="U180" s="520">
        <v>49500</v>
      </c>
      <c r="V180" s="266">
        <v>297000</v>
      </c>
      <c r="W180" s="521" t="s">
        <v>227</v>
      </c>
      <c r="X180" s="521" t="s">
        <v>3383</v>
      </c>
      <c r="Y180" s="522" t="s">
        <v>2512</v>
      </c>
      <c r="Z180" s="523" t="s">
        <v>541</v>
      </c>
      <c r="AA180" s="521"/>
      <c r="AB180" s="521"/>
      <c r="AC180" s="521"/>
      <c r="AD180" s="521"/>
      <c r="AE180" s="521"/>
      <c r="AF180" s="521"/>
      <c r="AG180" s="264">
        <v>2</v>
      </c>
    </row>
    <row r="181" spans="1:33" s="526" customFormat="1" ht="29">
      <c r="A181" s="513">
        <v>179</v>
      </c>
      <c r="B181" s="514" t="s">
        <v>2729</v>
      </c>
      <c r="C181" s="515" t="s">
        <v>2729</v>
      </c>
      <c r="D181" s="262" t="s">
        <v>2128</v>
      </c>
      <c r="E181" s="513">
        <v>180</v>
      </c>
      <c r="F181" s="544" t="s">
        <v>2729</v>
      </c>
      <c r="G181" s="517">
        <v>45323</v>
      </c>
      <c r="H181" s="517">
        <v>45324</v>
      </c>
      <c r="I181" s="517">
        <v>45324</v>
      </c>
      <c r="J181" s="517">
        <v>45324</v>
      </c>
      <c r="K181" s="517">
        <v>45324</v>
      </c>
      <c r="L181" s="518" t="s">
        <v>533</v>
      </c>
      <c r="M181" s="264" t="s">
        <v>2587</v>
      </c>
      <c r="N181" s="262" t="s">
        <v>2177</v>
      </c>
      <c r="O181" s="390" t="s">
        <v>270</v>
      </c>
      <c r="P181" s="264" t="str">
        <f t="shared" si="6"/>
        <v>Handsoap/Pencuci Tangan</v>
      </c>
      <c r="Q181" s="264" t="s">
        <v>2609</v>
      </c>
      <c r="R181" s="519" t="s">
        <v>548</v>
      </c>
      <c r="S181" s="399">
        <v>5</v>
      </c>
      <c r="T181" s="348" t="s">
        <v>3367</v>
      </c>
      <c r="U181" s="520">
        <v>67000</v>
      </c>
      <c r="V181" s="266">
        <v>335000</v>
      </c>
      <c r="W181" s="521" t="s">
        <v>227</v>
      </c>
      <c r="X181" s="521" t="s">
        <v>3383</v>
      </c>
      <c r="Y181" s="522" t="s">
        <v>2512</v>
      </c>
      <c r="Z181" s="523" t="s">
        <v>541</v>
      </c>
      <c r="AA181" s="521"/>
      <c r="AB181" s="521"/>
      <c r="AC181" s="521"/>
      <c r="AD181" s="521"/>
      <c r="AE181" s="521"/>
      <c r="AF181" s="521"/>
      <c r="AG181" s="264">
        <v>2</v>
      </c>
    </row>
    <row r="182" spans="1:33" s="526" customFormat="1" ht="29">
      <c r="A182" s="513">
        <v>180</v>
      </c>
      <c r="B182" s="514" t="s">
        <v>2729</v>
      </c>
      <c r="C182" s="515" t="s">
        <v>2729</v>
      </c>
      <c r="D182" s="262" t="s">
        <v>2128</v>
      </c>
      <c r="E182" s="513">
        <v>181</v>
      </c>
      <c r="F182" s="544" t="s">
        <v>2729</v>
      </c>
      <c r="G182" s="517">
        <v>45323</v>
      </c>
      <c r="H182" s="517">
        <v>45324</v>
      </c>
      <c r="I182" s="517">
        <v>45324</v>
      </c>
      <c r="J182" s="517">
        <v>45324</v>
      </c>
      <c r="K182" s="517">
        <v>45324</v>
      </c>
      <c r="L182" s="518" t="s">
        <v>533</v>
      </c>
      <c r="M182" s="264" t="s">
        <v>2587</v>
      </c>
      <c r="N182" s="262" t="s">
        <v>2177</v>
      </c>
      <c r="O182" s="390" t="s">
        <v>2266</v>
      </c>
      <c r="P182" s="264" t="str">
        <f t="shared" si="6"/>
        <v>Perlengkapan Kebersihan Pembersih Lantai Super Pel Varian 800ml</v>
      </c>
      <c r="Q182" s="264" t="s">
        <v>2609</v>
      </c>
      <c r="R182" s="525" t="s">
        <v>2613</v>
      </c>
      <c r="S182" s="399">
        <v>15</v>
      </c>
      <c r="T182" s="348" t="s">
        <v>3363</v>
      </c>
      <c r="U182" s="520">
        <v>13700</v>
      </c>
      <c r="V182" s="266">
        <v>205500</v>
      </c>
      <c r="W182" s="521" t="s">
        <v>227</v>
      </c>
      <c r="X182" s="521" t="s">
        <v>3383</v>
      </c>
      <c r="Y182" s="522" t="s">
        <v>2512</v>
      </c>
      <c r="Z182" s="523" t="s">
        <v>541</v>
      </c>
      <c r="AA182" s="521"/>
      <c r="AB182" s="521"/>
      <c r="AC182" s="521"/>
      <c r="AD182" s="521"/>
      <c r="AE182" s="521"/>
      <c r="AF182" s="521"/>
      <c r="AG182" s="264">
        <v>2</v>
      </c>
    </row>
    <row r="183" spans="1:33" s="526" customFormat="1" ht="29">
      <c r="A183" s="513">
        <v>181</v>
      </c>
      <c r="B183" s="514" t="s">
        <v>2729</v>
      </c>
      <c r="C183" s="515" t="s">
        <v>2729</v>
      </c>
      <c r="D183" s="262" t="s">
        <v>2128</v>
      </c>
      <c r="E183" s="513">
        <v>182</v>
      </c>
      <c r="F183" s="544" t="s">
        <v>2729</v>
      </c>
      <c r="G183" s="517">
        <v>45323</v>
      </c>
      <c r="H183" s="517">
        <v>45324</v>
      </c>
      <c r="I183" s="517">
        <v>45324</v>
      </c>
      <c r="J183" s="517">
        <v>45324</v>
      </c>
      <c r="K183" s="517">
        <v>45324</v>
      </c>
      <c r="L183" s="518" t="s">
        <v>533</v>
      </c>
      <c r="M183" s="264" t="s">
        <v>2587</v>
      </c>
      <c r="N183" s="262" t="s">
        <v>2177</v>
      </c>
      <c r="O183" s="390" t="s">
        <v>271</v>
      </c>
      <c r="P183" s="264" t="str">
        <f t="shared" si="6"/>
        <v>Pengharum Ruangan</v>
      </c>
      <c r="Q183" s="264" t="s">
        <v>2609</v>
      </c>
      <c r="R183" s="519" t="s">
        <v>2615</v>
      </c>
      <c r="S183" s="399">
        <v>10</v>
      </c>
      <c r="T183" s="348" t="s">
        <v>3363</v>
      </c>
      <c r="U183" s="520">
        <v>12100</v>
      </c>
      <c r="V183" s="266">
        <v>121000</v>
      </c>
      <c r="W183" s="521" t="s">
        <v>227</v>
      </c>
      <c r="X183" s="521" t="s">
        <v>3383</v>
      </c>
      <c r="Y183" s="522" t="s">
        <v>2512</v>
      </c>
      <c r="Z183" s="523" t="s">
        <v>541</v>
      </c>
      <c r="AA183" s="521"/>
      <c r="AB183" s="521"/>
      <c r="AC183" s="521"/>
      <c r="AD183" s="521"/>
      <c r="AE183" s="521"/>
      <c r="AF183" s="521"/>
      <c r="AG183" s="264">
        <v>2</v>
      </c>
    </row>
    <row r="184" spans="1:33" s="526" customFormat="1" ht="29">
      <c r="A184" s="513">
        <v>182</v>
      </c>
      <c r="B184" s="514" t="s">
        <v>2729</v>
      </c>
      <c r="C184" s="515" t="s">
        <v>2729</v>
      </c>
      <c r="D184" s="262" t="s">
        <v>2128</v>
      </c>
      <c r="E184" s="513">
        <v>183</v>
      </c>
      <c r="F184" s="544" t="s">
        <v>2729</v>
      </c>
      <c r="G184" s="517">
        <v>45323</v>
      </c>
      <c r="H184" s="517">
        <v>45324</v>
      </c>
      <c r="I184" s="517">
        <v>45324</v>
      </c>
      <c r="J184" s="517">
        <v>45324</v>
      </c>
      <c r="K184" s="517">
        <v>45324</v>
      </c>
      <c r="L184" s="518" t="s">
        <v>533</v>
      </c>
      <c r="M184" s="264" t="s">
        <v>2587</v>
      </c>
      <c r="N184" s="262" t="s">
        <v>2177</v>
      </c>
      <c r="O184" s="390" t="s">
        <v>2268</v>
      </c>
      <c r="P184" s="264" t="str">
        <f t="shared" si="6"/>
        <v>Perlengkapan Kebersihan Pembersih Pakaian Sunlight Refil 800ml</v>
      </c>
      <c r="Q184" s="264" t="s">
        <v>2609</v>
      </c>
      <c r="R184" s="525" t="s">
        <v>2616</v>
      </c>
      <c r="S184" s="399">
        <v>3</v>
      </c>
      <c r="T184" s="348" t="s">
        <v>3363</v>
      </c>
      <c r="U184" s="520">
        <v>15000</v>
      </c>
      <c r="V184" s="266">
        <v>45000</v>
      </c>
      <c r="W184" s="521" t="s">
        <v>227</v>
      </c>
      <c r="X184" s="521" t="s">
        <v>3383</v>
      </c>
      <c r="Y184" s="522" t="s">
        <v>2512</v>
      </c>
      <c r="Z184" s="523" t="s">
        <v>541</v>
      </c>
      <c r="AA184" s="521"/>
      <c r="AB184" s="521"/>
      <c r="AC184" s="521"/>
      <c r="AD184" s="521"/>
      <c r="AE184" s="521"/>
      <c r="AF184" s="521"/>
      <c r="AG184" s="264">
        <v>2</v>
      </c>
    </row>
    <row r="185" spans="1:33" s="526" customFormat="1" ht="29">
      <c r="A185" s="513">
        <v>183</v>
      </c>
      <c r="B185" s="514" t="s">
        <v>2729</v>
      </c>
      <c r="C185" s="515" t="s">
        <v>2729</v>
      </c>
      <c r="D185" s="262" t="s">
        <v>2128</v>
      </c>
      <c r="E185" s="513">
        <v>184</v>
      </c>
      <c r="F185" s="544" t="s">
        <v>2729</v>
      </c>
      <c r="G185" s="517">
        <v>45323</v>
      </c>
      <c r="H185" s="517">
        <v>45324</v>
      </c>
      <c r="I185" s="517">
        <v>45324</v>
      </c>
      <c r="J185" s="517">
        <v>45324</v>
      </c>
      <c r="K185" s="517">
        <v>45324</v>
      </c>
      <c r="L185" s="518" t="s">
        <v>533</v>
      </c>
      <c r="M185" s="264" t="s">
        <v>2587</v>
      </c>
      <c r="N185" s="262" t="s">
        <v>2177</v>
      </c>
      <c r="O185" s="390" t="s">
        <v>276</v>
      </c>
      <c r="P185" s="264" t="str">
        <f t="shared" si="6"/>
        <v>vixal 500ml</v>
      </c>
      <c r="Q185" s="264" t="s">
        <v>2609</v>
      </c>
      <c r="R185" s="519" t="s">
        <v>2566</v>
      </c>
      <c r="S185" s="399">
        <v>10</v>
      </c>
      <c r="T185" s="348" t="s">
        <v>3367</v>
      </c>
      <c r="U185" s="520">
        <v>30000</v>
      </c>
      <c r="V185" s="266">
        <v>300000</v>
      </c>
      <c r="W185" s="521" t="s">
        <v>227</v>
      </c>
      <c r="X185" s="521" t="s">
        <v>3383</v>
      </c>
      <c r="Y185" s="522" t="s">
        <v>2512</v>
      </c>
      <c r="Z185" s="523" t="s">
        <v>541</v>
      </c>
      <c r="AA185" s="521"/>
      <c r="AB185" s="521"/>
      <c r="AC185" s="521"/>
      <c r="AD185" s="521"/>
      <c r="AE185" s="521"/>
      <c r="AF185" s="521"/>
      <c r="AG185" s="264">
        <v>2</v>
      </c>
    </row>
    <row r="186" spans="1:33" s="526" customFormat="1" ht="43.5">
      <c r="A186" s="513">
        <v>184</v>
      </c>
      <c r="B186" s="514" t="s">
        <v>2729</v>
      </c>
      <c r="C186" s="515" t="s">
        <v>2729</v>
      </c>
      <c r="D186" s="262" t="s">
        <v>2128</v>
      </c>
      <c r="E186" s="513">
        <v>185</v>
      </c>
      <c r="F186" s="544" t="s">
        <v>2729</v>
      </c>
      <c r="G186" s="517">
        <v>45323</v>
      </c>
      <c r="H186" s="517">
        <v>45324</v>
      </c>
      <c r="I186" s="517">
        <v>45324</v>
      </c>
      <c r="J186" s="517">
        <v>45324</v>
      </c>
      <c r="K186" s="517">
        <v>45324</v>
      </c>
      <c r="L186" s="518" t="s">
        <v>533</v>
      </c>
      <c r="M186" s="264" t="s">
        <v>2587</v>
      </c>
      <c r="N186" s="262" t="s">
        <v>2177</v>
      </c>
      <c r="O186" s="390" t="s">
        <v>274</v>
      </c>
      <c r="P186" s="264" t="str">
        <f t="shared" si="6"/>
        <v>Spon Cuci</v>
      </c>
      <c r="Q186" s="264" t="s">
        <v>2609</v>
      </c>
      <c r="R186" s="519" t="s">
        <v>2617</v>
      </c>
      <c r="S186" s="399">
        <v>5</v>
      </c>
      <c r="T186" s="348" t="s">
        <v>3363</v>
      </c>
      <c r="U186" s="520">
        <v>12000</v>
      </c>
      <c r="V186" s="266">
        <v>60000</v>
      </c>
      <c r="W186" s="521" t="s">
        <v>227</v>
      </c>
      <c r="X186" s="521" t="s">
        <v>3383</v>
      </c>
      <c r="Y186" s="522" t="s">
        <v>2512</v>
      </c>
      <c r="Z186" s="523" t="s">
        <v>541</v>
      </c>
      <c r="AA186" s="521"/>
      <c r="AB186" s="521"/>
      <c r="AC186" s="521"/>
      <c r="AD186" s="521"/>
      <c r="AE186" s="521"/>
      <c r="AF186" s="521"/>
      <c r="AG186" s="264">
        <v>2</v>
      </c>
    </row>
    <row r="187" spans="1:33" s="526" customFormat="1" ht="29">
      <c r="A187" s="513">
        <v>185</v>
      </c>
      <c r="B187" s="514" t="s">
        <v>2729</v>
      </c>
      <c r="C187" s="515" t="s">
        <v>2729</v>
      </c>
      <c r="D187" s="262" t="s">
        <v>2128</v>
      </c>
      <c r="E187" s="513">
        <v>186</v>
      </c>
      <c r="F187" s="544" t="s">
        <v>2729</v>
      </c>
      <c r="G187" s="517">
        <v>45323</v>
      </c>
      <c r="H187" s="517">
        <v>45324</v>
      </c>
      <c r="I187" s="517">
        <v>45324</v>
      </c>
      <c r="J187" s="517">
        <v>45324</v>
      </c>
      <c r="K187" s="517">
        <v>45324</v>
      </c>
      <c r="L187" s="518" t="s">
        <v>533</v>
      </c>
      <c r="M187" s="264" t="s">
        <v>2587</v>
      </c>
      <c r="N187" s="262" t="s">
        <v>2177</v>
      </c>
      <c r="O187" s="390" t="s">
        <v>2269</v>
      </c>
      <c r="P187" s="264" t="str">
        <f t="shared" si="6"/>
        <v>Tisu--</v>
      </c>
      <c r="Q187" s="264" t="s">
        <v>2609</v>
      </c>
      <c r="R187" s="519" t="s">
        <v>537</v>
      </c>
      <c r="S187" s="399">
        <v>12</v>
      </c>
      <c r="T187" s="348" t="s">
        <v>3363</v>
      </c>
      <c r="U187" s="520">
        <v>12500</v>
      </c>
      <c r="V187" s="266">
        <v>150000</v>
      </c>
      <c r="W187" s="521" t="s">
        <v>227</v>
      </c>
      <c r="X187" s="521" t="s">
        <v>3383</v>
      </c>
      <c r="Y187" s="522" t="s">
        <v>2512</v>
      </c>
      <c r="Z187" s="523" t="s">
        <v>541</v>
      </c>
      <c r="AA187" s="521"/>
      <c r="AB187" s="521"/>
      <c r="AC187" s="521"/>
      <c r="AD187" s="521"/>
      <c r="AE187" s="521"/>
      <c r="AF187" s="521"/>
      <c r="AG187" s="264">
        <v>2</v>
      </c>
    </row>
    <row r="188" spans="1:33" s="526" customFormat="1" ht="29">
      <c r="A188" s="513">
        <v>186</v>
      </c>
      <c r="B188" s="514" t="s">
        <v>2729</v>
      </c>
      <c r="C188" s="515" t="s">
        <v>2729</v>
      </c>
      <c r="D188" s="262" t="s">
        <v>2128</v>
      </c>
      <c r="E188" s="513">
        <v>187</v>
      </c>
      <c r="F188" s="544" t="s">
        <v>2729</v>
      </c>
      <c r="G188" s="517">
        <v>45323</v>
      </c>
      <c r="H188" s="517">
        <v>45324</v>
      </c>
      <c r="I188" s="517">
        <v>45324</v>
      </c>
      <c r="J188" s="517">
        <v>45324</v>
      </c>
      <c r="K188" s="517">
        <v>45324</v>
      </c>
      <c r="L188" s="518" t="s">
        <v>533</v>
      </c>
      <c r="M188" s="264" t="s">
        <v>2587</v>
      </c>
      <c r="N188" s="262" t="s">
        <v>2177</v>
      </c>
      <c r="O188" s="390" t="s">
        <v>2270</v>
      </c>
      <c r="P188" s="264" t="str">
        <f t="shared" si="6"/>
        <v>Cairan Pembersih Kaca</v>
      </c>
      <c r="Q188" s="264" t="s">
        <v>2609</v>
      </c>
      <c r="R188" s="525" t="s">
        <v>2618</v>
      </c>
      <c r="S188" s="399">
        <v>5</v>
      </c>
      <c r="T188" s="348" t="s">
        <v>3363</v>
      </c>
      <c r="U188" s="520">
        <v>12000</v>
      </c>
      <c r="V188" s="266">
        <v>60000</v>
      </c>
      <c r="W188" s="521" t="s">
        <v>227</v>
      </c>
      <c r="X188" s="521" t="s">
        <v>3383</v>
      </c>
      <c r="Y188" s="522" t="s">
        <v>2512</v>
      </c>
      <c r="Z188" s="523" t="s">
        <v>541</v>
      </c>
      <c r="AA188" s="521"/>
      <c r="AB188" s="521"/>
      <c r="AC188" s="521"/>
      <c r="AD188" s="521"/>
      <c r="AE188" s="521"/>
      <c r="AF188" s="521"/>
      <c r="AG188" s="264">
        <v>2</v>
      </c>
    </row>
    <row r="189" spans="1:33" s="526" customFormat="1" ht="29">
      <c r="A189" s="513">
        <v>187</v>
      </c>
      <c r="B189" s="514" t="s">
        <v>2729</v>
      </c>
      <c r="C189" s="515" t="s">
        <v>2729</v>
      </c>
      <c r="D189" s="262" t="s">
        <v>2128</v>
      </c>
      <c r="E189" s="513">
        <v>188</v>
      </c>
      <c r="F189" s="544" t="s">
        <v>2729</v>
      </c>
      <c r="G189" s="517">
        <v>45323</v>
      </c>
      <c r="H189" s="517">
        <v>45324</v>
      </c>
      <c r="I189" s="517">
        <v>45324</v>
      </c>
      <c r="J189" s="517">
        <v>45324</v>
      </c>
      <c r="K189" s="517">
        <v>45324</v>
      </c>
      <c r="L189" s="518" t="s">
        <v>533</v>
      </c>
      <c r="M189" s="264" t="s">
        <v>2587</v>
      </c>
      <c r="N189" s="262" t="s">
        <v>2177</v>
      </c>
      <c r="O189" s="390" t="s">
        <v>2272</v>
      </c>
      <c r="P189" s="264" t="str">
        <f t="shared" si="6"/>
        <v>Hand Sanitizer-Unit</v>
      </c>
      <c r="Q189" s="264" t="s">
        <v>2609</v>
      </c>
      <c r="R189" s="524" t="s">
        <v>2621</v>
      </c>
      <c r="S189" s="399">
        <v>5</v>
      </c>
      <c r="T189" s="348" t="s">
        <v>3371</v>
      </c>
      <c r="U189" s="520">
        <v>70000</v>
      </c>
      <c r="V189" s="266">
        <v>350000</v>
      </c>
      <c r="W189" s="521" t="s">
        <v>227</v>
      </c>
      <c r="X189" s="521" t="s">
        <v>3383</v>
      </c>
      <c r="Y189" s="522" t="s">
        <v>2512</v>
      </c>
      <c r="Z189" s="523" t="s">
        <v>541</v>
      </c>
      <c r="AA189" s="521"/>
      <c r="AB189" s="521"/>
      <c r="AC189" s="521"/>
      <c r="AD189" s="521"/>
      <c r="AE189" s="521"/>
      <c r="AF189" s="521"/>
      <c r="AG189" s="264">
        <v>2</v>
      </c>
    </row>
    <row r="190" spans="1:33" s="526" customFormat="1" ht="29">
      <c r="A190" s="406">
        <v>188</v>
      </c>
      <c r="B190" s="514" t="s">
        <v>2730</v>
      </c>
      <c r="C190" s="515" t="s">
        <v>2730</v>
      </c>
      <c r="D190" s="352" t="s">
        <v>2731</v>
      </c>
      <c r="E190" s="406">
        <v>189</v>
      </c>
      <c r="F190" s="549" t="s">
        <v>2730</v>
      </c>
      <c r="G190" s="550">
        <v>45323</v>
      </c>
      <c r="H190" s="550">
        <v>45324</v>
      </c>
      <c r="I190" s="550">
        <v>45326</v>
      </c>
      <c r="J190" s="550">
        <v>45326</v>
      </c>
      <c r="K190" s="550">
        <v>45329</v>
      </c>
      <c r="L190" s="552" t="s">
        <v>1347</v>
      </c>
      <c r="M190" s="355" t="s">
        <v>2646</v>
      </c>
      <c r="N190" s="352" t="s">
        <v>2191</v>
      </c>
      <c r="O190" s="387" t="s">
        <v>2732</v>
      </c>
      <c r="P190" s="355" t="str">
        <f t="shared" si="6"/>
        <v>Passive Speaker</v>
      </c>
      <c r="Q190" s="355" t="s">
        <v>2733</v>
      </c>
      <c r="R190" s="553"/>
      <c r="S190" s="400">
        <v>2</v>
      </c>
      <c r="T190" s="401" t="s">
        <v>3371</v>
      </c>
      <c r="U190" s="450">
        <v>10800000</v>
      </c>
      <c r="V190" s="403">
        <v>21600000</v>
      </c>
      <c r="W190" s="554" t="s">
        <v>2521</v>
      </c>
      <c r="X190" s="554" t="s">
        <v>2721</v>
      </c>
      <c r="Y190" s="555" t="s">
        <v>2722</v>
      </c>
      <c r="Z190" s="556" t="s">
        <v>2723</v>
      </c>
      <c r="AA190" s="521"/>
      <c r="AB190" s="521"/>
      <c r="AC190" s="521"/>
      <c r="AD190" s="521"/>
      <c r="AE190" s="521"/>
      <c r="AF190" s="521"/>
      <c r="AG190" s="264">
        <v>2</v>
      </c>
    </row>
    <row r="191" spans="1:33" s="526" customFormat="1" ht="29">
      <c r="A191" s="406">
        <v>189</v>
      </c>
      <c r="B191" s="514" t="s">
        <v>2730</v>
      </c>
      <c r="C191" s="515" t="s">
        <v>2730</v>
      </c>
      <c r="D191" s="352" t="s">
        <v>2734</v>
      </c>
      <c r="E191" s="406">
        <v>190</v>
      </c>
      <c r="F191" s="549" t="s">
        <v>2730</v>
      </c>
      <c r="G191" s="550">
        <v>45323</v>
      </c>
      <c r="H191" s="550">
        <v>45324</v>
      </c>
      <c r="I191" s="550">
        <v>45326</v>
      </c>
      <c r="J191" s="550">
        <v>45326</v>
      </c>
      <c r="K191" s="550">
        <v>45329</v>
      </c>
      <c r="L191" s="552" t="s">
        <v>2735</v>
      </c>
      <c r="M191" s="355" t="s">
        <v>2646</v>
      </c>
      <c r="N191" s="352" t="s">
        <v>2191</v>
      </c>
      <c r="O191" s="387" t="s">
        <v>2736</v>
      </c>
      <c r="P191" s="355" t="str">
        <f t="shared" si="6"/>
        <v>microphone wireless-mic sennheiser skm 5300 wireless microphone ( gold edition )</v>
      </c>
      <c r="Q191" s="355" t="s">
        <v>2733</v>
      </c>
      <c r="R191" s="553"/>
      <c r="S191" s="400">
        <v>2</v>
      </c>
      <c r="T191" s="401" t="s">
        <v>3363</v>
      </c>
      <c r="U191" s="450">
        <v>1450000</v>
      </c>
      <c r="V191" s="403">
        <v>2900000</v>
      </c>
      <c r="W191" s="554" t="s">
        <v>2521</v>
      </c>
      <c r="X191" s="554" t="s">
        <v>2721</v>
      </c>
      <c r="Y191" s="555" t="s">
        <v>2722</v>
      </c>
      <c r="Z191" s="556" t="s">
        <v>2723</v>
      </c>
      <c r="AA191" s="521"/>
      <c r="AB191" s="521"/>
      <c r="AC191" s="521"/>
      <c r="AD191" s="521"/>
      <c r="AE191" s="521"/>
      <c r="AF191" s="521"/>
      <c r="AG191" s="264">
        <v>2</v>
      </c>
    </row>
    <row r="192" spans="1:33" s="526" customFormat="1" ht="29">
      <c r="A192" s="406">
        <v>190</v>
      </c>
      <c r="B192" s="514" t="s">
        <v>2737</v>
      </c>
      <c r="C192" s="515" t="s">
        <v>2737</v>
      </c>
      <c r="D192" s="352" t="s">
        <v>2738</v>
      </c>
      <c r="E192" s="406">
        <v>191</v>
      </c>
      <c r="F192" s="549" t="s">
        <v>2737</v>
      </c>
      <c r="G192" s="550">
        <v>45323</v>
      </c>
      <c r="H192" s="550">
        <v>45326</v>
      </c>
      <c r="I192" s="550">
        <v>45328</v>
      </c>
      <c r="J192" s="550">
        <v>45328</v>
      </c>
      <c r="K192" s="550">
        <v>45329</v>
      </c>
      <c r="L192" s="552" t="s">
        <v>2739</v>
      </c>
      <c r="M192" s="355" t="s">
        <v>2646</v>
      </c>
      <c r="N192" s="352" t="s">
        <v>2740</v>
      </c>
      <c r="O192" s="387" t="s">
        <v>2741</v>
      </c>
      <c r="P192" s="355" t="str">
        <f t="shared" si="6"/>
        <v>Dispencer</v>
      </c>
      <c r="Q192" s="355" t="s">
        <v>2733</v>
      </c>
      <c r="R192" s="553"/>
      <c r="S192" s="400">
        <v>12</v>
      </c>
      <c r="T192" s="401" t="s">
        <v>3371</v>
      </c>
      <c r="U192" s="450">
        <v>624900</v>
      </c>
      <c r="V192" s="403">
        <v>7498800</v>
      </c>
      <c r="W192" s="554" t="s">
        <v>2521</v>
      </c>
      <c r="X192" s="554" t="s">
        <v>2721</v>
      </c>
      <c r="Y192" s="555" t="s">
        <v>2722</v>
      </c>
      <c r="Z192" s="556" t="s">
        <v>2723</v>
      </c>
      <c r="AA192" s="521"/>
      <c r="AB192" s="521"/>
      <c r="AC192" s="521"/>
      <c r="AD192" s="521"/>
      <c r="AE192" s="521"/>
      <c r="AF192" s="521"/>
      <c r="AG192" s="264">
        <v>2</v>
      </c>
    </row>
    <row r="193" spans="1:33" s="526" customFormat="1" ht="29">
      <c r="A193" s="406">
        <v>191</v>
      </c>
      <c r="B193" s="514" t="s">
        <v>2742</v>
      </c>
      <c r="C193" s="515" t="s">
        <v>2742</v>
      </c>
      <c r="D193" s="352" t="s">
        <v>2743</v>
      </c>
      <c r="E193" s="406">
        <v>192</v>
      </c>
      <c r="F193" s="549" t="s">
        <v>2742</v>
      </c>
      <c r="G193" s="550">
        <v>45323</v>
      </c>
      <c r="H193" s="550">
        <v>45326</v>
      </c>
      <c r="I193" s="550">
        <v>45328</v>
      </c>
      <c r="J193" s="550">
        <v>45328</v>
      </c>
      <c r="K193" s="550">
        <v>45329</v>
      </c>
      <c r="L193" s="552" t="s">
        <v>1528</v>
      </c>
      <c r="M193" s="355" t="s">
        <v>2646</v>
      </c>
      <c r="N193" s="352" t="s">
        <v>2192</v>
      </c>
      <c r="O193" s="387" t="s">
        <v>2744</v>
      </c>
      <c r="P193" s="355" t="str">
        <f t="shared" si="6"/>
        <v>Pengadaan Gagang Pintu Satu Set</v>
      </c>
      <c r="Q193" s="355" t="s">
        <v>2733</v>
      </c>
      <c r="R193" s="553"/>
      <c r="S193" s="400">
        <v>15</v>
      </c>
      <c r="T193" s="401" t="s">
        <v>3363</v>
      </c>
      <c r="U193" s="450">
        <v>650000</v>
      </c>
      <c r="V193" s="403">
        <v>9750000</v>
      </c>
      <c r="W193" s="554" t="s">
        <v>2521</v>
      </c>
      <c r="X193" s="554" t="s">
        <v>2721</v>
      </c>
      <c r="Y193" s="555" t="s">
        <v>2722</v>
      </c>
      <c r="Z193" s="556" t="s">
        <v>2723</v>
      </c>
      <c r="AA193" s="521"/>
      <c r="AB193" s="521"/>
      <c r="AC193" s="521"/>
      <c r="AD193" s="521"/>
      <c r="AE193" s="521"/>
      <c r="AF193" s="521"/>
      <c r="AG193" s="264">
        <v>2</v>
      </c>
    </row>
    <row r="194" spans="1:33" s="526" customFormat="1" ht="29">
      <c r="A194" s="513">
        <v>192</v>
      </c>
      <c r="B194" s="514" t="s">
        <v>2745</v>
      </c>
      <c r="C194" s="515" t="s">
        <v>2745</v>
      </c>
      <c r="D194" s="262" t="s">
        <v>569</v>
      </c>
      <c r="E194" s="513">
        <v>193</v>
      </c>
      <c r="F194" s="544" t="s">
        <v>2745</v>
      </c>
      <c r="G194" s="517">
        <v>45326</v>
      </c>
      <c r="H194" s="557">
        <v>45327</v>
      </c>
      <c r="I194" s="557">
        <v>45327</v>
      </c>
      <c r="J194" s="557">
        <v>45327</v>
      </c>
      <c r="K194" s="517">
        <v>45341</v>
      </c>
      <c r="L194" s="518" t="s">
        <v>2180</v>
      </c>
      <c r="M194" s="264" t="s">
        <v>2649</v>
      </c>
      <c r="N194" s="262" t="s">
        <v>2193</v>
      </c>
      <c r="O194" s="390" t="s">
        <v>2298</v>
      </c>
      <c r="P194" s="264" t="s">
        <v>2633</v>
      </c>
      <c r="Q194" s="264" t="s">
        <v>280</v>
      </c>
      <c r="R194" s="528" t="s">
        <v>165</v>
      </c>
      <c r="S194" s="399">
        <v>90</v>
      </c>
      <c r="T194" s="348" t="s">
        <v>3362</v>
      </c>
      <c r="U194" s="520">
        <v>15000</v>
      </c>
      <c r="V194" s="266">
        <v>1350000</v>
      </c>
      <c r="W194" s="521" t="s">
        <v>10</v>
      </c>
      <c r="X194" s="521" t="s">
        <v>11</v>
      </c>
      <c r="Y194" s="522" t="s">
        <v>2092</v>
      </c>
      <c r="Z194" s="523" t="s">
        <v>2634</v>
      </c>
      <c r="AA194" s="521"/>
      <c r="AB194" s="521"/>
      <c r="AC194" s="521"/>
      <c r="AD194" s="521"/>
      <c r="AE194" s="521"/>
      <c r="AF194" s="521"/>
      <c r="AG194" s="264">
        <v>2</v>
      </c>
    </row>
    <row r="195" spans="1:33" s="526" customFormat="1" ht="29">
      <c r="A195" s="513">
        <v>193</v>
      </c>
      <c r="B195" s="514" t="s">
        <v>2746</v>
      </c>
      <c r="C195" s="515" t="s">
        <v>2746</v>
      </c>
      <c r="D195" s="262" t="s">
        <v>576</v>
      </c>
      <c r="E195" s="513">
        <v>194</v>
      </c>
      <c r="F195" s="544" t="s">
        <v>2746</v>
      </c>
      <c r="G195" s="517">
        <v>45326</v>
      </c>
      <c r="H195" s="557">
        <v>45327</v>
      </c>
      <c r="I195" s="557">
        <v>45327</v>
      </c>
      <c r="J195" s="557">
        <v>45327</v>
      </c>
      <c r="K195" s="517">
        <v>45341</v>
      </c>
      <c r="L195" s="518" t="s">
        <v>2180</v>
      </c>
      <c r="M195" s="264" t="s">
        <v>2649</v>
      </c>
      <c r="N195" s="262" t="s">
        <v>2193</v>
      </c>
      <c r="O195" s="390" t="s">
        <v>2299</v>
      </c>
      <c r="P195" s="264" t="s">
        <v>467</v>
      </c>
      <c r="Q195" s="264" t="s">
        <v>8</v>
      </c>
      <c r="R195" s="519" t="s">
        <v>2635</v>
      </c>
      <c r="S195" s="399">
        <v>90</v>
      </c>
      <c r="T195" s="348" t="s">
        <v>3362</v>
      </c>
      <c r="U195" s="520">
        <v>40000</v>
      </c>
      <c r="V195" s="266">
        <v>3600000</v>
      </c>
      <c r="W195" s="521" t="s">
        <v>2507</v>
      </c>
      <c r="X195" s="521" t="s">
        <v>2508</v>
      </c>
      <c r="Y195" s="522" t="s">
        <v>2516</v>
      </c>
      <c r="Z195" s="523" t="s">
        <v>2636</v>
      </c>
      <c r="AA195" s="521"/>
      <c r="AB195" s="521"/>
      <c r="AC195" s="521"/>
      <c r="AD195" s="521"/>
      <c r="AE195" s="521"/>
      <c r="AF195" s="521"/>
      <c r="AG195" s="264">
        <v>2</v>
      </c>
    </row>
    <row r="196" spans="1:33" s="526" customFormat="1" ht="29">
      <c r="A196" s="513">
        <v>194</v>
      </c>
      <c r="B196" s="514" t="s">
        <v>2747</v>
      </c>
      <c r="C196" s="515" t="s">
        <v>2747</v>
      </c>
      <c r="D196" s="262" t="s">
        <v>580</v>
      </c>
      <c r="E196" s="513">
        <v>195</v>
      </c>
      <c r="F196" s="544" t="s">
        <v>2747</v>
      </c>
      <c r="G196" s="517">
        <v>45338</v>
      </c>
      <c r="H196" s="557">
        <v>45339</v>
      </c>
      <c r="I196" s="557">
        <v>45339</v>
      </c>
      <c r="J196" s="557">
        <v>45339</v>
      </c>
      <c r="K196" s="517">
        <v>45341</v>
      </c>
      <c r="L196" s="518" t="s">
        <v>571</v>
      </c>
      <c r="M196" s="264" t="s">
        <v>2649</v>
      </c>
      <c r="N196" s="262" t="s">
        <v>2185</v>
      </c>
      <c r="O196" s="390" t="s">
        <v>2287</v>
      </c>
      <c r="P196" s="264" t="str">
        <f>O196</f>
        <v>Spanduk Uk. 1 x 6 meter-</v>
      </c>
      <c r="Q196" s="264" t="s">
        <v>2650</v>
      </c>
      <c r="R196" s="528" t="s">
        <v>2651</v>
      </c>
      <c r="S196" s="399">
        <v>2</v>
      </c>
      <c r="T196" s="348" t="s">
        <v>3363</v>
      </c>
      <c r="U196" s="520">
        <v>300000</v>
      </c>
      <c r="V196" s="266">
        <v>600000</v>
      </c>
      <c r="W196" s="521" t="s">
        <v>2652</v>
      </c>
      <c r="X196" s="521" t="s">
        <v>2653</v>
      </c>
      <c r="Y196" s="522" t="s">
        <v>2512</v>
      </c>
      <c r="Z196" s="523" t="s">
        <v>541</v>
      </c>
      <c r="AA196" s="521"/>
      <c r="AB196" s="521"/>
      <c r="AC196" s="521"/>
      <c r="AD196" s="521"/>
      <c r="AE196" s="521"/>
      <c r="AF196" s="521"/>
      <c r="AG196" s="264">
        <v>2</v>
      </c>
    </row>
    <row r="197" spans="1:33" s="526" customFormat="1" ht="37.5">
      <c r="A197" s="513">
        <v>195</v>
      </c>
      <c r="B197" s="514" t="s">
        <v>2748</v>
      </c>
      <c r="C197" s="515" t="s">
        <v>2748</v>
      </c>
      <c r="D197" s="262" t="s">
        <v>582</v>
      </c>
      <c r="E197" s="513">
        <v>196</v>
      </c>
      <c r="F197" s="544" t="s">
        <v>2748</v>
      </c>
      <c r="G197" s="517">
        <v>45338</v>
      </c>
      <c r="H197" s="557">
        <v>45339</v>
      </c>
      <c r="I197" s="557">
        <v>45339</v>
      </c>
      <c r="J197" s="557">
        <v>45339</v>
      </c>
      <c r="K197" s="517">
        <v>45341</v>
      </c>
      <c r="L197" s="518" t="s">
        <v>2180</v>
      </c>
      <c r="M197" s="264" t="s">
        <v>2640</v>
      </c>
      <c r="N197" s="262" t="s">
        <v>2194</v>
      </c>
      <c r="O197" s="390" t="s">
        <v>2300</v>
      </c>
      <c r="P197" s="264" t="s">
        <v>2633</v>
      </c>
      <c r="Q197" s="264" t="s">
        <v>280</v>
      </c>
      <c r="R197" s="528" t="s">
        <v>165</v>
      </c>
      <c r="S197" s="399">
        <v>360</v>
      </c>
      <c r="T197" s="348" t="s">
        <v>3362</v>
      </c>
      <c r="U197" s="520">
        <v>15000</v>
      </c>
      <c r="V197" s="266">
        <v>5400000</v>
      </c>
      <c r="W197" s="521" t="s">
        <v>10</v>
      </c>
      <c r="X197" s="521" t="s">
        <v>11</v>
      </c>
      <c r="Y197" s="522" t="s">
        <v>2092</v>
      </c>
      <c r="Z197" s="523" t="s">
        <v>2634</v>
      </c>
      <c r="AA197" s="521"/>
      <c r="AB197" s="521"/>
      <c r="AC197" s="521"/>
      <c r="AD197" s="521"/>
      <c r="AE197" s="521"/>
      <c r="AF197" s="521"/>
      <c r="AG197" s="264">
        <v>2</v>
      </c>
    </row>
    <row r="198" spans="1:33" s="526" customFormat="1" ht="37.5">
      <c r="A198" s="513">
        <v>196</v>
      </c>
      <c r="B198" s="514" t="s">
        <v>2749</v>
      </c>
      <c r="C198" s="515" t="s">
        <v>2749</v>
      </c>
      <c r="D198" s="262" t="s">
        <v>588</v>
      </c>
      <c r="E198" s="513">
        <v>197</v>
      </c>
      <c r="F198" s="544" t="s">
        <v>2749</v>
      </c>
      <c r="G198" s="517">
        <v>45338</v>
      </c>
      <c r="H198" s="557">
        <v>45339</v>
      </c>
      <c r="I198" s="557">
        <v>45339</v>
      </c>
      <c r="J198" s="557">
        <v>45339</v>
      </c>
      <c r="K198" s="517">
        <v>45341</v>
      </c>
      <c r="L198" s="518" t="s">
        <v>2180</v>
      </c>
      <c r="M198" s="264" t="s">
        <v>2640</v>
      </c>
      <c r="N198" s="262" t="s">
        <v>2194</v>
      </c>
      <c r="O198" s="390" t="s">
        <v>2301</v>
      </c>
      <c r="P198" s="264" t="s">
        <v>467</v>
      </c>
      <c r="Q198" s="264" t="s">
        <v>8</v>
      </c>
      <c r="R198" s="519" t="s">
        <v>2635</v>
      </c>
      <c r="S198" s="399">
        <v>180</v>
      </c>
      <c r="T198" s="348" t="s">
        <v>3362</v>
      </c>
      <c r="U198" s="520">
        <v>40000</v>
      </c>
      <c r="V198" s="266">
        <v>7200000</v>
      </c>
      <c r="W198" s="521" t="s">
        <v>2507</v>
      </c>
      <c r="X198" s="521" t="s">
        <v>2508</v>
      </c>
      <c r="Y198" s="522" t="s">
        <v>2516</v>
      </c>
      <c r="Z198" s="523" t="s">
        <v>2636</v>
      </c>
      <c r="AA198" s="521"/>
      <c r="AB198" s="521"/>
      <c r="AC198" s="521"/>
      <c r="AD198" s="521"/>
      <c r="AE198" s="521"/>
      <c r="AF198" s="521"/>
      <c r="AG198" s="264">
        <v>2</v>
      </c>
    </row>
    <row r="199" spans="1:33" s="526" customFormat="1" ht="29">
      <c r="A199" s="513">
        <v>197</v>
      </c>
      <c r="B199" s="514" t="s">
        <v>2750</v>
      </c>
      <c r="C199" s="515" t="s">
        <v>2750</v>
      </c>
      <c r="D199" s="262" t="s">
        <v>593</v>
      </c>
      <c r="E199" s="513">
        <v>198</v>
      </c>
      <c r="F199" s="544" t="s">
        <v>2750</v>
      </c>
      <c r="G199" s="517">
        <v>45341</v>
      </c>
      <c r="H199" s="517">
        <v>45341</v>
      </c>
      <c r="I199" s="517">
        <v>45341</v>
      </c>
      <c r="J199" s="517">
        <v>45341</v>
      </c>
      <c r="K199" s="517">
        <v>45341</v>
      </c>
      <c r="L199" s="518" t="s">
        <v>584</v>
      </c>
      <c r="M199" s="264" t="s">
        <v>2663</v>
      </c>
      <c r="N199" s="262" t="s">
        <v>2186</v>
      </c>
      <c r="O199" s="390" t="s">
        <v>2291</v>
      </c>
      <c r="P199" s="264" t="str">
        <f>O199</f>
        <v>Biaya Rekening Listrik--</v>
      </c>
      <c r="Q199" s="264" t="s">
        <v>2664</v>
      </c>
      <c r="R199" s="519" t="s">
        <v>2665</v>
      </c>
      <c r="S199" s="399">
        <v>1</v>
      </c>
      <c r="T199" s="348" t="s">
        <v>3373</v>
      </c>
      <c r="U199" s="520">
        <v>2000000</v>
      </c>
      <c r="V199" s="266">
        <v>1360780</v>
      </c>
      <c r="W199" s="521" t="s">
        <v>2666</v>
      </c>
      <c r="X199" s="521" t="s">
        <v>2659</v>
      </c>
      <c r="Y199" s="522" t="s">
        <v>2660</v>
      </c>
      <c r="Z199" s="523" t="s">
        <v>2661</v>
      </c>
      <c r="AA199" s="521"/>
      <c r="AB199" s="521"/>
      <c r="AC199" s="521"/>
      <c r="AD199" s="521"/>
      <c r="AE199" s="521"/>
      <c r="AF199" s="521"/>
      <c r="AG199" s="264">
        <v>2</v>
      </c>
    </row>
    <row r="200" spans="1:33" s="526" customFormat="1" ht="29">
      <c r="A200" s="513">
        <v>198</v>
      </c>
      <c r="B200" s="514" t="s">
        <v>2751</v>
      </c>
      <c r="C200" s="515" t="s">
        <v>2751</v>
      </c>
      <c r="D200" s="262" t="s">
        <v>598</v>
      </c>
      <c r="E200" s="513">
        <v>199</v>
      </c>
      <c r="F200" s="544" t="s">
        <v>2751</v>
      </c>
      <c r="G200" s="517">
        <v>45341</v>
      </c>
      <c r="H200" s="517">
        <v>45341</v>
      </c>
      <c r="I200" s="517">
        <v>45341</v>
      </c>
      <c r="J200" s="517">
        <v>45341</v>
      </c>
      <c r="K200" s="517">
        <v>45341</v>
      </c>
      <c r="L200" s="518" t="s">
        <v>590</v>
      </c>
      <c r="M200" s="264" t="s">
        <v>2663</v>
      </c>
      <c r="N200" s="262" t="s">
        <v>2187</v>
      </c>
      <c r="O200" s="390" t="s">
        <v>2292</v>
      </c>
      <c r="P200" s="264" t="str">
        <f>O200</f>
        <v>Biaya Langganan Internet--</v>
      </c>
      <c r="Q200" s="264" t="s">
        <v>2668</v>
      </c>
      <c r="R200" s="519" t="s">
        <v>2669</v>
      </c>
      <c r="S200" s="399">
        <v>1</v>
      </c>
      <c r="T200" s="348" t="s">
        <v>3373</v>
      </c>
      <c r="U200" s="520">
        <v>1500000</v>
      </c>
      <c r="V200" s="266">
        <v>1179100</v>
      </c>
      <c r="W200" s="521" t="s">
        <v>3381</v>
      </c>
      <c r="X200" s="521" t="s">
        <v>2659</v>
      </c>
      <c r="Y200" s="522" t="s">
        <v>2660</v>
      </c>
      <c r="Z200" s="523" t="s">
        <v>2661</v>
      </c>
      <c r="AA200" s="521"/>
      <c r="AB200" s="521"/>
      <c r="AC200" s="521"/>
      <c r="AD200" s="521"/>
      <c r="AE200" s="521"/>
      <c r="AF200" s="521"/>
      <c r="AG200" s="264">
        <v>2</v>
      </c>
    </row>
    <row r="201" spans="1:33" s="526" customFormat="1" ht="29">
      <c r="A201" s="513">
        <v>199</v>
      </c>
      <c r="B201" s="514" t="s">
        <v>2752</v>
      </c>
      <c r="C201" s="515" t="s">
        <v>2752</v>
      </c>
      <c r="D201" s="262" t="s">
        <v>600</v>
      </c>
      <c r="E201" s="513">
        <v>200</v>
      </c>
      <c r="F201" s="544" t="s">
        <v>2752</v>
      </c>
      <c r="G201" s="557">
        <v>45323</v>
      </c>
      <c r="H201" s="557">
        <v>45323</v>
      </c>
      <c r="I201" s="557">
        <v>45348</v>
      </c>
      <c r="J201" s="557">
        <v>45348</v>
      </c>
      <c r="K201" s="517">
        <v>45348</v>
      </c>
      <c r="L201" s="518" t="s">
        <v>571</v>
      </c>
      <c r="M201" s="264" t="s">
        <v>2587</v>
      </c>
      <c r="N201" s="262" t="s">
        <v>2176</v>
      </c>
      <c r="O201" s="390" t="s">
        <v>9</v>
      </c>
      <c r="P201" s="264" t="str">
        <f>O201</f>
        <v>Foto Copy Filio dan Kuarto</v>
      </c>
      <c r="Q201" s="525" t="s">
        <v>2675</v>
      </c>
      <c r="R201" s="525" t="s">
        <v>2676</v>
      </c>
      <c r="S201" s="399">
        <v>4739</v>
      </c>
      <c r="T201" s="348" t="s">
        <v>3368</v>
      </c>
      <c r="U201" s="520">
        <v>350</v>
      </c>
      <c r="V201" s="266">
        <v>1732500</v>
      </c>
      <c r="W201" s="521" t="s">
        <v>227</v>
      </c>
      <c r="X201" s="521" t="s">
        <v>3383</v>
      </c>
      <c r="Y201" s="522" t="s">
        <v>2512</v>
      </c>
      <c r="Z201" s="523" t="s">
        <v>541</v>
      </c>
      <c r="AA201" s="521"/>
      <c r="AB201" s="521"/>
      <c r="AC201" s="521"/>
      <c r="AD201" s="521"/>
      <c r="AE201" s="521"/>
      <c r="AF201" s="521"/>
      <c r="AG201" s="264">
        <v>2</v>
      </c>
    </row>
    <row r="202" spans="1:33" s="526" customFormat="1" ht="29">
      <c r="A202" s="513">
        <v>200</v>
      </c>
      <c r="B202" s="514" t="s">
        <v>2753</v>
      </c>
      <c r="C202" s="515" t="s">
        <v>2753</v>
      </c>
      <c r="D202" s="262" t="s">
        <v>602</v>
      </c>
      <c r="E202" s="513">
        <v>201</v>
      </c>
      <c r="F202" s="544" t="s">
        <v>2753</v>
      </c>
      <c r="G202" s="557">
        <v>45348</v>
      </c>
      <c r="H202" s="557">
        <v>45348</v>
      </c>
      <c r="I202" s="557">
        <v>45348</v>
      </c>
      <c r="J202" s="557">
        <v>45348</v>
      </c>
      <c r="K202" s="517">
        <v>45348</v>
      </c>
      <c r="L202" s="518" t="s">
        <v>2180</v>
      </c>
      <c r="M202" s="264" t="s">
        <v>2643</v>
      </c>
      <c r="N202" s="262" t="s">
        <v>2183</v>
      </c>
      <c r="O202" s="390" t="s">
        <v>2285</v>
      </c>
      <c r="P202" s="264" t="s">
        <v>2442</v>
      </c>
      <c r="Q202" s="264" t="s">
        <v>1545</v>
      </c>
      <c r="R202" s="519" t="s">
        <v>163</v>
      </c>
      <c r="S202" s="399">
        <v>25</v>
      </c>
      <c r="T202" s="348" t="s">
        <v>3372</v>
      </c>
      <c r="U202" s="520">
        <v>50000</v>
      </c>
      <c r="V202" s="266">
        <v>1250000</v>
      </c>
      <c r="W202" s="521" t="s">
        <v>10</v>
      </c>
      <c r="X202" s="521" t="s">
        <v>11</v>
      </c>
      <c r="Y202" s="522" t="s">
        <v>2092</v>
      </c>
      <c r="Z202" s="523" t="s">
        <v>2634</v>
      </c>
      <c r="AA202" s="521"/>
      <c r="AB202" s="521"/>
      <c r="AC202" s="521"/>
      <c r="AD202" s="521"/>
      <c r="AE202" s="521"/>
      <c r="AF202" s="521"/>
      <c r="AG202" s="264">
        <v>2</v>
      </c>
    </row>
    <row r="203" spans="1:33" s="526" customFormat="1" ht="29">
      <c r="A203" s="513">
        <v>201</v>
      </c>
      <c r="B203" s="514" t="s">
        <v>2754</v>
      </c>
      <c r="C203" s="515" t="s">
        <v>2754</v>
      </c>
      <c r="D203" s="262" t="s">
        <v>609</v>
      </c>
      <c r="E203" s="513">
        <v>202</v>
      </c>
      <c r="F203" s="544" t="s">
        <v>2754</v>
      </c>
      <c r="G203" s="557">
        <v>45348</v>
      </c>
      <c r="H203" s="517">
        <v>45349</v>
      </c>
      <c r="I203" s="517">
        <v>45349</v>
      </c>
      <c r="J203" s="517">
        <v>45349</v>
      </c>
      <c r="K203" s="517">
        <v>45349</v>
      </c>
      <c r="L203" s="518" t="s">
        <v>611</v>
      </c>
      <c r="M203" s="264" t="s">
        <v>2587</v>
      </c>
      <c r="N203" s="262" t="s">
        <v>2189</v>
      </c>
      <c r="O203" s="390" t="s">
        <v>2294</v>
      </c>
      <c r="P203" s="264" t="str">
        <f t="shared" ref="P203:P216" si="7">O203</f>
        <v>Belanja Jasa Tenaga Operator Komputer--</v>
      </c>
      <c r="Q203" s="264" t="s">
        <v>2672</v>
      </c>
      <c r="R203" s="528" t="s">
        <v>2673</v>
      </c>
      <c r="S203" s="399">
        <v>1</v>
      </c>
      <c r="T203" s="348" t="s">
        <v>3373</v>
      </c>
      <c r="U203" s="520">
        <v>1000000</v>
      </c>
      <c r="V203" s="266">
        <v>1000000</v>
      </c>
      <c r="W203" s="521" t="s">
        <v>2659</v>
      </c>
      <c r="X203" s="521" t="s">
        <v>2659</v>
      </c>
      <c r="Y203" s="522" t="s">
        <v>2660</v>
      </c>
      <c r="Z203" s="523" t="s">
        <v>2661</v>
      </c>
      <c r="AA203" s="521"/>
      <c r="AB203" s="521"/>
      <c r="AC203" s="521"/>
      <c r="AD203" s="521"/>
      <c r="AE203" s="521"/>
      <c r="AF203" s="521"/>
      <c r="AG203" s="264">
        <v>2</v>
      </c>
    </row>
    <row r="204" spans="1:33" s="526" customFormat="1">
      <c r="A204" s="513">
        <v>202</v>
      </c>
      <c r="B204" s="514" t="s">
        <v>2755</v>
      </c>
      <c r="C204" s="515" t="s">
        <v>2755</v>
      </c>
      <c r="D204" s="262" t="s">
        <v>2756</v>
      </c>
      <c r="E204" s="513">
        <v>203</v>
      </c>
      <c r="F204" s="544" t="s">
        <v>2755</v>
      </c>
      <c r="G204" s="557">
        <v>45348</v>
      </c>
      <c r="H204" s="517">
        <v>45349</v>
      </c>
      <c r="I204" s="517">
        <v>45349</v>
      </c>
      <c r="J204" s="517">
        <v>45349</v>
      </c>
      <c r="K204" s="517">
        <v>45349</v>
      </c>
      <c r="L204" s="518" t="s">
        <v>2678</v>
      </c>
      <c r="M204" s="264" t="s">
        <v>2679</v>
      </c>
      <c r="N204" s="262" t="s">
        <v>2680</v>
      </c>
      <c r="O204" s="390" t="s">
        <v>2681</v>
      </c>
      <c r="P204" s="264" t="str">
        <f t="shared" si="7"/>
        <v>Selatieli Nehe</v>
      </c>
      <c r="Q204" s="264" t="s">
        <v>2682</v>
      </c>
      <c r="R204" s="528" t="s">
        <v>2683</v>
      </c>
      <c r="S204" s="399">
        <v>33</v>
      </c>
      <c r="T204" s="348" t="s">
        <v>3374</v>
      </c>
      <c r="U204" s="520">
        <v>75000</v>
      </c>
      <c r="V204" s="266">
        <v>2475000</v>
      </c>
      <c r="W204" s="521" t="s">
        <v>2684</v>
      </c>
      <c r="X204" s="521">
        <v>0</v>
      </c>
      <c r="Y204" s="521">
        <v>0</v>
      </c>
      <c r="Z204" s="523">
        <v>0</v>
      </c>
      <c r="AA204" s="521"/>
      <c r="AB204" s="521"/>
      <c r="AC204" s="521"/>
      <c r="AD204" s="521"/>
      <c r="AE204" s="521"/>
      <c r="AF204" s="521"/>
      <c r="AG204" s="264">
        <v>2</v>
      </c>
    </row>
    <row r="205" spans="1:33" s="526" customFormat="1">
      <c r="A205" s="513">
        <v>203</v>
      </c>
      <c r="B205" s="514" t="s">
        <v>2757</v>
      </c>
      <c r="C205" s="515" t="s">
        <v>2757</v>
      </c>
      <c r="D205" s="262" t="s">
        <v>2758</v>
      </c>
      <c r="E205" s="513">
        <v>204</v>
      </c>
      <c r="F205" s="544" t="s">
        <v>2757</v>
      </c>
      <c r="G205" s="557">
        <v>45348</v>
      </c>
      <c r="H205" s="517">
        <v>45349</v>
      </c>
      <c r="I205" s="517">
        <v>45349</v>
      </c>
      <c r="J205" s="517">
        <v>45349</v>
      </c>
      <c r="K205" s="517">
        <v>45349</v>
      </c>
      <c r="L205" s="518" t="s">
        <v>2678</v>
      </c>
      <c r="M205" s="264" t="s">
        <v>2679</v>
      </c>
      <c r="N205" s="262" t="s">
        <v>2680</v>
      </c>
      <c r="O205" s="390" t="s">
        <v>2686</v>
      </c>
      <c r="P205" s="264" t="str">
        <f t="shared" si="7"/>
        <v>Arifin Metodi Bate'e</v>
      </c>
      <c r="Q205" s="264" t="s">
        <v>2682</v>
      </c>
      <c r="R205" s="528" t="s">
        <v>2683</v>
      </c>
      <c r="S205" s="399">
        <v>34</v>
      </c>
      <c r="T205" s="348" t="s">
        <v>3374</v>
      </c>
      <c r="U205" s="520">
        <v>75000</v>
      </c>
      <c r="V205" s="266">
        <v>2550000</v>
      </c>
      <c r="W205" s="521" t="s">
        <v>2684</v>
      </c>
      <c r="X205" s="521">
        <v>0</v>
      </c>
      <c r="Y205" s="521">
        <v>0</v>
      </c>
      <c r="Z205" s="523">
        <v>0</v>
      </c>
      <c r="AA205" s="521"/>
      <c r="AB205" s="521"/>
      <c r="AC205" s="521"/>
      <c r="AD205" s="521"/>
      <c r="AE205" s="521"/>
      <c r="AF205" s="521"/>
      <c r="AG205" s="264">
        <v>2</v>
      </c>
    </row>
    <row r="206" spans="1:33" s="526" customFormat="1">
      <c r="A206" s="513">
        <v>204</v>
      </c>
      <c r="B206" s="514" t="s">
        <v>2759</v>
      </c>
      <c r="C206" s="515" t="s">
        <v>2759</v>
      </c>
      <c r="D206" s="262" t="s">
        <v>2760</v>
      </c>
      <c r="E206" s="513">
        <v>205</v>
      </c>
      <c r="F206" s="544" t="s">
        <v>2759</v>
      </c>
      <c r="G206" s="557">
        <v>45348</v>
      </c>
      <c r="H206" s="517">
        <v>45349</v>
      </c>
      <c r="I206" s="517">
        <v>45349</v>
      </c>
      <c r="J206" s="517">
        <v>45349</v>
      </c>
      <c r="K206" s="517">
        <v>45349</v>
      </c>
      <c r="L206" s="518" t="s">
        <v>2678</v>
      </c>
      <c r="M206" s="264" t="s">
        <v>2679</v>
      </c>
      <c r="N206" s="262" t="s">
        <v>2680</v>
      </c>
      <c r="O206" s="390" t="s">
        <v>2688</v>
      </c>
      <c r="P206" s="264" t="str">
        <f t="shared" si="7"/>
        <v>Ferdiwati Wau</v>
      </c>
      <c r="Q206" s="264" t="s">
        <v>2682</v>
      </c>
      <c r="R206" s="528" t="s">
        <v>2683</v>
      </c>
      <c r="S206" s="399">
        <v>30</v>
      </c>
      <c r="T206" s="348" t="s">
        <v>3374</v>
      </c>
      <c r="U206" s="520">
        <v>75000</v>
      </c>
      <c r="V206" s="266">
        <v>2250000</v>
      </c>
      <c r="W206" s="521" t="s">
        <v>2684</v>
      </c>
      <c r="X206" s="521">
        <v>0</v>
      </c>
      <c r="Y206" s="521">
        <v>0</v>
      </c>
      <c r="Z206" s="523">
        <v>0</v>
      </c>
      <c r="AA206" s="521"/>
      <c r="AB206" s="521"/>
      <c r="AC206" s="521"/>
      <c r="AD206" s="521"/>
      <c r="AE206" s="521"/>
      <c r="AF206" s="521"/>
      <c r="AG206" s="264">
        <v>2</v>
      </c>
    </row>
    <row r="207" spans="1:33" s="526" customFormat="1">
      <c r="A207" s="513">
        <v>205</v>
      </c>
      <c r="B207" s="514" t="s">
        <v>2761</v>
      </c>
      <c r="C207" s="515" t="s">
        <v>2761</v>
      </c>
      <c r="D207" s="262" t="s">
        <v>2762</v>
      </c>
      <c r="E207" s="513">
        <v>206</v>
      </c>
      <c r="F207" s="544" t="s">
        <v>2761</v>
      </c>
      <c r="G207" s="557">
        <v>45348</v>
      </c>
      <c r="H207" s="517">
        <v>45349</v>
      </c>
      <c r="I207" s="517">
        <v>45349</v>
      </c>
      <c r="J207" s="517">
        <v>45349</v>
      </c>
      <c r="K207" s="517">
        <v>45349</v>
      </c>
      <c r="L207" s="518" t="s">
        <v>2678</v>
      </c>
      <c r="M207" s="264" t="s">
        <v>2679</v>
      </c>
      <c r="N207" s="262" t="s">
        <v>2680</v>
      </c>
      <c r="O207" s="390" t="s">
        <v>2690</v>
      </c>
      <c r="P207" s="264" t="str">
        <f t="shared" si="7"/>
        <v>Noni Alfanita Sarumaha, S.Pd</v>
      </c>
      <c r="Q207" s="264" t="s">
        <v>2682</v>
      </c>
      <c r="R207" s="528" t="s">
        <v>2683</v>
      </c>
      <c r="S207" s="399">
        <v>33</v>
      </c>
      <c r="T207" s="348" t="s">
        <v>3374</v>
      </c>
      <c r="U207" s="520">
        <v>75000</v>
      </c>
      <c r="V207" s="266">
        <v>2475000</v>
      </c>
      <c r="W207" s="521" t="s">
        <v>2684</v>
      </c>
      <c r="X207" s="521">
        <v>0</v>
      </c>
      <c r="Y207" s="521">
        <v>0</v>
      </c>
      <c r="Z207" s="523">
        <v>0</v>
      </c>
      <c r="AA207" s="521"/>
      <c r="AB207" s="521"/>
      <c r="AC207" s="521"/>
      <c r="AD207" s="521"/>
      <c r="AE207" s="521"/>
      <c r="AF207" s="521"/>
      <c r="AG207" s="264">
        <v>2</v>
      </c>
    </row>
    <row r="208" spans="1:33" s="526" customFormat="1">
      <c r="A208" s="513">
        <v>206</v>
      </c>
      <c r="B208" s="514" t="s">
        <v>2763</v>
      </c>
      <c r="C208" s="515" t="s">
        <v>2763</v>
      </c>
      <c r="D208" s="262" t="s">
        <v>2764</v>
      </c>
      <c r="E208" s="513">
        <v>207</v>
      </c>
      <c r="F208" s="544" t="s">
        <v>2763</v>
      </c>
      <c r="G208" s="557">
        <v>45348</v>
      </c>
      <c r="H208" s="517">
        <v>45349</v>
      </c>
      <c r="I208" s="517">
        <v>45349</v>
      </c>
      <c r="J208" s="517">
        <v>45349</v>
      </c>
      <c r="K208" s="517">
        <v>45349</v>
      </c>
      <c r="L208" s="518" t="s">
        <v>2678</v>
      </c>
      <c r="M208" s="264" t="s">
        <v>2679</v>
      </c>
      <c r="N208" s="262" t="s">
        <v>2680</v>
      </c>
      <c r="O208" s="390" t="s">
        <v>2692</v>
      </c>
      <c r="P208" s="264" t="str">
        <f t="shared" si="7"/>
        <v>EMILA HAFO</v>
      </c>
      <c r="Q208" s="264" t="s">
        <v>2682</v>
      </c>
      <c r="R208" s="528" t="s">
        <v>2683</v>
      </c>
      <c r="S208" s="399">
        <v>28</v>
      </c>
      <c r="T208" s="348" t="s">
        <v>3374</v>
      </c>
      <c r="U208" s="520">
        <v>75000</v>
      </c>
      <c r="V208" s="266">
        <v>2100000</v>
      </c>
      <c r="W208" s="521" t="s">
        <v>2684</v>
      </c>
      <c r="X208" s="521">
        <v>0</v>
      </c>
      <c r="Y208" s="521">
        <v>0</v>
      </c>
      <c r="Z208" s="523">
        <v>0</v>
      </c>
      <c r="AA208" s="521"/>
      <c r="AB208" s="521"/>
      <c r="AC208" s="521"/>
      <c r="AD208" s="521"/>
      <c r="AE208" s="521"/>
      <c r="AF208" s="521"/>
      <c r="AG208" s="264">
        <v>2</v>
      </c>
    </row>
    <row r="209" spans="1:33" s="526" customFormat="1">
      <c r="A209" s="513">
        <v>207</v>
      </c>
      <c r="B209" s="514" t="s">
        <v>2765</v>
      </c>
      <c r="C209" s="515" t="s">
        <v>2765</v>
      </c>
      <c r="D209" s="262" t="s">
        <v>2766</v>
      </c>
      <c r="E209" s="513">
        <v>208</v>
      </c>
      <c r="F209" s="544" t="s">
        <v>2765</v>
      </c>
      <c r="G209" s="557">
        <v>45348</v>
      </c>
      <c r="H209" s="517">
        <v>45349</v>
      </c>
      <c r="I209" s="517">
        <v>45349</v>
      </c>
      <c r="J209" s="517">
        <v>45349</v>
      </c>
      <c r="K209" s="517">
        <v>45349</v>
      </c>
      <c r="L209" s="518" t="s">
        <v>2678</v>
      </c>
      <c r="M209" s="264" t="s">
        <v>2679</v>
      </c>
      <c r="N209" s="262" t="s">
        <v>2680</v>
      </c>
      <c r="O209" s="390" t="s">
        <v>2694</v>
      </c>
      <c r="P209" s="264" t="str">
        <f t="shared" si="7"/>
        <v>Asep Nurhidayat</v>
      </c>
      <c r="Q209" s="264" t="s">
        <v>2682</v>
      </c>
      <c r="R209" s="528" t="s">
        <v>2683</v>
      </c>
      <c r="S209" s="399">
        <v>33</v>
      </c>
      <c r="T209" s="348" t="s">
        <v>3374</v>
      </c>
      <c r="U209" s="520">
        <v>75000</v>
      </c>
      <c r="V209" s="266">
        <v>2475000</v>
      </c>
      <c r="W209" s="521" t="s">
        <v>2684</v>
      </c>
      <c r="X209" s="521">
        <v>0</v>
      </c>
      <c r="Y209" s="521">
        <v>0</v>
      </c>
      <c r="Z209" s="523">
        <v>0</v>
      </c>
      <c r="AA209" s="521"/>
      <c r="AB209" s="521"/>
      <c r="AC209" s="521"/>
      <c r="AD209" s="521"/>
      <c r="AE209" s="521"/>
      <c r="AF209" s="521"/>
      <c r="AG209" s="264">
        <v>2</v>
      </c>
    </row>
    <row r="210" spans="1:33" s="526" customFormat="1">
      <c r="A210" s="513">
        <v>208</v>
      </c>
      <c r="B210" s="514" t="s">
        <v>2767</v>
      </c>
      <c r="C210" s="515" t="s">
        <v>2767</v>
      </c>
      <c r="D210" s="262" t="s">
        <v>2768</v>
      </c>
      <c r="E210" s="513">
        <v>209</v>
      </c>
      <c r="F210" s="544" t="s">
        <v>2767</v>
      </c>
      <c r="G210" s="557">
        <v>45348</v>
      </c>
      <c r="H210" s="517">
        <v>45349</v>
      </c>
      <c r="I210" s="517">
        <v>45349</v>
      </c>
      <c r="J210" s="517">
        <v>45349</v>
      </c>
      <c r="K210" s="517">
        <v>45349</v>
      </c>
      <c r="L210" s="518" t="s">
        <v>2696</v>
      </c>
      <c r="M210" s="264" t="s">
        <v>2679</v>
      </c>
      <c r="N210" s="262" t="s">
        <v>2697</v>
      </c>
      <c r="O210" s="390" t="s">
        <v>2698</v>
      </c>
      <c r="P210" s="264" t="str">
        <f t="shared" si="7"/>
        <v>Estera Nehe</v>
      </c>
      <c r="Q210" s="264" t="s">
        <v>2699</v>
      </c>
      <c r="R210" s="528" t="s">
        <v>2700</v>
      </c>
      <c r="S210" s="399">
        <v>1</v>
      </c>
      <c r="T210" s="348" t="s">
        <v>3373</v>
      </c>
      <c r="U210" s="520">
        <v>2000000</v>
      </c>
      <c r="V210" s="266">
        <v>2000000</v>
      </c>
      <c r="W210" s="521" t="s">
        <v>2684</v>
      </c>
      <c r="X210" s="521">
        <v>0</v>
      </c>
      <c r="Y210" s="521">
        <v>0</v>
      </c>
      <c r="Z210" s="523">
        <v>0</v>
      </c>
      <c r="AA210" s="521"/>
      <c r="AB210" s="521"/>
      <c r="AC210" s="521"/>
      <c r="AD210" s="521"/>
      <c r="AE210" s="521"/>
      <c r="AF210" s="521"/>
      <c r="AG210" s="264">
        <v>2</v>
      </c>
    </row>
    <row r="211" spans="1:33" s="526" customFormat="1">
      <c r="A211" s="513">
        <v>209</v>
      </c>
      <c r="B211" s="514" t="s">
        <v>2769</v>
      </c>
      <c r="C211" s="515" t="s">
        <v>2769</v>
      </c>
      <c r="D211" s="262" t="s">
        <v>2770</v>
      </c>
      <c r="E211" s="513">
        <v>210</v>
      </c>
      <c r="F211" s="544" t="s">
        <v>2769</v>
      </c>
      <c r="G211" s="557">
        <v>45348</v>
      </c>
      <c r="H211" s="517">
        <v>45349</v>
      </c>
      <c r="I211" s="517">
        <v>45349</v>
      </c>
      <c r="J211" s="517">
        <v>45349</v>
      </c>
      <c r="K211" s="517">
        <v>45349</v>
      </c>
      <c r="L211" s="518" t="s">
        <v>2696</v>
      </c>
      <c r="M211" s="264" t="s">
        <v>2679</v>
      </c>
      <c r="N211" s="262" t="s">
        <v>2697</v>
      </c>
      <c r="O211" s="390" t="s">
        <v>2702</v>
      </c>
      <c r="P211" s="264" t="str">
        <f t="shared" si="7"/>
        <v>Hatieli Buulolo</v>
      </c>
      <c r="Q211" s="264" t="s">
        <v>2699</v>
      </c>
      <c r="R211" s="528" t="s">
        <v>2700</v>
      </c>
      <c r="S211" s="399">
        <v>1</v>
      </c>
      <c r="T211" s="348" t="s">
        <v>3373</v>
      </c>
      <c r="U211" s="520">
        <v>2000000</v>
      </c>
      <c r="V211" s="266">
        <v>2000000</v>
      </c>
      <c r="W211" s="521" t="s">
        <v>2684</v>
      </c>
      <c r="X211" s="521">
        <v>0</v>
      </c>
      <c r="Y211" s="521">
        <v>0</v>
      </c>
      <c r="Z211" s="523">
        <v>0</v>
      </c>
      <c r="AA211" s="521"/>
      <c r="AB211" s="521"/>
      <c r="AC211" s="521"/>
      <c r="AD211" s="521"/>
      <c r="AE211" s="521"/>
      <c r="AF211" s="521"/>
      <c r="AG211" s="264">
        <v>2</v>
      </c>
    </row>
    <row r="212" spans="1:33" s="526" customFormat="1">
      <c r="A212" s="513">
        <v>210</v>
      </c>
      <c r="B212" s="514" t="s">
        <v>2771</v>
      </c>
      <c r="C212" s="515" t="s">
        <v>2771</v>
      </c>
      <c r="D212" s="262" t="s">
        <v>2772</v>
      </c>
      <c r="E212" s="513">
        <v>211</v>
      </c>
      <c r="F212" s="544" t="s">
        <v>2771</v>
      </c>
      <c r="G212" s="557">
        <v>45348</v>
      </c>
      <c r="H212" s="517">
        <v>45349</v>
      </c>
      <c r="I212" s="517">
        <v>45349</v>
      </c>
      <c r="J212" s="517">
        <v>45349</v>
      </c>
      <c r="K212" s="517">
        <v>45349</v>
      </c>
      <c r="L212" s="518" t="s">
        <v>2696</v>
      </c>
      <c r="M212" s="264" t="s">
        <v>2679</v>
      </c>
      <c r="N212" s="262" t="s">
        <v>2697</v>
      </c>
      <c r="O212" s="390" t="s">
        <v>2704</v>
      </c>
      <c r="P212" s="264" t="str">
        <f t="shared" si="7"/>
        <v>David J. Sitinjak</v>
      </c>
      <c r="Q212" s="264" t="s">
        <v>2699</v>
      </c>
      <c r="R212" s="528" t="s">
        <v>2700</v>
      </c>
      <c r="S212" s="399">
        <v>1</v>
      </c>
      <c r="T212" s="348" t="s">
        <v>3373</v>
      </c>
      <c r="U212" s="520">
        <v>2000000</v>
      </c>
      <c r="V212" s="266">
        <v>2000000</v>
      </c>
      <c r="W212" s="521" t="s">
        <v>2684</v>
      </c>
      <c r="X212" s="521">
        <v>0</v>
      </c>
      <c r="Y212" s="521">
        <v>0</v>
      </c>
      <c r="Z212" s="523">
        <v>0</v>
      </c>
      <c r="AA212" s="521"/>
      <c r="AB212" s="521"/>
      <c r="AC212" s="521"/>
      <c r="AD212" s="521"/>
      <c r="AE212" s="521"/>
      <c r="AF212" s="521"/>
      <c r="AG212" s="264">
        <v>2</v>
      </c>
    </row>
    <row r="213" spans="1:33" s="526" customFormat="1">
      <c r="A213" s="513">
        <v>211</v>
      </c>
      <c r="B213" s="514" t="s">
        <v>2773</v>
      </c>
      <c r="C213" s="515" t="s">
        <v>2773</v>
      </c>
      <c r="D213" s="262" t="s">
        <v>2774</v>
      </c>
      <c r="E213" s="513">
        <v>212</v>
      </c>
      <c r="F213" s="544" t="s">
        <v>2773</v>
      </c>
      <c r="G213" s="557">
        <v>45348</v>
      </c>
      <c r="H213" s="517">
        <v>45349</v>
      </c>
      <c r="I213" s="517">
        <v>45349</v>
      </c>
      <c r="J213" s="517">
        <v>45349</v>
      </c>
      <c r="K213" s="517">
        <v>45349</v>
      </c>
      <c r="L213" s="518" t="s">
        <v>2696</v>
      </c>
      <c r="M213" s="264" t="s">
        <v>2679</v>
      </c>
      <c r="N213" s="262" t="s">
        <v>2697</v>
      </c>
      <c r="O213" s="390" t="s">
        <v>2706</v>
      </c>
      <c r="P213" s="264" t="str">
        <f t="shared" si="7"/>
        <v>Siona Ziraluo</v>
      </c>
      <c r="Q213" s="264" t="s">
        <v>2699</v>
      </c>
      <c r="R213" s="528" t="s">
        <v>2700</v>
      </c>
      <c r="S213" s="399">
        <v>1</v>
      </c>
      <c r="T213" s="348" t="s">
        <v>3373</v>
      </c>
      <c r="U213" s="520">
        <v>2000000</v>
      </c>
      <c r="V213" s="266">
        <v>2000000</v>
      </c>
      <c r="W213" s="521" t="s">
        <v>2684</v>
      </c>
      <c r="X213" s="521">
        <v>0</v>
      </c>
      <c r="Y213" s="521">
        <v>0</v>
      </c>
      <c r="Z213" s="523">
        <v>0</v>
      </c>
      <c r="AA213" s="521"/>
      <c r="AB213" s="521"/>
      <c r="AC213" s="521"/>
      <c r="AD213" s="521"/>
      <c r="AE213" s="521"/>
      <c r="AF213" s="521"/>
      <c r="AG213" s="264">
        <v>2</v>
      </c>
    </row>
    <row r="214" spans="1:33" s="526" customFormat="1">
      <c r="A214" s="513">
        <v>212</v>
      </c>
      <c r="B214" s="514" t="s">
        <v>2775</v>
      </c>
      <c r="C214" s="515" t="s">
        <v>2775</v>
      </c>
      <c r="D214" s="262" t="s">
        <v>2776</v>
      </c>
      <c r="E214" s="513">
        <v>213</v>
      </c>
      <c r="F214" s="544" t="s">
        <v>2775</v>
      </c>
      <c r="G214" s="557">
        <v>45348</v>
      </c>
      <c r="H214" s="517">
        <v>45349</v>
      </c>
      <c r="I214" s="517">
        <v>45349</v>
      </c>
      <c r="J214" s="517">
        <v>45349</v>
      </c>
      <c r="K214" s="517">
        <v>45349</v>
      </c>
      <c r="L214" s="518" t="s">
        <v>2696</v>
      </c>
      <c r="M214" s="264" t="s">
        <v>2679</v>
      </c>
      <c r="N214" s="262" t="s">
        <v>2697</v>
      </c>
      <c r="O214" s="390" t="s">
        <v>2708</v>
      </c>
      <c r="P214" s="264" t="str">
        <f t="shared" si="7"/>
        <v>Merdina Ziraluo</v>
      </c>
      <c r="Q214" s="264" t="s">
        <v>2699</v>
      </c>
      <c r="R214" s="528" t="s">
        <v>2700</v>
      </c>
      <c r="S214" s="399">
        <v>1</v>
      </c>
      <c r="T214" s="348" t="s">
        <v>3373</v>
      </c>
      <c r="U214" s="520">
        <v>2000000</v>
      </c>
      <c r="V214" s="266">
        <v>2000000</v>
      </c>
      <c r="W214" s="521" t="s">
        <v>2684</v>
      </c>
      <c r="X214" s="521">
        <v>0</v>
      </c>
      <c r="Y214" s="521">
        <v>0</v>
      </c>
      <c r="Z214" s="523">
        <v>0</v>
      </c>
      <c r="AA214" s="521"/>
      <c r="AB214" s="521"/>
      <c r="AC214" s="521"/>
      <c r="AD214" s="521"/>
      <c r="AE214" s="521"/>
      <c r="AF214" s="521"/>
      <c r="AG214" s="264">
        <v>2</v>
      </c>
    </row>
    <row r="215" spans="1:33" s="526" customFormat="1">
      <c r="A215" s="513">
        <v>213</v>
      </c>
      <c r="B215" s="514" t="s">
        <v>2777</v>
      </c>
      <c r="C215" s="515" t="s">
        <v>2777</v>
      </c>
      <c r="D215" s="531" t="s">
        <v>2778</v>
      </c>
      <c r="E215" s="513">
        <v>214</v>
      </c>
      <c r="F215" s="544" t="s">
        <v>2777</v>
      </c>
      <c r="G215" s="557">
        <v>45348</v>
      </c>
      <c r="H215" s="517">
        <v>45349</v>
      </c>
      <c r="I215" s="517">
        <v>45349</v>
      </c>
      <c r="J215" s="517">
        <v>45349</v>
      </c>
      <c r="K215" s="534">
        <v>45349</v>
      </c>
      <c r="L215" s="518" t="s">
        <v>2710</v>
      </c>
      <c r="M215" s="264" t="s">
        <v>2679</v>
      </c>
      <c r="N215" s="531" t="s">
        <v>2711</v>
      </c>
      <c r="O215" s="536" t="s">
        <v>2712</v>
      </c>
      <c r="P215" s="264" t="str">
        <f t="shared" si="7"/>
        <v>Fransiskus Lombu</v>
      </c>
      <c r="Q215" s="264" t="s">
        <v>2713</v>
      </c>
      <c r="R215" s="528" t="s">
        <v>2714</v>
      </c>
      <c r="S215" s="399">
        <v>1</v>
      </c>
      <c r="T215" s="348" t="s">
        <v>3373</v>
      </c>
      <c r="U215" s="520">
        <v>1000000</v>
      </c>
      <c r="V215" s="539">
        <v>1000000</v>
      </c>
      <c r="W215" s="521" t="s">
        <v>2715</v>
      </c>
      <c r="X215" s="521">
        <v>0</v>
      </c>
      <c r="Y215" s="521"/>
      <c r="Z215" s="523"/>
      <c r="AA215" s="521"/>
      <c r="AB215" s="521"/>
      <c r="AC215" s="521"/>
      <c r="AD215" s="521"/>
      <c r="AE215" s="521"/>
      <c r="AF215" s="521"/>
      <c r="AG215" s="264">
        <v>2</v>
      </c>
    </row>
    <row r="216" spans="1:33" s="526" customFormat="1">
      <c r="A216" s="513">
        <v>214</v>
      </c>
      <c r="B216" s="514" t="s">
        <v>2779</v>
      </c>
      <c r="C216" s="515" t="s">
        <v>2779</v>
      </c>
      <c r="D216" s="531" t="s">
        <v>615</v>
      </c>
      <c r="E216" s="513">
        <v>215</v>
      </c>
      <c r="F216" s="544" t="s">
        <v>2779</v>
      </c>
      <c r="G216" s="557">
        <v>45348</v>
      </c>
      <c r="H216" s="517">
        <v>45349</v>
      </c>
      <c r="I216" s="534">
        <v>45351</v>
      </c>
      <c r="J216" s="534">
        <v>45351</v>
      </c>
      <c r="K216" s="534">
        <v>45351</v>
      </c>
      <c r="L216" s="518" t="s">
        <v>1528</v>
      </c>
      <c r="M216" s="264" t="s">
        <v>2646</v>
      </c>
      <c r="N216" s="531" t="s">
        <v>2192</v>
      </c>
      <c r="O216" s="536" t="s">
        <v>2302</v>
      </c>
      <c r="P216" s="264" t="str">
        <f t="shared" si="7"/>
        <v>Upah Tukang Perbaikan Pintu dan Jendela Kelas</v>
      </c>
      <c r="Q216" s="264" t="s">
        <v>2780</v>
      </c>
      <c r="R216" s="264" t="s">
        <v>2781</v>
      </c>
      <c r="S216" s="399">
        <v>5</v>
      </c>
      <c r="T216" s="348" t="s">
        <v>3375</v>
      </c>
      <c r="U216" s="520">
        <v>300000</v>
      </c>
      <c r="V216" s="539">
        <v>1500000</v>
      </c>
      <c r="W216" s="521" t="s">
        <v>2782</v>
      </c>
      <c r="X216" s="521" t="s">
        <v>2782</v>
      </c>
      <c r="Y216" s="522" t="s">
        <v>2783</v>
      </c>
      <c r="Z216" s="523"/>
      <c r="AA216" s="521"/>
      <c r="AB216" s="521"/>
      <c r="AC216" s="521"/>
      <c r="AD216" s="521"/>
      <c r="AE216" s="521"/>
      <c r="AF216" s="521"/>
      <c r="AG216" s="264">
        <v>2</v>
      </c>
    </row>
    <row r="217" spans="1:33" s="526" customFormat="1" ht="29">
      <c r="A217" s="513">
        <v>215</v>
      </c>
      <c r="B217" s="514" t="s">
        <v>2784</v>
      </c>
      <c r="C217" s="515" t="s">
        <v>2784</v>
      </c>
      <c r="D217" s="545" t="s">
        <v>618</v>
      </c>
      <c r="E217" s="513">
        <v>216</v>
      </c>
      <c r="F217" s="544" t="s">
        <v>2784</v>
      </c>
      <c r="G217" s="557">
        <v>45348</v>
      </c>
      <c r="H217" s="517">
        <v>45349</v>
      </c>
      <c r="I217" s="534">
        <v>45351</v>
      </c>
      <c r="J217" s="534">
        <v>45351</v>
      </c>
      <c r="K217" s="546">
        <v>45351</v>
      </c>
      <c r="L217" s="518" t="s">
        <v>2180</v>
      </c>
      <c r="M217" s="264" t="s">
        <v>2587</v>
      </c>
      <c r="N217" s="545" t="s">
        <v>1004</v>
      </c>
      <c r="O217" s="547" t="s">
        <v>2297</v>
      </c>
      <c r="P217" s="264" t="s">
        <v>2633</v>
      </c>
      <c r="Q217" s="264" t="s">
        <v>280</v>
      </c>
      <c r="R217" s="528" t="s">
        <v>165</v>
      </c>
      <c r="S217" s="399">
        <v>60</v>
      </c>
      <c r="T217" s="348" t="s">
        <v>3363</v>
      </c>
      <c r="U217" s="520">
        <v>15000</v>
      </c>
      <c r="V217" s="548">
        <v>900000</v>
      </c>
      <c r="W217" s="521" t="s">
        <v>10</v>
      </c>
      <c r="X217" s="521" t="s">
        <v>11</v>
      </c>
      <c r="Y217" s="522" t="s">
        <v>2092</v>
      </c>
      <c r="Z217" s="523" t="s">
        <v>2634</v>
      </c>
      <c r="AA217" s="521"/>
      <c r="AB217" s="521"/>
      <c r="AC217" s="521"/>
      <c r="AD217" s="521"/>
      <c r="AE217" s="521"/>
      <c r="AF217" s="521"/>
      <c r="AG217" s="264">
        <v>2</v>
      </c>
    </row>
    <row r="218" spans="1:33" s="526" customFormat="1" ht="29">
      <c r="A218" s="513">
        <v>216</v>
      </c>
      <c r="B218" s="514" t="s">
        <v>2108</v>
      </c>
      <c r="C218" s="515" t="s">
        <v>2108</v>
      </c>
      <c r="D218" s="262" t="s">
        <v>620</v>
      </c>
      <c r="E218" s="513">
        <v>217</v>
      </c>
      <c r="F218" s="544" t="s">
        <v>2108</v>
      </c>
      <c r="G218" s="543">
        <v>45352</v>
      </c>
      <c r="H218" s="543">
        <v>45352</v>
      </c>
      <c r="I218" s="543">
        <v>45352</v>
      </c>
      <c r="J218" s="543">
        <v>45352</v>
      </c>
      <c r="K218" s="517">
        <v>45355</v>
      </c>
      <c r="L218" s="518" t="s">
        <v>705</v>
      </c>
      <c r="M218" s="264" t="s">
        <v>2587</v>
      </c>
      <c r="N218" s="262" t="s">
        <v>2176</v>
      </c>
      <c r="O218" s="390" t="s">
        <v>2246</v>
      </c>
      <c r="P218" s="264" t="str">
        <f t="shared" ref="P218:P228" si="8">O218</f>
        <v>Materai 10.000</v>
      </c>
      <c r="Q218" s="264" t="s">
        <v>710</v>
      </c>
      <c r="R218" s="519" t="s">
        <v>2603</v>
      </c>
      <c r="S218" s="399">
        <v>100</v>
      </c>
      <c r="T218" s="348" t="s">
        <v>3363</v>
      </c>
      <c r="U218" s="520">
        <v>12000</v>
      </c>
      <c r="V218" s="266">
        <v>1200000</v>
      </c>
      <c r="W218" s="521" t="s">
        <v>227</v>
      </c>
      <c r="X218" s="521" t="s">
        <v>3383</v>
      </c>
      <c r="Y218" s="522" t="s">
        <v>2512</v>
      </c>
      <c r="Z218" s="523" t="s">
        <v>541</v>
      </c>
      <c r="AA218" s="521"/>
      <c r="AB218" s="521"/>
      <c r="AC218" s="521"/>
      <c r="AD218" s="521"/>
      <c r="AE218" s="521"/>
      <c r="AF218" s="521"/>
      <c r="AG218" s="264">
        <v>3</v>
      </c>
    </row>
    <row r="219" spans="1:33" s="526" customFormat="1" ht="29">
      <c r="A219" s="513">
        <v>217</v>
      </c>
      <c r="B219" s="514" t="s">
        <v>2109</v>
      </c>
      <c r="C219" s="515" t="s">
        <v>2109</v>
      </c>
      <c r="D219" s="262" t="s">
        <v>624</v>
      </c>
      <c r="E219" s="513">
        <v>218</v>
      </c>
      <c r="F219" s="544" t="s">
        <v>2109</v>
      </c>
      <c r="G219" s="543">
        <v>45352</v>
      </c>
      <c r="H219" s="543">
        <v>45352</v>
      </c>
      <c r="I219" s="543">
        <v>45352</v>
      </c>
      <c r="J219" s="543">
        <v>45352</v>
      </c>
      <c r="K219" s="517">
        <v>45355</v>
      </c>
      <c r="L219" s="518" t="s">
        <v>571</v>
      </c>
      <c r="M219" s="264" t="s">
        <v>2587</v>
      </c>
      <c r="N219" s="262" t="s">
        <v>2176</v>
      </c>
      <c r="O219" s="390" t="s">
        <v>9</v>
      </c>
      <c r="P219" s="264" t="str">
        <f t="shared" si="8"/>
        <v>Foto Copy Filio dan Kuarto</v>
      </c>
      <c r="Q219" s="525" t="s">
        <v>2675</v>
      </c>
      <c r="R219" s="525" t="s">
        <v>2676</v>
      </c>
      <c r="S219" s="399">
        <v>4739</v>
      </c>
      <c r="T219" s="348" t="s">
        <v>3368</v>
      </c>
      <c r="U219" s="520">
        <v>350</v>
      </c>
      <c r="V219" s="266">
        <v>1575000</v>
      </c>
      <c r="W219" s="521" t="s">
        <v>227</v>
      </c>
      <c r="X219" s="521" t="s">
        <v>3383</v>
      </c>
      <c r="Y219" s="522" t="s">
        <v>2512</v>
      </c>
      <c r="Z219" s="523" t="s">
        <v>541</v>
      </c>
      <c r="AA219" s="521"/>
      <c r="AB219" s="521"/>
      <c r="AC219" s="521"/>
      <c r="AD219" s="521"/>
      <c r="AE219" s="521"/>
      <c r="AF219" s="521"/>
      <c r="AG219" s="264">
        <v>3</v>
      </c>
    </row>
    <row r="220" spans="1:33" s="526" customFormat="1" ht="29">
      <c r="A220" s="513">
        <v>218</v>
      </c>
      <c r="B220" s="514" t="s">
        <v>2110</v>
      </c>
      <c r="C220" s="515" t="s">
        <v>2110</v>
      </c>
      <c r="D220" s="262" t="s">
        <v>626</v>
      </c>
      <c r="E220" s="513">
        <v>219</v>
      </c>
      <c r="F220" s="544" t="s">
        <v>2110</v>
      </c>
      <c r="G220" s="543">
        <v>45352</v>
      </c>
      <c r="H220" s="543">
        <v>45353</v>
      </c>
      <c r="I220" s="543">
        <v>45353</v>
      </c>
      <c r="J220" s="543">
        <v>45353</v>
      </c>
      <c r="K220" s="517">
        <v>45355</v>
      </c>
      <c r="L220" s="518" t="s">
        <v>533</v>
      </c>
      <c r="M220" s="264" t="s">
        <v>2587</v>
      </c>
      <c r="N220" s="262" t="s">
        <v>2177</v>
      </c>
      <c r="O220" s="390" t="s">
        <v>270</v>
      </c>
      <c r="P220" s="264" t="str">
        <f t="shared" si="8"/>
        <v>Handsoap/Pencuci Tangan</v>
      </c>
      <c r="Q220" s="264" t="s">
        <v>2609</v>
      </c>
      <c r="R220" s="519" t="s">
        <v>548</v>
      </c>
      <c r="S220" s="399">
        <v>5</v>
      </c>
      <c r="T220" s="348" t="s">
        <v>3367</v>
      </c>
      <c r="U220" s="520">
        <v>67000</v>
      </c>
      <c r="V220" s="266">
        <v>335000</v>
      </c>
      <c r="W220" s="521" t="s">
        <v>227</v>
      </c>
      <c r="X220" s="521" t="s">
        <v>3383</v>
      </c>
      <c r="Y220" s="522" t="s">
        <v>2512</v>
      </c>
      <c r="Z220" s="523" t="s">
        <v>541</v>
      </c>
      <c r="AA220" s="521"/>
      <c r="AB220" s="521"/>
      <c r="AC220" s="521"/>
      <c r="AD220" s="521"/>
      <c r="AE220" s="521"/>
      <c r="AF220" s="521"/>
      <c r="AG220" s="264">
        <v>3</v>
      </c>
    </row>
    <row r="221" spans="1:33" s="526" customFormat="1" ht="29">
      <c r="A221" s="513">
        <v>219</v>
      </c>
      <c r="B221" s="514" t="s">
        <v>2110</v>
      </c>
      <c r="C221" s="515" t="s">
        <v>2110</v>
      </c>
      <c r="D221" s="262" t="s">
        <v>626</v>
      </c>
      <c r="E221" s="513">
        <v>220</v>
      </c>
      <c r="F221" s="544" t="s">
        <v>2110</v>
      </c>
      <c r="G221" s="543">
        <v>45352</v>
      </c>
      <c r="H221" s="543">
        <v>45353</v>
      </c>
      <c r="I221" s="543">
        <v>45353</v>
      </c>
      <c r="J221" s="543">
        <v>45353</v>
      </c>
      <c r="K221" s="517">
        <v>45355</v>
      </c>
      <c r="L221" s="518" t="s">
        <v>533</v>
      </c>
      <c r="M221" s="264" t="s">
        <v>2587</v>
      </c>
      <c r="N221" s="262" t="s">
        <v>2177</v>
      </c>
      <c r="O221" s="390" t="s">
        <v>2266</v>
      </c>
      <c r="P221" s="264" t="str">
        <f t="shared" si="8"/>
        <v>Perlengkapan Kebersihan Pembersih Lantai Super Pel Varian 800ml</v>
      </c>
      <c r="Q221" s="264" t="s">
        <v>2609</v>
      </c>
      <c r="R221" s="525" t="s">
        <v>2613</v>
      </c>
      <c r="S221" s="399">
        <v>15</v>
      </c>
      <c r="T221" s="348" t="s">
        <v>3363</v>
      </c>
      <c r="U221" s="520">
        <v>13700</v>
      </c>
      <c r="V221" s="266">
        <v>205500</v>
      </c>
      <c r="W221" s="521" t="s">
        <v>227</v>
      </c>
      <c r="X221" s="521" t="s">
        <v>3383</v>
      </c>
      <c r="Y221" s="522" t="s">
        <v>2512</v>
      </c>
      <c r="Z221" s="523" t="s">
        <v>541</v>
      </c>
      <c r="AA221" s="521"/>
      <c r="AB221" s="521"/>
      <c r="AC221" s="521"/>
      <c r="AD221" s="521"/>
      <c r="AE221" s="521"/>
      <c r="AF221" s="521"/>
      <c r="AG221" s="264">
        <v>3</v>
      </c>
    </row>
    <row r="222" spans="1:33" s="526" customFormat="1" ht="29">
      <c r="A222" s="513">
        <v>220</v>
      </c>
      <c r="B222" s="514" t="s">
        <v>2110</v>
      </c>
      <c r="C222" s="515" t="s">
        <v>2110</v>
      </c>
      <c r="D222" s="262" t="s">
        <v>626</v>
      </c>
      <c r="E222" s="513">
        <v>221</v>
      </c>
      <c r="F222" s="544" t="s">
        <v>2110</v>
      </c>
      <c r="G222" s="543">
        <v>45352</v>
      </c>
      <c r="H222" s="543">
        <v>45353</v>
      </c>
      <c r="I222" s="543">
        <v>45353</v>
      </c>
      <c r="J222" s="543">
        <v>45353</v>
      </c>
      <c r="K222" s="517">
        <v>45355</v>
      </c>
      <c r="L222" s="518" t="s">
        <v>533</v>
      </c>
      <c r="M222" s="264" t="s">
        <v>2587</v>
      </c>
      <c r="N222" s="262" t="s">
        <v>2177</v>
      </c>
      <c r="O222" s="390" t="s">
        <v>271</v>
      </c>
      <c r="P222" s="264" t="str">
        <f t="shared" si="8"/>
        <v>Pengharum Ruangan</v>
      </c>
      <c r="Q222" s="264" t="s">
        <v>2609</v>
      </c>
      <c r="R222" s="519" t="s">
        <v>2615</v>
      </c>
      <c r="S222" s="399">
        <v>10</v>
      </c>
      <c r="T222" s="348" t="s">
        <v>3363</v>
      </c>
      <c r="U222" s="520">
        <v>12100</v>
      </c>
      <c r="V222" s="266">
        <v>121000</v>
      </c>
      <c r="W222" s="521" t="s">
        <v>227</v>
      </c>
      <c r="X222" s="521" t="s">
        <v>3383</v>
      </c>
      <c r="Y222" s="522" t="s">
        <v>2512</v>
      </c>
      <c r="Z222" s="523" t="s">
        <v>541</v>
      </c>
      <c r="AA222" s="521"/>
      <c r="AB222" s="521"/>
      <c r="AC222" s="521"/>
      <c r="AD222" s="521"/>
      <c r="AE222" s="521"/>
      <c r="AF222" s="521"/>
      <c r="AG222" s="264">
        <v>3</v>
      </c>
    </row>
    <row r="223" spans="1:33" s="526" customFormat="1" ht="29">
      <c r="A223" s="513">
        <v>221</v>
      </c>
      <c r="B223" s="514" t="s">
        <v>2110</v>
      </c>
      <c r="C223" s="515" t="s">
        <v>2110</v>
      </c>
      <c r="D223" s="262" t="s">
        <v>626</v>
      </c>
      <c r="E223" s="513">
        <v>222</v>
      </c>
      <c r="F223" s="544" t="s">
        <v>2110</v>
      </c>
      <c r="G223" s="543">
        <v>45352</v>
      </c>
      <c r="H223" s="543">
        <v>45353</v>
      </c>
      <c r="I223" s="543">
        <v>45353</v>
      </c>
      <c r="J223" s="543">
        <v>45353</v>
      </c>
      <c r="K223" s="517">
        <v>45355</v>
      </c>
      <c r="L223" s="518" t="s">
        <v>533</v>
      </c>
      <c r="M223" s="264" t="s">
        <v>2587</v>
      </c>
      <c r="N223" s="262" t="s">
        <v>2177</v>
      </c>
      <c r="O223" s="390" t="s">
        <v>2268</v>
      </c>
      <c r="P223" s="264" t="str">
        <f t="shared" si="8"/>
        <v>Perlengkapan Kebersihan Pembersih Pakaian Sunlight Refil 800ml</v>
      </c>
      <c r="Q223" s="264" t="s">
        <v>2609</v>
      </c>
      <c r="R223" s="525" t="s">
        <v>2616</v>
      </c>
      <c r="S223" s="399">
        <v>3</v>
      </c>
      <c r="T223" s="348" t="s">
        <v>3363</v>
      </c>
      <c r="U223" s="520">
        <v>15000</v>
      </c>
      <c r="V223" s="266">
        <v>45000</v>
      </c>
      <c r="W223" s="521" t="s">
        <v>227</v>
      </c>
      <c r="X223" s="521" t="s">
        <v>3383</v>
      </c>
      <c r="Y223" s="522" t="s">
        <v>2512</v>
      </c>
      <c r="Z223" s="523" t="s">
        <v>541</v>
      </c>
      <c r="AA223" s="521"/>
      <c r="AB223" s="521"/>
      <c r="AC223" s="521"/>
      <c r="AD223" s="521"/>
      <c r="AE223" s="521"/>
      <c r="AF223" s="521"/>
      <c r="AG223" s="264">
        <v>3</v>
      </c>
    </row>
    <row r="224" spans="1:33" s="526" customFormat="1" ht="29">
      <c r="A224" s="513">
        <v>222</v>
      </c>
      <c r="B224" s="514" t="s">
        <v>2110</v>
      </c>
      <c r="C224" s="515" t="s">
        <v>2110</v>
      </c>
      <c r="D224" s="262" t="s">
        <v>626</v>
      </c>
      <c r="E224" s="513">
        <v>223</v>
      </c>
      <c r="F224" s="544" t="s">
        <v>2110</v>
      </c>
      <c r="G224" s="543">
        <v>45352</v>
      </c>
      <c r="H224" s="543">
        <v>45353</v>
      </c>
      <c r="I224" s="543">
        <v>45353</v>
      </c>
      <c r="J224" s="543">
        <v>45353</v>
      </c>
      <c r="K224" s="517">
        <v>45355</v>
      </c>
      <c r="L224" s="518" t="s">
        <v>533</v>
      </c>
      <c r="M224" s="264" t="s">
        <v>2587</v>
      </c>
      <c r="N224" s="262" t="s">
        <v>2177</v>
      </c>
      <c r="O224" s="390" t="s">
        <v>276</v>
      </c>
      <c r="P224" s="264" t="str">
        <f t="shared" si="8"/>
        <v>vixal 500ml</v>
      </c>
      <c r="Q224" s="264" t="s">
        <v>2609</v>
      </c>
      <c r="R224" s="519" t="s">
        <v>2566</v>
      </c>
      <c r="S224" s="399">
        <v>10</v>
      </c>
      <c r="T224" s="348" t="s">
        <v>3367</v>
      </c>
      <c r="U224" s="520">
        <v>30000</v>
      </c>
      <c r="V224" s="266">
        <v>300000</v>
      </c>
      <c r="W224" s="521" t="s">
        <v>227</v>
      </c>
      <c r="X224" s="521" t="s">
        <v>3383</v>
      </c>
      <c r="Y224" s="522" t="s">
        <v>2512</v>
      </c>
      <c r="Z224" s="523" t="s">
        <v>541</v>
      </c>
      <c r="AA224" s="521"/>
      <c r="AB224" s="521"/>
      <c r="AC224" s="521"/>
      <c r="AD224" s="521"/>
      <c r="AE224" s="521"/>
      <c r="AF224" s="521"/>
      <c r="AG224" s="264">
        <v>3</v>
      </c>
    </row>
    <row r="225" spans="1:33" s="526" customFormat="1" ht="43.5">
      <c r="A225" s="513">
        <v>223</v>
      </c>
      <c r="B225" s="514" t="s">
        <v>2110</v>
      </c>
      <c r="C225" s="515" t="s">
        <v>2110</v>
      </c>
      <c r="D225" s="262" t="s">
        <v>626</v>
      </c>
      <c r="E225" s="513">
        <v>224</v>
      </c>
      <c r="F225" s="544" t="s">
        <v>2110</v>
      </c>
      <c r="G225" s="543">
        <v>45352</v>
      </c>
      <c r="H225" s="543">
        <v>45353</v>
      </c>
      <c r="I225" s="543">
        <v>45353</v>
      </c>
      <c r="J225" s="543">
        <v>45353</v>
      </c>
      <c r="K225" s="517">
        <v>45355</v>
      </c>
      <c r="L225" s="518" t="s">
        <v>533</v>
      </c>
      <c r="M225" s="264" t="s">
        <v>2587</v>
      </c>
      <c r="N225" s="262" t="s">
        <v>2177</v>
      </c>
      <c r="O225" s="390" t="s">
        <v>274</v>
      </c>
      <c r="P225" s="264" t="str">
        <f t="shared" si="8"/>
        <v>Spon Cuci</v>
      </c>
      <c r="Q225" s="264" t="s">
        <v>2609</v>
      </c>
      <c r="R225" s="519" t="s">
        <v>2617</v>
      </c>
      <c r="S225" s="399">
        <v>5</v>
      </c>
      <c r="T225" s="348" t="s">
        <v>3363</v>
      </c>
      <c r="U225" s="520">
        <v>12000</v>
      </c>
      <c r="V225" s="266">
        <v>60000</v>
      </c>
      <c r="W225" s="521" t="s">
        <v>227</v>
      </c>
      <c r="X225" s="521" t="s">
        <v>3383</v>
      </c>
      <c r="Y225" s="522" t="s">
        <v>2512</v>
      </c>
      <c r="Z225" s="523" t="s">
        <v>541</v>
      </c>
      <c r="AA225" s="521"/>
      <c r="AB225" s="521"/>
      <c r="AC225" s="521"/>
      <c r="AD225" s="521"/>
      <c r="AE225" s="521"/>
      <c r="AF225" s="521"/>
      <c r="AG225" s="264">
        <v>3</v>
      </c>
    </row>
    <row r="226" spans="1:33" s="526" customFormat="1" ht="29">
      <c r="A226" s="513">
        <v>224</v>
      </c>
      <c r="B226" s="514" t="s">
        <v>2110</v>
      </c>
      <c r="C226" s="515" t="s">
        <v>2110</v>
      </c>
      <c r="D226" s="262" t="s">
        <v>626</v>
      </c>
      <c r="E226" s="513">
        <v>225</v>
      </c>
      <c r="F226" s="544" t="s">
        <v>2110</v>
      </c>
      <c r="G226" s="543">
        <v>45352</v>
      </c>
      <c r="H226" s="543">
        <v>45353</v>
      </c>
      <c r="I226" s="543">
        <v>45353</v>
      </c>
      <c r="J226" s="543">
        <v>45353</v>
      </c>
      <c r="K226" s="517">
        <v>45355</v>
      </c>
      <c r="L226" s="518" t="s">
        <v>533</v>
      </c>
      <c r="M226" s="264" t="s">
        <v>2587</v>
      </c>
      <c r="N226" s="262" t="s">
        <v>2177</v>
      </c>
      <c r="O226" s="390" t="s">
        <v>2269</v>
      </c>
      <c r="P226" s="264" t="str">
        <f t="shared" si="8"/>
        <v>Tisu--</v>
      </c>
      <c r="Q226" s="264" t="s">
        <v>2609</v>
      </c>
      <c r="R226" s="519" t="s">
        <v>537</v>
      </c>
      <c r="S226" s="399">
        <v>12</v>
      </c>
      <c r="T226" s="348" t="s">
        <v>3363</v>
      </c>
      <c r="U226" s="520">
        <v>12500</v>
      </c>
      <c r="V226" s="266">
        <v>150000</v>
      </c>
      <c r="W226" s="521" t="s">
        <v>227</v>
      </c>
      <c r="X226" s="521" t="s">
        <v>3383</v>
      </c>
      <c r="Y226" s="522" t="s">
        <v>2512</v>
      </c>
      <c r="Z226" s="523" t="s">
        <v>541</v>
      </c>
      <c r="AA226" s="521"/>
      <c r="AB226" s="521"/>
      <c r="AC226" s="521"/>
      <c r="AD226" s="521"/>
      <c r="AE226" s="521"/>
      <c r="AF226" s="521"/>
      <c r="AG226" s="264">
        <v>3</v>
      </c>
    </row>
    <row r="227" spans="1:33" s="526" customFormat="1" ht="29">
      <c r="A227" s="513">
        <v>225</v>
      </c>
      <c r="B227" s="514" t="s">
        <v>2110</v>
      </c>
      <c r="C227" s="515" t="s">
        <v>2110</v>
      </c>
      <c r="D227" s="262" t="s">
        <v>626</v>
      </c>
      <c r="E227" s="513">
        <v>226</v>
      </c>
      <c r="F227" s="544" t="s">
        <v>2110</v>
      </c>
      <c r="G227" s="543">
        <v>45352</v>
      </c>
      <c r="H227" s="543">
        <v>45353</v>
      </c>
      <c r="I227" s="543">
        <v>45353</v>
      </c>
      <c r="J227" s="543">
        <v>45353</v>
      </c>
      <c r="K227" s="517">
        <v>45355</v>
      </c>
      <c r="L227" s="518" t="s">
        <v>533</v>
      </c>
      <c r="M227" s="264" t="s">
        <v>2587</v>
      </c>
      <c r="N227" s="262" t="s">
        <v>2177</v>
      </c>
      <c r="O227" s="390" t="s">
        <v>2270</v>
      </c>
      <c r="P227" s="264" t="str">
        <f t="shared" si="8"/>
        <v>Cairan Pembersih Kaca</v>
      </c>
      <c r="Q227" s="264" t="s">
        <v>2609</v>
      </c>
      <c r="R227" s="525" t="s">
        <v>2618</v>
      </c>
      <c r="S227" s="399">
        <v>5</v>
      </c>
      <c r="T227" s="348" t="s">
        <v>3363</v>
      </c>
      <c r="U227" s="520">
        <v>12000</v>
      </c>
      <c r="V227" s="266">
        <v>60000</v>
      </c>
      <c r="W227" s="521" t="s">
        <v>227</v>
      </c>
      <c r="X227" s="521" t="s">
        <v>3383</v>
      </c>
      <c r="Y227" s="522" t="s">
        <v>2512</v>
      </c>
      <c r="Z227" s="523" t="s">
        <v>541</v>
      </c>
      <c r="AA227" s="521"/>
      <c r="AB227" s="521"/>
      <c r="AC227" s="521"/>
      <c r="AD227" s="521"/>
      <c r="AE227" s="521"/>
      <c r="AF227" s="521"/>
      <c r="AG227" s="264">
        <v>3</v>
      </c>
    </row>
    <row r="228" spans="1:33" s="526" customFormat="1">
      <c r="A228" s="530">
        <v>226</v>
      </c>
      <c r="B228" s="514" t="s">
        <v>2110</v>
      </c>
      <c r="C228" s="515" t="s">
        <v>2110</v>
      </c>
      <c r="D228" s="558" t="s">
        <v>626</v>
      </c>
      <c r="E228" s="530">
        <v>227</v>
      </c>
      <c r="F228" s="559" t="s">
        <v>2110</v>
      </c>
      <c r="G228" s="360">
        <v>45352</v>
      </c>
      <c r="H228" s="360">
        <v>45353</v>
      </c>
      <c r="I228" s="360">
        <v>45353</v>
      </c>
      <c r="J228" s="360">
        <v>45353</v>
      </c>
      <c r="K228" s="534">
        <v>45355</v>
      </c>
      <c r="L228" s="535" t="s">
        <v>533</v>
      </c>
      <c r="M228" s="264" t="s">
        <v>2587</v>
      </c>
      <c r="N228" s="558" t="s">
        <v>2177</v>
      </c>
      <c r="O228" s="560" t="s">
        <v>2272</v>
      </c>
      <c r="P228" s="537" t="str">
        <f t="shared" si="8"/>
        <v>Hand Sanitizer-Unit</v>
      </c>
      <c r="Q228" s="537" t="s">
        <v>2609</v>
      </c>
      <c r="R228" s="535" t="s">
        <v>2621</v>
      </c>
      <c r="S228" s="399">
        <v>5</v>
      </c>
      <c r="T228" s="561" t="s">
        <v>3371</v>
      </c>
      <c r="U228" s="520">
        <v>70000</v>
      </c>
      <c r="V228" s="539">
        <v>350000</v>
      </c>
      <c r="W228" s="521" t="s">
        <v>227</v>
      </c>
      <c r="X228" s="540" t="s">
        <v>3383</v>
      </c>
      <c r="Y228" s="541" t="s">
        <v>2512</v>
      </c>
      <c r="Z228" s="540" t="s">
        <v>541</v>
      </c>
      <c r="AA228" s="521"/>
      <c r="AB228" s="521"/>
      <c r="AC228" s="521"/>
      <c r="AD228" s="521"/>
      <c r="AE228" s="521"/>
      <c r="AF228" s="521"/>
      <c r="AG228" s="264">
        <v>3</v>
      </c>
    </row>
    <row r="229" spans="1:33" s="526" customFormat="1" ht="50">
      <c r="A229" s="513">
        <v>227</v>
      </c>
      <c r="B229" s="514" t="s">
        <v>2111</v>
      </c>
      <c r="C229" s="515" t="s">
        <v>2111</v>
      </c>
      <c r="D229" s="562" t="s">
        <v>2785</v>
      </c>
      <c r="E229" s="513">
        <v>228</v>
      </c>
      <c r="F229" s="544" t="s">
        <v>2111</v>
      </c>
      <c r="G229" s="543">
        <v>45354</v>
      </c>
      <c r="H229" s="543">
        <v>45355</v>
      </c>
      <c r="I229" s="543">
        <v>45355</v>
      </c>
      <c r="J229" s="543">
        <v>45355</v>
      </c>
      <c r="K229" s="517">
        <v>45355</v>
      </c>
      <c r="L229" s="518" t="s">
        <v>2180</v>
      </c>
      <c r="M229" s="264" t="s">
        <v>2786</v>
      </c>
      <c r="N229" s="262" t="s">
        <v>2195</v>
      </c>
      <c r="O229" s="390" t="s">
        <v>2787</v>
      </c>
      <c r="P229" s="264" t="s">
        <v>2633</v>
      </c>
      <c r="Q229" s="264" t="s">
        <v>280</v>
      </c>
      <c r="R229" s="528" t="s">
        <v>165</v>
      </c>
      <c r="S229" s="399">
        <v>150</v>
      </c>
      <c r="T229" s="348" t="s">
        <v>3362</v>
      </c>
      <c r="U229" s="520">
        <v>15000</v>
      </c>
      <c r="V229" s="266">
        <v>2250000</v>
      </c>
      <c r="W229" s="521" t="s">
        <v>10</v>
      </c>
      <c r="X229" s="521" t="s">
        <v>11</v>
      </c>
      <c r="Y229" s="522" t="s">
        <v>2092</v>
      </c>
      <c r="Z229" s="523" t="s">
        <v>2634</v>
      </c>
      <c r="AA229" s="521"/>
      <c r="AB229" s="521"/>
      <c r="AC229" s="521"/>
      <c r="AD229" s="521"/>
      <c r="AE229" s="521"/>
      <c r="AF229" s="521"/>
      <c r="AG229" s="264">
        <v>3</v>
      </c>
    </row>
    <row r="230" spans="1:33" s="526" customFormat="1" ht="37.5">
      <c r="A230" s="513">
        <v>228</v>
      </c>
      <c r="B230" s="514" t="s">
        <v>2112</v>
      </c>
      <c r="C230" s="515" t="s">
        <v>2112</v>
      </c>
      <c r="D230" s="262" t="s">
        <v>634</v>
      </c>
      <c r="E230" s="513">
        <v>229</v>
      </c>
      <c r="F230" s="544" t="s">
        <v>2112</v>
      </c>
      <c r="G230" s="543">
        <v>45354</v>
      </c>
      <c r="H230" s="543">
        <v>45355</v>
      </c>
      <c r="I230" s="543">
        <v>45355</v>
      </c>
      <c r="J230" s="543">
        <v>45355</v>
      </c>
      <c r="K230" s="517">
        <v>45355</v>
      </c>
      <c r="L230" s="518" t="s">
        <v>2180</v>
      </c>
      <c r="M230" s="264" t="s">
        <v>2786</v>
      </c>
      <c r="N230" s="262" t="s">
        <v>2195</v>
      </c>
      <c r="O230" s="390" t="s">
        <v>2304</v>
      </c>
      <c r="P230" s="264" t="s">
        <v>467</v>
      </c>
      <c r="Q230" s="264" t="s">
        <v>8</v>
      </c>
      <c r="R230" s="519" t="s">
        <v>2635</v>
      </c>
      <c r="S230" s="399">
        <v>150</v>
      </c>
      <c r="T230" s="348" t="s">
        <v>3362</v>
      </c>
      <c r="U230" s="520">
        <v>40000</v>
      </c>
      <c r="V230" s="266">
        <v>6000000</v>
      </c>
      <c r="W230" s="521" t="s">
        <v>2507</v>
      </c>
      <c r="X230" s="521" t="s">
        <v>2508</v>
      </c>
      <c r="Y230" s="522" t="s">
        <v>2516</v>
      </c>
      <c r="Z230" s="523" t="s">
        <v>2636</v>
      </c>
      <c r="AA230" s="521"/>
      <c r="AB230" s="521"/>
      <c r="AC230" s="521"/>
      <c r="AD230" s="521"/>
      <c r="AE230" s="521"/>
      <c r="AF230" s="521"/>
      <c r="AG230" s="264">
        <v>3</v>
      </c>
    </row>
    <row r="231" spans="1:33" s="526" customFormat="1" ht="29">
      <c r="A231" s="513">
        <v>229</v>
      </c>
      <c r="B231" s="514" t="s">
        <v>2788</v>
      </c>
      <c r="C231" s="515" t="s">
        <v>2788</v>
      </c>
      <c r="D231" s="262" t="s">
        <v>638</v>
      </c>
      <c r="E231" s="513">
        <v>230</v>
      </c>
      <c r="F231" s="544" t="s">
        <v>2788</v>
      </c>
      <c r="G231" s="543">
        <v>45356</v>
      </c>
      <c r="H231" s="543">
        <v>45357</v>
      </c>
      <c r="I231" s="543">
        <v>45357</v>
      </c>
      <c r="J231" s="543">
        <v>45357</v>
      </c>
      <c r="K231" s="517">
        <v>45357</v>
      </c>
      <c r="L231" s="518" t="s">
        <v>705</v>
      </c>
      <c r="M231" s="264" t="s">
        <v>2587</v>
      </c>
      <c r="N231" s="262" t="s">
        <v>2176</v>
      </c>
      <c r="O231" s="390" t="s">
        <v>238</v>
      </c>
      <c r="P231" s="264" t="str">
        <f t="shared" ref="P231:P238" si="9">O231</f>
        <v>Binder Klip  nomor 111</v>
      </c>
      <c r="Q231" s="264" t="s">
        <v>710</v>
      </c>
      <c r="R231" s="519" t="s">
        <v>109</v>
      </c>
      <c r="S231" s="399">
        <v>5</v>
      </c>
      <c r="T231" s="348" t="s">
        <v>3362</v>
      </c>
      <c r="U231" s="520">
        <v>11000</v>
      </c>
      <c r="V231" s="266">
        <v>55000</v>
      </c>
      <c r="W231" s="521" t="s">
        <v>227</v>
      </c>
      <c r="X231" s="521" t="s">
        <v>3383</v>
      </c>
      <c r="Y231" s="522" t="s">
        <v>2512</v>
      </c>
      <c r="Z231" s="523" t="s">
        <v>541</v>
      </c>
      <c r="AA231" s="521"/>
      <c r="AB231" s="521"/>
      <c r="AC231" s="521"/>
      <c r="AD231" s="521"/>
      <c r="AE231" s="521"/>
      <c r="AF231" s="521"/>
      <c r="AG231" s="264">
        <v>3</v>
      </c>
    </row>
    <row r="232" spans="1:33" s="526" customFormat="1" ht="29">
      <c r="A232" s="513">
        <v>230</v>
      </c>
      <c r="B232" s="514" t="s">
        <v>2788</v>
      </c>
      <c r="C232" s="515" t="s">
        <v>2788</v>
      </c>
      <c r="D232" s="262" t="s">
        <v>638</v>
      </c>
      <c r="E232" s="513">
        <v>231</v>
      </c>
      <c r="F232" s="544" t="s">
        <v>2788</v>
      </c>
      <c r="G232" s="543">
        <v>45356</v>
      </c>
      <c r="H232" s="543">
        <v>45357</v>
      </c>
      <c r="I232" s="543">
        <v>45357</v>
      </c>
      <c r="J232" s="543">
        <v>45357</v>
      </c>
      <c r="K232" s="517">
        <v>45357</v>
      </c>
      <c r="L232" s="518" t="s">
        <v>705</v>
      </c>
      <c r="M232" s="264" t="s">
        <v>2587</v>
      </c>
      <c r="N232" s="262" t="s">
        <v>2176</v>
      </c>
      <c r="O232" s="390" t="s">
        <v>233</v>
      </c>
      <c r="P232" s="264" t="str">
        <f t="shared" si="9"/>
        <v>Ballpoint Drawing Pen 0,1 Snowman</v>
      </c>
      <c r="Q232" s="264" t="s">
        <v>710</v>
      </c>
      <c r="R232" s="525" t="s">
        <v>2590</v>
      </c>
      <c r="S232" s="399">
        <v>1</v>
      </c>
      <c r="T232" s="348" t="s">
        <v>3364</v>
      </c>
      <c r="U232" s="520">
        <v>95000</v>
      </c>
      <c r="V232" s="266">
        <v>95000</v>
      </c>
      <c r="W232" s="521" t="s">
        <v>227</v>
      </c>
      <c r="X232" s="521" t="s">
        <v>3383</v>
      </c>
      <c r="Y232" s="522" t="s">
        <v>2512</v>
      </c>
      <c r="Z232" s="523" t="s">
        <v>541</v>
      </c>
      <c r="AA232" s="521"/>
      <c r="AB232" s="521"/>
      <c r="AC232" s="521"/>
      <c r="AD232" s="521"/>
      <c r="AE232" s="521"/>
      <c r="AF232" s="521"/>
      <c r="AG232" s="264">
        <v>3</v>
      </c>
    </row>
    <row r="233" spans="1:33" s="526" customFormat="1" ht="29">
      <c r="A233" s="513">
        <v>231</v>
      </c>
      <c r="B233" s="514" t="s">
        <v>2788</v>
      </c>
      <c r="C233" s="515" t="s">
        <v>2788</v>
      </c>
      <c r="D233" s="262" t="s">
        <v>638</v>
      </c>
      <c r="E233" s="513">
        <v>232</v>
      </c>
      <c r="F233" s="544" t="s">
        <v>2788</v>
      </c>
      <c r="G233" s="543">
        <v>45356</v>
      </c>
      <c r="H233" s="543">
        <v>45357</v>
      </c>
      <c r="I233" s="543">
        <v>45357</v>
      </c>
      <c r="J233" s="543">
        <v>45357</v>
      </c>
      <c r="K233" s="517">
        <v>45357</v>
      </c>
      <c r="L233" s="518" t="s">
        <v>705</v>
      </c>
      <c r="M233" s="264" t="s">
        <v>2587</v>
      </c>
      <c r="N233" s="262" t="s">
        <v>2176</v>
      </c>
      <c r="O233" s="390" t="s">
        <v>2234</v>
      </c>
      <c r="P233" s="264" t="str">
        <f t="shared" si="9"/>
        <v>Stofmap Transparan tali</v>
      </c>
      <c r="Q233" s="264" t="s">
        <v>710</v>
      </c>
      <c r="R233" s="519" t="s">
        <v>158</v>
      </c>
      <c r="S233" s="399">
        <v>100</v>
      </c>
      <c r="T233" s="348" t="s">
        <v>3363</v>
      </c>
      <c r="U233" s="520">
        <v>5500</v>
      </c>
      <c r="V233" s="266">
        <v>550000</v>
      </c>
      <c r="W233" s="521" t="s">
        <v>227</v>
      </c>
      <c r="X233" s="521" t="s">
        <v>3383</v>
      </c>
      <c r="Y233" s="522" t="s">
        <v>2512</v>
      </c>
      <c r="Z233" s="523" t="s">
        <v>541</v>
      </c>
      <c r="AA233" s="521"/>
      <c r="AB233" s="521"/>
      <c r="AC233" s="521"/>
      <c r="AD233" s="521"/>
      <c r="AE233" s="521"/>
      <c r="AF233" s="521"/>
      <c r="AG233" s="264">
        <v>3</v>
      </c>
    </row>
    <row r="234" spans="1:33" s="526" customFormat="1" ht="29">
      <c r="A234" s="513">
        <v>232</v>
      </c>
      <c r="B234" s="514" t="s">
        <v>2788</v>
      </c>
      <c r="C234" s="515" t="s">
        <v>2788</v>
      </c>
      <c r="D234" s="262" t="s">
        <v>638</v>
      </c>
      <c r="E234" s="513">
        <v>233</v>
      </c>
      <c r="F234" s="544" t="s">
        <v>2788</v>
      </c>
      <c r="G234" s="543">
        <v>45356</v>
      </c>
      <c r="H234" s="543">
        <v>45357</v>
      </c>
      <c r="I234" s="543">
        <v>45357</v>
      </c>
      <c r="J234" s="543">
        <v>45357</v>
      </c>
      <c r="K234" s="517">
        <v>45357</v>
      </c>
      <c r="L234" s="518" t="s">
        <v>705</v>
      </c>
      <c r="M234" s="264" t="s">
        <v>2587</v>
      </c>
      <c r="N234" s="262" t="s">
        <v>2176</v>
      </c>
      <c r="O234" s="390" t="s">
        <v>2235</v>
      </c>
      <c r="P234" s="264" t="str">
        <f t="shared" si="9"/>
        <v>Amplop Coklat Merk : GSU Ukuran Folio polos</v>
      </c>
      <c r="Q234" s="264" t="s">
        <v>710</v>
      </c>
      <c r="R234" s="529" t="s">
        <v>2593</v>
      </c>
      <c r="S234" s="399">
        <v>2</v>
      </c>
      <c r="T234" s="348" t="s">
        <v>3365</v>
      </c>
      <c r="U234" s="520">
        <v>60000</v>
      </c>
      <c r="V234" s="266">
        <v>120000</v>
      </c>
      <c r="W234" s="521" t="s">
        <v>227</v>
      </c>
      <c r="X234" s="521" t="s">
        <v>3383</v>
      </c>
      <c r="Y234" s="522" t="s">
        <v>2512</v>
      </c>
      <c r="Z234" s="523" t="s">
        <v>541</v>
      </c>
      <c r="AA234" s="521"/>
      <c r="AB234" s="521"/>
      <c r="AC234" s="521"/>
      <c r="AD234" s="521"/>
      <c r="AE234" s="521"/>
      <c r="AF234" s="521"/>
      <c r="AG234" s="264">
        <v>3</v>
      </c>
    </row>
    <row r="235" spans="1:33" s="526" customFormat="1" ht="29">
      <c r="A235" s="513">
        <v>233</v>
      </c>
      <c r="B235" s="514" t="s">
        <v>2788</v>
      </c>
      <c r="C235" s="515" t="s">
        <v>2788</v>
      </c>
      <c r="D235" s="262" t="s">
        <v>638</v>
      </c>
      <c r="E235" s="513">
        <v>234</v>
      </c>
      <c r="F235" s="544" t="s">
        <v>2788</v>
      </c>
      <c r="G235" s="543">
        <v>45356</v>
      </c>
      <c r="H235" s="543">
        <v>45357</v>
      </c>
      <c r="I235" s="543">
        <v>45357</v>
      </c>
      <c r="J235" s="543">
        <v>45357</v>
      </c>
      <c r="K235" s="517">
        <v>45357</v>
      </c>
      <c r="L235" s="518" t="s">
        <v>705</v>
      </c>
      <c r="M235" s="264" t="s">
        <v>2587</v>
      </c>
      <c r="N235" s="262" t="s">
        <v>2176</v>
      </c>
      <c r="O235" s="390" t="s">
        <v>2236</v>
      </c>
      <c r="P235" s="264" t="str">
        <f t="shared" si="9"/>
        <v>Stapler HD-10--</v>
      </c>
      <c r="Q235" s="264" t="s">
        <v>710</v>
      </c>
      <c r="R235" s="519" t="s">
        <v>152</v>
      </c>
      <c r="S235" s="399">
        <v>2</v>
      </c>
      <c r="T235" s="348" t="s">
        <v>3363</v>
      </c>
      <c r="U235" s="520">
        <v>20000</v>
      </c>
      <c r="V235" s="266">
        <v>40000</v>
      </c>
      <c r="W235" s="521" t="s">
        <v>227</v>
      </c>
      <c r="X235" s="521" t="s">
        <v>3383</v>
      </c>
      <c r="Y235" s="522" t="s">
        <v>2512</v>
      </c>
      <c r="Z235" s="523" t="s">
        <v>541</v>
      </c>
      <c r="AA235" s="521"/>
      <c r="AB235" s="521"/>
      <c r="AC235" s="521"/>
      <c r="AD235" s="521"/>
      <c r="AE235" s="521"/>
      <c r="AF235" s="521"/>
      <c r="AG235" s="264">
        <v>3</v>
      </c>
    </row>
    <row r="236" spans="1:33" s="526" customFormat="1" ht="29">
      <c r="A236" s="513">
        <v>234</v>
      </c>
      <c r="B236" s="514" t="s">
        <v>2788</v>
      </c>
      <c r="C236" s="515" t="s">
        <v>2788</v>
      </c>
      <c r="D236" s="262" t="s">
        <v>638</v>
      </c>
      <c r="E236" s="513">
        <v>235</v>
      </c>
      <c r="F236" s="544" t="s">
        <v>2788</v>
      </c>
      <c r="G236" s="543">
        <v>45356</v>
      </c>
      <c r="H236" s="543">
        <v>45357</v>
      </c>
      <c r="I236" s="543">
        <v>45357</v>
      </c>
      <c r="J236" s="543">
        <v>45357</v>
      </c>
      <c r="K236" s="517">
        <v>45357</v>
      </c>
      <c r="L236" s="518" t="s">
        <v>705</v>
      </c>
      <c r="M236" s="264" t="s">
        <v>2587</v>
      </c>
      <c r="N236" s="262" t="s">
        <v>2176</v>
      </c>
      <c r="O236" s="390" t="s">
        <v>2237</v>
      </c>
      <c r="P236" s="264" t="str">
        <f t="shared" si="9"/>
        <v>Kertas Lain-Lain Kertas Buffalo</v>
      </c>
      <c r="Q236" s="264" t="s">
        <v>710</v>
      </c>
      <c r="R236" s="519" t="s">
        <v>130</v>
      </c>
      <c r="S236" s="399">
        <v>5</v>
      </c>
      <c r="T236" s="348" t="s">
        <v>3365</v>
      </c>
      <c r="U236" s="520">
        <v>31000</v>
      </c>
      <c r="V236" s="266">
        <v>155000</v>
      </c>
      <c r="W236" s="521" t="s">
        <v>227</v>
      </c>
      <c r="X236" s="521" t="s">
        <v>3383</v>
      </c>
      <c r="Y236" s="522" t="s">
        <v>2512</v>
      </c>
      <c r="Z236" s="523" t="s">
        <v>541</v>
      </c>
      <c r="AA236" s="521"/>
      <c r="AB236" s="521"/>
      <c r="AC236" s="521"/>
      <c r="AD236" s="521"/>
      <c r="AE236" s="521"/>
      <c r="AF236" s="521"/>
      <c r="AG236" s="264">
        <v>3</v>
      </c>
    </row>
    <row r="237" spans="1:33" s="526" customFormat="1" ht="29">
      <c r="A237" s="513">
        <v>235</v>
      </c>
      <c r="B237" s="514" t="s">
        <v>2788</v>
      </c>
      <c r="C237" s="515" t="s">
        <v>2788</v>
      </c>
      <c r="D237" s="262" t="s">
        <v>638</v>
      </c>
      <c r="E237" s="513">
        <v>236</v>
      </c>
      <c r="F237" s="544" t="s">
        <v>2788</v>
      </c>
      <c r="G237" s="543">
        <v>45356</v>
      </c>
      <c r="H237" s="543">
        <v>45357</v>
      </c>
      <c r="I237" s="543">
        <v>45357</v>
      </c>
      <c r="J237" s="543">
        <v>45357</v>
      </c>
      <c r="K237" s="517">
        <v>45357</v>
      </c>
      <c r="L237" s="518" t="s">
        <v>705</v>
      </c>
      <c r="M237" s="264" t="s">
        <v>2587</v>
      </c>
      <c r="N237" s="262" t="s">
        <v>2176</v>
      </c>
      <c r="O237" s="390" t="s">
        <v>236</v>
      </c>
      <c r="P237" s="264" t="str">
        <f t="shared" si="9"/>
        <v>Baterey Kecil</v>
      </c>
      <c r="Q237" s="264" t="s">
        <v>710</v>
      </c>
      <c r="R237" s="519" t="s">
        <v>106</v>
      </c>
      <c r="S237" s="399">
        <v>2</v>
      </c>
      <c r="T237" s="348" t="s">
        <v>3366</v>
      </c>
      <c r="U237" s="520">
        <v>20000</v>
      </c>
      <c r="V237" s="266">
        <v>40000</v>
      </c>
      <c r="W237" s="521" t="s">
        <v>227</v>
      </c>
      <c r="X237" s="521" t="s">
        <v>3383</v>
      </c>
      <c r="Y237" s="522" t="s">
        <v>2512</v>
      </c>
      <c r="Z237" s="523" t="s">
        <v>541</v>
      </c>
      <c r="AA237" s="521"/>
      <c r="AB237" s="521"/>
      <c r="AC237" s="521"/>
      <c r="AD237" s="521"/>
      <c r="AE237" s="521"/>
      <c r="AF237" s="521"/>
      <c r="AG237" s="264">
        <v>3</v>
      </c>
    </row>
    <row r="238" spans="1:33" s="526" customFormat="1" ht="29">
      <c r="A238" s="513">
        <v>236</v>
      </c>
      <c r="B238" s="514" t="s">
        <v>2788</v>
      </c>
      <c r="C238" s="515" t="s">
        <v>2788</v>
      </c>
      <c r="D238" s="262" t="s">
        <v>638</v>
      </c>
      <c r="E238" s="513">
        <v>237</v>
      </c>
      <c r="F238" s="544" t="s">
        <v>2788</v>
      </c>
      <c r="G238" s="543">
        <v>45356</v>
      </c>
      <c r="H238" s="543">
        <v>45357</v>
      </c>
      <c r="I238" s="543">
        <v>45357</v>
      </c>
      <c r="J238" s="543">
        <v>45357</v>
      </c>
      <c r="K238" s="517">
        <v>45357</v>
      </c>
      <c r="L238" s="518" t="s">
        <v>705</v>
      </c>
      <c r="M238" s="264" t="s">
        <v>2587</v>
      </c>
      <c r="N238" s="262" t="s">
        <v>2176</v>
      </c>
      <c r="O238" s="390" t="s">
        <v>2239</v>
      </c>
      <c r="P238" s="264" t="str">
        <f t="shared" si="9"/>
        <v>Tinta Printer Canon 741 Warna-741 Warna</v>
      </c>
      <c r="Q238" s="264" t="s">
        <v>710</v>
      </c>
      <c r="R238" s="519" t="s">
        <v>160</v>
      </c>
      <c r="S238" s="399">
        <v>12</v>
      </c>
      <c r="T238" s="348" t="s">
        <v>3367</v>
      </c>
      <c r="U238" s="520">
        <v>33000</v>
      </c>
      <c r="V238" s="266">
        <v>396000</v>
      </c>
      <c r="W238" s="521" t="s">
        <v>227</v>
      </c>
      <c r="X238" s="521" t="s">
        <v>3383</v>
      </c>
      <c r="Y238" s="522" t="s">
        <v>2512</v>
      </c>
      <c r="Z238" s="523" t="s">
        <v>541</v>
      </c>
      <c r="AA238" s="521"/>
      <c r="AB238" s="521"/>
      <c r="AC238" s="521"/>
      <c r="AD238" s="521"/>
      <c r="AE238" s="521"/>
      <c r="AF238" s="521"/>
      <c r="AG238" s="264">
        <v>3</v>
      </c>
    </row>
    <row r="239" spans="1:33" s="526" customFormat="1" ht="37.5">
      <c r="A239" s="513">
        <v>237</v>
      </c>
      <c r="B239" s="514" t="s">
        <v>2788</v>
      </c>
      <c r="C239" s="515" t="s">
        <v>2788</v>
      </c>
      <c r="D239" s="262" t="s">
        <v>638</v>
      </c>
      <c r="E239" s="513">
        <v>238</v>
      </c>
      <c r="F239" s="544" t="s">
        <v>2788</v>
      </c>
      <c r="G239" s="543">
        <v>45356</v>
      </c>
      <c r="H239" s="543">
        <v>45357</v>
      </c>
      <c r="I239" s="543">
        <v>45357</v>
      </c>
      <c r="J239" s="543">
        <v>45357</v>
      </c>
      <c r="K239" s="517">
        <v>45357</v>
      </c>
      <c r="L239" s="518" t="s">
        <v>705</v>
      </c>
      <c r="M239" s="264" t="s">
        <v>2587</v>
      </c>
      <c r="N239" s="262" t="s">
        <v>2176</v>
      </c>
      <c r="O239" s="390" t="s">
        <v>252</v>
      </c>
      <c r="P239" s="524" t="s">
        <v>2571</v>
      </c>
      <c r="Q239" s="264" t="s">
        <v>710</v>
      </c>
      <c r="R239" s="519" t="s">
        <v>136</v>
      </c>
      <c r="S239" s="399">
        <v>5</v>
      </c>
      <c r="T239" s="348" t="s">
        <v>2436</v>
      </c>
      <c r="U239" s="520">
        <v>15000</v>
      </c>
      <c r="V239" s="266">
        <v>75000</v>
      </c>
      <c r="W239" s="521" t="s">
        <v>227</v>
      </c>
      <c r="X239" s="521" t="s">
        <v>3383</v>
      </c>
      <c r="Y239" s="522" t="s">
        <v>2512</v>
      </c>
      <c r="Z239" s="523" t="s">
        <v>541</v>
      </c>
      <c r="AA239" s="521"/>
      <c r="AB239" s="521"/>
      <c r="AC239" s="521"/>
      <c r="AD239" s="521"/>
      <c r="AE239" s="521"/>
      <c r="AF239" s="521"/>
      <c r="AG239" s="264">
        <v>3</v>
      </c>
    </row>
    <row r="240" spans="1:33" s="526" customFormat="1" ht="29">
      <c r="A240" s="513">
        <v>238</v>
      </c>
      <c r="B240" s="514" t="s">
        <v>2788</v>
      </c>
      <c r="C240" s="515" t="s">
        <v>2788</v>
      </c>
      <c r="D240" s="262" t="s">
        <v>638</v>
      </c>
      <c r="E240" s="513">
        <v>239</v>
      </c>
      <c r="F240" s="544" t="s">
        <v>2788</v>
      </c>
      <c r="G240" s="543">
        <v>45356</v>
      </c>
      <c r="H240" s="543">
        <v>45357</v>
      </c>
      <c r="I240" s="543">
        <v>45357</v>
      </c>
      <c r="J240" s="543">
        <v>45357</v>
      </c>
      <c r="K240" s="517">
        <v>45357</v>
      </c>
      <c r="L240" s="518" t="s">
        <v>705</v>
      </c>
      <c r="M240" s="264" t="s">
        <v>2587</v>
      </c>
      <c r="N240" s="262" t="s">
        <v>2176</v>
      </c>
      <c r="O240" s="390" t="s">
        <v>259</v>
      </c>
      <c r="P240" s="264" t="str">
        <f t="shared" ref="P240:P265" si="10">O240</f>
        <v>Plastik Mika</v>
      </c>
      <c r="Q240" s="264" t="s">
        <v>710</v>
      </c>
      <c r="R240" s="519" t="s">
        <v>148</v>
      </c>
      <c r="S240" s="399">
        <v>5</v>
      </c>
      <c r="T240" s="348" t="s">
        <v>3365</v>
      </c>
      <c r="U240" s="520">
        <v>60000</v>
      </c>
      <c r="V240" s="266">
        <v>300000</v>
      </c>
      <c r="W240" s="521" t="s">
        <v>227</v>
      </c>
      <c r="X240" s="521" t="s">
        <v>3383</v>
      </c>
      <c r="Y240" s="522" t="s">
        <v>2512</v>
      </c>
      <c r="Z240" s="523" t="s">
        <v>541</v>
      </c>
      <c r="AA240" s="521"/>
      <c r="AB240" s="521"/>
      <c r="AC240" s="521"/>
      <c r="AD240" s="521"/>
      <c r="AE240" s="521"/>
      <c r="AF240" s="521"/>
      <c r="AG240" s="264">
        <v>3</v>
      </c>
    </row>
    <row r="241" spans="1:33" s="526" customFormat="1" ht="29">
      <c r="A241" s="513">
        <v>239</v>
      </c>
      <c r="B241" s="514" t="s">
        <v>2788</v>
      </c>
      <c r="C241" s="515" t="s">
        <v>2788</v>
      </c>
      <c r="D241" s="262" t="s">
        <v>638</v>
      </c>
      <c r="E241" s="513">
        <v>240</v>
      </c>
      <c r="F241" s="544" t="s">
        <v>2788</v>
      </c>
      <c r="G241" s="543">
        <v>45356</v>
      </c>
      <c r="H241" s="543">
        <v>45357</v>
      </c>
      <c r="I241" s="543">
        <v>45357</v>
      </c>
      <c r="J241" s="543">
        <v>45357</v>
      </c>
      <c r="K241" s="517">
        <v>45357</v>
      </c>
      <c r="L241" s="518" t="s">
        <v>705</v>
      </c>
      <c r="M241" s="264" t="s">
        <v>2587</v>
      </c>
      <c r="N241" s="262" t="s">
        <v>2176</v>
      </c>
      <c r="O241" s="390" t="s">
        <v>237</v>
      </c>
      <c r="P241" s="264" t="str">
        <f t="shared" si="10"/>
        <v>Binder Klip  nomor 107</v>
      </c>
      <c r="Q241" s="264" t="s">
        <v>710</v>
      </c>
      <c r="R241" s="525" t="s">
        <v>2595</v>
      </c>
      <c r="S241" s="399">
        <v>5</v>
      </c>
      <c r="T241" s="348" t="s">
        <v>3362</v>
      </c>
      <c r="U241" s="520">
        <v>7500</v>
      </c>
      <c r="V241" s="266">
        <v>37500</v>
      </c>
      <c r="W241" s="521" t="s">
        <v>227</v>
      </c>
      <c r="X241" s="521" t="s">
        <v>3383</v>
      </c>
      <c r="Y241" s="522" t="s">
        <v>2512</v>
      </c>
      <c r="Z241" s="523" t="s">
        <v>541</v>
      </c>
      <c r="AA241" s="521"/>
      <c r="AB241" s="521"/>
      <c r="AC241" s="521"/>
      <c r="AD241" s="521"/>
      <c r="AE241" s="521"/>
      <c r="AF241" s="521"/>
      <c r="AG241" s="264">
        <v>3</v>
      </c>
    </row>
    <row r="242" spans="1:33" s="526" customFormat="1" ht="29">
      <c r="A242" s="513">
        <v>240</v>
      </c>
      <c r="B242" s="514" t="s">
        <v>2788</v>
      </c>
      <c r="C242" s="515" t="s">
        <v>2788</v>
      </c>
      <c r="D242" s="262" t="s">
        <v>638</v>
      </c>
      <c r="E242" s="513">
        <v>241</v>
      </c>
      <c r="F242" s="544" t="s">
        <v>2788</v>
      </c>
      <c r="G242" s="543">
        <v>45356</v>
      </c>
      <c r="H242" s="543">
        <v>45357</v>
      </c>
      <c r="I242" s="543">
        <v>45357</v>
      </c>
      <c r="J242" s="543">
        <v>45357</v>
      </c>
      <c r="K242" s="517">
        <v>45357</v>
      </c>
      <c r="L242" s="518" t="s">
        <v>705</v>
      </c>
      <c r="M242" s="264" t="s">
        <v>2587</v>
      </c>
      <c r="N242" s="262" t="s">
        <v>2176</v>
      </c>
      <c r="O242" s="390" t="s">
        <v>228</v>
      </c>
      <c r="P242" s="264" t="str">
        <f t="shared" si="10"/>
        <v>Amplop Coklat Merk : Garda Ukuran Cabinet</v>
      </c>
      <c r="Q242" s="264" t="s">
        <v>710</v>
      </c>
      <c r="R242" s="525" t="s">
        <v>2596</v>
      </c>
      <c r="S242" s="399">
        <v>3</v>
      </c>
      <c r="T242" s="348" t="s">
        <v>3365</v>
      </c>
      <c r="U242" s="520">
        <v>23000</v>
      </c>
      <c r="V242" s="266">
        <v>69000</v>
      </c>
      <c r="W242" s="521" t="s">
        <v>227</v>
      </c>
      <c r="X242" s="521" t="s">
        <v>3383</v>
      </c>
      <c r="Y242" s="522" t="s">
        <v>2512</v>
      </c>
      <c r="Z242" s="523" t="s">
        <v>541</v>
      </c>
      <c r="AA242" s="521"/>
      <c r="AB242" s="521"/>
      <c r="AC242" s="521"/>
      <c r="AD242" s="521"/>
      <c r="AE242" s="521"/>
      <c r="AF242" s="521"/>
      <c r="AG242" s="264">
        <v>3</v>
      </c>
    </row>
    <row r="243" spans="1:33" s="526" customFormat="1" ht="29">
      <c r="A243" s="513">
        <v>241</v>
      </c>
      <c r="B243" s="514" t="s">
        <v>2788</v>
      </c>
      <c r="C243" s="515" t="s">
        <v>2788</v>
      </c>
      <c r="D243" s="262" t="s">
        <v>638</v>
      </c>
      <c r="E243" s="513">
        <v>242</v>
      </c>
      <c r="F243" s="544" t="s">
        <v>2788</v>
      </c>
      <c r="G243" s="543">
        <v>45356</v>
      </c>
      <c r="H243" s="543">
        <v>45357</v>
      </c>
      <c r="I243" s="543">
        <v>45357</v>
      </c>
      <c r="J243" s="543">
        <v>45357</v>
      </c>
      <c r="K243" s="517">
        <v>45357</v>
      </c>
      <c r="L243" s="518" t="s">
        <v>705</v>
      </c>
      <c r="M243" s="264" t="s">
        <v>2587</v>
      </c>
      <c r="N243" s="262" t="s">
        <v>2176</v>
      </c>
      <c r="O243" s="390" t="s">
        <v>248</v>
      </c>
      <c r="P243" s="264" t="str">
        <f t="shared" si="10"/>
        <v>Kertas Label</v>
      </c>
      <c r="Q243" s="264" t="s">
        <v>710</v>
      </c>
      <c r="R243" s="525" t="s">
        <v>2597</v>
      </c>
      <c r="S243" s="399">
        <v>5</v>
      </c>
      <c r="T243" s="348" t="s">
        <v>3368</v>
      </c>
      <c r="U243" s="520">
        <v>25000</v>
      </c>
      <c r="V243" s="266">
        <v>125000</v>
      </c>
      <c r="W243" s="521" t="s">
        <v>227</v>
      </c>
      <c r="X243" s="521" t="s">
        <v>3383</v>
      </c>
      <c r="Y243" s="522" t="s">
        <v>2512</v>
      </c>
      <c r="Z243" s="523" t="s">
        <v>541</v>
      </c>
      <c r="AA243" s="521"/>
      <c r="AB243" s="521"/>
      <c r="AC243" s="521"/>
      <c r="AD243" s="521"/>
      <c r="AE243" s="521"/>
      <c r="AF243" s="521"/>
      <c r="AG243" s="264">
        <v>3</v>
      </c>
    </row>
    <row r="244" spans="1:33" s="526" customFormat="1" ht="43.5">
      <c r="A244" s="513">
        <v>242</v>
      </c>
      <c r="B244" s="514" t="s">
        <v>2788</v>
      </c>
      <c r="C244" s="515" t="s">
        <v>2788</v>
      </c>
      <c r="D244" s="262" t="s">
        <v>638</v>
      </c>
      <c r="E244" s="513">
        <v>243</v>
      </c>
      <c r="F244" s="544" t="s">
        <v>2788</v>
      </c>
      <c r="G244" s="543">
        <v>45356</v>
      </c>
      <c r="H244" s="543">
        <v>45357</v>
      </c>
      <c r="I244" s="543">
        <v>45357</v>
      </c>
      <c r="J244" s="543">
        <v>45357</v>
      </c>
      <c r="K244" s="517">
        <v>45357</v>
      </c>
      <c r="L244" s="518" t="s">
        <v>705</v>
      </c>
      <c r="M244" s="264" t="s">
        <v>2587</v>
      </c>
      <c r="N244" s="262" t="s">
        <v>2176</v>
      </c>
      <c r="O244" s="390" t="s">
        <v>261</v>
      </c>
      <c r="P244" s="264" t="str">
        <f t="shared" si="10"/>
        <v>Spidol Refil Spidol White Board Snowman</v>
      </c>
      <c r="Q244" s="264" t="s">
        <v>710</v>
      </c>
      <c r="R244" s="519" t="s">
        <v>150</v>
      </c>
      <c r="S244" s="399">
        <v>10</v>
      </c>
      <c r="T244" s="348" t="s">
        <v>3363</v>
      </c>
      <c r="U244" s="520">
        <v>20900</v>
      </c>
      <c r="V244" s="266">
        <v>209000</v>
      </c>
      <c r="W244" s="521" t="s">
        <v>227</v>
      </c>
      <c r="X244" s="521" t="s">
        <v>3383</v>
      </c>
      <c r="Y244" s="522" t="s">
        <v>2512</v>
      </c>
      <c r="Z244" s="523" t="s">
        <v>541</v>
      </c>
      <c r="AA244" s="521"/>
      <c r="AB244" s="521"/>
      <c r="AC244" s="521"/>
      <c r="AD244" s="521"/>
      <c r="AE244" s="521"/>
      <c r="AF244" s="521"/>
      <c r="AG244" s="264">
        <v>3</v>
      </c>
    </row>
    <row r="245" spans="1:33" s="526" customFormat="1" ht="29">
      <c r="A245" s="513">
        <v>243</v>
      </c>
      <c r="B245" s="514" t="s">
        <v>2788</v>
      </c>
      <c r="C245" s="515" t="s">
        <v>2788</v>
      </c>
      <c r="D245" s="262" t="s">
        <v>638</v>
      </c>
      <c r="E245" s="513">
        <v>244</v>
      </c>
      <c r="F245" s="544" t="s">
        <v>2788</v>
      </c>
      <c r="G245" s="543">
        <v>45356</v>
      </c>
      <c r="H245" s="543">
        <v>45357</v>
      </c>
      <c r="I245" s="543">
        <v>45357</v>
      </c>
      <c r="J245" s="543">
        <v>45357</v>
      </c>
      <c r="K245" s="517">
        <v>45357</v>
      </c>
      <c r="L245" s="518" t="s">
        <v>705</v>
      </c>
      <c r="M245" s="264" t="s">
        <v>2587</v>
      </c>
      <c r="N245" s="262" t="s">
        <v>2176</v>
      </c>
      <c r="O245" s="390" t="s">
        <v>241</v>
      </c>
      <c r="P245" s="264" t="str">
        <f t="shared" si="10"/>
        <v>Binder Klip Merk : KENKO nomor 105</v>
      </c>
      <c r="Q245" s="264" t="s">
        <v>710</v>
      </c>
      <c r="R245" s="525" t="s">
        <v>2728</v>
      </c>
      <c r="S245" s="399">
        <v>2</v>
      </c>
      <c r="T245" s="348" t="s">
        <v>3362</v>
      </c>
      <c r="U245" s="520">
        <v>5000</v>
      </c>
      <c r="V245" s="266">
        <v>10000</v>
      </c>
      <c r="W245" s="521" t="s">
        <v>227</v>
      </c>
      <c r="X245" s="521" t="s">
        <v>3383</v>
      </c>
      <c r="Y245" s="522" t="s">
        <v>2512</v>
      </c>
      <c r="Z245" s="523" t="s">
        <v>541</v>
      </c>
      <c r="AA245" s="521"/>
      <c r="AB245" s="521"/>
      <c r="AC245" s="521"/>
      <c r="AD245" s="521"/>
      <c r="AE245" s="521"/>
      <c r="AF245" s="521"/>
      <c r="AG245" s="264">
        <v>3</v>
      </c>
    </row>
    <row r="246" spans="1:33" s="526" customFormat="1" ht="29">
      <c r="A246" s="513">
        <v>244</v>
      </c>
      <c r="B246" s="514" t="s">
        <v>2788</v>
      </c>
      <c r="C246" s="515" t="s">
        <v>2788</v>
      </c>
      <c r="D246" s="262" t="s">
        <v>638</v>
      </c>
      <c r="E246" s="513">
        <v>245</v>
      </c>
      <c r="F246" s="544" t="s">
        <v>2788</v>
      </c>
      <c r="G246" s="543">
        <v>45356</v>
      </c>
      <c r="H246" s="543">
        <v>45357</v>
      </c>
      <c r="I246" s="543">
        <v>45357</v>
      </c>
      <c r="J246" s="543">
        <v>45357</v>
      </c>
      <c r="K246" s="517">
        <v>45357</v>
      </c>
      <c r="L246" s="518" t="s">
        <v>705</v>
      </c>
      <c r="M246" s="264" t="s">
        <v>2587</v>
      </c>
      <c r="N246" s="262" t="s">
        <v>2176</v>
      </c>
      <c r="O246" s="390" t="s">
        <v>234</v>
      </c>
      <c r="P246" s="264" t="str">
        <f t="shared" si="10"/>
        <v>Ballpoint Pilot G2</v>
      </c>
      <c r="Q246" s="264" t="s">
        <v>710</v>
      </c>
      <c r="R246" s="519" t="s">
        <v>102</v>
      </c>
      <c r="S246" s="399">
        <v>1</v>
      </c>
      <c r="T246" s="348" t="s">
        <v>3364</v>
      </c>
      <c r="U246" s="520">
        <v>235000</v>
      </c>
      <c r="V246" s="266">
        <v>235000</v>
      </c>
      <c r="W246" s="521" t="s">
        <v>227</v>
      </c>
      <c r="X246" s="521" t="s">
        <v>3383</v>
      </c>
      <c r="Y246" s="522" t="s">
        <v>2512</v>
      </c>
      <c r="Z246" s="523" t="s">
        <v>541</v>
      </c>
      <c r="AA246" s="521"/>
      <c r="AB246" s="521"/>
      <c r="AC246" s="521"/>
      <c r="AD246" s="521"/>
      <c r="AE246" s="521"/>
      <c r="AF246" s="521"/>
      <c r="AG246" s="264">
        <v>3</v>
      </c>
    </row>
    <row r="247" spans="1:33" s="526" customFormat="1" ht="43.5">
      <c r="A247" s="513">
        <v>245</v>
      </c>
      <c r="B247" s="514" t="s">
        <v>2788</v>
      </c>
      <c r="C247" s="515" t="s">
        <v>2788</v>
      </c>
      <c r="D247" s="262" t="s">
        <v>638</v>
      </c>
      <c r="E247" s="513">
        <v>246</v>
      </c>
      <c r="F247" s="544" t="s">
        <v>2788</v>
      </c>
      <c r="G247" s="543">
        <v>45356</v>
      </c>
      <c r="H247" s="543">
        <v>45357</v>
      </c>
      <c r="I247" s="543">
        <v>45357</v>
      </c>
      <c r="J247" s="543">
        <v>45357</v>
      </c>
      <c r="K247" s="517">
        <v>45357</v>
      </c>
      <c r="L247" s="518" t="s">
        <v>705</v>
      </c>
      <c r="M247" s="264" t="s">
        <v>2587</v>
      </c>
      <c r="N247" s="262" t="s">
        <v>2176</v>
      </c>
      <c r="O247" s="390" t="s">
        <v>2240</v>
      </c>
      <c r="P247" s="264" t="str">
        <f t="shared" si="10"/>
        <v>Ballpoint Boldiner Standar</v>
      </c>
      <c r="Q247" s="264" t="s">
        <v>710</v>
      </c>
      <c r="R247" s="519" t="s">
        <v>100</v>
      </c>
      <c r="S247" s="399">
        <v>2</v>
      </c>
      <c r="T247" s="348" t="s">
        <v>3364</v>
      </c>
      <c r="U247" s="520">
        <v>225000</v>
      </c>
      <c r="V247" s="266">
        <v>450000</v>
      </c>
      <c r="W247" s="521" t="s">
        <v>227</v>
      </c>
      <c r="X247" s="521" t="s">
        <v>3383</v>
      </c>
      <c r="Y247" s="522" t="s">
        <v>2512</v>
      </c>
      <c r="Z247" s="523" t="s">
        <v>541</v>
      </c>
      <c r="AA247" s="521"/>
      <c r="AB247" s="521"/>
      <c r="AC247" s="521"/>
      <c r="AD247" s="521"/>
      <c r="AE247" s="521"/>
      <c r="AF247" s="521"/>
      <c r="AG247" s="264">
        <v>3</v>
      </c>
    </row>
    <row r="248" spans="1:33" s="526" customFormat="1" ht="29">
      <c r="A248" s="513">
        <v>246</v>
      </c>
      <c r="B248" s="514" t="s">
        <v>2788</v>
      </c>
      <c r="C248" s="515" t="s">
        <v>2788</v>
      </c>
      <c r="D248" s="262" t="s">
        <v>638</v>
      </c>
      <c r="E248" s="513">
        <v>247</v>
      </c>
      <c r="F248" s="544" t="s">
        <v>2788</v>
      </c>
      <c r="G248" s="543">
        <v>45356</v>
      </c>
      <c r="H248" s="543">
        <v>45357</v>
      </c>
      <c r="I248" s="543">
        <v>45357</v>
      </c>
      <c r="J248" s="543">
        <v>45357</v>
      </c>
      <c r="K248" s="517">
        <v>45357</v>
      </c>
      <c r="L248" s="518" t="s">
        <v>705</v>
      </c>
      <c r="M248" s="264" t="s">
        <v>2587</v>
      </c>
      <c r="N248" s="262" t="s">
        <v>2176</v>
      </c>
      <c r="O248" s="390" t="s">
        <v>243</v>
      </c>
      <c r="P248" s="264" t="str">
        <f t="shared" si="10"/>
        <v>C. Tinta Printer EPSON Tinta Printer Epson Blue</v>
      </c>
      <c r="Q248" s="264" t="s">
        <v>710</v>
      </c>
      <c r="R248" s="519" t="s">
        <v>117</v>
      </c>
      <c r="S248" s="399">
        <v>4</v>
      </c>
      <c r="T248" s="348" t="s">
        <v>3367</v>
      </c>
      <c r="U248" s="520">
        <v>110000</v>
      </c>
      <c r="V248" s="266">
        <v>440000</v>
      </c>
      <c r="W248" s="521" t="s">
        <v>227</v>
      </c>
      <c r="X248" s="521" t="s">
        <v>3383</v>
      </c>
      <c r="Y248" s="522" t="s">
        <v>2512</v>
      </c>
      <c r="Z248" s="523" t="s">
        <v>541</v>
      </c>
      <c r="AA248" s="521"/>
      <c r="AB248" s="521"/>
      <c r="AC248" s="521"/>
      <c r="AD248" s="521"/>
      <c r="AE248" s="521"/>
      <c r="AF248" s="521"/>
      <c r="AG248" s="264">
        <v>3</v>
      </c>
    </row>
    <row r="249" spans="1:33" s="526" customFormat="1" ht="29">
      <c r="A249" s="513">
        <v>247</v>
      </c>
      <c r="B249" s="514" t="s">
        <v>2788</v>
      </c>
      <c r="C249" s="515" t="s">
        <v>2788</v>
      </c>
      <c r="D249" s="262" t="s">
        <v>638</v>
      </c>
      <c r="E249" s="513">
        <v>248</v>
      </c>
      <c r="F249" s="544" t="s">
        <v>2788</v>
      </c>
      <c r="G249" s="543">
        <v>45356</v>
      </c>
      <c r="H249" s="543">
        <v>45357</v>
      </c>
      <c r="I249" s="543">
        <v>45357</v>
      </c>
      <c r="J249" s="543">
        <v>45357</v>
      </c>
      <c r="K249" s="517">
        <v>45357</v>
      </c>
      <c r="L249" s="518" t="s">
        <v>705</v>
      </c>
      <c r="M249" s="264" t="s">
        <v>2587</v>
      </c>
      <c r="N249" s="262" t="s">
        <v>2176</v>
      </c>
      <c r="O249" s="390" t="s">
        <v>254</v>
      </c>
      <c r="P249" s="264" t="str">
        <f t="shared" si="10"/>
        <v>Map Binder</v>
      </c>
      <c r="Q249" s="264" t="s">
        <v>710</v>
      </c>
      <c r="R249" s="519" t="s">
        <v>142</v>
      </c>
      <c r="S249" s="399">
        <v>12</v>
      </c>
      <c r="T249" s="348" t="s">
        <v>3363</v>
      </c>
      <c r="U249" s="520">
        <v>35500</v>
      </c>
      <c r="V249" s="266">
        <v>426000</v>
      </c>
      <c r="W249" s="521" t="s">
        <v>227</v>
      </c>
      <c r="X249" s="521" t="s">
        <v>3383</v>
      </c>
      <c r="Y249" s="522" t="s">
        <v>2512</v>
      </c>
      <c r="Z249" s="523" t="s">
        <v>541</v>
      </c>
      <c r="AA249" s="521"/>
      <c r="AB249" s="521"/>
      <c r="AC249" s="521"/>
      <c r="AD249" s="521"/>
      <c r="AE249" s="521"/>
      <c r="AF249" s="521"/>
      <c r="AG249" s="264">
        <v>3</v>
      </c>
    </row>
    <row r="250" spans="1:33" s="526" customFormat="1" ht="29">
      <c r="A250" s="513">
        <v>248</v>
      </c>
      <c r="B250" s="514" t="s">
        <v>2788</v>
      </c>
      <c r="C250" s="515" t="s">
        <v>2788</v>
      </c>
      <c r="D250" s="262" t="s">
        <v>638</v>
      </c>
      <c r="E250" s="513">
        <v>249</v>
      </c>
      <c r="F250" s="544" t="s">
        <v>2788</v>
      </c>
      <c r="G250" s="543">
        <v>45356</v>
      </c>
      <c r="H250" s="543">
        <v>45357</v>
      </c>
      <c r="I250" s="543">
        <v>45357</v>
      </c>
      <c r="J250" s="543">
        <v>45357</v>
      </c>
      <c r="K250" s="517">
        <v>45357</v>
      </c>
      <c r="L250" s="518" t="s">
        <v>705</v>
      </c>
      <c r="M250" s="264" t="s">
        <v>2587</v>
      </c>
      <c r="N250" s="262" t="s">
        <v>2176</v>
      </c>
      <c r="O250" s="390" t="s">
        <v>2241</v>
      </c>
      <c r="P250" s="264" t="str">
        <f t="shared" si="10"/>
        <v>Stapler Stapler No, 50 MAX</v>
      </c>
      <c r="Q250" s="264" t="s">
        <v>710</v>
      </c>
      <c r="R250" s="519" t="s">
        <v>153</v>
      </c>
      <c r="S250" s="399">
        <v>2</v>
      </c>
      <c r="T250" s="348" t="s">
        <v>3363</v>
      </c>
      <c r="U250" s="520">
        <v>25000</v>
      </c>
      <c r="V250" s="266">
        <v>50000</v>
      </c>
      <c r="W250" s="521" t="s">
        <v>227</v>
      </c>
      <c r="X250" s="521" t="s">
        <v>3383</v>
      </c>
      <c r="Y250" s="522" t="s">
        <v>2512</v>
      </c>
      <c r="Z250" s="523" t="s">
        <v>541</v>
      </c>
      <c r="AA250" s="521"/>
      <c r="AB250" s="521"/>
      <c r="AC250" s="521"/>
      <c r="AD250" s="521"/>
      <c r="AE250" s="521"/>
      <c r="AF250" s="521"/>
      <c r="AG250" s="264">
        <v>3</v>
      </c>
    </row>
    <row r="251" spans="1:33" s="526" customFormat="1" ht="29">
      <c r="A251" s="513">
        <v>249</v>
      </c>
      <c r="B251" s="514" t="s">
        <v>2788</v>
      </c>
      <c r="C251" s="515" t="s">
        <v>2788</v>
      </c>
      <c r="D251" s="262" t="s">
        <v>638</v>
      </c>
      <c r="E251" s="513">
        <v>250</v>
      </c>
      <c r="F251" s="544" t="s">
        <v>2788</v>
      </c>
      <c r="G251" s="543">
        <v>45356</v>
      </c>
      <c r="H251" s="543">
        <v>45357</v>
      </c>
      <c r="I251" s="543">
        <v>45357</v>
      </c>
      <c r="J251" s="543">
        <v>45357</v>
      </c>
      <c r="K251" s="517">
        <v>45357</v>
      </c>
      <c r="L251" s="518" t="s">
        <v>705</v>
      </c>
      <c r="M251" s="264" t="s">
        <v>2587</v>
      </c>
      <c r="N251" s="262" t="s">
        <v>2176</v>
      </c>
      <c r="O251" s="390" t="s">
        <v>230</v>
      </c>
      <c r="P251" s="264" t="str">
        <f t="shared" si="10"/>
        <v>Amplop Coklat Merk : GSU Ukuran : 1/2 folio, bergaris</v>
      </c>
      <c r="Q251" s="264" t="s">
        <v>710</v>
      </c>
      <c r="R251" s="525" t="s">
        <v>2600</v>
      </c>
      <c r="S251" s="399">
        <v>1</v>
      </c>
      <c r="T251" s="348" t="s">
        <v>3365</v>
      </c>
      <c r="U251" s="520">
        <v>45000</v>
      </c>
      <c r="V251" s="266">
        <v>45000</v>
      </c>
      <c r="W251" s="521" t="s">
        <v>227</v>
      </c>
      <c r="X251" s="521" t="s">
        <v>3383</v>
      </c>
      <c r="Y251" s="522" t="s">
        <v>2512</v>
      </c>
      <c r="Z251" s="523" t="s">
        <v>541</v>
      </c>
      <c r="AA251" s="521"/>
      <c r="AB251" s="521"/>
      <c r="AC251" s="521"/>
      <c r="AD251" s="521"/>
      <c r="AE251" s="521"/>
      <c r="AF251" s="521"/>
      <c r="AG251" s="264">
        <v>3</v>
      </c>
    </row>
    <row r="252" spans="1:33" s="526" customFormat="1" ht="29">
      <c r="A252" s="513">
        <v>250</v>
      </c>
      <c r="B252" s="514" t="s">
        <v>2788</v>
      </c>
      <c r="C252" s="515" t="s">
        <v>2788</v>
      </c>
      <c r="D252" s="262" t="s">
        <v>638</v>
      </c>
      <c r="E252" s="513">
        <v>251</v>
      </c>
      <c r="F252" s="544" t="s">
        <v>2788</v>
      </c>
      <c r="G252" s="543">
        <v>45356</v>
      </c>
      <c r="H252" s="543">
        <v>45357</v>
      </c>
      <c r="I252" s="543">
        <v>45357</v>
      </c>
      <c r="J252" s="543">
        <v>45357</v>
      </c>
      <c r="K252" s="517">
        <v>45357</v>
      </c>
      <c r="L252" s="518" t="s">
        <v>705</v>
      </c>
      <c r="M252" s="264" t="s">
        <v>2587</v>
      </c>
      <c r="N252" s="262" t="s">
        <v>2176</v>
      </c>
      <c r="O252" s="390" t="s">
        <v>2242</v>
      </c>
      <c r="P252" s="264" t="str">
        <f t="shared" si="10"/>
        <v>Lakban Hitam--</v>
      </c>
      <c r="Q252" s="264" t="s">
        <v>710</v>
      </c>
      <c r="R252" s="519" t="s">
        <v>137</v>
      </c>
      <c r="S252" s="399">
        <v>5</v>
      </c>
      <c r="T252" s="348" t="s">
        <v>3363</v>
      </c>
      <c r="U252" s="520">
        <v>15500</v>
      </c>
      <c r="V252" s="266">
        <v>77500</v>
      </c>
      <c r="W252" s="521" t="s">
        <v>227</v>
      </c>
      <c r="X252" s="521" t="s">
        <v>3383</v>
      </c>
      <c r="Y252" s="522" t="s">
        <v>2512</v>
      </c>
      <c r="Z252" s="523" t="s">
        <v>541</v>
      </c>
      <c r="AA252" s="521"/>
      <c r="AB252" s="521"/>
      <c r="AC252" s="521"/>
      <c r="AD252" s="521"/>
      <c r="AE252" s="521"/>
      <c r="AF252" s="521"/>
      <c r="AG252" s="264">
        <v>3</v>
      </c>
    </row>
    <row r="253" spans="1:33" s="526" customFormat="1" ht="29">
      <c r="A253" s="513">
        <v>251</v>
      </c>
      <c r="B253" s="514" t="s">
        <v>2788</v>
      </c>
      <c r="C253" s="515" t="s">
        <v>2788</v>
      </c>
      <c r="D253" s="262" t="s">
        <v>638</v>
      </c>
      <c r="E253" s="513">
        <v>252</v>
      </c>
      <c r="F253" s="544" t="s">
        <v>2788</v>
      </c>
      <c r="G253" s="543">
        <v>45356</v>
      </c>
      <c r="H253" s="543">
        <v>45357</v>
      </c>
      <c r="I253" s="543">
        <v>45357</v>
      </c>
      <c r="J253" s="543">
        <v>45357</v>
      </c>
      <c r="K253" s="517">
        <v>45357</v>
      </c>
      <c r="L253" s="518" t="s">
        <v>705</v>
      </c>
      <c r="M253" s="264" t="s">
        <v>2587</v>
      </c>
      <c r="N253" s="262" t="s">
        <v>2176</v>
      </c>
      <c r="O253" s="390" t="s">
        <v>256</v>
      </c>
      <c r="P253" s="264" t="str">
        <f t="shared" si="10"/>
        <v>Paper Clip No 1  Paper Clip No 3</v>
      </c>
      <c r="Q253" s="264" t="s">
        <v>710</v>
      </c>
      <c r="R253" s="519" t="s">
        <v>145</v>
      </c>
      <c r="S253" s="399">
        <v>5</v>
      </c>
      <c r="T253" s="348" t="s">
        <v>3362</v>
      </c>
      <c r="U253" s="520">
        <v>6000</v>
      </c>
      <c r="V253" s="266">
        <v>30000</v>
      </c>
      <c r="W253" s="521" t="s">
        <v>227</v>
      </c>
      <c r="X253" s="521" t="s">
        <v>3383</v>
      </c>
      <c r="Y253" s="522" t="s">
        <v>2512</v>
      </c>
      <c r="Z253" s="523" t="s">
        <v>541</v>
      </c>
      <c r="AA253" s="521"/>
      <c r="AB253" s="521"/>
      <c r="AC253" s="521"/>
      <c r="AD253" s="521"/>
      <c r="AE253" s="521"/>
      <c r="AF253" s="521"/>
      <c r="AG253" s="264">
        <v>3</v>
      </c>
    </row>
    <row r="254" spans="1:33" s="526" customFormat="1" ht="29">
      <c r="A254" s="513">
        <v>252</v>
      </c>
      <c r="B254" s="514" t="s">
        <v>2788</v>
      </c>
      <c r="C254" s="515" t="s">
        <v>2788</v>
      </c>
      <c r="D254" s="262" t="s">
        <v>638</v>
      </c>
      <c r="E254" s="513">
        <v>253</v>
      </c>
      <c r="F254" s="544" t="s">
        <v>2788</v>
      </c>
      <c r="G254" s="543">
        <v>45356</v>
      </c>
      <c r="H254" s="543">
        <v>45357</v>
      </c>
      <c r="I254" s="543">
        <v>45357</v>
      </c>
      <c r="J254" s="543">
        <v>45357</v>
      </c>
      <c r="K254" s="517">
        <v>45357</v>
      </c>
      <c r="L254" s="518" t="s">
        <v>705</v>
      </c>
      <c r="M254" s="264" t="s">
        <v>2587</v>
      </c>
      <c r="N254" s="262" t="s">
        <v>2176</v>
      </c>
      <c r="O254" s="390" t="s">
        <v>2243</v>
      </c>
      <c r="P254" s="264" t="str">
        <f t="shared" si="10"/>
        <v>Lakban Hitam uk 2 " Warna hitam uk. 2 "</v>
      </c>
      <c r="Q254" s="264" t="s">
        <v>710</v>
      </c>
      <c r="R254" s="519" t="s">
        <v>140</v>
      </c>
      <c r="S254" s="399">
        <v>5</v>
      </c>
      <c r="T254" s="348" t="s">
        <v>3363</v>
      </c>
      <c r="U254" s="520">
        <v>25000</v>
      </c>
      <c r="V254" s="266">
        <v>125000</v>
      </c>
      <c r="W254" s="521" t="s">
        <v>227</v>
      </c>
      <c r="X254" s="521" t="s">
        <v>3383</v>
      </c>
      <c r="Y254" s="522" t="s">
        <v>2512</v>
      </c>
      <c r="Z254" s="523" t="s">
        <v>541</v>
      </c>
      <c r="AA254" s="521"/>
      <c r="AB254" s="521"/>
      <c r="AC254" s="521"/>
      <c r="AD254" s="521"/>
      <c r="AE254" s="521"/>
      <c r="AF254" s="521"/>
      <c r="AG254" s="264">
        <v>3</v>
      </c>
    </row>
    <row r="255" spans="1:33" s="526" customFormat="1" ht="29">
      <c r="A255" s="513">
        <v>253</v>
      </c>
      <c r="B255" s="514" t="s">
        <v>2788</v>
      </c>
      <c r="C255" s="515" t="s">
        <v>2788</v>
      </c>
      <c r="D255" s="262" t="s">
        <v>638</v>
      </c>
      <c r="E255" s="513">
        <v>254</v>
      </c>
      <c r="F255" s="544" t="s">
        <v>2788</v>
      </c>
      <c r="G255" s="543">
        <v>45356</v>
      </c>
      <c r="H255" s="543">
        <v>45357</v>
      </c>
      <c r="I255" s="543">
        <v>45357</v>
      </c>
      <c r="J255" s="543">
        <v>45357</v>
      </c>
      <c r="K255" s="517">
        <v>45357</v>
      </c>
      <c r="L255" s="518" t="s">
        <v>705</v>
      </c>
      <c r="M255" s="264" t="s">
        <v>2587</v>
      </c>
      <c r="N255" s="262" t="s">
        <v>2176</v>
      </c>
      <c r="O255" s="390" t="s">
        <v>250</v>
      </c>
      <c r="P255" s="264" t="str">
        <f t="shared" si="10"/>
        <v>Kertas StensiI</v>
      </c>
      <c r="Q255" s="264" t="s">
        <v>710</v>
      </c>
      <c r="R255" s="519" t="s">
        <v>132</v>
      </c>
      <c r="S255" s="399">
        <v>10</v>
      </c>
      <c r="T255" s="348" t="s">
        <v>3365</v>
      </c>
      <c r="U255" s="520">
        <v>50000</v>
      </c>
      <c r="V255" s="266">
        <v>500000</v>
      </c>
      <c r="W255" s="521" t="s">
        <v>227</v>
      </c>
      <c r="X255" s="521" t="s">
        <v>3383</v>
      </c>
      <c r="Y255" s="522" t="s">
        <v>2512</v>
      </c>
      <c r="Z255" s="523" t="s">
        <v>541</v>
      </c>
      <c r="AA255" s="521"/>
      <c r="AB255" s="521"/>
      <c r="AC255" s="521"/>
      <c r="AD255" s="521"/>
      <c r="AE255" s="521"/>
      <c r="AF255" s="521"/>
      <c r="AG255" s="264">
        <v>3</v>
      </c>
    </row>
    <row r="256" spans="1:33" s="526" customFormat="1" ht="43.5">
      <c r="A256" s="513">
        <v>254</v>
      </c>
      <c r="B256" s="514" t="s">
        <v>2788</v>
      </c>
      <c r="C256" s="515" t="s">
        <v>2788</v>
      </c>
      <c r="D256" s="262" t="s">
        <v>638</v>
      </c>
      <c r="E256" s="513">
        <v>255</v>
      </c>
      <c r="F256" s="544" t="s">
        <v>2788</v>
      </c>
      <c r="G256" s="543">
        <v>45356</v>
      </c>
      <c r="H256" s="543">
        <v>45357</v>
      </c>
      <c r="I256" s="543">
        <v>45357</v>
      </c>
      <c r="J256" s="543">
        <v>45357</v>
      </c>
      <c r="K256" s="517">
        <v>45357</v>
      </c>
      <c r="L256" s="518" t="s">
        <v>705</v>
      </c>
      <c r="M256" s="264" t="s">
        <v>2587</v>
      </c>
      <c r="N256" s="262" t="s">
        <v>2176</v>
      </c>
      <c r="O256" s="390" t="s">
        <v>262</v>
      </c>
      <c r="P256" s="264" t="str">
        <f t="shared" si="10"/>
        <v>Spidol White board</v>
      </c>
      <c r="Q256" s="264" t="s">
        <v>710</v>
      </c>
      <c r="R256" s="519" t="s">
        <v>151</v>
      </c>
      <c r="S256" s="399">
        <v>2</v>
      </c>
      <c r="T256" s="348" t="s">
        <v>3364</v>
      </c>
      <c r="U256" s="520">
        <v>120000</v>
      </c>
      <c r="V256" s="266">
        <v>240000</v>
      </c>
      <c r="W256" s="521" t="s">
        <v>227</v>
      </c>
      <c r="X256" s="521" t="s">
        <v>3383</v>
      </c>
      <c r="Y256" s="522" t="s">
        <v>2512</v>
      </c>
      <c r="Z256" s="523" t="s">
        <v>541</v>
      </c>
      <c r="AA256" s="521"/>
      <c r="AB256" s="521"/>
      <c r="AC256" s="521"/>
      <c r="AD256" s="521"/>
      <c r="AE256" s="521"/>
      <c r="AF256" s="521"/>
      <c r="AG256" s="264">
        <v>3</v>
      </c>
    </row>
    <row r="257" spans="1:33" s="526" customFormat="1" ht="29">
      <c r="A257" s="513">
        <v>255</v>
      </c>
      <c r="B257" s="514" t="s">
        <v>2788</v>
      </c>
      <c r="C257" s="515" t="s">
        <v>2788</v>
      </c>
      <c r="D257" s="262" t="s">
        <v>638</v>
      </c>
      <c r="E257" s="513">
        <v>256</v>
      </c>
      <c r="F257" s="544" t="s">
        <v>2788</v>
      </c>
      <c r="G257" s="543">
        <v>45356</v>
      </c>
      <c r="H257" s="543">
        <v>45357</v>
      </c>
      <c r="I257" s="543">
        <v>45357</v>
      </c>
      <c r="J257" s="543">
        <v>45357</v>
      </c>
      <c r="K257" s="517">
        <v>45357</v>
      </c>
      <c r="L257" s="518" t="s">
        <v>705</v>
      </c>
      <c r="M257" s="264" t="s">
        <v>2587</v>
      </c>
      <c r="N257" s="262" t="s">
        <v>2176</v>
      </c>
      <c r="O257" s="390" t="s">
        <v>258</v>
      </c>
      <c r="P257" s="264" t="str">
        <f t="shared" si="10"/>
        <v>Pisau Cutter Kenko L-500</v>
      </c>
      <c r="Q257" s="264" t="s">
        <v>710</v>
      </c>
      <c r="R257" s="525" t="s">
        <v>2601</v>
      </c>
      <c r="S257" s="399">
        <v>2</v>
      </c>
      <c r="T257" s="348" t="s">
        <v>3363</v>
      </c>
      <c r="U257" s="520">
        <v>15000</v>
      </c>
      <c r="V257" s="266">
        <v>30000</v>
      </c>
      <c r="W257" s="521" t="s">
        <v>227</v>
      </c>
      <c r="X257" s="521" t="s">
        <v>3383</v>
      </c>
      <c r="Y257" s="522" t="s">
        <v>2512</v>
      </c>
      <c r="Z257" s="523" t="s">
        <v>541</v>
      </c>
      <c r="AA257" s="521"/>
      <c r="AB257" s="521"/>
      <c r="AC257" s="521"/>
      <c r="AD257" s="521"/>
      <c r="AE257" s="521"/>
      <c r="AF257" s="521"/>
      <c r="AG257" s="264">
        <v>3</v>
      </c>
    </row>
    <row r="258" spans="1:33" s="526" customFormat="1" ht="29">
      <c r="A258" s="513">
        <v>256</v>
      </c>
      <c r="B258" s="514" t="s">
        <v>2788</v>
      </c>
      <c r="C258" s="515" t="s">
        <v>2788</v>
      </c>
      <c r="D258" s="262" t="s">
        <v>638</v>
      </c>
      <c r="E258" s="513">
        <v>257</v>
      </c>
      <c r="F258" s="544" t="s">
        <v>2788</v>
      </c>
      <c r="G258" s="543">
        <v>45356</v>
      </c>
      <c r="H258" s="543">
        <v>45357</v>
      </c>
      <c r="I258" s="543">
        <v>45357</v>
      </c>
      <c r="J258" s="543">
        <v>45357</v>
      </c>
      <c r="K258" s="517">
        <v>45357</v>
      </c>
      <c r="L258" s="518" t="s">
        <v>705</v>
      </c>
      <c r="M258" s="264" t="s">
        <v>2587</v>
      </c>
      <c r="N258" s="262" t="s">
        <v>2176</v>
      </c>
      <c r="O258" s="390" t="s">
        <v>240</v>
      </c>
      <c r="P258" s="264" t="str">
        <f t="shared" si="10"/>
        <v>Binder Klip  nomor 260</v>
      </c>
      <c r="Q258" s="264" t="s">
        <v>710</v>
      </c>
      <c r="R258" s="525" t="s">
        <v>2602</v>
      </c>
      <c r="S258" s="399">
        <v>10</v>
      </c>
      <c r="T258" s="348" t="s">
        <v>3362</v>
      </c>
      <c r="U258" s="520">
        <v>20000</v>
      </c>
      <c r="V258" s="266">
        <v>200000</v>
      </c>
      <c r="W258" s="521" t="s">
        <v>227</v>
      </c>
      <c r="X258" s="521" t="s">
        <v>3383</v>
      </c>
      <c r="Y258" s="522" t="s">
        <v>2512</v>
      </c>
      <c r="Z258" s="523" t="s">
        <v>541</v>
      </c>
      <c r="AA258" s="521"/>
      <c r="AB258" s="521"/>
      <c r="AC258" s="521"/>
      <c r="AD258" s="521"/>
      <c r="AE258" s="521"/>
      <c r="AF258" s="521"/>
      <c r="AG258" s="264">
        <v>3</v>
      </c>
    </row>
    <row r="259" spans="1:33" s="526" customFormat="1" ht="29">
      <c r="A259" s="513">
        <v>257</v>
      </c>
      <c r="B259" s="514" t="s">
        <v>2788</v>
      </c>
      <c r="C259" s="515" t="s">
        <v>2788</v>
      </c>
      <c r="D259" s="262" t="s">
        <v>638</v>
      </c>
      <c r="E259" s="513">
        <v>258</v>
      </c>
      <c r="F259" s="544" t="s">
        <v>2788</v>
      </c>
      <c r="G259" s="543">
        <v>45356</v>
      </c>
      <c r="H259" s="543">
        <v>45357</v>
      </c>
      <c r="I259" s="543">
        <v>45357</v>
      </c>
      <c r="J259" s="543">
        <v>45357</v>
      </c>
      <c r="K259" s="517">
        <v>45357</v>
      </c>
      <c r="L259" s="518" t="s">
        <v>705</v>
      </c>
      <c r="M259" s="264" t="s">
        <v>2587</v>
      </c>
      <c r="N259" s="262" t="s">
        <v>2176</v>
      </c>
      <c r="O259" s="390" t="s">
        <v>246</v>
      </c>
      <c r="P259" s="264" t="str">
        <f t="shared" si="10"/>
        <v>C. Tinta Printer EPSON Tinta Printer Epson Yellow</v>
      </c>
      <c r="Q259" s="264" t="s">
        <v>710</v>
      </c>
      <c r="R259" s="519" t="s">
        <v>119</v>
      </c>
      <c r="S259" s="399">
        <v>4</v>
      </c>
      <c r="T259" s="348" t="s">
        <v>3367</v>
      </c>
      <c r="U259" s="520">
        <v>110000</v>
      </c>
      <c r="V259" s="266">
        <v>440000</v>
      </c>
      <c r="W259" s="521" t="s">
        <v>227</v>
      </c>
      <c r="X259" s="521" t="s">
        <v>3383</v>
      </c>
      <c r="Y259" s="522" t="s">
        <v>2512</v>
      </c>
      <c r="Z259" s="523" t="s">
        <v>541</v>
      </c>
      <c r="AA259" s="521"/>
      <c r="AB259" s="521"/>
      <c r="AC259" s="521"/>
      <c r="AD259" s="521"/>
      <c r="AE259" s="521"/>
      <c r="AF259" s="521"/>
      <c r="AG259" s="264">
        <v>3</v>
      </c>
    </row>
    <row r="260" spans="1:33" s="526" customFormat="1" ht="29">
      <c r="A260" s="513">
        <v>258</v>
      </c>
      <c r="B260" s="514" t="s">
        <v>2788</v>
      </c>
      <c r="C260" s="515" t="s">
        <v>2788</v>
      </c>
      <c r="D260" s="262" t="s">
        <v>638</v>
      </c>
      <c r="E260" s="513">
        <v>259</v>
      </c>
      <c r="F260" s="544" t="s">
        <v>2788</v>
      </c>
      <c r="G260" s="543">
        <v>45356</v>
      </c>
      <c r="H260" s="543">
        <v>45357</v>
      </c>
      <c r="I260" s="543">
        <v>45357</v>
      </c>
      <c r="J260" s="543">
        <v>45357</v>
      </c>
      <c r="K260" s="517">
        <v>45357</v>
      </c>
      <c r="L260" s="518" t="s">
        <v>705</v>
      </c>
      <c r="M260" s="264" t="s">
        <v>2587</v>
      </c>
      <c r="N260" s="262" t="s">
        <v>2176</v>
      </c>
      <c r="O260" s="390" t="s">
        <v>255</v>
      </c>
      <c r="P260" s="264" t="str">
        <f t="shared" si="10"/>
        <v>PAPER CLIP  Paper Clip No 1</v>
      </c>
      <c r="Q260" s="264" t="s">
        <v>710</v>
      </c>
      <c r="R260" s="519" t="s">
        <v>144</v>
      </c>
      <c r="S260" s="399">
        <v>5</v>
      </c>
      <c r="T260" s="348" t="s">
        <v>3362</v>
      </c>
      <c r="U260" s="520">
        <v>5000</v>
      </c>
      <c r="V260" s="266">
        <v>25000</v>
      </c>
      <c r="W260" s="521" t="s">
        <v>227</v>
      </c>
      <c r="X260" s="521" t="s">
        <v>3383</v>
      </c>
      <c r="Y260" s="522" t="s">
        <v>2512</v>
      </c>
      <c r="Z260" s="523" t="s">
        <v>541</v>
      </c>
      <c r="AA260" s="521"/>
      <c r="AB260" s="521"/>
      <c r="AC260" s="521"/>
      <c r="AD260" s="521"/>
      <c r="AE260" s="521"/>
      <c r="AF260" s="521"/>
      <c r="AG260" s="264">
        <v>3</v>
      </c>
    </row>
    <row r="261" spans="1:33" s="526" customFormat="1" ht="29">
      <c r="A261" s="513">
        <v>259</v>
      </c>
      <c r="B261" s="514" t="s">
        <v>2788</v>
      </c>
      <c r="C261" s="515" t="s">
        <v>2788</v>
      </c>
      <c r="D261" s="262" t="s">
        <v>638</v>
      </c>
      <c r="E261" s="513">
        <v>260</v>
      </c>
      <c r="F261" s="544" t="s">
        <v>2788</v>
      </c>
      <c r="G261" s="543">
        <v>45356</v>
      </c>
      <c r="H261" s="543">
        <v>45357</v>
      </c>
      <c r="I261" s="543">
        <v>45357</v>
      </c>
      <c r="J261" s="543">
        <v>45357</v>
      </c>
      <c r="K261" s="517">
        <v>45357</v>
      </c>
      <c r="L261" s="518" t="s">
        <v>705</v>
      </c>
      <c r="M261" s="264" t="s">
        <v>2587</v>
      </c>
      <c r="N261" s="262" t="s">
        <v>2176</v>
      </c>
      <c r="O261" s="390" t="s">
        <v>265</v>
      </c>
      <c r="P261" s="264" t="str">
        <f t="shared" si="10"/>
        <v>Tinta Stempel</v>
      </c>
      <c r="Q261" s="264" t="s">
        <v>710</v>
      </c>
      <c r="R261" s="519" t="s">
        <v>161</v>
      </c>
      <c r="S261" s="399">
        <v>5</v>
      </c>
      <c r="T261" s="348" t="s">
        <v>3367</v>
      </c>
      <c r="U261" s="520">
        <v>20000</v>
      </c>
      <c r="V261" s="266">
        <v>100000</v>
      </c>
      <c r="W261" s="521" t="s">
        <v>227</v>
      </c>
      <c r="X261" s="521" t="s">
        <v>3383</v>
      </c>
      <c r="Y261" s="522" t="s">
        <v>2512</v>
      </c>
      <c r="Z261" s="523" t="s">
        <v>541</v>
      </c>
      <c r="AA261" s="521"/>
      <c r="AB261" s="521"/>
      <c r="AC261" s="521"/>
      <c r="AD261" s="521"/>
      <c r="AE261" s="521"/>
      <c r="AF261" s="521"/>
      <c r="AG261" s="264">
        <v>3</v>
      </c>
    </row>
    <row r="262" spans="1:33" s="526" customFormat="1" ht="29">
      <c r="A262" s="513">
        <v>260</v>
      </c>
      <c r="B262" s="514" t="s">
        <v>2788</v>
      </c>
      <c r="C262" s="515" t="s">
        <v>2788</v>
      </c>
      <c r="D262" s="262" t="s">
        <v>638</v>
      </c>
      <c r="E262" s="513">
        <v>261</v>
      </c>
      <c r="F262" s="544" t="s">
        <v>2788</v>
      </c>
      <c r="G262" s="543">
        <v>45356</v>
      </c>
      <c r="H262" s="543">
        <v>45357</v>
      </c>
      <c r="I262" s="543">
        <v>45357</v>
      </c>
      <c r="J262" s="543">
        <v>45357</v>
      </c>
      <c r="K262" s="517">
        <v>45357</v>
      </c>
      <c r="L262" s="518" t="s">
        <v>705</v>
      </c>
      <c r="M262" s="264" t="s">
        <v>2587</v>
      </c>
      <c r="N262" s="262" t="s">
        <v>2176</v>
      </c>
      <c r="O262" s="390" t="s">
        <v>247</v>
      </c>
      <c r="P262" s="264" t="str">
        <f t="shared" si="10"/>
        <v>Kertas HVS 80 gram Merk : Paper One A4, Ukuran : 8,27" x 11,69", Isi : 500 lembar</v>
      </c>
      <c r="Q262" s="264" t="s">
        <v>710</v>
      </c>
      <c r="R262" s="519" t="s">
        <v>1351</v>
      </c>
      <c r="S262" s="399">
        <v>40</v>
      </c>
      <c r="T262" s="348" t="s">
        <v>3369</v>
      </c>
      <c r="U262" s="520">
        <v>50000</v>
      </c>
      <c r="V262" s="266">
        <v>2000000</v>
      </c>
      <c r="W262" s="521" t="s">
        <v>227</v>
      </c>
      <c r="X262" s="521" t="s">
        <v>3383</v>
      </c>
      <c r="Y262" s="522" t="s">
        <v>2512</v>
      </c>
      <c r="Z262" s="523" t="s">
        <v>541</v>
      </c>
      <c r="AA262" s="521"/>
      <c r="AB262" s="521"/>
      <c r="AC262" s="521"/>
      <c r="AD262" s="521"/>
      <c r="AE262" s="521"/>
      <c r="AF262" s="521"/>
      <c r="AG262" s="264">
        <v>3</v>
      </c>
    </row>
    <row r="263" spans="1:33" s="526" customFormat="1" ht="29">
      <c r="A263" s="513">
        <v>261</v>
      </c>
      <c r="B263" s="514" t="s">
        <v>2788</v>
      </c>
      <c r="C263" s="515" t="s">
        <v>2788</v>
      </c>
      <c r="D263" s="262" t="s">
        <v>638</v>
      </c>
      <c r="E263" s="513">
        <v>262</v>
      </c>
      <c r="F263" s="544" t="s">
        <v>2788</v>
      </c>
      <c r="G263" s="543">
        <v>45356</v>
      </c>
      <c r="H263" s="543">
        <v>45357</v>
      </c>
      <c r="I263" s="543">
        <v>45357</v>
      </c>
      <c r="J263" s="543">
        <v>45357</v>
      </c>
      <c r="K263" s="517">
        <v>45357</v>
      </c>
      <c r="L263" s="518" t="s">
        <v>705</v>
      </c>
      <c r="M263" s="264" t="s">
        <v>2587</v>
      </c>
      <c r="N263" s="262" t="s">
        <v>2176</v>
      </c>
      <c r="O263" s="390" t="s">
        <v>264</v>
      </c>
      <c r="P263" s="264" t="str">
        <f t="shared" si="10"/>
        <v>Stofmap Transparan</v>
      </c>
      <c r="Q263" s="264" t="s">
        <v>710</v>
      </c>
      <c r="R263" s="519" t="s">
        <v>157</v>
      </c>
      <c r="S263" s="399">
        <v>100</v>
      </c>
      <c r="T263" s="348" t="s">
        <v>3363</v>
      </c>
      <c r="U263" s="520">
        <v>5500</v>
      </c>
      <c r="V263" s="266">
        <v>550000</v>
      </c>
      <c r="W263" s="521" t="s">
        <v>227</v>
      </c>
      <c r="X263" s="521" t="s">
        <v>3383</v>
      </c>
      <c r="Y263" s="522" t="s">
        <v>2512</v>
      </c>
      <c r="Z263" s="523" t="s">
        <v>541</v>
      </c>
      <c r="AA263" s="521"/>
      <c r="AB263" s="521"/>
      <c r="AC263" s="521"/>
      <c r="AD263" s="521"/>
      <c r="AE263" s="521"/>
      <c r="AF263" s="521"/>
      <c r="AG263" s="264">
        <v>3</v>
      </c>
    </row>
    <row r="264" spans="1:33" s="526" customFormat="1" ht="29">
      <c r="A264" s="513">
        <v>262</v>
      </c>
      <c r="B264" s="514" t="s">
        <v>2788</v>
      </c>
      <c r="C264" s="515" t="s">
        <v>2788</v>
      </c>
      <c r="D264" s="262" t="s">
        <v>638</v>
      </c>
      <c r="E264" s="513">
        <v>263</v>
      </c>
      <c r="F264" s="544" t="s">
        <v>2788</v>
      </c>
      <c r="G264" s="543">
        <v>45356</v>
      </c>
      <c r="H264" s="543">
        <v>45357</v>
      </c>
      <c r="I264" s="543">
        <v>45357</v>
      </c>
      <c r="J264" s="543">
        <v>45357</v>
      </c>
      <c r="K264" s="517">
        <v>45357</v>
      </c>
      <c r="L264" s="518" t="s">
        <v>705</v>
      </c>
      <c r="M264" s="264" t="s">
        <v>2587</v>
      </c>
      <c r="N264" s="262" t="s">
        <v>2176</v>
      </c>
      <c r="O264" s="390" t="s">
        <v>2247</v>
      </c>
      <c r="P264" s="264" t="str">
        <f t="shared" si="10"/>
        <v>Amplop Panjang Putih Polos Merk : Jaya Ukuran : 11 x 23 cm</v>
      </c>
      <c r="Q264" s="264" t="s">
        <v>710</v>
      </c>
      <c r="R264" s="519" t="s">
        <v>99</v>
      </c>
      <c r="S264" s="399">
        <v>1</v>
      </c>
      <c r="T264" s="348" t="s">
        <v>3362</v>
      </c>
      <c r="U264" s="520">
        <v>48000</v>
      </c>
      <c r="V264" s="266">
        <v>48000</v>
      </c>
      <c r="W264" s="521" t="s">
        <v>227</v>
      </c>
      <c r="X264" s="521" t="s">
        <v>3383</v>
      </c>
      <c r="Y264" s="522" t="s">
        <v>2512</v>
      </c>
      <c r="Z264" s="523" t="s">
        <v>541</v>
      </c>
      <c r="AA264" s="521"/>
      <c r="AB264" s="521"/>
      <c r="AC264" s="521"/>
      <c r="AD264" s="521"/>
      <c r="AE264" s="521"/>
      <c r="AF264" s="521"/>
      <c r="AG264" s="264">
        <v>3</v>
      </c>
    </row>
    <row r="265" spans="1:33" s="526" customFormat="1" ht="29">
      <c r="A265" s="513">
        <v>263</v>
      </c>
      <c r="B265" s="514" t="s">
        <v>2788</v>
      </c>
      <c r="C265" s="515" t="s">
        <v>2788</v>
      </c>
      <c r="D265" s="262" t="s">
        <v>638</v>
      </c>
      <c r="E265" s="513">
        <v>264</v>
      </c>
      <c r="F265" s="544" t="s">
        <v>2788</v>
      </c>
      <c r="G265" s="543">
        <v>45356</v>
      </c>
      <c r="H265" s="543">
        <v>45357</v>
      </c>
      <c r="I265" s="543">
        <v>45357</v>
      </c>
      <c r="J265" s="543">
        <v>45357</v>
      </c>
      <c r="K265" s="517">
        <v>45357</v>
      </c>
      <c r="L265" s="518" t="s">
        <v>705</v>
      </c>
      <c r="M265" s="264" t="s">
        <v>2587</v>
      </c>
      <c r="N265" s="262" t="s">
        <v>2176</v>
      </c>
      <c r="O265" s="390" t="s">
        <v>249</v>
      </c>
      <c r="P265" s="264" t="str">
        <f t="shared" si="10"/>
        <v>Kertas Post-It Warna Warni  Sign Here</v>
      </c>
      <c r="Q265" s="264" t="s">
        <v>710</v>
      </c>
      <c r="R265" s="525" t="s">
        <v>2604</v>
      </c>
      <c r="S265" s="399">
        <v>5</v>
      </c>
      <c r="T265" s="348" t="s">
        <v>3363</v>
      </c>
      <c r="U265" s="520">
        <v>22800</v>
      </c>
      <c r="V265" s="266">
        <v>114000</v>
      </c>
      <c r="W265" s="521" t="s">
        <v>227</v>
      </c>
      <c r="X265" s="521" t="s">
        <v>3383</v>
      </c>
      <c r="Y265" s="522" t="s">
        <v>2512</v>
      </c>
      <c r="Z265" s="523" t="s">
        <v>541</v>
      </c>
      <c r="AA265" s="521"/>
      <c r="AB265" s="521"/>
      <c r="AC265" s="521"/>
      <c r="AD265" s="521"/>
      <c r="AE265" s="521"/>
      <c r="AF265" s="521"/>
      <c r="AG265" s="264">
        <v>3</v>
      </c>
    </row>
    <row r="266" spans="1:33" s="526" customFormat="1" ht="37.5">
      <c r="A266" s="513">
        <v>264</v>
      </c>
      <c r="B266" s="514" t="s">
        <v>2788</v>
      </c>
      <c r="C266" s="515" t="s">
        <v>2788</v>
      </c>
      <c r="D266" s="262" t="s">
        <v>638</v>
      </c>
      <c r="E266" s="513">
        <v>265</v>
      </c>
      <c r="F266" s="544" t="s">
        <v>2788</v>
      </c>
      <c r="G266" s="543">
        <v>45356</v>
      </c>
      <c r="H266" s="543">
        <v>45357</v>
      </c>
      <c r="I266" s="543">
        <v>45357</v>
      </c>
      <c r="J266" s="543">
        <v>45357</v>
      </c>
      <c r="K266" s="517">
        <v>45357</v>
      </c>
      <c r="L266" s="518" t="s">
        <v>705</v>
      </c>
      <c r="M266" s="264" t="s">
        <v>2587</v>
      </c>
      <c r="N266" s="262" t="s">
        <v>2176</v>
      </c>
      <c r="O266" s="390" t="s">
        <v>252</v>
      </c>
      <c r="P266" s="524" t="s">
        <v>2605</v>
      </c>
      <c r="Q266" s="264" t="s">
        <v>710</v>
      </c>
      <c r="R266" s="519" t="s">
        <v>134</v>
      </c>
      <c r="S266" s="399">
        <v>5</v>
      </c>
      <c r="T266" s="348" t="s">
        <v>2436</v>
      </c>
      <c r="U266" s="520">
        <v>10000</v>
      </c>
      <c r="V266" s="266">
        <v>50000</v>
      </c>
      <c r="W266" s="521" t="s">
        <v>227</v>
      </c>
      <c r="X266" s="521" t="s">
        <v>3383</v>
      </c>
      <c r="Y266" s="522" t="s">
        <v>2512</v>
      </c>
      <c r="Z266" s="523" t="s">
        <v>541</v>
      </c>
      <c r="AA266" s="521"/>
      <c r="AB266" s="521"/>
      <c r="AC266" s="521"/>
      <c r="AD266" s="521"/>
      <c r="AE266" s="521"/>
      <c r="AF266" s="521"/>
      <c r="AG266" s="264">
        <v>3</v>
      </c>
    </row>
    <row r="267" spans="1:33" s="526" customFormat="1" ht="29">
      <c r="A267" s="513">
        <v>265</v>
      </c>
      <c r="B267" s="514" t="s">
        <v>2788</v>
      </c>
      <c r="C267" s="515" t="s">
        <v>2788</v>
      </c>
      <c r="D267" s="262" t="s">
        <v>638</v>
      </c>
      <c r="E267" s="513">
        <v>266</v>
      </c>
      <c r="F267" s="544" t="s">
        <v>2788</v>
      </c>
      <c r="G267" s="543">
        <v>45356</v>
      </c>
      <c r="H267" s="543">
        <v>45357</v>
      </c>
      <c r="I267" s="543">
        <v>45357</v>
      </c>
      <c r="J267" s="543">
        <v>45357</v>
      </c>
      <c r="K267" s="517">
        <v>45357</v>
      </c>
      <c r="L267" s="518" t="s">
        <v>705</v>
      </c>
      <c r="M267" s="264" t="s">
        <v>2587</v>
      </c>
      <c r="N267" s="262" t="s">
        <v>2176</v>
      </c>
      <c r="O267" s="390" t="s">
        <v>239</v>
      </c>
      <c r="P267" s="264" t="str">
        <f t="shared" ref="P267:P308" si="11">O267</f>
        <v>Binder Klip  nomor 200</v>
      </c>
      <c r="Q267" s="264" t="s">
        <v>710</v>
      </c>
      <c r="R267" s="519" t="s">
        <v>110</v>
      </c>
      <c r="S267" s="399">
        <v>10</v>
      </c>
      <c r="T267" s="348" t="s">
        <v>3362</v>
      </c>
      <c r="U267" s="520">
        <v>16500</v>
      </c>
      <c r="V267" s="266">
        <v>165000</v>
      </c>
      <c r="W267" s="521" t="s">
        <v>227</v>
      </c>
      <c r="X267" s="521" t="s">
        <v>3383</v>
      </c>
      <c r="Y267" s="522" t="s">
        <v>2512</v>
      </c>
      <c r="Z267" s="523" t="s">
        <v>541</v>
      </c>
      <c r="AA267" s="521"/>
      <c r="AB267" s="521"/>
      <c r="AC267" s="521"/>
      <c r="AD267" s="521"/>
      <c r="AE267" s="521"/>
      <c r="AF267" s="521"/>
      <c r="AG267" s="264">
        <v>3</v>
      </c>
    </row>
    <row r="268" spans="1:33" s="526" customFormat="1" ht="29">
      <c r="A268" s="513">
        <v>266</v>
      </c>
      <c r="B268" s="514" t="s">
        <v>2788</v>
      </c>
      <c r="C268" s="515" t="s">
        <v>2788</v>
      </c>
      <c r="D268" s="262" t="s">
        <v>638</v>
      </c>
      <c r="E268" s="513">
        <v>267</v>
      </c>
      <c r="F268" s="544" t="s">
        <v>2788</v>
      </c>
      <c r="G268" s="543">
        <v>45356</v>
      </c>
      <c r="H268" s="543">
        <v>45357</v>
      </c>
      <c r="I268" s="543">
        <v>45357</v>
      </c>
      <c r="J268" s="543">
        <v>45357</v>
      </c>
      <c r="K268" s="517">
        <v>45357</v>
      </c>
      <c r="L268" s="518" t="s">
        <v>705</v>
      </c>
      <c r="M268" s="264" t="s">
        <v>2587</v>
      </c>
      <c r="N268" s="262" t="s">
        <v>2176</v>
      </c>
      <c r="O268" s="390" t="s">
        <v>2249</v>
      </c>
      <c r="P268" s="264" t="str">
        <f t="shared" si="11"/>
        <v>Baterey Tanggung</v>
      </c>
      <c r="Q268" s="264" t="s">
        <v>710</v>
      </c>
      <c r="R268" s="519" t="s">
        <v>107</v>
      </c>
      <c r="S268" s="399">
        <v>5</v>
      </c>
      <c r="T268" s="348" t="s">
        <v>3366</v>
      </c>
      <c r="U268" s="520">
        <v>20000</v>
      </c>
      <c r="V268" s="266">
        <v>100000</v>
      </c>
      <c r="W268" s="521" t="s">
        <v>227</v>
      </c>
      <c r="X268" s="521" t="s">
        <v>3383</v>
      </c>
      <c r="Y268" s="522" t="s">
        <v>2512</v>
      </c>
      <c r="Z268" s="523" t="s">
        <v>541</v>
      </c>
      <c r="AA268" s="521"/>
      <c r="AB268" s="521"/>
      <c r="AC268" s="521"/>
      <c r="AD268" s="521"/>
      <c r="AE268" s="521"/>
      <c r="AF268" s="521"/>
      <c r="AG268" s="264">
        <v>3</v>
      </c>
    </row>
    <row r="269" spans="1:33" s="526" customFormat="1" ht="29">
      <c r="A269" s="513">
        <v>267</v>
      </c>
      <c r="B269" s="514" t="s">
        <v>2788</v>
      </c>
      <c r="C269" s="515" t="s">
        <v>2788</v>
      </c>
      <c r="D269" s="262" t="s">
        <v>638</v>
      </c>
      <c r="E269" s="513">
        <v>268</v>
      </c>
      <c r="F269" s="544" t="s">
        <v>2788</v>
      </c>
      <c r="G269" s="543">
        <v>45356</v>
      </c>
      <c r="H269" s="543">
        <v>45357</v>
      </c>
      <c r="I269" s="543">
        <v>45357</v>
      </c>
      <c r="J269" s="543">
        <v>45357</v>
      </c>
      <c r="K269" s="517">
        <v>45357</v>
      </c>
      <c r="L269" s="518" t="s">
        <v>705</v>
      </c>
      <c r="M269" s="264" t="s">
        <v>2587</v>
      </c>
      <c r="N269" s="262" t="s">
        <v>2176</v>
      </c>
      <c r="O269" s="390" t="s">
        <v>2250</v>
      </c>
      <c r="P269" s="264" t="str">
        <f t="shared" si="11"/>
        <v>C. Tinta Printer EPSON Toner Epson 664 Black</v>
      </c>
      <c r="Q269" s="264" t="s">
        <v>710</v>
      </c>
      <c r="R269" s="519" t="s">
        <v>120</v>
      </c>
      <c r="S269" s="399">
        <v>6</v>
      </c>
      <c r="T269" s="348" t="s">
        <v>3367</v>
      </c>
      <c r="U269" s="520">
        <v>85000</v>
      </c>
      <c r="V269" s="266">
        <v>510000</v>
      </c>
      <c r="W269" s="521" t="s">
        <v>227</v>
      </c>
      <c r="X269" s="521" t="s">
        <v>3383</v>
      </c>
      <c r="Y269" s="522" t="s">
        <v>2512</v>
      </c>
      <c r="Z269" s="523" t="s">
        <v>541</v>
      </c>
      <c r="AA269" s="521"/>
      <c r="AB269" s="521"/>
      <c r="AC269" s="521"/>
      <c r="AD269" s="521"/>
      <c r="AE269" s="521"/>
      <c r="AF269" s="521"/>
      <c r="AG269" s="264">
        <v>3</v>
      </c>
    </row>
    <row r="270" spans="1:33" s="526" customFormat="1" ht="29">
      <c r="A270" s="513">
        <v>268</v>
      </c>
      <c r="B270" s="514" t="s">
        <v>2788</v>
      </c>
      <c r="C270" s="515" t="s">
        <v>2788</v>
      </c>
      <c r="D270" s="262" t="s">
        <v>638</v>
      </c>
      <c r="E270" s="513">
        <v>269</v>
      </c>
      <c r="F270" s="544" t="s">
        <v>2788</v>
      </c>
      <c r="G270" s="543">
        <v>45356</v>
      </c>
      <c r="H270" s="543">
        <v>45357</v>
      </c>
      <c r="I270" s="543">
        <v>45357</v>
      </c>
      <c r="J270" s="543">
        <v>45357</v>
      </c>
      <c r="K270" s="517">
        <v>45357</v>
      </c>
      <c r="L270" s="518" t="s">
        <v>705</v>
      </c>
      <c r="M270" s="264" t="s">
        <v>2587</v>
      </c>
      <c r="N270" s="262" t="s">
        <v>2176</v>
      </c>
      <c r="O270" s="390" t="s">
        <v>2251</v>
      </c>
      <c r="P270" s="264" t="str">
        <f t="shared" si="11"/>
        <v>Isi Staples Sedang</v>
      </c>
      <c r="Q270" s="264" t="s">
        <v>710</v>
      </c>
      <c r="R270" s="519" t="s">
        <v>126</v>
      </c>
      <c r="S270" s="399">
        <v>2</v>
      </c>
      <c r="T270" s="348" t="s">
        <v>3362</v>
      </c>
      <c r="U270" s="520">
        <v>40000</v>
      </c>
      <c r="V270" s="266">
        <v>80000</v>
      </c>
      <c r="W270" s="521" t="s">
        <v>227</v>
      </c>
      <c r="X270" s="521" t="s">
        <v>3383</v>
      </c>
      <c r="Y270" s="522" t="s">
        <v>2512</v>
      </c>
      <c r="Z270" s="523" t="s">
        <v>541</v>
      </c>
      <c r="AA270" s="521"/>
      <c r="AB270" s="521"/>
      <c r="AC270" s="521"/>
      <c r="AD270" s="521"/>
      <c r="AE270" s="521"/>
      <c r="AF270" s="521"/>
      <c r="AG270" s="264">
        <v>3</v>
      </c>
    </row>
    <row r="271" spans="1:33" s="526" customFormat="1" ht="29">
      <c r="A271" s="513">
        <v>269</v>
      </c>
      <c r="B271" s="514" t="s">
        <v>2788</v>
      </c>
      <c r="C271" s="515" t="s">
        <v>2788</v>
      </c>
      <c r="D271" s="262" t="s">
        <v>638</v>
      </c>
      <c r="E271" s="513">
        <v>270</v>
      </c>
      <c r="F271" s="544" t="s">
        <v>2788</v>
      </c>
      <c r="G271" s="543">
        <v>45356</v>
      </c>
      <c r="H271" s="543">
        <v>45357</v>
      </c>
      <c r="I271" s="543">
        <v>45357</v>
      </c>
      <c r="J271" s="543">
        <v>45357</v>
      </c>
      <c r="K271" s="517">
        <v>45357</v>
      </c>
      <c r="L271" s="518" t="s">
        <v>705</v>
      </c>
      <c r="M271" s="264" t="s">
        <v>2587</v>
      </c>
      <c r="N271" s="262" t="s">
        <v>2176</v>
      </c>
      <c r="O271" s="390" t="s">
        <v>251</v>
      </c>
      <c r="P271" s="264" t="str">
        <f t="shared" si="11"/>
        <v>Kertas Warna Blank Folio, Ukuran : 8,5 x 14",  70 gram</v>
      </c>
      <c r="Q271" s="264" t="s">
        <v>710</v>
      </c>
      <c r="R271" s="519" t="s">
        <v>133</v>
      </c>
      <c r="S271" s="399">
        <v>2</v>
      </c>
      <c r="T271" s="348" t="s">
        <v>3369</v>
      </c>
      <c r="U271" s="520">
        <v>90000</v>
      </c>
      <c r="V271" s="266">
        <v>180000</v>
      </c>
      <c r="W271" s="521" t="s">
        <v>227</v>
      </c>
      <c r="X271" s="521" t="s">
        <v>3383</v>
      </c>
      <c r="Y271" s="522" t="s">
        <v>2512</v>
      </c>
      <c r="Z271" s="523" t="s">
        <v>541</v>
      </c>
      <c r="AA271" s="521"/>
      <c r="AB271" s="521"/>
      <c r="AC271" s="521"/>
      <c r="AD271" s="521"/>
      <c r="AE271" s="521"/>
      <c r="AF271" s="521"/>
      <c r="AG271" s="264">
        <v>3</v>
      </c>
    </row>
    <row r="272" spans="1:33" s="526" customFormat="1" ht="29">
      <c r="A272" s="513">
        <v>270</v>
      </c>
      <c r="B272" s="514" t="s">
        <v>2788</v>
      </c>
      <c r="C272" s="515" t="s">
        <v>2788</v>
      </c>
      <c r="D272" s="262" t="s">
        <v>638</v>
      </c>
      <c r="E272" s="513">
        <v>271</v>
      </c>
      <c r="F272" s="544" t="s">
        <v>2788</v>
      </c>
      <c r="G272" s="543">
        <v>45356</v>
      </c>
      <c r="H272" s="543">
        <v>45357</v>
      </c>
      <c r="I272" s="543">
        <v>45357</v>
      </c>
      <c r="J272" s="543">
        <v>45357</v>
      </c>
      <c r="K272" s="517">
        <v>45357</v>
      </c>
      <c r="L272" s="518" t="s">
        <v>705</v>
      </c>
      <c r="M272" s="264" t="s">
        <v>2587</v>
      </c>
      <c r="N272" s="262" t="s">
        <v>2176</v>
      </c>
      <c r="O272" s="390" t="s">
        <v>260</v>
      </c>
      <c r="P272" s="264" t="str">
        <f t="shared" si="11"/>
        <v>Sampul Plastik</v>
      </c>
      <c r="Q272" s="264" t="s">
        <v>710</v>
      </c>
      <c r="R272" s="519" t="s">
        <v>149</v>
      </c>
      <c r="S272" s="399">
        <v>5</v>
      </c>
      <c r="T272" s="348" t="s">
        <v>3365</v>
      </c>
      <c r="U272" s="520">
        <v>65000</v>
      </c>
      <c r="V272" s="266">
        <v>325000</v>
      </c>
      <c r="W272" s="521" t="s">
        <v>227</v>
      </c>
      <c r="X272" s="521" t="s">
        <v>3383</v>
      </c>
      <c r="Y272" s="522" t="s">
        <v>2512</v>
      </c>
      <c r="Z272" s="523" t="s">
        <v>541</v>
      </c>
      <c r="AA272" s="521"/>
      <c r="AB272" s="521"/>
      <c r="AC272" s="521"/>
      <c r="AD272" s="521"/>
      <c r="AE272" s="521"/>
      <c r="AF272" s="521"/>
      <c r="AG272" s="264">
        <v>3</v>
      </c>
    </row>
    <row r="273" spans="1:33" s="526" customFormat="1" ht="29">
      <c r="A273" s="513">
        <v>271</v>
      </c>
      <c r="B273" s="514" t="s">
        <v>2788</v>
      </c>
      <c r="C273" s="515" t="s">
        <v>2788</v>
      </c>
      <c r="D273" s="262" t="s">
        <v>638</v>
      </c>
      <c r="E273" s="513">
        <v>272</v>
      </c>
      <c r="F273" s="544" t="s">
        <v>2788</v>
      </c>
      <c r="G273" s="543">
        <v>45356</v>
      </c>
      <c r="H273" s="543">
        <v>45357</v>
      </c>
      <c r="I273" s="543">
        <v>45357</v>
      </c>
      <c r="J273" s="543">
        <v>45357</v>
      </c>
      <c r="K273" s="517">
        <v>45357</v>
      </c>
      <c r="L273" s="518" t="s">
        <v>705</v>
      </c>
      <c r="M273" s="264" t="s">
        <v>2587</v>
      </c>
      <c r="N273" s="262" t="s">
        <v>2176</v>
      </c>
      <c r="O273" s="390" t="s">
        <v>2252</v>
      </c>
      <c r="P273" s="264" t="str">
        <f t="shared" si="11"/>
        <v>Box File Merk : Bantex Ukuran : 115x270x325 mm</v>
      </c>
      <c r="Q273" s="264" t="s">
        <v>710</v>
      </c>
      <c r="R273" s="524" t="s">
        <v>2606</v>
      </c>
      <c r="S273" s="399">
        <v>4</v>
      </c>
      <c r="T273" s="348" t="s">
        <v>3363</v>
      </c>
      <c r="U273" s="520">
        <v>59800</v>
      </c>
      <c r="V273" s="266">
        <v>239200</v>
      </c>
      <c r="W273" s="521" t="s">
        <v>227</v>
      </c>
      <c r="X273" s="521" t="s">
        <v>3383</v>
      </c>
      <c r="Y273" s="522" t="s">
        <v>2512</v>
      </c>
      <c r="Z273" s="523" t="s">
        <v>541</v>
      </c>
      <c r="AA273" s="521"/>
      <c r="AB273" s="521"/>
      <c r="AC273" s="521"/>
      <c r="AD273" s="521"/>
      <c r="AE273" s="521"/>
      <c r="AF273" s="521"/>
      <c r="AG273" s="264">
        <v>3</v>
      </c>
    </row>
    <row r="274" spans="1:33" s="526" customFormat="1" ht="43.5">
      <c r="A274" s="513">
        <v>272</v>
      </c>
      <c r="B274" s="514" t="s">
        <v>2788</v>
      </c>
      <c r="C274" s="515" t="s">
        <v>2788</v>
      </c>
      <c r="D274" s="262" t="s">
        <v>638</v>
      </c>
      <c r="E274" s="513">
        <v>273</v>
      </c>
      <c r="F274" s="544" t="s">
        <v>2788</v>
      </c>
      <c r="G274" s="543">
        <v>45356</v>
      </c>
      <c r="H274" s="543">
        <v>45357</v>
      </c>
      <c r="I274" s="543">
        <v>45357</v>
      </c>
      <c r="J274" s="543">
        <v>45357</v>
      </c>
      <c r="K274" s="517">
        <v>45357</v>
      </c>
      <c r="L274" s="518" t="s">
        <v>705</v>
      </c>
      <c r="M274" s="264" t="s">
        <v>2587</v>
      </c>
      <c r="N274" s="262" t="s">
        <v>2176</v>
      </c>
      <c r="O274" s="390" t="s">
        <v>2253</v>
      </c>
      <c r="P274" s="264" t="str">
        <f t="shared" si="11"/>
        <v>Catridge Printer Epson T 014--</v>
      </c>
      <c r="Q274" s="264" t="s">
        <v>710</v>
      </c>
      <c r="R274" s="519" t="s">
        <v>122</v>
      </c>
      <c r="S274" s="399">
        <v>4</v>
      </c>
      <c r="T274" s="348" t="s">
        <v>3367</v>
      </c>
      <c r="U274" s="520">
        <v>310000</v>
      </c>
      <c r="V274" s="266">
        <v>1240000</v>
      </c>
      <c r="W274" s="521" t="s">
        <v>227</v>
      </c>
      <c r="X274" s="521" t="s">
        <v>3383</v>
      </c>
      <c r="Y274" s="522" t="s">
        <v>2512</v>
      </c>
      <c r="Z274" s="523" t="s">
        <v>541</v>
      </c>
      <c r="AA274" s="521"/>
      <c r="AB274" s="521"/>
      <c r="AC274" s="521"/>
      <c r="AD274" s="521"/>
      <c r="AE274" s="521"/>
      <c r="AF274" s="521"/>
      <c r="AG274" s="264">
        <v>3</v>
      </c>
    </row>
    <row r="275" spans="1:33" s="526" customFormat="1" ht="29">
      <c r="A275" s="513">
        <v>273</v>
      </c>
      <c r="B275" s="514" t="s">
        <v>2788</v>
      </c>
      <c r="C275" s="515" t="s">
        <v>2788</v>
      </c>
      <c r="D275" s="262" t="s">
        <v>638</v>
      </c>
      <c r="E275" s="513">
        <v>274</v>
      </c>
      <c r="F275" s="544" t="s">
        <v>2788</v>
      </c>
      <c r="G275" s="543">
        <v>45356</v>
      </c>
      <c r="H275" s="543">
        <v>45357</v>
      </c>
      <c r="I275" s="543">
        <v>45357</v>
      </c>
      <c r="J275" s="543">
        <v>45357</v>
      </c>
      <c r="K275" s="517">
        <v>45357</v>
      </c>
      <c r="L275" s="518" t="s">
        <v>705</v>
      </c>
      <c r="M275" s="264" t="s">
        <v>2587</v>
      </c>
      <c r="N275" s="262" t="s">
        <v>2176</v>
      </c>
      <c r="O275" s="390" t="s">
        <v>2254</v>
      </c>
      <c r="P275" s="264" t="str">
        <f t="shared" si="11"/>
        <v>USB FLASH DISK USB/Flash Disk 4GB</v>
      </c>
      <c r="Q275" s="264" t="s">
        <v>710</v>
      </c>
      <c r="R275" s="519" t="s">
        <v>162</v>
      </c>
      <c r="S275" s="399">
        <v>1</v>
      </c>
      <c r="T275" s="348" t="s">
        <v>3363</v>
      </c>
      <c r="U275" s="520">
        <v>80000</v>
      </c>
      <c r="V275" s="266">
        <v>80000</v>
      </c>
      <c r="W275" s="521" t="s">
        <v>227</v>
      </c>
      <c r="X275" s="521" t="s">
        <v>3383</v>
      </c>
      <c r="Y275" s="522" t="s">
        <v>2512</v>
      </c>
      <c r="Z275" s="523" t="s">
        <v>541</v>
      </c>
      <c r="AA275" s="521"/>
      <c r="AB275" s="521"/>
      <c r="AC275" s="521"/>
      <c r="AD275" s="521"/>
      <c r="AE275" s="521"/>
      <c r="AF275" s="521"/>
      <c r="AG275" s="264">
        <v>3</v>
      </c>
    </row>
    <row r="276" spans="1:33" s="526" customFormat="1" ht="29">
      <c r="A276" s="513">
        <v>274</v>
      </c>
      <c r="B276" s="514" t="s">
        <v>2788</v>
      </c>
      <c r="C276" s="515" t="s">
        <v>2788</v>
      </c>
      <c r="D276" s="262" t="s">
        <v>638</v>
      </c>
      <c r="E276" s="513">
        <v>275</v>
      </c>
      <c r="F276" s="544" t="s">
        <v>2788</v>
      </c>
      <c r="G276" s="543">
        <v>45356</v>
      </c>
      <c r="H276" s="543">
        <v>45357</v>
      </c>
      <c r="I276" s="543">
        <v>45357</v>
      </c>
      <c r="J276" s="543">
        <v>45357</v>
      </c>
      <c r="K276" s="517">
        <v>45357</v>
      </c>
      <c r="L276" s="518" t="s">
        <v>705</v>
      </c>
      <c r="M276" s="264" t="s">
        <v>2587</v>
      </c>
      <c r="N276" s="262" t="s">
        <v>2176</v>
      </c>
      <c r="O276" s="390" t="s">
        <v>253</v>
      </c>
      <c r="P276" s="264" t="str">
        <f t="shared" si="11"/>
        <v>Lakban warna Uk 2" Warna Coklat Cofiie</v>
      </c>
      <c r="Q276" s="264" t="s">
        <v>710</v>
      </c>
      <c r="R276" s="519" t="s">
        <v>140</v>
      </c>
      <c r="S276" s="399">
        <v>3</v>
      </c>
      <c r="T276" s="348" t="s">
        <v>3363</v>
      </c>
      <c r="U276" s="520">
        <v>20000</v>
      </c>
      <c r="V276" s="266">
        <v>60000</v>
      </c>
      <c r="W276" s="521" t="s">
        <v>227</v>
      </c>
      <c r="X276" s="521" t="s">
        <v>3383</v>
      </c>
      <c r="Y276" s="522" t="s">
        <v>2512</v>
      </c>
      <c r="Z276" s="523" t="s">
        <v>541</v>
      </c>
      <c r="AA276" s="521"/>
      <c r="AB276" s="521"/>
      <c r="AC276" s="521"/>
      <c r="AD276" s="521"/>
      <c r="AE276" s="521"/>
      <c r="AF276" s="521"/>
      <c r="AG276" s="264">
        <v>3</v>
      </c>
    </row>
    <row r="277" spans="1:33" s="526" customFormat="1" ht="29">
      <c r="A277" s="513">
        <v>275</v>
      </c>
      <c r="B277" s="514" t="s">
        <v>2788</v>
      </c>
      <c r="C277" s="515" t="s">
        <v>2788</v>
      </c>
      <c r="D277" s="262" t="s">
        <v>638</v>
      </c>
      <c r="E277" s="513">
        <v>276</v>
      </c>
      <c r="F277" s="544" t="s">
        <v>2788</v>
      </c>
      <c r="G277" s="543">
        <v>45356</v>
      </c>
      <c r="H277" s="543">
        <v>45357</v>
      </c>
      <c r="I277" s="543">
        <v>45357</v>
      </c>
      <c r="J277" s="543">
        <v>45357</v>
      </c>
      <c r="K277" s="517">
        <v>45357</v>
      </c>
      <c r="L277" s="518" t="s">
        <v>705</v>
      </c>
      <c r="M277" s="264" t="s">
        <v>2587</v>
      </c>
      <c r="N277" s="262" t="s">
        <v>2176</v>
      </c>
      <c r="O277" s="390" t="s">
        <v>2255</v>
      </c>
      <c r="P277" s="264" t="str">
        <f t="shared" si="11"/>
        <v>gunting kertas-ukuran : panjang 21cm x lebar 8cm, stainless steel</v>
      </c>
      <c r="Q277" s="264" t="s">
        <v>710</v>
      </c>
      <c r="R277" s="519" t="s">
        <v>123</v>
      </c>
      <c r="S277" s="399">
        <v>2</v>
      </c>
      <c r="T277" s="348" t="s">
        <v>3363</v>
      </c>
      <c r="U277" s="520">
        <v>20000</v>
      </c>
      <c r="V277" s="266">
        <v>40000</v>
      </c>
      <c r="W277" s="521" t="s">
        <v>227</v>
      </c>
      <c r="X277" s="521" t="s">
        <v>3383</v>
      </c>
      <c r="Y277" s="522" t="s">
        <v>2512</v>
      </c>
      <c r="Z277" s="523" t="s">
        <v>541</v>
      </c>
      <c r="AA277" s="521"/>
      <c r="AB277" s="521"/>
      <c r="AC277" s="521"/>
      <c r="AD277" s="521"/>
      <c r="AE277" s="521"/>
      <c r="AF277" s="521"/>
      <c r="AG277" s="264">
        <v>3</v>
      </c>
    </row>
    <row r="278" spans="1:33" s="526" customFormat="1" ht="29">
      <c r="A278" s="513">
        <v>276</v>
      </c>
      <c r="B278" s="514" t="s">
        <v>2788</v>
      </c>
      <c r="C278" s="515" t="s">
        <v>2788</v>
      </c>
      <c r="D278" s="262" t="s">
        <v>638</v>
      </c>
      <c r="E278" s="513">
        <v>277</v>
      </c>
      <c r="F278" s="544" t="s">
        <v>2788</v>
      </c>
      <c r="G278" s="543">
        <v>45356</v>
      </c>
      <c r="H278" s="543">
        <v>45357</v>
      </c>
      <c r="I278" s="543">
        <v>45357</v>
      </c>
      <c r="J278" s="543">
        <v>45357</v>
      </c>
      <c r="K278" s="517">
        <v>45357</v>
      </c>
      <c r="L278" s="518" t="s">
        <v>705</v>
      </c>
      <c r="M278" s="264" t="s">
        <v>2587</v>
      </c>
      <c r="N278" s="262" t="s">
        <v>2176</v>
      </c>
      <c r="O278" s="390" t="s">
        <v>2256</v>
      </c>
      <c r="P278" s="264" t="str">
        <f t="shared" si="11"/>
        <v>Ballpoint Standard AE7</v>
      </c>
      <c r="Q278" s="264" t="s">
        <v>710</v>
      </c>
      <c r="R278" s="519" t="s">
        <v>103</v>
      </c>
      <c r="S278" s="399">
        <v>2</v>
      </c>
      <c r="T278" s="348" t="s">
        <v>3364</v>
      </c>
      <c r="U278" s="520">
        <v>20000</v>
      </c>
      <c r="V278" s="266">
        <v>40000</v>
      </c>
      <c r="W278" s="521" t="s">
        <v>227</v>
      </c>
      <c r="X278" s="521" t="s">
        <v>3383</v>
      </c>
      <c r="Y278" s="522" t="s">
        <v>2512</v>
      </c>
      <c r="Z278" s="523" t="s">
        <v>541</v>
      </c>
      <c r="AA278" s="521"/>
      <c r="AB278" s="521"/>
      <c r="AC278" s="521"/>
      <c r="AD278" s="521"/>
      <c r="AE278" s="521"/>
      <c r="AF278" s="521"/>
      <c r="AG278" s="264">
        <v>3</v>
      </c>
    </row>
    <row r="279" spans="1:33" s="526" customFormat="1" ht="29">
      <c r="A279" s="513">
        <v>277</v>
      </c>
      <c r="B279" s="514" t="s">
        <v>2788</v>
      </c>
      <c r="C279" s="515" t="s">
        <v>2788</v>
      </c>
      <c r="D279" s="262" t="s">
        <v>638</v>
      </c>
      <c r="E279" s="513">
        <v>278</v>
      </c>
      <c r="F279" s="544" t="s">
        <v>2788</v>
      </c>
      <c r="G279" s="543">
        <v>45356</v>
      </c>
      <c r="H279" s="543">
        <v>45357</v>
      </c>
      <c r="I279" s="543">
        <v>45357</v>
      </c>
      <c r="J279" s="543">
        <v>45357</v>
      </c>
      <c r="K279" s="517">
        <v>45357</v>
      </c>
      <c r="L279" s="518" t="s">
        <v>705</v>
      </c>
      <c r="M279" s="264" t="s">
        <v>2587</v>
      </c>
      <c r="N279" s="262" t="s">
        <v>2176</v>
      </c>
      <c r="O279" s="390" t="s">
        <v>245</v>
      </c>
      <c r="P279" s="264" t="str">
        <f t="shared" si="11"/>
        <v>C. Tinta Printer EPSON Tinta Printer Epson Read</v>
      </c>
      <c r="Q279" s="264" t="s">
        <v>710</v>
      </c>
      <c r="R279" s="528" t="s">
        <v>118</v>
      </c>
      <c r="S279" s="399">
        <v>4</v>
      </c>
      <c r="T279" s="348" t="s">
        <v>3367</v>
      </c>
      <c r="U279" s="520">
        <v>110000</v>
      </c>
      <c r="V279" s="266">
        <v>440000</v>
      </c>
      <c r="W279" s="521" t="s">
        <v>227</v>
      </c>
      <c r="X279" s="521" t="s">
        <v>3383</v>
      </c>
      <c r="Y279" s="522" t="s">
        <v>2512</v>
      </c>
      <c r="Z279" s="523" t="s">
        <v>541</v>
      </c>
      <c r="AA279" s="521"/>
      <c r="AB279" s="521"/>
      <c r="AC279" s="521"/>
      <c r="AD279" s="521"/>
      <c r="AE279" s="521"/>
      <c r="AF279" s="521"/>
      <c r="AG279" s="264">
        <v>3</v>
      </c>
    </row>
    <row r="280" spans="1:33" s="526" customFormat="1" ht="29">
      <c r="A280" s="513">
        <v>278</v>
      </c>
      <c r="B280" s="514" t="s">
        <v>2788</v>
      </c>
      <c r="C280" s="515" t="s">
        <v>2788</v>
      </c>
      <c r="D280" s="262" t="s">
        <v>638</v>
      </c>
      <c r="E280" s="513">
        <v>279</v>
      </c>
      <c r="F280" s="544" t="s">
        <v>2788</v>
      </c>
      <c r="G280" s="543">
        <v>45356</v>
      </c>
      <c r="H280" s="543">
        <v>45357</v>
      </c>
      <c r="I280" s="543">
        <v>45357</v>
      </c>
      <c r="J280" s="543">
        <v>45357</v>
      </c>
      <c r="K280" s="517">
        <v>45357</v>
      </c>
      <c r="L280" s="518" t="s">
        <v>705</v>
      </c>
      <c r="M280" s="264" t="s">
        <v>2587</v>
      </c>
      <c r="N280" s="262" t="s">
        <v>2176</v>
      </c>
      <c r="O280" s="390" t="s">
        <v>263</v>
      </c>
      <c r="P280" s="264" t="str">
        <f t="shared" si="11"/>
        <v>Stofmap Kertas</v>
      </c>
      <c r="Q280" s="264" t="s">
        <v>710</v>
      </c>
      <c r="R280" s="519" t="s">
        <v>156</v>
      </c>
      <c r="S280" s="399">
        <v>1</v>
      </c>
      <c r="T280" s="348" t="s">
        <v>3370</v>
      </c>
      <c r="U280" s="520">
        <v>87500</v>
      </c>
      <c r="V280" s="266">
        <v>87500</v>
      </c>
      <c r="W280" s="521" t="s">
        <v>227</v>
      </c>
      <c r="X280" s="521" t="s">
        <v>3383</v>
      </c>
      <c r="Y280" s="522" t="s">
        <v>2512</v>
      </c>
      <c r="Z280" s="523" t="s">
        <v>541</v>
      </c>
      <c r="AA280" s="521"/>
      <c r="AB280" s="521"/>
      <c r="AC280" s="521"/>
      <c r="AD280" s="521"/>
      <c r="AE280" s="521"/>
      <c r="AF280" s="521"/>
      <c r="AG280" s="264">
        <v>3</v>
      </c>
    </row>
    <row r="281" spans="1:33" s="526" customFormat="1" ht="29">
      <c r="A281" s="513">
        <v>279</v>
      </c>
      <c r="B281" s="514" t="s">
        <v>2788</v>
      </c>
      <c r="C281" s="515" t="s">
        <v>2788</v>
      </c>
      <c r="D281" s="262" t="s">
        <v>638</v>
      </c>
      <c r="E281" s="513">
        <v>280</v>
      </c>
      <c r="F281" s="544" t="s">
        <v>2788</v>
      </c>
      <c r="G281" s="543">
        <v>45356</v>
      </c>
      <c r="H281" s="543">
        <v>45357</v>
      </c>
      <c r="I281" s="543">
        <v>45357</v>
      </c>
      <c r="J281" s="543">
        <v>45357</v>
      </c>
      <c r="K281" s="517">
        <v>45357</v>
      </c>
      <c r="L281" s="518" t="s">
        <v>705</v>
      </c>
      <c r="M281" s="264" t="s">
        <v>2587</v>
      </c>
      <c r="N281" s="262" t="s">
        <v>2176</v>
      </c>
      <c r="O281" s="390" t="s">
        <v>2257</v>
      </c>
      <c r="P281" s="264" t="str">
        <f t="shared" si="11"/>
        <v>lakban hitam-ukuran : lebar 2 inch, panjang 12m, bahan : kain</v>
      </c>
      <c r="Q281" s="264" t="s">
        <v>710</v>
      </c>
      <c r="R281" s="519" t="s">
        <v>137</v>
      </c>
      <c r="S281" s="399">
        <v>4</v>
      </c>
      <c r="T281" s="348" t="s">
        <v>3363</v>
      </c>
      <c r="U281" s="520">
        <v>12500</v>
      </c>
      <c r="V281" s="266">
        <v>50000</v>
      </c>
      <c r="W281" s="521" t="s">
        <v>227</v>
      </c>
      <c r="X281" s="521" t="s">
        <v>3383</v>
      </c>
      <c r="Y281" s="522" t="s">
        <v>2512</v>
      </c>
      <c r="Z281" s="523" t="s">
        <v>541</v>
      </c>
      <c r="AA281" s="521"/>
      <c r="AB281" s="521"/>
      <c r="AC281" s="521"/>
      <c r="AD281" s="521"/>
      <c r="AE281" s="521"/>
      <c r="AF281" s="521"/>
      <c r="AG281" s="264">
        <v>3</v>
      </c>
    </row>
    <row r="282" spans="1:33" s="526" customFormat="1" ht="29">
      <c r="A282" s="513">
        <v>280</v>
      </c>
      <c r="B282" s="514" t="s">
        <v>2788</v>
      </c>
      <c r="C282" s="515" t="s">
        <v>2788</v>
      </c>
      <c r="D282" s="262" t="s">
        <v>638</v>
      </c>
      <c r="E282" s="513">
        <v>281</v>
      </c>
      <c r="F282" s="544" t="s">
        <v>2788</v>
      </c>
      <c r="G282" s="543">
        <v>45356</v>
      </c>
      <c r="H282" s="543">
        <v>45357</v>
      </c>
      <c r="I282" s="543">
        <v>45357</v>
      </c>
      <c r="J282" s="543">
        <v>45357</v>
      </c>
      <c r="K282" s="517">
        <v>45357</v>
      </c>
      <c r="L282" s="518" t="s">
        <v>705</v>
      </c>
      <c r="M282" s="264" t="s">
        <v>2587</v>
      </c>
      <c r="N282" s="262" t="s">
        <v>2176</v>
      </c>
      <c r="O282" s="390" t="s">
        <v>2258</v>
      </c>
      <c r="P282" s="264" t="str">
        <f t="shared" si="11"/>
        <v>Lakban Besar</v>
      </c>
      <c r="Q282" s="264" t="s">
        <v>710</v>
      </c>
      <c r="R282" s="519" t="s">
        <v>2607</v>
      </c>
      <c r="S282" s="399">
        <v>5</v>
      </c>
      <c r="T282" s="348" t="s">
        <v>3363</v>
      </c>
      <c r="U282" s="520">
        <v>25000</v>
      </c>
      <c r="V282" s="266">
        <v>125000</v>
      </c>
      <c r="W282" s="521" t="s">
        <v>227</v>
      </c>
      <c r="X282" s="521" t="s">
        <v>3383</v>
      </c>
      <c r="Y282" s="522" t="s">
        <v>2512</v>
      </c>
      <c r="Z282" s="523" t="s">
        <v>541</v>
      </c>
      <c r="AA282" s="521"/>
      <c r="AB282" s="521"/>
      <c r="AC282" s="521"/>
      <c r="AD282" s="521"/>
      <c r="AE282" s="521"/>
      <c r="AF282" s="521"/>
      <c r="AG282" s="264">
        <v>3</v>
      </c>
    </row>
    <row r="283" spans="1:33" s="526" customFormat="1" ht="29">
      <c r="A283" s="513">
        <v>281</v>
      </c>
      <c r="B283" s="514" t="s">
        <v>2788</v>
      </c>
      <c r="C283" s="515" t="s">
        <v>2788</v>
      </c>
      <c r="D283" s="262" t="s">
        <v>638</v>
      </c>
      <c r="E283" s="513">
        <v>282</v>
      </c>
      <c r="F283" s="544" t="s">
        <v>2788</v>
      </c>
      <c r="G283" s="543">
        <v>45356</v>
      </c>
      <c r="H283" s="543">
        <v>45357</v>
      </c>
      <c r="I283" s="543">
        <v>45357</v>
      </c>
      <c r="J283" s="543">
        <v>45357</v>
      </c>
      <c r="K283" s="517">
        <v>45357</v>
      </c>
      <c r="L283" s="518" t="s">
        <v>705</v>
      </c>
      <c r="M283" s="264" t="s">
        <v>2587</v>
      </c>
      <c r="N283" s="262" t="s">
        <v>2176</v>
      </c>
      <c r="O283" s="390" t="s">
        <v>2260</v>
      </c>
      <c r="P283" s="264" t="str">
        <f t="shared" si="11"/>
        <v>Tinta Printer Canon 740 Hitam-740 Hitam</v>
      </c>
      <c r="Q283" s="264" t="s">
        <v>710</v>
      </c>
      <c r="R283" s="519" t="s">
        <v>159</v>
      </c>
      <c r="S283" s="399">
        <v>8</v>
      </c>
      <c r="T283" s="348" t="s">
        <v>3367</v>
      </c>
      <c r="U283" s="520">
        <v>30000</v>
      </c>
      <c r="V283" s="266">
        <v>240000</v>
      </c>
      <c r="W283" s="521" t="s">
        <v>227</v>
      </c>
      <c r="X283" s="521" t="s">
        <v>3383</v>
      </c>
      <c r="Y283" s="522" t="s">
        <v>2512</v>
      </c>
      <c r="Z283" s="523" t="s">
        <v>541</v>
      </c>
      <c r="AA283" s="521"/>
      <c r="AB283" s="521"/>
      <c r="AC283" s="521"/>
      <c r="AD283" s="521"/>
      <c r="AE283" s="521"/>
      <c r="AF283" s="521"/>
      <c r="AG283" s="264">
        <v>3</v>
      </c>
    </row>
    <row r="284" spans="1:33" s="526" customFormat="1" ht="29">
      <c r="A284" s="513">
        <v>282</v>
      </c>
      <c r="B284" s="514" t="s">
        <v>2788</v>
      </c>
      <c r="C284" s="515" t="s">
        <v>2788</v>
      </c>
      <c r="D284" s="262" t="s">
        <v>638</v>
      </c>
      <c r="E284" s="513">
        <v>283</v>
      </c>
      <c r="F284" s="544" t="s">
        <v>2788</v>
      </c>
      <c r="G284" s="543">
        <v>45356</v>
      </c>
      <c r="H284" s="543">
        <v>45357</v>
      </c>
      <c r="I284" s="543">
        <v>45357</v>
      </c>
      <c r="J284" s="543">
        <v>45357</v>
      </c>
      <c r="K284" s="517">
        <v>45357</v>
      </c>
      <c r="L284" s="518" t="s">
        <v>705</v>
      </c>
      <c r="M284" s="264" t="s">
        <v>2587</v>
      </c>
      <c r="N284" s="262" t="s">
        <v>2176</v>
      </c>
      <c r="O284" s="390" t="s">
        <v>2261</v>
      </c>
      <c r="P284" s="264" t="str">
        <f t="shared" si="11"/>
        <v>Kertas HVS 60 gram Merk : Paper One HVS F4 uk. 8.27"x11.69"</v>
      </c>
      <c r="Q284" s="264" t="s">
        <v>710</v>
      </c>
      <c r="R284" s="519" t="s">
        <v>127</v>
      </c>
      <c r="S284" s="399">
        <v>10</v>
      </c>
      <c r="T284" s="348" t="s">
        <v>3369</v>
      </c>
      <c r="U284" s="520">
        <v>48500</v>
      </c>
      <c r="V284" s="266">
        <v>485000</v>
      </c>
      <c r="W284" s="521" t="s">
        <v>227</v>
      </c>
      <c r="X284" s="521" t="s">
        <v>3383</v>
      </c>
      <c r="Y284" s="522" t="s">
        <v>2512</v>
      </c>
      <c r="Z284" s="523" t="s">
        <v>541</v>
      </c>
      <c r="AA284" s="521"/>
      <c r="AB284" s="521"/>
      <c r="AC284" s="521"/>
      <c r="AD284" s="521"/>
      <c r="AE284" s="521"/>
      <c r="AF284" s="521"/>
      <c r="AG284" s="264">
        <v>3</v>
      </c>
    </row>
    <row r="285" spans="1:33" s="526" customFormat="1" ht="29">
      <c r="A285" s="513">
        <v>283</v>
      </c>
      <c r="B285" s="514" t="s">
        <v>2788</v>
      </c>
      <c r="C285" s="515" t="s">
        <v>2788</v>
      </c>
      <c r="D285" s="262" t="s">
        <v>638</v>
      </c>
      <c r="E285" s="513">
        <v>284</v>
      </c>
      <c r="F285" s="544" t="s">
        <v>2788</v>
      </c>
      <c r="G285" s="543">
        <v>45356</v>
      </c>
      <c r="H285" s="543">
        <v>45357</v>
      </c>
      <c r="I285" s="543">
        <v>45357</v>
      </c>
      <c r="J285" s="543">
        <v>45357</v>
      </c>
      <c r="K285" s="517">
        <v>45357</v>
      </c>
      <c r="L285" s="518" t="s">
        <v>705</v>
      </c>
      <c r="M285" s="264" t="s">
        <v>2587</v>
      </c>
      <c r="N285" s="262" t="s">
        <v>2176</v>
      </c>
      <c r="O285" s="390" t="s">
        <v>242</v>
      </c>
      <c r="P285" s="264" t="str">
        <f t="shared" si="11"/>
        <v>Binder Klip Ordner</v>
      </c>
      <c r="Q285" s="264" t="s">
        <v>710</v>
      </c>
      <c r="R285" s="519" t="s">
        <v>113</v>
      </c>
      <c r="S285" s="399">
        <v>6</v>
      </c>
      <c r="T285" s="348" t="s">
        <v>3363</v>
      </c>
      <c r="U285" s="520">
        <v>49500</v>
      </c>
      <c r="V285" s="266">
        <v>297000</v>
      </c>
      <c r="W285" s="521" t="s">
        <v>227</v>
      </c>
      <c r="X285" s="521" t="s">
        <v>3383</v>
      </c>
      <c r="Y285" s="522" t="s">
        <v>2512</v>
      </c>
      <c r="Z285" s="523" t="s">
        <v>541</v>
      </c>
      <c r="AA285" s="521"/>
      <c r="AB285" s="521"/>
      <c r="AC285" s="521"/>
      <c r="AD285" s="521"/>
      <c r="AE285" s="521"/>
      <c r="AF285" s="521"/>
      <c r="AG285" s="264">
        <v>3</v>
      </c>
    </row>
    <row r="286" spans="1:33" s="526" customFormat="1" ht="29">
      <c r="A286" s="513">
        <v>284</v>
      </c>
      <c r="B286" s="514" t="s">
        <v>2788</v>
      </c>
      <c r="C286" s="515" t="s">
        <v>2788</v>
      </c>
      <c r="D286" s="262" t="s">
        <v>638</v>
      </c>
      <c r="E286" s="513">
        <v>285</v>
      </c>
      <c r="F286" s="544" t="s">
        <v>2788</v>
      </c>
      <c r="G286" s="543">
        <v>45356</v>
      </c>
      <c r="H286" s="543">
        <v>45357</v>
      </c>
      <c r="I286" s="543">
        <v>45357</v>
      </c>
      <c r="J286" s="543">
        <v>45357</v>
      </c>
      <c r="K286" s="517">
        <v>45357</v>
      </c>
      <c r="L286" s="518" t="s">
        <v>705</v>
      </c>
      <c r="M286" s="264" t="s">
        <v>2587</v>
      </c>
      <c r="N286" s="262" t="s">
        <v>2176</v>
      </c>
      <c r="O286" s="390" t="s">
        <v>2262</v>
      </c>
      <c r="P286" s="264" t="str">
        <f t="shared" si="11"/>
        <v>Isi Staples besar</v>
      </c>
      <c r="Q286" s="264" t="s">
        <v>710</v>
      </c>
      <c r="R286" s="519" t="s">
        <v>125</v>
      </c>
      <c r="S286" s="399">
        <v>2</v>
      </c>
      <c r="T286" s="348" t="s">
        <v>3362</v>
      </c>
      <c r="U286" s="520">
        <v>80000</v>
      </c>
      <c r="V286" s="266">
        <v>160000</v>
      </c>
      <c r="W286" s="521" t="s">
        <v>227</v>
      </c>
      <c r="X286" s="521" t="s">
        <v>3383</v>
      </c>
      <c r="Y286" s="522" t="s">
        <v>2512</v>
      </c>
      <c r="Z286" s="523" t="s">
        <v>541</v>
      </c>
      <c r="AA286" s="521"/>
      <c r="AB286" s="521"/>
      <c r="AC286" s="521"/>
      <c r="AD286" s="521"/>
      <c r="AE286" s="521"/>
      <c r="AF286" s="521"/>
      <c r="AG286" s="264">
        <v>3</v>
      </c>
    </row>
    <row r="287" spans="1:33" s="526" customFormat="1" ht="29">
      <c r="A287" s="406">
        <v>285</v>
      </c>
      <c r="B287" s="514" t="s">
        <v>2113</v>
      </c>
      <c r="C287" s="515" t="s">
        <v>2113</v>
      </c>
      <c r="D287" s="352" t="s">
        <v>2129</v>
      </c>
      <c r="E287" s="406">
        <v>286</v>
      </c>
      <c r="F287" s="549" t="s">
        <v>2113</v>
      </c>
      <c r="G287" s="563">
        <v>45355</v>
      </c>
      <c r="H287" s="563">
        <v>45356</v>
      </c>
      <c r="I287" s="563">
        <v>45358</v>
      </c>
      <c r="J287" s="563">
        <v>45358</v>
      </c>
      <c r="K287" s="550">
        <v>45359</v>
      </c>
      <c r="L287" s="552" t="s">
        <v>1127</v>
      </c>
      <c r="M287" s="264" t="s">
        <v>2646</v>
      </c>
      <c r="N287" s="352" t="s">
        <v>2192</v>
      </c>
      <c r="O287" s="387" t="s">
        <v>2309</v>
      </c>
      <c r="P287" s="355" t="str">
        <f t="shared" si="11"/>
        <v>Lemari Besi/ Metal/ Lemari Arsip 4 Laci-</v>
      </c>
      <c r="Q287" s="355" t="s">
        <v>2733</v>
      </c>
      <c r="R287" s="553"/>
      <c r="S287" s="400">
        <v>1</v>
      </c>
      <c r="T287" s="401" t="s">
        <v>3371</v>
      </c>
      <c r="U287" s="450">
        <v>5000000</v>
      </c>
      <c r="V287" s="403">
        <v>5000000</v>
      </c>
      <c r="W287" s="554" t="s">
        <v>2521</v>
      </c>
      <c r="X287" s="554" t="s">
        <v>2721</v>
      </c>
      <c r="Y287" s="555" t="s">
        <v>2722</v>
      </c>
      <c r="Z287" s="556" t="s">
        <v>2723</v>
      </c>
      <c r="AA287" s="521"/>
      <c r="AB287" s="521"/>
      <c r="AC287" s="521"/>
      <c r="AD287" s="521"/>
      <c r="AE287" s="521"/>
      <c r="AF287" s="521"/>
      <c r="AG287" s="264">
        <v>3</v>
      </c>
    </row>
    <row r="288" spans="1:33" s="526" customFormat="1" ht="29">
      <c r="A288" s="406">
        <v>286</v>
      </c>
      <c r="B288" s="514" t="s">
        <v>2113</v>
      </c>
      <c r="C288" s="515" t="s">
        <v>2113</v>
      </c>
      <c r="D288" s="352" t="s">
        <v>2130</v>
      </c>
      <c r="E288" s="406">
        <v>287</v>
      </c>
      <c r="F288" s="549" t="s">
        <v>2113</v>
      </c>
      <c r="G288" s="563">
        <v>45355</v>
      </c>
      <c r="H288" s="563">
        <v>45356</v>
      </c>
      <c r="I288" s="563">
        <v>45358</v>
      </c>
      <c r="J288" s="563">
        <v>45358</v>
      </c>
      <c r="K288" s="550">
        <v>45359</v>
      </c>
      <c r="L288" s="552" t="s">
        <v>2789</v>
      </c>
      <c r="M288" s="355" t="s">
        <v>2717</v>
      </c>
      <c r="N288" s="352" t="s">
        <v>2196</v>
      </c>
      <c r="O288" s="387" t="s">
        <v>2310</v>
      </c>
      <c r="P288" s="355" t="str">
        <f t="shared" si="11"/>
        <v>Printer Epson 2 Unit</v>
      </c>
      <c r="Q288" s="355" t="s">
        <v>2720</v>
      </c>
      <c r="R288" s="553"/>
      <c r="S288" s="400">
        <v>2</v>
      </c>
      <c r="T288" s="401" t="s">
        <v>3371</v>
      </c>
      <c r="U288" s="450">
        <v>5500000</v>
      </c>
      <c r="V288" s="403">
        <v>11000000</v>
      </c>
      <c r="W288" s="554" t="s">
        <v>2521</v>
      </c>
      <c r="X288" s="554" t="s">
        <v>2721</v>
      </c>
      <c r="Y288" s="555" t="s">
        <v>2722</v>
      </c>
      <c r="Z288" s="556" t="s">
        <v>2723</v>
      </c>
      <c r="AA288" s="521"/>
      <c r="AB288" s="521"/>
      <c r="AC288" s="521"/>
      <c r="AD288" s="521"/>
      <c r="AE288" s="521"/>
      <c r="AF288" s="521"/>
      <c r="AG288" s="264">
        <v>3</v>
      </c>
    </row>
    <row r="289" spans="1:33" s="526" customFormat="1" ht="29">
      <c r="A289" s="406">
        <v>287</v>
      </c>
      <c r="B289" s="514" t="s">
        <v>2114</v>
      </c>
      <c r="C289" s="515" t="s">
        <v>2114</v>
      </c>
      <c r="D289" s="352" t="s">
        <v>2131</v>
      </c>
      <c r="E289" s="406">
        <v>288</v>
      </c>
      <c r="F289" s="549" t="s">
        <v>2114</v>
      </c>
      <c r="G289" s="563">
        <v>45355</v>
      </c>
      <c r="H289" s="563">
        <v>45358</v>
      </c>
      <c r="I289" s="563">
        <v>45359</v>
      </c>
      <c r="J289" s="563">
        <v>45359</v>
      </c>
      <c r="K289" s="550">
        <v>45359</v>
      </c>
      <c r="L289" s="552" t="s">
        <v>2790</v>
      </c>
      <c r="M289" s="355" t="s">
        <v>2587</v>
      </c>
      <c r="N289" s="352" t="s">
        <v>2197</v>
      </c>
      <c r="O289" s="387" t="s">
        <v>2311</v>
      </c>
      <c r="P289" s="355" t="str">
        <f t="shared" si="11"/>
        <v>Pantograf</v>
      </c>
      <c r="Q289" s="355" t="s">
        <v>2791</v>
      </c>
      <c r="R289" s="553"/>
      <c r="S289" s="400">
        <v>36</v>
      </c>
      <c r="T289" s="401" t="s">
        <v>3371</v>
      </c>
      <c r="U289" s="450">
        <v>60000</v>
      </c>
      <c r="V289" s="403">
        <v>2160000</v>
      </c>
      <c r="W289" s="554" t="s">
        <v>2521</v>
      </c>
      <c r="X289" s="554" t="s">
        <v>2721</v>
      </c>
      <c r="Y289" s="555" t="s">
        <v>2722</v>
      </c>
      <c r="Z289" s="556" t="s">
        <v>2723</v>
      </c>
      <c r="AA289" s="521"/>
      <c r="AB289" s="521"/>
      <c r="AC289" s="521"/>
      <c r="AD289" s="521"/>
      <c r="AE289" s="521"/>
      <c r="AF289" s="521"/>
      <c r="AG289" s="264">
        <v>3</v>
      </c>
    </row>
    <row r="290" spans="1:33" s="526" customFormat="1" ht="29">
      <c r="A290" s="513">
        <v>288</v>
      </c>
      <c r="B290" s="514" t="s">
        <v>2115</v>
      </c>
      <c r="C290" s="515" t="s">
        <v>2115</v>
      </c>
      <c r="D290" s="262" t="s">
        <v>642</v>
      </c>
      <c r="E290" s="513">
        <v>289</v>
      </c>
      <c r="F290" s="544" t="s">
        <v>2115</v>
      </c>
      <c r="G290" s="543">
        <v>45360</v>
      </c>
      <c r="H290" s="543">
        <v>45361</v>
      </c>
      <c r="I290" s="543">
        <v>45361</v>
      </c>
      <c r="J290" s="543">
        <v>45362</v>
      </c>
      <c r="K290" s="517">
        <v>45362</v>
      </c>
      <c r="L290" s="518" t="s">
        <v>694</v>
      </c>
      <c r="M290" s="264" t="s">
        <v>2646</v>
      </c>
      <c r="N290" s="262" t="s">
        <v>1126</v>
      </c>
      <c r="O290" s="390" t="s">
        <v>2308</v>
      </c>
      <c r="P290" s="264" t="str">
        <f t="shared" si="11"/>
        <v>Pasir</v>
      </c>
      <c r="Q290" s="264" t="s">
        <v>2448</v>
      </c>
      <c r="R290" s="519" t="s">
        <v>2792</v>
      </c>
      <c r="S290" s="399">
        <v>20</v>
      </c>
      <c r="T290" s="348" t="s">
        <v>3376</v>
      </c>
      <c r="U290" s="520">
        <v>500000</v>
      </c>
      <c r="V290" s="266">
        <v>10000000</v>
      </c>
      <c r="W290" s="521" t="s">
        <v>12</v>
      </c>
      <c r="X290" s="521" t="s">
        <v>13</v>
      </c>
      <c r="Y290" s="522" t="s">
        <v>2514</v>
      </c>
      <c r="Z290" s="523" t="s">
        <v>541</v>
      </c>
      <c r="AA290" s="521"/>
      <c r="AB290" s="521"/>
      <c r="AC290" s="521"/>
      <c r="AD290" s="521"/>
      <c r="AE290" s="521"/>
      <c r="AF290" s="521"/>
      <c r="AG290" s="264">
        <v>3</v>
      </c>
    </row>
    <row r="291" spans="1:33" s="526" customFormat="1" ht="29">
      <c r="A291" s="513">
        <v>289</v>
      </c>
      <c r="B291" s="514" t="s">
        <v>2115</v>
      </c>
      <c r="C291" s="515" t="s">
        <v>2115</v>
      </c>
      <c r="D291" s="262" t="s">
        <v>644</v>
      </c>
      <c r="E291" s="513">
        <v>290</v>
      </c>
      <c r="F291" s="544" t="s">
        <v>2115</v>
      </c>
      <c r="G291" s="543">
        <v>45360</v>
      </c>
      <c r="H291" s="543">
        <v>45361</v>
      </c>
      <c r="I291" s="543">
        <v>45361</v>
      </c>
      <c r="J291" s="543">
        <v>45362</v>
      </c>
      <c r="K291" s="517">
        <v>45362</v>
      </c>
      <c r="L291" s="518" t="s">
        <v>694</v>
      </c>
      <c r="M291" s="264" t="s">
        <v>2646</v>
      </c>
      <c r="N291" s="262" t="s">
        <v>1126</v>
      </c>
      <c r="O291" s="390" t="s">
        <v>2306</v>
      </c>
      <c r="P291" s="264" t="str">
        <f t="shared" si="11"/>
        <v>Batu Kerikil</v>
      </c>
      <c r="Q291" s="264" t="s">
        <v>2448</v>
      </c>
      <c r="R291" s="519" t="s">
        <v>2793</v>
      </c>
      <c r="S291" s="399">
        <v>10</v>
      </c>
      <c r="T291" s="348" t="s">
        <v>3376</v>
      </c>
      <c r="U291" s="520">
        <v>500000</v>
      </c>
      <c r="V291" s="266">
        <v>5000000</v>
      </c>
      <c r="W291" s="521" t="s">
        <v>12</v>
      </c>
      <c r="X291" s="521" t="s">
        <v>13</v>
      </c>
      <c r="Y291" s="522" t="s">
        <v>2514</v>
      </c>
      <c r="Z291" s="523" t="s">
        <v>541</v>
      </c>
      <c r="AA291" s="521"/>
      <c r="AB291" s="521"/>
      <c r="AC291" s="521"/>
      <c r="AD291" s="521"/>
      <c r="AE291" s="521"/>
      <c r="AF291" s="521"/>
      <c r="AG291" s="264">
        <v>3</v>
      </c>
    </row>
    <row r="292" spans="1:33" s="526" customFormat="1" ht="29">
      <c r="A292" s="513">
        <v>290</v>
      </c>
      <c r="B292" s="514" t="s">
        <v>2116</v>
      </c>
      <c r="C292" s="515" t="s">
        <v>2116</v>
      </c>
      <c r="D292" s="262" t="s">
        <v>645</v>
      </c>
      <c r="E292" s="513">
        <v>291</v>
      </c>
      <c r="F292" s="544" t="s">
        <v>2116</v>
      </c>
      <c r="G292" s="543">
        <v>45360</v>
      </c>
      <c r="H292" s="543">
        <v>45361</v>
      </c>
      <c r="I292" s="543">
        <v>45361</v>
      </c>
      <c r="J292" s="543">
        <v>45362</v>
      </c>
      <c r="K292" s="517">
        <v>45362</v>
      </c>
      <c r="L292" s="518" t="s">
        <v>694</v>
      </c>
      <c r="M292" s="264" t="s">
        <v>2646</v>
      </c>
      <c r="N292" s="262" t="s">
        <v>1126</v>
      </c>
      <c r="O292" s="390" t="s">
        <v>2307</v>
      </c>
      <c r="P292" s="264" t="str">
        <f t="shared" si="11"/>
        <v>Semen</v>
      </c>
      <c r="Q292" s="264" t="s">
        <v>2448</v>
      </c>
      <c r="R292" s="538" t="s">
        <v>2794</v>
      </c>
      <c r="S292" s="399">
        <v>50</v>
      </c>
      <c r="T292" s="348" t="s">
        <v>3363</v>
      </c>
      <c r="U292" s="520">
        <v>85000</v>
      </c>
      <c r="V292" s="266">
        <v>4250000</v>
      </c>
      <c r="W292" s="521" t="s">
        <v>12</v>
      </c>
      <c r="X292" s="521" t="s">
        <v>13</v>
      </c>
      <c r="Y292" s="522" t="s">
        <v>2514</v>
      </c>
      <c r="Z292" s="523" t="s">
        <v>541</v>
      </c>
      <c r="AA292" s="521"/>
      <c r="AB292" s="521"/>
      <c r="AC292" s="521"/>
      <c r="AD292" s="521"/>
      <c r="AE292" s="521"/>
      <c r="AF292" s="521"/>
      <c r="AG292" s="264">
        <v>3</v>
      </c>
    </row>
    <row r="293" spans="1:33" s="526" customFormat="1" ht="29">
      <c r="A293" s="513">
        <v>291</v>
      </c>
      <c r="B293" s="514" t="s">
        <v>2117</v>
      </c>
      <c r="C293" s="515" t="s">
        <v>2117</v>
      </c>
      <c r="D293" s="262" t="s">
        <v>646</v>
      </c>
      <c r="E293" s="513">
        <v>292</v>
      </c>
      <c r="F293" s="544" t="s">
        <v>2117</v>
      </c>
      <c r="G293" s="517">
        <v>45371</v>
      </c>
      <c r="H293" s="517">
        <v>45371</v>
      </c>
      <c r="I293" s="517">
        <v>45371</v>
      </c>
      <c r="J293" s="517">
        <v>45371</v>
      </c>
      <c r="K293" s="517">
        <v>45371</v>
      </c>
      <c r="L293" s="518" t="s">
        <v>584</v>
      </c>
      <c r="M293" s="264" t="s">
        <v>2663</v>
      </c>
      <c r="N293" s="262" t="s">
        <v>2186</v>
      </c>
      <c r="O293" s="390" t="s">
        <v>2291</v>
      </c>
      <c r="P293" s="264" t="str">
        <f t="shared" si="11"/>
        <v>Biaya Rekening Listrik--</v>
      </c>
      <c r="Q293" s="264" t="s">
        <v>2664</v>
      </c>
      <c r="R293" s="519" t="s">
        <v>2665</v>
      </c>
      <c r="S293" s="399">
        <v>1</v>
      </c>
      <c r="T293" s="348" t="s">
        <v>3373</v>
      </c>
      <c r="U293" s="520">
        <v>2000000</v>
      </c>
      <c r="V293" s="266">
        <v>1583530</v>
      </c>
      <c r="W293" s="521" t="s">
        <v>2666</v>
      </c>
      <c r="X293" s="521" t="s">
        <v>2659</v>
      </c>
      <c r="Y293" s="522" t="s">
        <v>2660</v>
      </c>
      <c r="Z293" s="523" t="s">
        <v>2661</v>
      </c>
      <c r="AA293" s="521"/>
      <c r="AB293" s="521"/>
      <c r="AC293" s="521"/>
      <c r="AD293" s="521"/>
      <c r="AE293" s="521"/>
      <c r="AF293" s="521"/>
      <c r="AG293" s="264">
        <v>3</v>
      </c>
    </row>
    <row r="294" spans="1:33" s="526" customFormat="1" ht="29">
      <c r="A294" s="513">
        <v>292</v>
      </c>
      <c r="B294" s="514" t="s">
        <v>2118</v>
      </c>
      <c r="C294" s="515" t="s">
        <v>2118</v>
      </c>
      <c r="D294" s="262" t="s">
        <v>647</v>
      </c>
      <c r="E294" s="513">
        <v>293</v>
      </c>
      <c r="F294" s="544" t="s">
        <v>2118</v>
      </c>
      <c r="G294" s="517">
        <v>45371</v>
      </c>
      <c r="H294" s="517">
        <v>45371</v>
      </c>
      <c r="I294" s="517">
        <v>45371</v>
      </c>
      <c r="J294" s="517">
        <v>45371</v>
      </c>
      <c r="K294" s="517">
        <v>45371</v>
      </c>
      <c r="L294" s="518" t="s">
        <v>590</v>
      </c>
      <c r="M294" s="264" t="s">
        <v>2663</v>
      </c>
      <c r="N294" s="262" t="s">
        <v>2187</v>
      </c>
      <c r="O294" s="390" t="s">
        <v>2292</v>
      </c>
      <c r="P294" s="264" t="str">
        <f t="shared" si="11"/>
        <v>Biaya Langganan Internet--</v>
      </c>
      <c r="Q294" s="264" t="s">
        <v>2668</v>
      </c>
      <c r="R294" s="519" t="s">
        <v>2669</v>
      </c>
      <c r="S294" s="399">
        <v>1</v>
      </c>
      <c r="T294" s="348" t="s">
        <v>3373</v>
      </c>
      <c r="U294" s="520">
        <v>1500000</v>
      </c>
      <c r="V294" s="266">
        <v>1179100</v>
      </c>
      <c r="W294" s="521" t="s">
        <v>3381</v>
      </c>
      <c r="X294" s="521" t="s">
        <v>2659</v>
      </c>
      <c r="Y294" s="522" t="s">
        <v>2660</v>
      </c>
      <c r="Z294" s="523" t="s">
        <v>2661</v>
      </c>
      <c r="AA294" s="521"/>
      <c r="AB294" s="521"/>
      <c r="AC294" s="521"/>
      <c r="AD294" s="521"/>
      <c r="AE294" s="521"/>
      <c r="AF294" s="521"/>
      <c r="AG294" s="264">
        <v>3</v>
      </c>
    </row>
    <row r="295" spans="1:33" s="526" customFormat="1">
      <c r="A295" s="406">
        <v>293</v>
      </c>
      <c r="B295" s="514" t="s">
        <v>2795</v>
      </c>
      <c r="C295" s="515" t="s">
        <v>2795</v>
      </c>
      <c r="D295" s="435" t="s">
        <v>2132</v>
      </c>
      <c r="E295" s="406">
        <v>294</v>
      </c>
      <c r="F295" s="549" t="s">
        <v>2795</v>
      </c>
      <c r="G295" s="550">
        <v>45371</v>
      </c>
      <c r="H295" s="550">
        <v>45365</v>
      </c>
      <c r="I295" s="550">
        <v>45367</v>
      </c>
      <c r="J295" s="550">
        <v>45371</v>
      </c>
      <c r="K295" s="550">
        <v>45371</v>
      </c>
      <c r="L295" s="552" t="s">
        <v>1347</v>
      </c>
      <c r="M295" s="264" t="s">
        <v>2646</v>
      </c>
      <c r="N295" s="435" t="s">
        <v>1126</v>
      </c>
      <c r="O295" s="389" t="s">
        <v>2312</v>
      </c>
      <c r="P295" s="355" t="str">
        <f t="shared" si="11"/>
        <v>kursi--</v>
      </c>
      <c r="Q295" s="355" t="s">
        <v>2733</v>
      </c>
      <c r="R295" s="355"/>
      <c r="S295" s="400">
        <v>10</v>
      </c>
      <c r="T295" s="440" t="s">
        <v>3364</v>
      </c>
      <c r="U295" s="450">
        <v>1800840</v>
      </c>
      <c r="V295" s="403">
        <v>18008400</v>
      </c>
      <c r="W295" s="554" t="s">
        <v>2521</v>
      </c>
      <c r="X295" s="554" t="s">
        <v>2721</v>
      </c>
      <c r="Y295" s="555" t="s">
        <v>2722</v>
      </c>
      <c r="Z295" s="554" t="s">
        <v>2723</v>
      </c>
      <c r="AA295" s="521"/>
      <c r="AB295" s="521"/>
      <c r="AC295" s="521"/>
      <c r="AD295" s="521"/>
      <c r="AE295" s="521"/>
      <c r="AF295" s="521"/>
      <c r="AG295" s="264">
        <v>3</v>
      </c>
    </row>
    <row r="296" spans="1:33" s="526" customFormat="1">
      <c r="A296" s="513">
        <v>294</v>
      </c>
      <c r="B296" s="514" t="s">
        <v>2796</v>
      </c>
      <c r="C296" s="515" t="s">
        <v>2796</v>
      </c>
      <c r="D296" s="262" t="s">
        <v>2797</v>
      </c>
      <c r="E296" s="513">
        <v>295</v>
      </c>
      <c r="F296" s="544" t="s">
        <v>2796</v>
      </c>
      <c r="G296" s="516" t="s">
        <v>622</v>
      </c>
      <c r="H296" s="517">
        <v>45378</v>
      </c>
      <c r="I296" s="517">
        <v>45378</v>
      </c>
      <c r="J296" s="517">
        <v>45378</v>
      </c>
      <c r="K296" s="517">
        <v>45378</v>
      </c>
      <c r="L296" s="518" t="s">
        <v>2678</v>
      </c>
      <c r="M296" s="264" t="s">
        <v>2679</v>
      </c>
      <c r="N296" s="262" t="s">
        <v>2680</v>
      </c>
      <c r="O296" s="390" t="s">
        <v>2681</v>
      </c>
      <c r="P296" s="264" t="str">
        <f t="shared" si="11"/>
        <v>Selatieli Nehe</v>
      </c>
      <c r="Q296" s="264" t="s">
        <v>2682</v>
      </c>
      <c r="R296" s="528" t="s">
        <v>2683</v>
      </c>
      <c r="S296" s="399">
        <v>33</v>
      </c>
      <c r="T296" s="348" t="s">
        <v>3374</v>
      </c>
      <c r="U296" s="520">
        <v>75000</v>
      </c>
      <c r="V296" s="266">
        <v>2475000</v>
      </c>
      <c r="W296" s="521" t="s">
        <v>2684</v>
      </c>
      <c r="X296" s="521">
        <v>0</v>
      </c>
      <c r="Y296" s="521"/>
      <c r="Z296" s="523"/>
      <c r="AA296" s="521"/>
      <c r="AB296" s="521"/>
      <c r="AC296" s="521"/>
      <c r="AD296" s="521"/>
      <c r="AE296" s="521"/>
      <c r="AF296" s="521"/>
      <c r="AG296" s="264">
        <v>3</v>
      </c>
    </row>
    <row r="297" spans="1:33" s="526" customFormat="1">
      <c r="A297" s="513">
        <v>295</v>
      </c>
      <c r="B297" s="514" t="s">
        <v>2798</v>
      </c>
      <c r="C297" s="515" t="s">
        <v>2798</v>
      </c>
      <c r="D297" s="262" t="s">
        <v>2799</v>
      </c>
      <c r="E297" s="513">
        <v>296</v>
      </c>
      <c r="F297" s="544" t="s">
        <v>2798</v>
      </c>
      <c r="G297" s="516" t="s">
        <v>622</v>
      </c>
      <c r="H297" s="517">
        <v>45378</v>
      </c>
      <c r="I297" s="517">
        <v>45378</v>
      </c>
      <c r="J297" s="517">
        <v>45378</v>
      </c>
      <c r="K297" s="517">
        <v>45378</v>
      </c>
      <c r="L297" s="518" t="s">
        <v>2678</v>
      </c>
      <c r="M297" s="264" t="s">
        <v>2679</v>
      </c>
      <c r="N297" s="262" t="s">
        <v>2680</v>
      </c>
      <c r="O297" s="390" t="s">
        <v>2686</v>
      </c>
      <c r="P297" s="264" t="str">
        <f t="shared" si="11"/>
        <v>Arifin Metodi Bate'e</v>
      </c>
      <c r="Q297" s="264" t="s">
        <v>2682</v>
      </c>
      <c r="R297" s="528" t="s">
        <v>2683</v>
      </c>
      <c r="S297" s="399">
        <v>34</v>
      </c>
      <c r="T297" s="348" t="s">
        <v>3374</v>
      </c>
      <c r="U297" s="520">
        <v>75000</v>
      </c>
      <c r="V297" s="266">
        <v>2550000</v>
      </c>
      <c r="W297" s="521" t="s">
        <v>2684</v>
      </c>
      <c r="X297" s="521">
        <v>0</v>
      </c>
      <c r="Y297" s="521"/>
      <c r="Z297" s="523"/>
      <c r="AA297" s="521"/>
      <c r="AB297" s="521"/>
      <c r="AC297" s="521"/>
      <c r="AD297" s="521"/>
      <c r="AE297" s="521"/>
      <c r="AF297" s="521"/>
      <c r="AG297" s="264">
        <v>3</v>
      </c>
    </row>
    <row r="298" spans="1:33" s="526" customFormat="1">
      <c r="A298" s="513">
        <v>296</v>
      </c>
      <c r="B298" s="514" t="s">
        <v>2800</v>
      </c>
      <c r="C298" s="515" t="s">
        <v>2800</v>
      </c>
      <c r="D298" s="262" t="s">
        <v>2801</v>
      </c>
      <c r="E298" s="513">
        <v>297</v>
      </c>
      <c r="F298" s="544" t="s">
        <v>2800</v>
      </c>
      <c r="G298" s="516" t="s">
        <v>622</v>
      </c>
      <c r="H298" s="517">
        <v>45378</v>
      </c>
      <c r="I298" s="517">
        <v>45378</v>
      </c>
      <c r="J298" s="517">
        <v>45378</v>
      </c>
      <c r="K298" s="517">
        <v>45378</v>
      </c>
      <c r="L298" s="518" t="s">
        <v>2678</v>
      </c>
      <c r="M298" s="264" t="s">
        <v>2679</v>
      </c>
      <c r="N298" s="262" t="s">
        <v>2680</v>
      </c>
      <c r="O298" s="524" t="s">
        <v>2802</v>
      </c>
      <c r="P298" s="264" t="str">
        <f t="shared" si="11"/>
        <v>Ferdiwati Wau</v>
      </c>
      <c r="Q298" s="264" t="s">
        <v>2682</v>
      </c>
      <c r="R298" s="528" t="s">
        <v>2683</v>
      </c>
      <c r="S298" s="399">
        <v>30</v>
      </c>
      <c r="T298" s="348" t="s">
        <v>3374</v>
      </c>
      <c r="U298" s="520">
        <v>75000</v>
      </c>
      <c r="V298" s="266">
        <v>2250000</v>
      </c>
      <c r="W298" s="521" t="s">
        <v>2684</v>
      </c>
      <c r="X298" s="521">
        <v>0</v>
      </c>
      <c r="Y298" s="521"/>
      <c r="Z298" s="523"/>
      <c r="AA298" s="521"/>
      <c r="AB298" s="521"/>
      <c r="AC298" s="521"/>
      <c r="AD298" s="521"/>
      <c r="AE298" s="521"/>
      <c r="AF298" s="521"/>
      <c r="AG298" s="264">
        <v>3</v>
      </c>
    </row>
    <row r="299" spans="1:33" s="526" customFormat="1">
      <c r="A299" s="513">
        <v>297</v>
      </c>
      <c r="B299" s="514" t="s">
        <v>2803</v>
      </c>
      <c r="C299" s="515" t="s">
        <v>2803</v>
      </c>
      <c r="D299" s="262" t="s">
        <v>2804</v>
      </c>
      <c r="E299" s="513">
        <v>298</v>
      </c>
      <c r="F299" s="544" t="s">
        <v>2803</v>
      </c>
      <c r="G299" s="516" t="s">
        <v>622</v>
      </c>
      <c r="H299" s="517">
        <v>45378</v>
      </c>
      <c r="I299" s="517">
        <v>45378</v>
      </c>
      <c r="J299" s="517">
        <v>45378</v>
      </c>
      <c r="K299" s="517">
        <v>45378</v>
      </c>
      <c r="L299" s="518" t="s">
        <v>2678</v>
      </c>
      <c r="M299" s="264" t="s">
        <v>2679</v>
      </c>
      <c r="N299" s="262" t="s">
        <v>2680</v>
      </c>
      <c r="O299" s="390" t="s">
        <v>2690</v>
      </c>
      <c r="P299" s="264" t="str">
        <f t="shared" si="11"/>
        <v>Noni Alfanita Sarumaha, S.Pd</v>
      </c>
      <c r="Q299" s="264" t="s">
        <v>2682</v>
      </c>
      <c r="R299" s="528" t="s">
        <v>2683</v>
      </c>
      <c r="S299" s="399">
        <v>33</v>
      </c>
      <c r="T299" s="348" t="s">
        <v>3374</v>
      </c>
      <c r="U299" s="520">
        <v>75000</v>
      </c>
      <c r="V299" s="266">
        <v>2475000</v>
      </c>
      <c r="W299" s="521" t="s">
        <v>2684</v>
      </c>
      <c r="X299" s="521">
        <v>0</v>
      </c>
      <c r="Y299" s="521"/>
      <c r="Z299" s="523"/>
      <c r="AA299" s="521"/>
      <c r="AB299" s="521"/>
      <c r="AC299" s="521"/>
      <c r="AD299" s="521"/>
      <c r="AE299" s="521"/>
      <c r="AF299" s="521"/>
      <c r="AG299" s="264">
        <v>3</v>
      </c>
    </row>
    <row r="300" spans="1:33" s="526" customFormat="1">
      <c r="A300" s="513">
        <v>298</v>
      </c>
      <c r="B300" s="514" t="s">
        <v>2805</v>
      </c>
      <c r="C300" s="515" t="s">
        <v>2805</v>
      </c>
      <c r="D300" s="262" t="s">
        <v>2806</v>
      </c>
      <c r="E300" s="513">
        <v>299</v>
      </c>
      <c r="F300" s="544" t="s">
        <v>2805</v>
      </c>
      <c r="G300" s="516" t="s">
        <v>622</v>
      </c>
      <c r="H300" s="517">
        <v>45378</v>
      </c>
      <c r="I300" s="517">
        <v>45378</v>
      </c>
      <c r="J300" s="517">
        <v>45378</v>
      </c>
      <c r="K300" s="517">
        <v>45378</v>
      </c>
      <c r="L300" s="518" t="s">
        <v>2678</v>
      </c>
      <c r="M300" s="264" t="s">
        <v>2679</v>
      </c>
      <c r="N300" s="262" t="s">
        <v>2680</v>
      </c>
      <c r="O300" s="390" t="s">
        <v>2692</v>
      </c>
      <c r="P300" s="264" t="str">
        <f t="shared" si="11"/>
        <v>EMILA HAFO</v>
      </c>
      <c r="Q300" s="264" t="s">
        <v>2682</v>
      </c>
      <c r="R300" s="528" t="s">
        <v>2683</v>
      </c>
      <c r="S300" s="399">
        <v>28</v>
      </c>
      <c r="T300" s="348" t="s">
        <v>3374</v>
      </c>
      <c r="U300" s="520">
        <v>75000</v>
      </c>
      <c r="V300" s="266">
        <v>2100000</v>
      </c>
      <c r="W300" s="521" t="s">
        <v>2684</v>
      </c>
      <c r="X300" s="521">
        <v>0</v>
      </c>
      <c r="Y300" s="521"/>
      <c r="Z300" s="523"/>
      <c r="AA300" s="521"/>
      <c r="AB300" s="521"/>
      <c r="AC300" s="521"/>
      <c r="AD300" s="521"/>
      <c r="AE300" s="521"/>
      <c r="AF300" s="521"/>
      <c r="AG300" s="264">
        <v>3</v>
      </c>
    </row>
    <row r="301" spans="1:33" s="526" customFormat="1">
      <c r="A301" s="513">
        <v>299</v>
      </c>
      <c r="B301" s="514" t="s">
        <v>2807</v>
      </c>
      <c r="C301" s="515" t="s">
        <v>2807</v>
      </c>
      <c r="D301" s="262" t="s">
        <v>2808</v>
      </c>
      <c r="E301" s="513">
        <v>300</v>
      </c>
      <c r="F301" s="544" t="s">
        <v>2807</v>
      </c>
      <c r="G301" s="516" t="s">
        <v>622</v>
      </c>
      <c r="H301" s="517">
        <v>45378</v>
      </c>
      <c r="I301" s="517">
        <v>45378</v>
      </c>
      <c r="J301" s="517">
        <v>45378</v>
      </c>
      <c r="K301" s="517">
        <v>45378</v>
      </c>
      <c r="L301" s="518" t="s">
        <v>2678</v>
      </c>
      <c r="M301" s="264" t="s">
        <v>2679</v>
      </c>
      <c r="N301" s="262" t="s">
        <v>2680</v>
      </c>
      <c r="O301" s="390" t="s">
        <v>2694</v>
      </c>
      <c r="P301" s="264" t="str">
        <f t="shared" si="11"/>
        <v>Asep Nurhidayat</v>
      </c>
      <c r="Q301" s="264" t="s">
        <v>2682</v>
      </c>
      <c r="R301" s="528" t="s">
        <v>2683</v>
      </c>
      <c r="S301" s="399">
        <v>33</v>
      </c>
      <c r="T301" s="348" t="s">
        <v>3374</v>
      </c>
      <c r="U301" s="520">
        <v>75000</v>
      </c>
      <c r="V301" s="266">
        <v>2475000</v>
      </c>
      <c r="W301" s="521" t="s">
        <v>2684</v>
      </c>
      <c r="X301" s="521">
        <v>0</v>
      </c>
      <c r="Y301" s="521"/>
      <c r="Z301" s="523"/>
      <c r="AA301" s="521"/>
      <c r="AB301" s="521"/>
      <c r="AC301" s="521"/>
      <c r="AD301" s="521"/>
      <c r="AE301" s="521"/>
      <c r="AF301" s="521"/>
      <c r="AG301" s="264">
        <v>3</v>
      </c>
    </row>
    <row r="302" spans="1:33" s="526" customFormat="1">
      <c r="A302" s="513">
        <v>300</v>
      </c>
      <c r="B302" s="514" t="s">
        <v>2809</v>
      </c>
      <c r="C302" s="515" t="s">
        <v>2809</v>
      </c>
      <c r="D302" s="262" t="s">
        <v>2810</v>
      </c>
      <c r="E302" s="513">
        <v>301</v>
      </c>
      <c r="F302" s="544" t="s">
        <v>2809</v>
      </c>
      <c r="G302" s="516" t="s">
        <v>622</v>
      </c>
      <c r="H302" s="517">
        <v>45378</v>
      </c>
      <c r="I302" s="517">
        <v>45378</v>
      </c>
      <c r="J302" s="517">
        <v>45378</v>
      </c>
      <c r="K302" s="517">
        <v>45378</v>
      </c>
      <c r="L302" s="518" t="s">
        <v>2696</v>
      </c>
      <c r="M302" s="264" t="s">
        <v>2679</v>
      </c>
      <c r="N302" s="262" t="s">
        <v>2697</v>
      </c>
      <c r="O302" s="390" t="s">
        <v>2698</v>
      </c>
      <c r="P302" s="264" t="str">
        <f t="shared" si="11"/>
        <v>Estera Nehe</v>
      </c>
      <c r="Q302" s="264" t="s">
        <v>2699</v>
      </c>
      <c r="R302" s="528" t="s">
        <v>2700</v>
      </c>
      <c r="S302" s="399">
        <v>1</v>
      </c>
      <c r="T302" s="348" t="s">
        <v>3373</v>
      </c>
      <c r="U302" s="520">
        <v>2000000</v>
      </c>
      <c r="V302" s="266">
        <v>2000000</v>
      </c>
      <c r="W302" s="521" t="s">
        <v>2684</v>
      </c>
      <c r="X302" s="521">
        <v>0</v>
      </c>
      <c r="Y302" s="521"/>
      <c r="Z302" s="523"/>
      <c r="AA302" s="521"/>
      <c r="AB302" s="521"/>
      <c r="AC302" s="521"/>
      <c r="AD302" s="521"/>
      <c r="AE302" s="521"/>
      <c r="AF302" s="521"/>
      <c r="AG302" s="264">
        <v>3</v>
      </c>
    </row>
    <row r="303" spans="1:33" s="526" customFormat="1">
      <c r="A303" s="513">
        <v>301</v>
      </c>
      <c r="B303" s="514" t="s">
        <v>2811</v>
      </c>
      <c r="C303" s="515" t="s">
        <v>2811</v>
      </c>
      <c r="D303" s="262" t="s">
        <v>2812</v>
      </c>
      <c r="E303" s="513">
        <v>302</v>
      </c>
      <c r="F303" s="544" t="s">
        <v>2811</v>
      </c>
      <c r="G303" s="516" t="s">
        <v>622</v>
      </c>
      <c r="H303" s="517">
        <v>45378</v>
      </c>
      <c r="I303" s="517">
        <v>45378</v>
      </c>
      <c r="J303" s="517">
        <v>45378</v>
      </c>
      <c r="K303" s="517">
        <v>45378</v>
      </c>
      <c r="L303" s="518" t="s">
        <v>2696</v>
      </c>
      <c r="M303" s="264" t="s">
        <v>2679</v>
      </c>
      <c r="N303" s="262" t="s">
        <v>2697</v>
      </c>
      <c r="O303" s="390" t="s">
        <v>2702</v>
      </c>
      <c r="P303" s="264" t="str">
        <f t="shared" si="11"/>
        <v>Hatieli Buulolo</v>
      </c>
      <c r="Q303" s="264" t="s">
        <v>2699</v>
      </c>
      <c r="R303" s="528" t="s">
        <v>2700</v>
      </c>
      <c r="S303" s="399">
        <v>1</v>
      </c>
      <c r="T303" s="348" t="s">
        <v>3373</v>
      </c>
      <c r="U303" s="520">
        <v>2000000</v>
      </c>
      <c r="V303" s="266">
        <v>2000000</v>
      </c>
      <c r="W303" s="521" t="s">
        <v>2684</v>
      </c>
      <c r="X303" s="521">
        <v>0</v>
      </c>
      <c r="Y303" s="521"/>
      <c r="Z303" s="523"/>
      <c r="AA303" s="521"/>
      <c r="AB303" s="521"/>
      <c r="AC303" s="521"/>
      <c r="AD303" s="521"/>
      <c r="AE303" s="521"/>
      <c r="AF303" s="521"/>
      <c r="AG303" s="264">
        <v>3</v>
      </c>
    </row>
    <row r="304" spans="1:33" s="526" customFormat="1">
      <c r="A304" s="513">
        <v>302</v>
      </c>
      <c r="B304" s="514" t="s">
        <v>2813</v>
      </c>
      <c r="C304" s="515" t="s">
        <v>2813</v>
      </c>
      <c r="D304" s="262" t="s">
        <v>2814</v>
      </c>
      <c r="E304" s="513">
        <v>303</v>
      </c>
      <c r="F304" s="544" t="s">
        <v>2813</v>
      </c>
      <c r="G304" s="516" t="s">
        <v>622</v>
      </c>
      <c r="H304" s="517">
        <v>45378</v>
      </c>
      <c r="I304" s="517">
        <v>45378</v>
      </c>
      <c r="J304" s="517">
        <v>45378</v>
      </c>
      <c r="K304" s="517">
        <v>45378</v>
      </c>
      <c r="L304" s="518" t="s">
        <v>2696</v>
      </c>
      <c r="M304" s="264" t="s">
        <v>2679</v>
      </c>
      <c r="N304" s="262" t="s">
        <v>2697</v>
      </c>
      <c r="O304" s="390" t="s">
        <v>2704</v>
      </c>
      <c r="P304" s="264" t="str">
        <f t="shared" si="11"/>
        <v>David J. Sitinjak</v>
      </c>
      <c r="Q304" s="264" t="s">
        <v>2699</v>
      </c>
      <c r="R304" s="528" t="s">
        <v>2700</v>
      </c>
      <c r="S304" s="399">
        <v>1</v>
      </c>
      <c r="T304" s="348" t="s">
        <v>3373</v>
      </c>
      <c r="U304" s="520">
        <v>2000000</v>
      </c>
      <c r="V304" s="266">
        <v>2000000</v>
      </c>
      <c r="W304" s="521" t="s">
        <v>2684</v>
      </c>
      <c r="X304" s="521">
        <v>0</v>
      </c>
      <c r="Y304" s="521"/>
      <c r="Z304" s="523"/>
      <c r="AA304" s="521"/>
      <c r="AB304" s="521"/>
      <c r="AC304" s="521"/>
      <c r="AD304" s="521"/>
      <c r="AE304" s="521"/>
      <c r="AF304" s="521"/>
      <c r="AG304" s="264">
        <v>3</v>
      </c>
    </row>
    <row r="305" spans="1:33" s="526" customFormat="1">
      <c r="A305" s="513">
        <v>303</v>
      </c>
      <c r="B305" s="514" t="s">
        <v>2815</v>
      </c>
      <c r="C305" s="515" t="s">
        <v>2815</v>
      </c>
      <c r="D305" s="262" t="s">
        <v>2816</v>
      </c>
      <c r="E305" s="513">
        <v>304</v>
      </c>
      <c r="F305" s="544" t="s">
        <v>2815</v>
      </c>
      <c r="G305" s="516" t="s">
        <v>622</v>
      </c>
      <c r="H305" s="517">
        <v>45378</v>
      </c>
      <c r="I305" s="517">
        <v>45378</v>
      </c>
      <c r="J305" s="517">
        <v>45378</v>
      </c>
      <c r="K305" s="517">
        <v>45378</v>
      </c>
      <c r="L305" s="518" t="s">
        <v>2696</v>
      </c>
      <c r="M305" s="264" t="s">
        <v>2679</v>
      </c>
      <c r="N305" s="262" t="s">
        <v>2697</v>
      </c>
      <c r="O305" s="390" t="s">
        <v>2706</v>
      </c>
      <c r="P305" s="264" t="str">
        <f t="shared" si="11"/>
        <v>Siona Ziraluo</v>
      </c>
      <c r="Q305" s="264" t="s">
        <v>2699</v>
      </c>
      <c r="R305" s="528" t="s">
        <v>2700</v>
      </c>
      <c r="S305" s="399">
        <v>1</v>
      </c>
      <c r="T305" s="348" t="s">
        <v>3373</v>
      </c>
      <c r="U305" s="520">
        <v>2000000</v>
      </c>
      <c r="V305" s="266">
        <v>2000000</v>
      </c>
      <c r="W305" s="521" t="s">
        <v>2684</v>
      </c>
      <c r="X305" s="521">
        <v>0</v>
      </c>
      <c r="Y305" s="521"/>
      <c r="Z305" s="523"/>
      <c r="AA305" s="521"/>
      <c r="AB305" s="521"/>
      <c r="AC305" s="521"/>
      <c r="AD305" s="521"/>
      <c r="AE305" s="521"/>
      <c r="AF305" s="521"/>
      <c r="AG305" s="264">
        <v>3</v>
      </c>
    </row>
    <row r="306" spans="1:33" s="526" customFormat="1">
      <c r="A306" s="513">
        <v>304</v>
      </c>
      <c r="B306" s="514" t="s">
        <v>2817</v>
      </c>
      <c r="C306" s="515" t="s">
        <v>2817</v>
      </c>
      <c r="D306" s="262" t="s">
        <v>2818</v>
      </c>
      <c r="E306" s="513">
        <v>305</v>
      </c>
      <c r="F306" s="544" t="s">
        <v>2817</v>
      </c>
      <c r="G306" s="516" t="s">
        <v>622</v>
      </c>
      <c r="H306" s="517">
        <v>45378</v>
      </c>
      <c r="I306" s="517">
        <v>45378</v>
      </c>
      <c r="J306" s="517">
        <v>45378</v>
      </c>
      <c r="K306" s="517">
        <v>45378</v>
      </c>
      <c r="L306" s="518" t="s">
        <v>2696</v>
      </c>
      <c r="M306" s="264" t="s">
        <v>2679</v>
      </c>
      <c r="N306" s="262" t="s">
        <v>2697</v>
      </c>
      <c r="O306" s="390" t="s">
        <v>2708</v>
      </c>
      <c r="P306" s="264" t="str">
        <f t="shared" si="11"/>
        <v>Merdina Ziraluo</v>
      </c>
      <c r="Q306" s="264" t="s">
        <v>2699</v>
      </c>
      <c r="R306" s="528" t="s">
        <v>2700</v>
      </c>
      <c r="S306" s="399">
        <v>1</v>
      </c>
      <c r="T306" s="348" t="s">
        <v>3373</v>
      </c>
      <c r="U306" s="520">
        <v>2000000</v>
      </c>
      <c r="V306" s="266">
        <v>2000000</v>
      </c>
      <c r="W306" s="521" t="s">
        <v>2684</v>
      </c>
      <c r="X306" s="521">
        <v>0</v>
      </c>
      <c r="Y306" s="521"/>
      <c r="Z306" s="523"/>
      <c r="AA306" s="521"/>
      <c r="AB306" s="521"/>
      <c r="AC306" s="521"/>
      <c r="AD306" s="521"/>
      <c r="AE306" s="521"/>
      <c r="AF306" s="521"/>
      <c r="AG306" s="264">
        <v>3</v>
      </c>
    </row>
    <row r="307" spans="1:33" s="526" customFormat="1">
      <c r="A307" s="513">
        <v>305</v>
      </c>
      <c r="B307" s="514" t="s">
        <v>2819</v>
      </c>
      <c r="C307" s="515" t="s">
        <v>2819</v>
      </c>
      <c r="D307" s="262" t="s">
        <v>2820</v>
      </c>
      <c r="E307" s="513">
        <v>306</v>
      </c>
      <c r="F307" s="544" t="s">
        <v>2819</v>
      </c>
      <c r="G307" s="516" t="s">
        <v>622</v>
      </c>
      <c r="H307" s="517">
        <v>45378</v>
      </c>
      <c r="I307" s="517">
        <v>45378</v>
      </c>
      <c r="J307" s="517">
        <v>45378</v>
      </c>
      <c r="K307" s="517">
        <v>45378</v>
      </c>
      <c r="L307" s="518" t="s">
        <v>2710</v>
      </c>
      <c r="M307" s="264" t="s">
        <v>2679</v>
      </c>
      <c r="N307" s="262" t="s">
        <v>2711</v>
      </c>
      <c r="O307" s="390" t="s">
        <v>2712</v>
      </c>
      <c r="P307" s="264" t="str">
        <f t="shared" si="11"/>
        <v>Fransiskus Lombu</v>
      </c>
      <c r="Q307" s="264" t="s">
        <v>2713</v>
      </c>
      <c r="R307" s="528" t="s">
        <v>2714</v>
      </c>
      <c r="S307" s="399">
        <v>1</v>
      </c>
      <c r="T307" s="348" t="s">
        <v>3373</v>
      </c>
      <c r="U307" s="520">
        <v>1000000</v>
      </c>
      <c r="V307" s="266">
        <v>1000000</v>
      </c>
      <c r="W307" s="521" t="s">
        <v>2715</v>
      </c>
      <c r="X307" s="521">
        <v>0</v>
      </c>
      <c r="Y307" s="521"/>
      <c r="Z307" s="523"/>
      <c r="AA307" s="521"/>
      <c r="AB307" s="521"/>
      <c r="AC307" s="521"/>
      <c r="AD307" s="521"/>
      <c r="AE307" s="521"/>
      <c r="AF307" s="521"/>
      <c r="AG307" s="264">
        <v>3</v>
      </c>
    </row>
    <row r="308" spans="1:33" s="526" customFormat="1" ht="29">
      <c r="A308" s="513">
        <v>306</v>
      </c>
      <c r="B308" s="514" t="s">
        <v>2821</v>
      </c>
      <c r="C308" s="515" t="s">
        <v>2821</v>
      </c>
      <c r="D308" s="262" t="s">
        <v>648</v>
      </c>
      <c r="E308" s="513">
        <v>307</v>
      </c>
      <c r="F308" s="544" t="s">
        <v>2821</v>
      </c>
      <c r="G308" s="516" t="s">
        <v>622</v>
      </c>
      <c r="H308" s="543">
        <v>45379</v>
      </c>
      <c r="I308" s="543">
        <v>45379</v>
      </c>
      <c r="J308" s="543">
        <v>45379</v>
      </c>
      <c r="K308" s="517">
        <v>45379</v>
      </c>
      <c r="L308" s="518" t="s">
        <v>571</v>
      </c>
      <c r="M308" s="264" t="s">
        <v>2649</v>
      </c>
      <c r="N308" s="262" t="s">
        <v>2185</v>
      </c>
      <c r="O308" s="390" t="s">
        <v>2287</v>
      </c>
      <c r="P308" s="264" t="str">
        <f t="shared" si="11"/>
        <v>Spanduk Uk. 1 x 6 meter-</v>
      </c>
      <c r="Q308" s="264" t="s">
        <v>2650</v>
      </c>
      <c r="R308" s="528" t="s">
        <v>2651</v>
      </c>
      <c r="S308" s="399">
        <v>2</v>
      </c>
      <c r="T308" s="348" t="s">
        <v>3363</v>
      </c>
      <c r="U308" s="520">
        <v>300000</v>
      </c>
      <c r="V308" s="266">
        <v>600000</v>
      </c>
      <c r="W308" s="521" t="s">
        <v>2652</v>
      </c>
      <c r="X308" s="521" t="s">
        <v>2653</v>
      </c>
      <c r="Y308" s="522" t="s">
        <v>2512</v>
      </c>
      <c r="Z308" s="523" t="s">
        <v>541</v>
      </c>
      <c r="AA308" s="521"/>
      <c r="AB308" s="521"/>
      <c r="AC308" s="521"/>
      <c r="AD308" s="521"/>
      <c r="AE308" s="521"/>
      <c r="AF308" s="521"/>
      <c r="AG308" s="264">
        <v>3</v>
      </c>
    </row>
    <row r="309" spans="1:33" s="526" customFormat="1" ht="29">
      <c r="A309" s="513">
        <v>307</v>
      </c>
      <c r="B309" s="514" t="s">
        <v>2822</v>
      </c>
      <c r="C309" s="515" t="s">
        <v>2822</v>
      </c>
      <c r="D309" s="262" t="s">
        <v>649</v>
      </c>
      <c r="E309" s="513">
        <v>308</v>
      </c>
      <c r="F309" s="544" t="s">
        <v>2822</v>
      </c>
      <c r="G309" s="517">
        <v>45379</v>
      </c>
      <c r="H309" s="517">
        <v>45380</v>
      </c>
      <c r="I309" s="517">
        <v>45380</v>
      </c>
      <c r="J309" s="517">
        <v>45380</v>
      </c>
      <c r="K309" s="517">
        <v>45380</v>
      </c>
      <c r="L309" s="518" t="s">
        <v>2180</v>
      </c>
      <c r="M309" s="264" t="s">
        <v>2643</v>
      </c>
      <c r="N309" s="262" t="s">
        <v>2183</v>
      </c>
      <c r="O309" s="390" t="s">
        <v>2285</v>
      </c>
      <c r="P309" s="264" t="s">
        <v>2442</v>
      </c>
      <c r="Q309" s="264" t="s">
        <v>1545</v>
      </c>
      <c r="R309" s="519" t="s">
        <v>163</v>
      </c>
      <c r="S309" s="399">
        <v>25</v>
      </c>
      <c r="T309" s="348" t="s">
        <v>3372</v>
      </c>
      <c r="U309" s="520">
        <v>50000</v>
      </c>
      <c r="V309" s="266">
        <v>1250000</v>
      </c>
      <c r="W309" s="521" t="s">
        <v>10</v>
      </c>
      <c r="X309" s="521" t="s">
        <v>11</v>
      </c>
      <c r="Y309" s="522" t="s">
        <v>2092</v>
      </c>
      <c r="Z309" s="523" t="s">
        <v>2634</v>
      </c>
      <c r="AA309" s="521"/>
      <c r="AB309" s="521"/>
      <c r="AC309" s="521"/>
      <c r="AD309" s="521"/>
      <c r="AE309" s="521"/>
      <c r="AF309" s="521"/>
      <c r="AG309" s="264">
        <v>3</v>
      </c>
    </row>
    <row r="310" spans="1:33" s="526" customFormat="1" ht="29">
      <c r="A310" s="513">
        <v>308</v>
      </c>
      <c r="B310" s="514" t="s">
        <v>2119</v>
      </c>
      <c r="C310" s="515" t="s">
        <v>2119</v>
      </c>
      <c r="D310" s="262" t="s">
        <v>650</v>
      </c>
      <c r="E310" s="513">
        <v>309</v>
      </c>
      <c r="F310" s="544" t="s">
        <v>2119</v>
      </c>
      <c r="G310" s="517">
        <v>45379</v>
      </c>
      <c r="H310" s="517">
        <v>45380</v>
      </c>
      <c r="I310" s="517">
        <v>45380</v>
      </c>
      <c r="J310" s="517">
        <v>45380</v>
      </c>
      <c r="K310" s="517">
        <v>45380</v>
      </c>
      <c r="L310" s="518" t="s">
        <v>611</v>
      </c>
      <c r="M310" s="264" t="s">
        <v>2587</v>
      </c>
      <c r="N310" s="262" t="s">
        <v>2189</v>
      </c>
      <c r="O310" s="390" t="s">
        <v>2294</v>
      </c>
      <c r="P310" s="264" t="str">
        <f>O310</f>
        <v>Belanja Jasa Tenaga Operator Komputer--</v>
      </c>
      <c r="Q310" s="264" t="s">
        <v>2672</v>
      </c>
      <c r="R310" s="528" t="s">
        <v>2673</v>
      </c>
      <c r="S310" s="399">
        <v>1</v>
      </c>
      <c r="T310" s="348" t="s">
        <v>3373</v>
      </c>
      <c r="U310" s="520">
        <v>1000000</v>
      </c>
      <c r="V310" s="266">
        <v>1000000</v>
      </c>
      <c r="W310" s="521" t="s">
        <v>2659</v>
      </c>
      <c r="X310" s="521" t="s">
        <v>2659</v>
      </c>
      <c r="Y310" s="522" t="s">
        <v>2660</v>
      </c>
      <c r="Z310" s="523" t="s">
        <v>2661</v>
      </c>
      <c r="AA310" s="521"/>
      <c r="AB310" s="521"/>
      <c r="AC310" s="521"/>
      <c r="AD310" s="521"/>
      <c r="AE310" s="521"/>
      <c r="AF310" s="521"/>
      <c r="AG310" s="264">
        <v>3</v>
      </c>
    </row>
    <row r="311" spans="1:33" s="526" customFormat="1" ht="37.5">
      <c r="A311" s="513">
        <v>309</v>
      </c>
      <c r="B311" s="514" t="s">
        <v>2120</v>
      </c>
      <c r="C311" s="515" t="s">
        <v>2120</v>
      </c>
      <c r="D311" s="262" t="s">
        <v>651</v>
      </c>
      <c r="E311" s="513">
        <v>310</v>
      </c>
      <c r="F311" s="544" t="s">
        <v>2120</v>
      </c>
      <c r="G311" s="517">
        <v>45380</v>
      </c>
      <c r="H311" s="517">
        <v>45381</v>
      </c>
      <c r="I311" s="517">
        <v>45381</v>
      </c>
      <c r="J311" s="517">
        <v>45381</v>
      </c>
      <c r="K311" s="517">
        <v>45381</v>
      </c>
      <c r="L311" s="518" t="s">
        <v>464</v>
      </c>
      <c r="M311" s="264" t="s">
        <v>2587</v>
      </c>
      <c r="N311" s="262" t="s">
        <v>2198</v>
      </c>
      <c r="O311" s="390" t="s">
        <v>2296</v>
      </c>
      <c r="P311" s="264" t="s">
        <v>2633</v>
      </c>
      <c r="Q311" s="264" t="s">
        <v>280</v>
      </c>
      <c r="R311" s="528" t="s">
        <v>165</v>
      </c>
      <c r="S311" s="399">
        <v>80</v>
      </c>
      <c r="T311" s="348" t="s">
        <v>3362</v>
      </c>
      <c r="U311" s="520">
        <v>15000</v>
      </c>
      <c r="V311" s="266">
        <v>180000</v>
      </c>
      <c r="W311" s="521" t="s">
        <v>10</v>
      </c>
      <c r="X311" s="521" t="s">
        <v>11</v>
      </c>
      <c r="Y311" s="522" t="s">
        <v>2092</v>
      </c>
      <c r="Z311" s="523" t="s">
        <v>2634</v>
      </c>
      <c r="AA311" s="521"/>
      <c r="AB311" s="521"/>
      <c r="AC311" s="521"/>
      <c r="AD311" s="521"/>
      <c r="AE311" s="521"/>
      <c r="AF311" s="521"/>
      <c r="AG311" s="264">
        <v>3</v>
      </c>
    </row>
    <row r="312" spans="1:33" s="526" customFormat="1" ht="37.5">
      <c r="A312" s="513">
        <v>310</v>
      </c>
      <c r="B312" s="514" t="s">
        <v>2121</v>
      </c>
      <c r="C312" s="515" t="s">
        <v>2121</v>
      </c>
      <c r="D312" s="262" t="s">
        <v>2133</v>
      </c>
      <c r="E312" s="513">
        <v>311</v>
      </c>
      <c r="F312" s="544" t="s">
        <v>2121</v>
      </c>
      <c r="G312" s="517">
        <v>45380</v>
      </c>
      <c r="H312" s="517">
        <v>45381</v>
      </c>
      <c r="I312" s="517">
        <v>45381</v>
      </c>
      <c r="J312" s="517">
        <v>45381</v>
      </c>
      <c r="K312" s="517">
        <v>45381</v>
      </c>
      <c r="L312" s="518" t="s">
        <v>464</v>
      </c>
      <c r="M312" s="264" t="s">
        <v>2587</v>
      </c>
      <c r="N312" s="262" t="s">
        <v>2198</v>
      </c>
      <c r="O312" s="390" t="s">
        <v>2295</v>
      </c>
      <c r="P312" s="264" t="s">
        <v>467</v>
      </c>
      <c r="Q312" s="264" t="s">
        <v>8</v>
      </c>
      <c r="R312" s="519" t="s">
        <v>2635</v>
      </c>
      <c r="S312" s="399">
        <v>80</v>
      </c>
      <c r="T312" s="348" t="s">
        <v>3362</v>
      </c>
      <c r="U312" s="520">
        <v>40000</v>
      </c>
      <c r="V312" s="266">
        <v>480000</v>
      </c>
      <c r="W312" s="521" t="s">
        <v>2507</v>
      </c>
      <c r="X312" s="521" t="s">
        <v>2508</v>
      </c>
      <c r="Y312" s="522" t="s">
        <v>2516</v>
      </c>
      <c r="Z312" s="523" t="s">
        <v>2636</v>
      </c>
      <c r="AA312" s="521"/>
      <c r="AB312" s="521"/>
      <c r="AC312" s="521"/>
      <c r="AD312" s="521"/>
      <c r="AE312" s="521"/>
      <c r="AF312" s="521"/>
      <c r="AG312" s="264">
        <v>3</v>
      </c>
    </row>
    <row r="313" spans="1:33" s="526" customFormat="1" ht="29">
      <c r="A313" s="513">
        <v>311</v>
      </c>
      <c r="B313" s="514" t="s">
        <v>2122</v>
      </c>
      <c r="C313" s="515" t="s">
        <v>2122</v>
      </c>
      <c r="D313" s="262" t="s">
        <v>652</v>
      </c>
      <c r="E313" s="513">
        <v>312</v>
      </c>
      <c r="F313" s="544" t="s">
        <v>2122</v>
      </c>
      <c r="G313" s="517">
        <v>45380</v>
      </c>
      <c r="H313" s="517">
        <v>45381</v>
      </c>
      <c r="I313" s="517">
        <v>45381</v>
      </c>
      <c r="J313" s="517">
        <v>45381</v>
      </c>
      <c r="K313" s="517">
        <v>45381</v>
      </c>
      <c r="L313" s="518" t="s">
        <v>2190</v>
      </c>
      <c r="M313" s="264" t="s">
        <v>2649</v>
      </c>
      <c r="N313" s="262" t="s">
        <v>2199</v>
      </c>
      <c r="O313" s="390" t="s">
        <v>2823</v>
      </c>
      <c r="P313" s="264" t="str">
        <f t="shared" ref="P313:P318" si="12">O313</f>
        <v>Biaya Transportasi darat Lomba FLSSN Tingkat Propinsi 2023</v>
      </c>
      <c r="Q313" s="264" t="s">
        <v>2824</v>
      </c>
      <c r="R313" s="390" t="s">
        <v>2823</v>
      </c>
      <c r="S313" s="399">
        <v>1</v>
      </c>
      <c r="T313" s="348" t="s">
        <v>1565</v>
      </c>
      <c r="U313" s="266">
        <v>1360000</v>
      </c>
      <c r="V313" s="266">
        <v>1360000</v>
      </c>
      <c r="W313" s="521" t="s">
        <v>2659</v>
      </c>
      <c r="X313" s="521" t="s">
        <v>2659</v>
      </c>
      <c r="Y313" s="522" t="s">
        <v>2660</v>
      </c>
      <c r="Z313" s="523" t="s">
        <v>2661</v>
      </c>
      <c r="AA313" s="521"/>
      <c r="AB313" s="521"/>
      <c r="AC313" s="521"/>
      <c r="AD313" s="521"/>
      <c r="AE313" s="521"/>
      <c r="AF313" s="521"/>
      <c r="AG313" s="264">
        <v>3</v>
      </c>
    </row>
    <row r="314" spans="1:33" s="526" customFormat="1" ht="29">
      <c r="A314" s="513">
        <v>312</v>
      </c>
      <c r="B314" s="514" t="s">
        <v>2122</v>
      </c>
      <c r="C314" s="515" t="s">
        <v>2122</v>
      </c>
      <c r="D314" s="262" t="s">
        <v>654</v>
      </c>
      <c r="E314" s="513">
        <v>313</v>
      </c>
      <c r="F314" s="544" t="s">
        <v>2122</v>
      </c>
      <c r="G314" s="517">
        <v>45380</v>
      </c>
      <c r="H314" s="517">
        <v>45381</v>
      </c>
      <c r="I314" s="517">
        <v>45381</v>
      </c>
      <c r="J314" s="517">
        <v>45381</v>
      </c>
      <c r="K314" s="517">
        <v>45381</v>
      </c>
      <c r="L314" s="518" t="s">
        <v>2190</v>
      </c>
      <c r="M314" s="264" t="s">
        <v>2649</v>
      </c>
      <c r="N314" s="262" t="s">
        <v>2199</v>
      </c>
      <c r="O314" s="390" t="s">
        <v>2825</v>
      </c>
      <c r="P314" s="264" t="str">
        <f t="shared" si="12"/>
        <v>Biaya Transportasi Udara Lomba FLSSN Tingkat Propinsi 2023</v>
      </c>
      <c r="Q314" s="264" t="s">
        <v>2824</v>
      </c>
      <c r="R314" s="390" t="s">
        <v>2825</v>
      </c>
      <c r="S314" s="399">
        <v>1</v>
      </c>
      <c r="T314" s="348" t="s">
        <v>1565</v>
      </c>
      <c r="U314" s="266">
        <v>15238975</v>
      </c>
      <c r="V314" s="266">
        <v>15238975</v>
      </c>
      <c r="W314" s="521" t="s">
        <v>2659</v>
      </c>
      <c r="X314" s="521" t="s">
        <v>2659</v>
      </c>
      <c r="Y314" s="522" t="s">
        <v>2660</v>
      </c>
      <c r="Z314" s="523" t="s">
        <v>2661</v>
      </c>
      <c r="AA314" s="521"/>
      <c r="AB314" s="521"/>
      <c r="AC314" s="521"/>
      <c r="AD314" s="521"/>
      <c r="AE314" s="521"/>
      <c r="AF314" s="521"/>
      <c r="AG314" s="264">
        <v>3</v>
      </c>
    </row>
    <row r="315" spans="1:33" s="526" customFormat="1" ht="29">
      <c r="A315" s="513">
        <v>313</v>
      </c>
      <c r="B315" s="514" t="s">
        <v>2123</v>
      </c>
      <c r="C315" s="515" t="s">
        <v>2123</v>
      </c>
      <c r="D315" s="262" t="s">
        <v>656</v>
      </c>
      <c r="E315" s="513">
        <v>314</v>
      </c>
      <c r="F315" s="544" t="s">
        <v>2123</v>
      </c>
      <c r="G315" s="517">
        <v>45380</v>
      </c>
      <c r="H315" s="517">
        <v>45381</v>
      </c>
      <c r="I315" s="517">
        <v>45381</v>
      </c>
      <c r="J315" s="517">
        <v>45381</v>
      </c>
      <c r="K315" s="517">
        <v>45381</v>
      </c>
      <c r="L315" s="518" t="s">
        <v>2190</v>
      </c>
      <c r="M315" s="264" t="s">
        <v>2649</v>
      </c>
      <c r="N315" s="262" t="s">
        <v>2199</v>
      </c>
      <c r="O315" s="390" t="s">
        <v>2826</v>
      </c>
      <c r="P315" s="264" t="str">
        <f t="shared" si="12"/>
        <v>Biaya Penginapan Peserta Lomba FLSSN Tingkat Propinsi 2023 Selama 4 Hari</v>
      </c>
      <c r="Q315" s="264" t="s">
        <v>867</v>
      </c>
      <c r="R315" s="390" t="s">
        <v>2826</v>
      </c>
      <c r="S315" s="399">
        <v>1</v>
      </c>
      <c r="T315" s="348" t="s">
        <v>1565</v>
      </c>
      <c r="U315" s="266">
        <v>900000</v>
      </c>
      <c r="V315" s="266">
        <v>900000</v>
      </c>
      <c r="W315" s="521" t="s">
        <v>2659</v>
      </c>
      <c r="X315" s="521" t="s">
        <v>2659</v>
      </c>
      <c r="Y315" s="522" t="s">
        <v>2660</v>
      </c>
      <c r="Z315" s="523" t="s">
        <v>2661</v>
      </c>
      <c r="AA315" s="521"/>
      <c r="AB315" s="521"/>
      <c r="AC315" s="521"/>
      <c r="AD315" s="521"/>
      <c r="AE315" s="521"/>
      <c r="AF315" s="521"/>
      <c r="AG315" s="264">
        <v>3</v>
      </c>
    </row>
    <row r="316" spans="1:33" s="526" customFormat="1" ht="29">
      <c r="A316" s="513">
        <v>314</v>
      </c>
      <c r="B316" s="514" t="s">
        <v>2827</v>
      </c>
      <c r="C316" s="515" t="s">
        <v>2827</v>
      </c>
      <c r="D316" s="262" t="s">
        <v>657</v>
      </c>
      <c r="E316" s="513">
        <v>315</v>
      </c>
      <c r="F316" s="544" t="s">
        <v>2827</v>
      </c>
      <c r="G316" s="517">
        <v>45380</v>
      </c>
      <c r="H316" s="517">
        <v>45381</v>
      </c>
      <c r="I316" s="517">
        <v>45381</v>
      </c>
      <c r="J316" s="517">
        <v>45381</v>
      </c>
      <c r="K316" s="517">
        <v>45381</v>
      </c>
      <c r="L316" s="518" t="s">
        <v>2190</v>
      </c>
      <c r="M316" s="264" t="s">
        <v>2649</v>
      </c>
      <c r="N316" s="262" t="s">
        <v>2199</v>
      </c>
      <c r="O316" s="390" t="s">
        <v>2828</v>
      </c>
      <c r="P316" s="264" t="str">
        <f t="shared" si="12"/>
        <v>Honor Pembimbing Lomba FLSSN Tingkat Propinsi 2023 Selama 4 Hari</v>
      </c>
      <c r="Q316" s="264" t="s">
        <v>2829</v>
      </c>
      <c r="R316" s="390" t="s">
        <v>2828</v>
      </c>
      <c r="S316" s="399">
        <v>1</v>
      </c>
      <c r="T316" s="348" t="s">
        <v>1565</v>
      </c>
      <c r="U316" s="266">
        <v>1400000</v>
      </c>
      <c r="V316" s="266">
        <v>1400000</v>
      </c>
      <c r="W316" s="521" t="s">
        <v>2659</v>
      </c>
      <c r="X316" s="521" t="s">
        <v>2659</v>
      </c>
      <c r="Y316" s="522" t="s">
        <v>2660</v>
      </c>
      <c r="Z316" s="523" t="s">
        <v>2661</v>
      </c>
      <c r="AA316" s="521"/>
      <c r="AB316" s="521"/>
      <c r="AC316" s="521"/>
      <c r="AD316" s="521"/>
      <c r="AE316" s="521"/>
      <c r="AF316" s="521"/>
      <c r="AG316" s="264">
        <v>3</v>
      </c>
    </row>
    <row r="317" spans="1:33" s="526" customFormat="1" ht="29">
      <c r="A317" s="513">
        <v>315</v>
      </c>
      <c r="B317" s="514" t="s">
        <v>2830</v>
      </c>
      <c r="C317" s="515" t="s">
        <v>2830</v>
      </c>
      <c r="D317" s="262" t="s">
        <v>658</v>
      </c>
      <c r="E317" s="513">
        <v>316</v>
      </c>
      <c r="F317" s="544" t="s">
        <v>2830</v>
      </c>
      <c r="G317" s="517">
        <v>45380</v>
      </c>
      <c r="H317" s="517">
        <v>45381</v>
      </c>
      <c r="I317" s="517">
        <v>45381</v>
      </c>
      <c r="J317" s="517">
        <v>45381</v>
      </c>
      <c r="K317" s="517">
        <v>45381</v>
      </c>
      <c r="L317" s="518" t="s">
        <v>2190</v>
      </c>
      <c r="M317" s="264" t="s">
        <v>2649</v>
      </c>
      <c r="N317" s="262" t="s">
        <v>2199</v>
      </c>
      <c r="O317" s="390" t="s">
        <v>2831</v>
      </c>
      <c r="P317" s="264" t="str">
        <f t="shared" si="12"/>
        <v>Uang Saku Siswa Peserta Lomba FLSSN Tingkat Propinsi 2023 Selama 4 Hari</v>
      </c>
      <c r="Q317" s="264" t="s">
        <v>2832</v>
      </c>
      <c r="R317" s="390" t="s">
        <v>2831</v>
      </c>
      <c r="S317" s="399">
        <v>1</v>
      </c>
      <c r="T317" s="348" t="s">
        <v>1565</v>
      </c>
      <c r="U317" s="266">
        <v>1200000</v>
      </c>
      <c r="V317" s="266">
        <v>1200000</v>
      </c>
      <c r="W317" s="521" t="s">
        <v>2659</v>
      </c>
      <c r="X317" s="521" t="s">
        <v>2659</v>
      </c>
      <c r="Y317" s="522" t="s">
        <v>2660</v>
      </c>
      <c r="Z317" s="523" t="s">
        <v>2661</v>
      </c>
      <c r="AA317" s="521"/>
      <c r="AB317" s="521"/>
      <c r="AC317" s="521"/>
      <c r="AD317" s="521"/>
      <c r="AE317" s="521"/>
      <c r="AF317" s="521"/>
      <c r="AG317" s="264">
        <v>3</v>
      </c>
    </row>
    <row r="318" spans="1:33" s="526" customFormat="1" ht="29">
      <c r="A318" s="513">
        <v>316</v>
      </c>
      <c r="B318" s="514" t="s">
        <v>2833</v>
      </c>
      <c r="C318" s="515" t="s">
        <v>2833</v>
      </c>
      <c r="D318" s="262" t="s">
        <v>661</v>
      </c>
      <c r="E318" s="513">
        <v>317</v>
      </c>
      <c r="F318" s="544" t="s">
        <v>2833</v>
      </c>
      <c r="G318" s="517">
        <v>45380</v>
      </c>
      <c r="H318" s="517">
        <v>45381</v>
      </c>
      <c r="I318" s="517">
        <v>45381</v>
      </c>
      <c r="J318" s="517">
        <v>45381</v>
      </c>
      <c r="K318" s="517">
        <v>45381</v>
      </c>
      <c r="L318" s="518" t="s">
        <v>2190</v>
      </c>
      <c r="M318" s="264" t="s">
        <v>2649</v>
      </c>
      <c r="N318" s="262" t="s">
        <v>2199</v>
      </c>
      <c r="O318" s="390" t="s">
        <v>2313</v>
      </c>
      <c r="P318" s="264" t="str">
        <f t="shared" si="12"/>
        <v>Biaya Lomba OSN 2024</v>
      </c>
      <c r="Q318" s="264" t="s">
        <v>2834</v>
      </c>
      <c r="R318" s="524" t="s">
        <v>2835</v>
      </c>
      <c r="S318" s="399">
        <v>1</v>
      </c>
      <c r="T318" s="348" t="s">
        <v>1565</v>
      </c>
      <c r="U318" s="266">
        <v>11901025</v>
      </c>
      <c r="V318" s="266">
        <v>11901025</v>
      </c>
      <c r="W318" s="521" t="s">
        <v>2659</v>
      </c>
      <c r="X318" s="521" t="s">
        <v>2659</v>
      </c>
      <c r="Y318" s="522" t="s">
        <v>2660</v>
      </c>
      <c r="Z318" s="523" t="s">
        <v>2661</v>
      </c>
      <c r="AA318" s="521"/>
      <c r="AB318" s="521"/>
      <c r="AC318" s="521"/>
      <c r="AD318" s="521"/>
      <c r="AE318" s="521"/>
      <c r="AF318" s="521"/>
      <c r="AG318" s="264">
        <v>3</v>
      </c>
    </row>
    <row r="319" spans="1:33" s="526" customFormat="1" ht="29">
      <c r="A319" s="513">
        <v>317</v>
      </c>
      <c r="B319" s="514" t="s">
        <v>2836</v>
      </c>
      <c r="C319" s="515" t="s">
        <v>2836</v>
      </c>
      <c r="D319" s="545" t="s">
        <v>663</v>
      </c>
      <c r="E319" s="513">
        <v>318</v>
      </c>
      <c r="F319" s="544" t="s">
        <v>2836</v>
      </c>
      <c r="G319" s="517">
        <v>45379</v>
      </c>
      <c r="H319" s="517">
        <v>45380</v>
      </c>
      <c r="I319" s="517">
        <v>45381</v>
      </c>
      <c r="J319" s="517">
        <v>45381</v>
      </c>
      <c r="K319" s="546">
        <v>45381</v>
      </c>
      <c r="L319" s="518" t="s">
        <v>2180</v>
      </c>
      <c r="M319" s="264" t="s">
        <v>2587</v>
      </c>
      <c r="N319" s="545" t="s">
        <v>1004</v>
      </c>
      <c r="O319" s="547" t="s">
        <v>2297</v>
      </c>
      <c r="P319" s="264" t="s">
        <v>2633</v>
      </c>
      <c r="Q319" s="264" t="s">
        <v>280</v>
      </c>
      <c r="R319" s="528" t="s">
        <v>165</v>
      </c>
      <c r="S319" s="399">
        <v>60</v>
      </c>
      <c r="T319" s="348" t="s">
        <v>3363</v>
      </c>
      <c r="U319" s="520">
        <v>15000</v>
      </c>
      <c r="V319" s="548">
        <v>900000</v>
      </c>
      <c r="W319" s="521" t="s">
        <v>10</v>
      </c>
      <c r="X319" s="521" t="s">
        <v>11</v>
      </c>
      <c r="Y319" s="522" t="s">
        <v>2092</v>
      </c>
      <c r="Z319" s="523" t="s">
        <v>2634</v>
      </c>
      <c r="AA319" s="521"/>
      <c r="AB319" s="521"/>
      <c r="AC319" s="521"/>
      <c r="AD319" s="521"/>
      <c r="AE319" s="521"/>
      <c r="AF319" s="521"/>
      <c r="AG319" s="264">
        <v>3</v>
      </c>
    </row>
    <row r="320" spans="1:33" s="526" customFormat="1" ht="29">
      <c r="A320" s="513">
        <v>318</v>
      </c>
      <c r="B320" s="514" t="s">
        <v>2124</v>
      </c>
      <c r="C320" s="515" t="s">
        <v>2124</v>
      </c>
      <c r="D320" s="262" t="s">
        <v>673</v>
      </c>
      <c r="E320" s="513">
        <v>319</v>
      </c>
      <c r="F320" s="544" t="s">
        <v>2124</v>
      </c>
      <c r="G320" s="517">
        <v>45383</v>
      </c>
      <c r="H320" s="517">
        <v>45383</v>
      </c>
      <c r="I320" s="517">
        <v>45383</v>
      </c>
      <c r="J320" s="517">
        <v>45383</v>
      </c>
      <c r="K320" s="517">
        <v>45383</v>
      </c>
      <c r="L320" s="518" t="s">
        <v>705</v>
      </c>
      <c r="M320" s="264" t="s">
        <v>2587</v>
      </c>
      <c r="N320" s="262" t="s">
        <v>2176</v>
      </c>
      <c r="O320" s="263" t="s">
        <v>238</v>
      </c>
      <c r="P320" s="264" t="str">
        <f t="shared" ref="P320:P327" si="13">O320</f>
        <v>Binder Klip  nomor 111</v>
      </c>
      <c r="Q320" s="264" t="s">
        <v>710</v>
      </c>
      <c r="R320" s="519" t="s">
        <v>109</v>
      </c>
      <c r="S320" s="399">
        <v>5</v>
      </c>
      <c r="T320" s="348" t="s">
        <v>3362</v>
      </c>
      <c r="U320" s="520">
        <v>11000</v>
      </c>
      <c r="V320" s="266">
        <v>55000</v>
      </c>
      <c r="W320" s="521" t="s">
        <v>227</v>
      </c>
      <c r="X320" s="521" t="s">
        <v>3383</v>
      </c>
      <c r="Y320" s="522" t="s">
        <v>2512</v>
      </c>
      <c r="Z320" s="523" t="s">
        <v>541</v>
      </c>
      <c r="AA320" s="521"/>
      <c r="AB320" s="521"/>
      <c r="AC320" s="521"/>
      <c r="AD320" s="521"/>
      <c r="AE320" s="521"/>
      <c r="AF320" s="521"/>
      <c r="AG320" s="264">
        <v>4</v>
      </c>
    </row>
    <row r="321" spans="1:33" s="526" customFormat="1" ht="29">
      <c r="A321" s="513">
        <v>319</v>
      </c>
      <c r="B321" s="514" t="s">
        <v>2124</v>
      </c>
      <c r="C321" s="515" t="s">
        <v>2124</v>
      </c>
      <c r="D321" s="262" t="s">
        <v>673</v>
      </c>
      <c r="E321" s="513">
        <v>320</v>
      </c>
      <c r="F321" s="544" t="s">
        <v>2124</v>
      </c>
      <c r="G321" s="517">
        <v>45383</v>
      </c>
      <c r="H321" s="517">
        <v>45383</v>
      </c>
      <c r="I321" s="517">
        <v>45383</v>
      </c>
      <c r="J321" s="517">
        <v>45383</v>
      </c>
      <c r="K321" s="517">
        <v>45383</v>
      </c>
      <c r="L321" s="518" t="s">
        <v>705</v>
      </c>
      <c r="M321" s="264" t="s">
        <v>2587</v>
      </c>
      <c r="N321" s="262" t="s">
        <v>2176</v>
      </c>
      <c r="O321" s="263" t="s">
        <v>233</v>
      </c>
      <c r="P321" s="264" t="str">
        <f t="shared" si="13"/>
        <v>Ballpoint Drawing Pen 0,1 Snowman</v>
      </c>
      <c r="Q321" s="264" t="s">
        <v>710</v>
      </c>
      <c r="R321" s="525" t="s">
        <v>2590</v>
      </c>
      <c r="S321" s="399">
        <v>1</v>
      </c>
      <c r="T321" s="348" t="s">
        <v>3364</v>
      </c>
      <c r="U321" s="520">
        <v>95000</v>
      </c>
      <c r="V321" s="266">
        <v>95000</v>
      </c>
      <c r="W321" s="521" t="s">
        <v>227</v>
      </c>
      <c r="X321" s="521" t="s">
        <v>3383</v>
      </c>
      <c r="Y321" s="522" t="s">
        <v>2512</v>
      </c>
      <c r="Z321" s="523" t="s">
        <v>541</v>
      </c>
      <c r="AA321" s="521"/>
      <c r="AB321" s="521"/>
      <c r="AC321" s="521"/>
      <c r="AD321" s="521"/>
      <c r="AE321" s="521"/>
      <c r="AF321" s="521"/>
      <c r="AG321" s="264">
        <v>4</v>
      </c>
    </row>
    <row r="322" spans="1:33" s="526" customFormat="1" ht="29">
      <c r="A322" s="513">
        <v>320</v>
      </c>
      <c r="B322" s="514" t="s">
        <v>2124</v>
      </c>
      <c r="C322" s="515" t="s">
        <v>2124</v>
      </c>
      <c r="D322" s="262" t="s">
        <v>673</v>
      </c>
      <c r="E322" s="513">
        <v>321</v>
      </c>
      <c r="F322" s="544" t="s">
        <v>2124</v>
      </c>
      <c r="G322" s="517">
        <v>45383</v>
      </c>
      <c r="H322" s="517">
        <v>45383</v>
      </c>
      <c r="I322" s="517">
        <v>45383</v>
      </c>
      <c r="J322" s="517">
        <v>45383</v>
      </c>
      <c r="K322" s="517">
        <v>45383</v>
      </c>
      <c r="L322" s="518" t="s">
        <v>705</v>
      </c>
      <c r="M322" s="264" t="s">
        <v>2587</v>
      </c>
      <c r="N322" s="262" t="s">
        <v>2176</v>
      </c>
      <c r="O322" s="263" t="s">
        <v>2234</v>
      </c>
      <c r="P322" s="264" t="str">
        <f t="shared" si="13"/>
        <v>Stofmap Transparan tali</v>
      </c>
      <c r="Q322" s="264" t="s">
        <v>710</v>
      </c>
      <c r="R322" s="519" t="s">
        <v>158</v>
      </c>
      <c r="S322" s="399">
        <v>100</v>
      </c>
      <c r="T322" s="348" t="s">
        <v>3363</v>
      </c>
      <c r="U322" s="520">
        <v>5500</v>
      </c>
      <c r="V322" s="266">
        <v>550000</v>
      </c>
      <c r="W322" s="521" t="s">
        <v>227</v>
      </c>
      <c r="X322" s="521" t="s">
        <v>3383</v>
      </c>
      <c r="Y322" s="522" t="s">
        <v>2512</v>
      </c>
      <c r="Z322" s="523" t="s">
        <v>541</v>
      </c>
      <c r="AA322" s="521"/>
      <c r="AB322" s="521"/>
      <c r="AC322" s="521"/>
      <c r="AD322" s="521"/>
      <c r="AE322" s="521"/>
      <c r="AF322" s="521"/>
      <c r="AG322" s="264">
        <v>4</v>
      </c>
    </row>
    <row r="323" spans="1:33" s="526" customFormat="1" ht="29">
      <c r="A323" s="513">
        <v>321</v>
      </c>
      <c r="B323" s="514" t="s">
        <v>2124</v>
      </c>
      <c r="C323" s="515" t="s">
        <v>2124</v>
      </c>
      <c r="D323" s="262" t="s">
        <v>673</v>
      </c>
      <c r="E323" s="513">
        <v>322</v>
      </c>
      <c r="F323" s="544" t="s">
        <v>2124</v>
      </c>
      <c r="G323" s="517">
        <v>45383</v>
      </c>
      <c r="H323" s="517">
        <v>45383</v>
      </c>
      <c r="I323" s="517">
        <v>45383</v>
      </c>
      <c r="J323" s="517">
        <v>45383</v>
      </c>
      <c r="K323" s="517">
        <v>45383</v>
      </c>
      <c r="L323" s="518" t="s">
        <v>705</v>
      </c>
      <c r="M323" s="264" t="s">
        <v>2587</v>
      </c>
      <c r="N323" s="262" t="s">
        <v>2176</v>
      </c>
      <c r="O323" s="263" t="s">
        <v>2235</v>
      </c>
      <c r="P323" s="264" t="str">
        <f t="shared" si="13"/>
        <v>Amplop Coklat Merk : GSU Ukuran Folio polos</v>
      </c>
      <c r="Q323" s="264" t="s">
        <v>710</v>
      </c>
      <c r="R323" s="529" t="s">
        <v>2593</v>
      </c>
      <c r="S323" s="399">
        <v>2</v>
      </c>
      <c r="T323" s="348" t="s">
        <v>3365</v>
      </c>
      <c r="U323" s="520">
        <v>60000</v>
      </c>
      <c r="V323" s="266">
        <v>120000</v>
      </c>
      <c r="W323" s="521" t="s">
        <v>227</v>
      </c>
      <c r="X323" s="521" t="s">
        <v>3383</v>
      </c>
      <c r="Y323" s="522" t="s">
        <v>2512</v>
      </c>
      <c r="Z323" s="523" t="s">
        <v>541</v>
      </c>
      <c r="AA323" s="521"/>
      <c r="AB323" s="521"/>
      <c r="AC323" s="521"/>
      <c r="AD323" s="521"/>
      <c r="AE323" s="521"/>
      <c r="AF323" s="521"/>
      <c r="AG323" s="264">
        <v>4</v>
      </c>
    </row>
    <row r="324" spans="1:33" s="526" customFormat="1" ht="29">
      <c r="A324" s="513">
        <v>322</v>
      </c>
      <c r="B324" s="514" t="s">
        <v>2124</v>
      </c>
      <c r="C324" s="515" t="s">
        <v>2124</v>
      </c>
      <c r="D324" s="262" t="s">
        <v>673</v>
      </c>
      <c r="E324" s="513">
        <v>323</v>
      </c>
      <c r="F324" s="544" t="s">
        <v>2124</v>
      </c>
      <c r="G324" s="517">
        <v>45383</v>
      </c>
      <c r="H324" s="517">
        <v>45383</v>
      </c>
      <c r="I324" s="517">
        <v>45383</v>
      </c>
      <c r="J324" s="517">
        <v>45383</v>
      </c>
      <c r="K324" s="517">
        <v>45383</v>
      </c>
      <c r="L324" s="518" t="s">
        <v>705</v>
      </c>
      <c r="M324" s="264" t="s">
        <v>2587</v>
      </c>
      <c r="N324" s="262" t="s">
        <v>2176</v>
      </c>
      <c r="O324" s="263" t="s">
        <v>2236</v>
      </c>
      <c r="P324" s="264" t="str">
        <f t="shared" si="13"/>
        <v>Stapler HD-10--</v>
      </c>
      <c r="Q324" s="264" t="s">
        <v>710</v>
      </c>
      <c r="R324" s="519" t="s">
        <v>152</v>
      </c>
      <c r="S324" s="399">
        <v>2</v>
      </c>
      <c r="T324" s="348" t="s">
        <v>3363</v>
      </c>
      <c r="U324" s="520">
        <v>20000</v>
      </c>
      <c r="V324" s="266">
        <v>40000</v>
      </c>
      <c r="W324" s="521" t="s">
        <v>227</v>
      </c>
      <c r="X324" s="521" t="s">
        <v>3383</v>
      </c>
      <c r="Y324" s="522" t="s">
        <v>2512</v>
      </c>
      <c r="Z324" s="523" t="s">
        <v>541</v>
      </c>
      <c r="AA324" s="521"/>
      <c r="AB324" s="521"/>
      <c r="AC324" s="521"/>
      <c r="AD324" s="521"/>
      <c r="AE324" s="521"/>
      <c r="AF324" s="521"/>
      <c r="AG324" s="264">
        <v>4</v>
      </c>
    </row>
    <row r="325" spans="1:33" s="526" customFormat="1" ht="29">
      <c r="A325" s="513">
        <v>323</v>
      </c>
      <c r="B325" s="514" t="s">
        <v>2124</v>
      </c>
      <c r="C325" s="515" t="s">
        <v>2124</v>
      </c>
      <c r="D325" s="262" t="s">
        <v>673</v>
      </c>
      <c r="E325" s="513">
        <v>324</v>
      </c>
      <c r="F325" s="544" t="s">
        <v>2124</v>
      </c>
      <c r="G325" s="517">
        <v>45383</v>
      </c>
      <c r="H325" s="517">
        <v>45383</v>
      </c>
      <c r="I325" s="517">
        <v>45383</v>
      </c>
      <c r="J325" s="517">
        <v>45383</v>
      </c>
      <c r="K325" s="517">
        <v>45383</v>
      </c>
      <c r="L325" s="518" t="s">
        <v>705</v>
      </c>
      <c r="M325" s="264" t="s">
        <v>2587</v>
      </c>
      <c r="N325" s="262" t="s">
        <v>2176</v>
      </c>
      <c r="O325" s="263" t="s">
        <v>2237</v>
      </c>
      <c r="P325" s="264" t="str">
        <f t="shared" si="13"/>
        <v>Kertas Lain-Lain Kertas Buffalo</v>
      </c>
      <c r="Q325" s="264" t="s">
        <v>710</v>
      </c>
      <c r="R325" s="519" t="s">
        <v>130</v>
      </c>
      <c r="S325" s="399">
        <v>5</v>
      </c>
      <c r="T325" s="348" t="s">
        <v>3365</v>
      </c>
      <c r="U325" s="520">
        <v>31000</v>
      </c>
      <c r="V325" s="266">
        <v>155000</v>
      </c>
      <c r="W325" s="521" t="s">
        <v>227</v>
      </c>
      <c r="X325" s="521" t="s">
        <v>3383</v>
      </c>
      <c r="Y325" s="522" t="s">
        <v>2512</v>
      </c>
      <c r="Z325" s="523" t="s">
        <v>541</v>
      </c>
      <c r="AA325" s="521"/>
      <c r="AB325" s="521"/>
      <c r="AC325" s="521"/>
      <c r="AD325" s="521"/>
      <c r="AE325" s="521"/>
      <c r="AF325" s="521"/>
      <c r="AG325" s="264">
        <v>4</v>
      </c>
    </row>
    <row r="326" spans="1:33" s="526" customFormat="1" ht="29">
      <c r="A326" s="513">
        <v>324</v>
      </c>
      <c r="B326" s="514" t="s">
        <v>2124</v>
      </c>
      <c r="C326" s="515" t="s">
        <v>2124</v>
      </c>
      <c r="D326" s="262" t="s">
        <v>673</v>
      </c>
      <c r="E326" s="513">
        <v>325</v>
      </c>
      <c r="F326" s="544" t="s">
        <v>2124</v>
      </c>
      <c r="G326" s="517">
        <v>45383</v>
      </c>
      <c r="H326" s="517">
        <v>45383</v>
      </c>
      <c r="I326" s="517">
        <v>45383</v>
      </c>
      <c r="J326" s="517">
        <v>45383</v>
      </c>
      <c r="K326" s="517">
        <v>45383</v>
      </c>
      <c r="L326" s="518" t="s">
        <v>705</v>
      </c>
      <c r="M326" s="264" t="s">
        <v>2587</v>
      </c>
      <c r="N326" s="262" t="s">
        <v>2176</v>
      </c>
      <c r="O326" s="263" t="s">
        <v>236</v>
      </c>
      <c r="P326" s="264" t="str">
        <f t="shared" si="13"/>
        <v>Baterey Kecil</v>
      </c>
      <c r="Q326" s="264" t="s">
        <v>710</v>
      </c>
      <c r="R326" s="519" t="s">
        <v>106</v>
      </c>
      <c r="S326" s="399">
        <v>2</v>
      </c>
      <c r="T326" s="348" t="s">
        <v>3366</v>
      </c>
      <c r="U326" s="520">
        <v>20000</v>
      </c>
      <c r="V326" s="266">
        <v>40000</v>
      </c>
      <c r="W326" s="521" t="s">
        <v>227</v>
      </c>
      <c r="X326" s="521" t="s">
        <v>3383</v>
      </c>
      <c r="Y326" s="522" t="s">
        <v>2512</v>
      </c>
      <c r="Z326" s="523" t="s">
        <v>541</v>
      </c>
      <c r="AA326" s="521"/>
      <c r="AB326" s="521"/>
      <c r="AC326" s="521"/>
      <c r="AD326" s="521"/>
      <c r="AE326" s="521"/>
      <c r="AF326" s="521"/>
      <c r="AG326" s="264">
        <v>4</v>
      </c>
    </row>
    <row r="327" spans="1:33" s="526" customFormat="1" ht="29">
      <c r="A327" s="513">
        <v>325</v>
      </c>
      <c r="B327" s="514" t="s">
        <v>2124</v>
      </c>
      <c r="C327" s="515" t="s">
        <v>2124</v>
      </c>
      <c r="D327" s="562" t="s">
        <v>2837</v>
      </c>
      <c r="E327" s="513">
        <v>326</v>
      </c>
      <c r="F327" s="544" t="s">
        <v>2124</v>
      </c>
      <c r="G327" s="517">
        <v>45383</v>
      </c>
      <c r="H327" s="517">
        <v>45383</v>
      </c>
      <c r="I327" s="517">
        <v>45383</v>
      </c>
      <c r="J327" s="517">
        <v>45383</v>
      </c>
      <c r="K327" s="517">
        <v>45383</v>
      </c>
      <c r="L327" s="518" t="s">
        <v>705</v>
      </c>
      <c r="M327" s="264" t="s">
        <v>2587</v>
      </c>
      <c r="N327" s="262" t="s">
        <v>2176</v>
      </c>
      <c r="O327" s="263" t="s">
        <v>2239</v>
      </c>
      <c r="P327" s="264" t="str">
        <f t="shared" si="13"/>
        <v>Tinta Printer Canon 741 Warna-741 Warna</v>
      </c>
      <c r="Q327" s="264" t="s">
        <v>710</v>
      </c>
      <c r="R327" s="519" t="s">
        <v>160</v>
      </c>
      <c r="S327" s="399">
        <v>12</v>
      </c>
      <c r="T327" s="348" t="s">
        <v>3367</v>
      </c>
      <c r="U327" s="520">
        <v>33000</v>
      </c>
      <c r="V327" s="266">
        <v>396000</v>
      </c>
      <c r="W327" s="521" t="s">
        <v>227</v>
      </c>
      <c r="X327" s="521" t="s">
        <v>3383</v>
      </c>
      <c r="Y327" s="522" t="s">
        <v>2512</v>
      </c>
      <c r="Z327" s="523" t="s">
        <v>541</v>
      </c>
      <c r="AA327" s="521"/>
      <c r="AB327" s="521"/>
      <c r="AC327" s="521"/>
      <c r="AD327" s="521"/>
      <c r="AE327" s="521"/>
      <c r="AF327" s="521"/>
      <c r="AG327" s="264">
        <v>4</v>
      </c>
    </row>
    <row r="328" spans="1:33" s="526" customFormat="1" ht="37.5">
      <c r="A328" s="513">
        <v>326</v>
      </c>
      <c r="B328" s="514" t="s">
        <v>2124</v>
      </c>
      <c r="C328" s="515" t="s">
        <v>2124</v>
      </c>
      <c r="D328" s="262" t="s">
        <v>673</v>
      </c>
      <c r="E328" s="513">
        <v>327</v>
      </c>
      <c r="F328" s="544" t="s">
        <v>2124</v>
      </c>
      <c r="G328" s="517">
        <v>45383</v>
      </c>
      <c r="H328" s="517">
        <v>45383</v>
      </c>
      <c r="I328" s="517">
        <v>45383</v>
      </c>
      <c r="J328" s="517">
        <v>45383</v>
      </c>
      <c r="K328" s="517">
        <v>45383</v>
      </c>
      <c r="L328" s="518" t="s">
        <v>705</v>
      </c>
      <c r="M328" s="264" t="s">
        <v>2587</v>
      </c>
      <c r="N328" s="262" t="s">
        <v>2176</v>
      </c>
      <c r="O328" s="263" t="s">
        <v>252</v>
      </c>
      <c r="P328" s="524" t="s">
        <v>2571</v>
      </c>
      <c r="Q328" s="264" t="s">
        <v>710</v>
      </c>
      <c r="R328" s="519" t="s">
        <v>136</v>
      </c>
      <c r="S328" s="399">
        <v>5</v>
      </c>
      <c r="T328" s="348" t="s">
        <v>2436</v>
      </c>
      <c r="U328" s="520">
        <v>15000</v>
      </c>
      <c r="V328" s="266">
        <v>75000</v>
      </c>
      <c r="W328" s="521" t="s">
        <v>227</v>
      </c>
      <c r="X328" s="521" t="s">
        <v>3383</v>
      </c>
      <c r="Y328" s="522" t="s">
        <v>2512</v>
      </c>
      <c r="Z328" s="523" t="s">
        <v>541</v>
      </c>
      <c r="AA328" s="521"/>
      <c r="AB328" s="521"/>
      <c r="AC328" s="521"/>
      <c r="AD328" s="521"/>
      <c r="AE328" s="521"/>
      <c r="AF328" s="521"/>
      <c r="AG328" s="264">
        <v>4</v>
      </c>
    </row>
    <row r="329" spans="1:33" s="526" customFormat="1" ht="29">
      <c r="A329" s="513">
        <v>327</v>
      </c>
      <c r="B329" s="514" t="s">
        <v>2124</v>
      </c>
      <c r="C329" s="515" t="s">
        <v>2124</v>
      </c>
      <c r="D329" s="262" t="s">
        <v>673</v>
      </c>
      <c r="E329" s="513">
        <v>328</v>
      </c>
      <c r="F329" s="544" t="s">
        <v>2124</v>
      </c>
      <c r="G329" s="517">
        <v>45383</v>
      </c>
      <c r="H329" s="517">
        <v>45383</v>
      </c>
      <c r="I329" s="517">
        <v>45383</v>
      </c>
      <c r="J329" s="517">
        <v>45383</v>
      </c>
      <c r="K329" s="517">
        <v>45383</v>
      </c>
      <c r="L329" s="518" t="s">
        <v>705</v>
      </c>
      <c r="M329" s="264" t="s">
        <v>2587</v>
      </c>
      <c r="N329" s="262" t="s">
        <v>2176</v>
      </c>
      <c r="O329" s="263" t="s">
        <v>259</v>
      </c>
      <c r="P329" s="264" t="str">
        <f t="shared" ref="P329:P353" si="14">O329</f>
        <v>Plastik Mika</v>
      </c>
      <c r="Q329" s="264" t="s">
        <v>710</v>
      </c>
      <c r="R329" s="519" t="s">
        <v>148</v>
      </c>
      <c r="S329" s="399">
        <v>5</v>
      </c>
      <c r="T329" s="348" t="s">
        <v>3365</v>
      </c>
      <c r="U329" s="520">
        <v>60000</v>
      </c>
      <c r="V329" s="266">
        <v>300000</v>
      </c>
      <c r="W329" s="521" t="s">
        <v>227</v>
      </c>
      <c r="X329" s="521" t="s">
        <v>3383</v>
      </c>
      <c r="Y329" s="522" t="s">
        <v>2512</v>
      </c>
      <c r="Z329" s="523" t="s">
        <v>541</v>
      </c>
      <c r="AA329" s="521"/>
      <c r="AB329" s="521"/>
      <c r="AC329" s="521"/>
      <c r="AD329" s="521"/>
      <c r="AE329" s="521"/>
      <c r="AF329" s="521"/>
      <c r="AG329" s="264">
        <v>4</v>
      </c>
    </row>
    <row r="330" spans="1:33" s="526" customFormat="1" ht="29">
      <c r="A330" s="513">
        <v>328</v>
      </c>
      <c r="B330" s="514" t="s">
        <v>2124</v>
      </c>
      <c r="C330" s="515" t="s">
        <v>2124</v>
      </c>
      <c r="D330" s="262" t="s">
        <v>673</v>
      </c>
      <c r="E330" s="513">
        <v>329</v>
      </c>
      <c r="F330" s="544" t="s">
        <v>2124</v>
      </c>
      <c r="G330" s="517">
        <v>45383</v>
      </c>
      <c r="H330" s="517">
        <v>45383</v>
      </c>
      <c r="I330" s="517">
        <v>45383</v>
      </c>
      <c r="J330" s="517">
        <v>45383</v>
      </c>
      <c r="K330" s="517">
        <v>45383</v>
      </c>
      <c r="L330" s="518" t="s">
        <v>705</v>
      </c>
      <c r="M330" s="264" t="s">
        <v>2587</v>
      </c>
      <c r="N330" s="262" t="s">
        <v>2176</v>
      </c>
      <c r="O330" s="263" t="s">
        <v>237</v>
      </c>
      <c r="P330" s="264" t="str">
        <f t="shared" si="14"/>
        <v>Binder Klip  nomor 107</v>
      </c>
      <c r="Q330" s="264" t="s">
        <v>710</v>
      </c>
      <c r="R330" s="525" t="s">
        <v>2595</v>
      </c>
      <c r="S330" s="399">
        <v>5</v>
      </c>
      <c r="T330" s="348" t="s">
        <v>3362</v>
      </c>
      <c r="U330" s="520">
        <v>7500</v>
      </c>
      <c r="V330" s="266">
        <v>37500</v>
      </c>
      <c r="W330" s="521" t="s">
        <v>227</v>
      </c>
      <c r="X330" s="521" t="s">
        <v>3383</v>
      </c>
      <c r="Y330" s="522" t="s">
        <v>2512</v>
      </c>
      <c r="Z330" s="523" t="s">
        <v>541</v>
      </c>
      <c r="AA330" s="521"/>
      <c r="AB330" s="521"/>
      <c r="AC330" s="521"/>
      <c r="AD330" s="521"/>
      <c r="AE330" s="521"/>
      <c r="AF330" s="521"/>
      <c r="AG330" s="264">
        <v>4</v>
      </c>
    </row>
    <row r="331" spans="1:33" s="526" customFormat="1" ht="29">
      <c r="A331" s="513">
        <v>329</v>
      </c>
      <c r="B331" s="514" t="s">
        <v>2124</v>
      </c>
      <c r="C331" s="515" t="s">
        <v>2124</v>
      </c>
      <c r="D331" s="262" t="s">
        <v>673</v>
      </c>
      <c r="E331" s="513">
        <v>330</v>
      </c>
      <c r="F331" s="544" t="s">
        <v>2124</v>
      </c>
      <c r="G331" s="517">
        <v>45383</v>
      </c>
      <c r="H331" s="517">
        <v>45383</v>
      </c>
      <c r="I331" s="517">
        <v>45383</v>
      </c>
      <c r="J331" s="517">
        <v>45383</v>
      </c>
      <c r="K331" s="517">
        <v>45383</v>
      </c>
      <c r="L331" s="518" t="s">
        <v>705</v>
      </c>
      <c r="M331" s="264" t="s">
        <v>2587</v>
      </c>
      <c r="N331" s="262" t="s">
        <v>2176</v>
      </c>
      <c r="O331" s="390" t="s">
        <v>228</v>
      </c>
      <c r="P331" s="264" t="str">
        <f t="shared" si="14"/>
        <v>Amplop Coklat Merk : Garda Ukuran Cabinet</v>
      </c>
      <c r="Q331" s="264" t="s">
        <v>710</v>
      </c>
      <c r="R331" s="525" t="s">
        <v>2596</v>
      </c>
      <c r="S331" s="399">
        <v>3</v>
      </c>
      <c r="T331" s="348" t="s">
        <v>3365</v>
      </c>
      <c r="U331" s="520">
        <v>23000</v>
      </c>
      <c r="V331" s="266">
        <v>69000</v>
      </c>
      <c r="W331" s="521" t="s">
        <v>227</v>
      </c>
      <c r="X331" s="521" t="s">
        <v>3383</v>
      </c>
      <c r="Y331" s="522" t="s">
        <v>2512</v>
      </c>
      <c r="Z331" s="523" t="s">
        <v>541</v>
      </c>
      <c r="AA331" s="521"/>
      <c r="AB331" s="521"/>
      <c r="AC331" s="521"/>
      <c r="AD331" s="521"/>
      <c r="AE331" s="521"/>
      <c r="AF331" s="521"/>
      <c r="AG331" s="264">
        <v>4</v>
      </c>
    </row>
    <row r="332" spans="1:33" s="526" customFormat="1" ht="29">
      <c r="A332" s="513">
        <v>330</v>
      </c>
      <c r="B332" s="514" t="s">
        <v>2124</v>
      </c>
      <c r="C332" s="515" t="s">
        <v>2124</v>
      </c>
      <c r="D332" s="262" t="s">
        <v>673</v>
      </c>
      <c r="E332" s="513">
        <v>331</v>
      </c>
      <c r="F332" s="544" t="s">
        <v>2124</v>
      </c>
      <c r="G332" s="517">
        <v>45383</v>
      </c>
      <c r="H332" s="517">
        <v>45383</v>
      </c>
      <c r="I332" s="517">
        <v>45383</v>
      </c>
      <c r="J332" s="517">
        <v>45383</v>
      </c>
      <c r="K332" s="517">
        <v>45383</v>
      </c>
      <c r="L332" s="518" t="s">
        <v>705</v>
      </c>
      <c r="M332" s="264" t="s">
        <v>2587</v>
      </c>
      <c r="N332" s="262" t="s">
        <v>2176</v>
      </c>
      <c r="O332" s="390" t="s">
        <v>248</v>
      </c>
      <c r="P332" s="264" t="str">
        <f t="shared" si="14"/>
        <v>Kertas Label</v>
      </c>
      <c r="Q332" s="264" t="s">
        <v>710</v>
      </c>
      <c r="R332" s="525" t="s">
        <v>2597</v>
      </c>
      <c r="S332" s="399">
        <v>5</v>
      </c>
      <c r="T332" s="348" t="s">
        <v>3368</v>
      </c>
      <c r="U332" s="520">
        <v>25000</v>
      </c>
      <c r="V332" s="266">
        <v>125000</v>
      </c>
      <c r="W332" s="521" t="s">
        <v>227</v>
      </c>
      <c r="X332" s="521" t="s">
        <v>3383</v>
      </c>
      <c r="Y332" s="522" t="s">
        <v>2512</v>
      </c>
      <c r="Z332" s="523" t="s">
        <v>541</v>
      </c>
      <c r="AA332" s="521"/>
      <c r="AB332" s="521"/>
      <c r="AC332" s="521"/>
      <c r="AD332" s="521"/>
      <c r="AE332" s="521"/>
      <c r="AF332" s="521"/>
      <c r="AG332" s="264">
        <v>4</v>
      </c>
    </row>
    <row r="333" spans="1:33" s="526" customFormat="1" ht="43.5">
      <c r="A333" s="513">
        <v>331</v>
      </c>
      <c r="B333" s="514" t="s">
        <v>2124</v>
      </c>
      <c r="C333" s="515" t="s">
        <v>2124</v>
      </c>
      <c r="D333" s="262" t="s">
        <v>673</v>
      </c>
      <c r="E333" s="513">
        <v>332</v>
      </c>
      <c r="F333" s="544" t="s">
        <v>2124</v>
      </c>
      <c r="G333" s="517">
        <v>45383</v>
      </c>
      <c r="H333" s="517">
        <v>45383</v>
      </c>
      <c r="I333" s="517">
        <v>45383</v>
      </c>
      <c r="J333" s="517">
        <v>45383</v>
      </c>
      <c r="K333" s="517">
        <v>45383</v>
      </c>
      <c r="L333" s="518" t="s">
        <v>705</v>
      </c>
      <c r="M333" s="264" t="s">
        <v>2587</v>
      </c>
      <c r="N333" s="262" t="s">
        <v>2176</v>
      </c>
      <c r="O333" s="390" t="s">
        <v>261</v>
      </c>
      <c r="P333" s="264" t="str">
        <f t="shared" si="14"/>
        <v>Spidol Refil Spidol White Board Snowman</v>
      </c>
      <c r="Q333" s="264" t="s">
        <v>710</v>
      </c>
      <c r="R333" s="519" t="s">
        <v>150</v>
      </c>
      <c r="S333" s="399">
        <v>10</v>
      </c>
      <c r="T333" s="348" t="s">
        <v>3363</v>
      </c>
      <c r="U333" s="520">
        <v>20900</v>
      </c>
      <c r="V333" s="266">
        <v>209000</v>
      </c>
      <c r="W333" s="521" t="s">
        <v>227</v>
      </c>
      <c r="X333" s="521" t="s">
        <v>3383</v>
      </c>
      <c r="Y333" s="522" t="s">
        <v>2512</v>
      </c>
      <c r="Z333" s="523" t="s">
        <v>541</v>
      </c>
      <c r="AA333" s="521"/>
      <c r="AB333" s="521"/>
      <c r="AC333" s="521"/>
      <c r="AD333" s="521"/>
      <c r="AE333" s="521"/>
      <c r="AF333" s="521"/>
      <c r="AG333" s="264">
        <v>4</v>
      </c>
    </row>
    <row r="334" spans="1:33" s="526" customFormat="1" ht="29">
      <c r="A334" s="513">
        <v>332</v>
      </c>
      <c r="B334" s="514" t="s">
        <v>2124</v>
      </c>
      <c r="C334" s="515" t="s">
        <v>2124</v>
      </c>
      <c r="D334" s="262" t="s">
        <v>673</v>
      </c>
      <c r="E334" s="513">
        <v>333</v>
      </c>
      <c r="F334" s="544" t="s">
        <v>2124</v>
      </c>
      <c r="G334" s="517">
        <v>45383</v>
      </c>
      <c r="H334" s="517">
        <v>45383</v>
      </c>
      <c r="I334" s="517">
        <v>45383</v>
      </c>
      <c r="J334" s="517">
        <v>45383</v>
      </c>
      <c r="K334" s="517">
        <v>45383</v>
      </c>
      <c r="L334" s="518" t="s">
        <v>705</v>
      </c>
      <c r="M334" s="264" t="s">
        <v>2587</v>
      </c>
      <c r="N334" s="262" t="s">
        <v>2176</v>
      </c>
      <c r="O334" s="390" t="s">
        <v>241</v>
      </c>
      <c r="P334" s="264" t="str">
        <f t="shared" si="14"/>
        <v>Binder Klip Merk : KENKO nomor 105</v>
      </c>
      <c r="Q334" s="264" t="s">
        <v>710</v>
      </c>
      <c r="R334" s="525" t="s">
        <v>2728</v>
      </c>
      <c r="S334" s="399">
        <v>2</v>
      </c>
      <c r="T334" s="348" t="s">
        <v>3362</v>
      </c>
      <c r="U334" s="520">
        <v>5000</v>
      </c>
      <c r="V334" s="266">
        <v>10000</v>
      </c>
      <c r="W334" s="521" t="s">
        <v>227</v>
      </c>
      <c r="X334" s="521" t="s">
        <v>3383</v>
      </c>
      <c r="Y334" s="522" t="s">
        <v>2512</v>
      </c>
      <c r="Z334" s="523" t="s">
        <v>541</v>
      </c>
      <c r="AA334" s="521"/>
      <c r="AB334" s="521"/>
      <c r="AC334" s="521"/>
      <c r="AD334" s="521"/>
      <c r="AE334" s="521"/>
      <c r="AF334" s="521"/>
      <c r="AG334" s="264">
        <v>4</v>
      </c>
    </row>
    <row r="335" spans="1:33" s="526" customFormat="1" ht="29">
      <c r="A335" s="513">
        <v>333</v>
      </c>
      <c r="B335" s="514" t="s">
        <v>2124</v>
      </c>
      <c r="C335" s="515" t="s">
        <v>2124</v>
      </c>
      <c r="D335" s="262" t="s">
        <v>673</v>
      </c>
      <c r="E335" s="513">
        <v>334</v>
      </c>
      <c r="F335" s="544" t="s">
        <v>2124</v>
      </c>
      <c r="G335" s="517">
        <v>45383</v>
      </c>
      <c r="H335" s="517">
        <v>45383</v>
      </c>
      <c r="I335" s="517">
        <v>45383</v>
      </c>
      <c r="J335" s="517">
        <v>45383</v>
      </c>
      <c r="K335" s="517">
        <v>45383</v>
      </c>
      <c r="L335" s="518" t="s">
        <v>705</v>
      </c>
      <c r="M335" s="264" t="s">
        <v>2587</v>
      </c>
      <c r="N335" s="262" t="s">
        <v>2176</v>
      </c>
      <c r="O335" s="390" t="s">
        <v>234</v>
      </c>
      <c r="P335" s="264" t="str">
        <f t="shared" si="14"/>
        <v>Ballpoint Pilot G2</v>
      </c>
      <c r="Q335" s="264" t="s">
        <v>710</v>
      </c>
      <c r="R335" s="519" t="s">
        <v>102</v>
      </c>
      <c r="S335" s="399">
        <v>1</v>
      </c>
      <c r="T335" s="348" t="s">
        <v>3364</v>
      </c>
      <c r="U335" s="520">
        <v>235000</v>
      </c>
      <c r="V335" s="266">
        <v>235000</v>
      </c>
      <c r="W335" s="521" t="s">
        <v>227</v>
      </c>
      <c r="X335" s="521" t="s">
        <v>3383</v>
      </c>
      <c r="Y335" s="522" t="s">
        <v>2512</v>
      </c>
      <c r="Z335" s="523" t="s">
        <v>541</v>
      </c>
      <c r="AA335" s="521"/>
      <c r="AB335" s="521"/>
      <c r="AC335" s="521"/>
      <c r="AD335" s="521"/>
      <c r="AE335" s="521"/>
      <c r="AF335" s="521"/>
      <c r="AG335" s="264">
        <v>4</v>
      </c>
    </row>
    <row r="336" spans="1:33" s="526" customFormat="1" ht="29">
      <c r="A336" s="513">
        <v>334</v>
      </c>
      <c r="B336" s="514" t="s">
        <v>2124</v>
      </c>
      <c r="C336" s="515" t="s">
        <v>2124</v>
      </c>
      <c r="D336" s="262" t="s">
        <v>673</v>
      </c>
      <c r="E336" s="513">
        <v>335</v>
      </c>
      <c r="F336" s="544" t="s">
        <v>2124</v>
      </c>
      <c r="G336" s="517">
        <v>45383</v>
      </c>
      <c r="H336" s="517">
        <v>45383</v>
      </c>
      <c r="I336" s="517">
        <v>45383</v>
      </c>
      <c r="J336" s="517">
        <v>45383</v>
      </c>
      <c r="K336" s="517">
        <v>45383</v>
      </c>
      <c r="L336" s="518" t="s">
        <v>705</v>
      </c>
      <c r="M336" s="264" t="s">
        <v>2587</v>
      </c>
      <c r="N336" s="262" t="s">
        <v>2176</v>
      </c>
      <c r="O336" s="390" t="s">
        <v>243</v>
      </c>
      <c r="P336" s="264" t="str">
        <f t="shared" si="14"/>
        <v>C. Tinta Printer EPSON Tinta Printer Epson Blue</v>
      </c>
      <c r="Q336" s="264" t="s">
        <v>710</v>
      </c>
      <c r="R336" s="519" t="s">
        <v>117</v>
      </c>
      <c r="S336" s="399">
        <v>4</v>
      </c>
      <c r="T336" s="348" t="s">
        <v>3367</v>
      </c>
      <c r="U336" s="520">
        <v>110000</v>
      </c>
      <c r="V336" s="266">
        <v>440000</v>
      </c>
      <c r="W336" s="521" t="s">
        <v>227</v>
      </c>
      <c r="X336" s="521" t="s">
        <v>3383</v>
      </c>
      <c r="Y336" s="522" t="s">
        <v>2512</v>
      </c>
      <c r="Z336" s="523" t="s">
        <v>541</v>
      </c>
      <c r="AA336" s="521"/>
      <c r="AB336" s="521"/>
      <c r="AC336" s="521"/>
      <c r="AD336" s="521"/>
      <c r="AE336" s="521"/>
      <c r="AF336" s="521"/>
      <c r="AG336" s="264">
        <v>4</v>
      </c>
    </row>
    <row r="337" spans="1:33" s="526" customFormat="1" ht="29">
      <c r="A337" s="513">
        <v>335</v>
      </c>
      <c r="B337" s="514" t="s">
        <v>2124</v>
      </c>
      <c r="C337" s="515" t="s">
        <v>2124</v>
      </c>
      <c r="D337" s="262" t="s">
        <v>673</v>
      </c>
      <c r="E337" s="513">
        <v>336</v>
      </c>
      <c r="F337" s="544" t="s">
        <v>2124</v>
      </c>
      <c r="G337" s="517">
        <v>45383</v>
      </c>
      <c r="H337" s="517">
        <v>45383</v>
      </c>
      <c r="I337" s="517">
        <v>45383</v>
      </c>
      <c r="J337" s="517">
        <v>45383</v>
      </c>
      <c r="K337" s="517">
        <v>45383</v>
      </c>
      <c r="L337" s="518" t="s">
        <v>705</v>
      </c>
      <c r="M337" s="264" t="s">
        <v>2587</v>
      </c>
      <c r="N337" s="262" t="s">
        <v>2176</v>
      </c>
      <c r="O337" s="390" t="s">
        <v>254</v>
      </c>
      <c r="P337" s="264" t="str">
        <f t="shared" si="14"/>
        <v>Map Binder</v>
      </c>
      <c r="Q337" s="264" t="s">
        <v>710</v>
      </c>
      <c r="R337" s="519" t="s">
        <v>142</v>
      </c>
      <c r="S337" s="399">
        <v>12</v>
      </c>
      <c r="T337" s="348" t="s">
        <v>3363</v>
      </c>
      <c r="U337" s="520">
        <v>35500</v>
      </c>
      <c r="V337" s="266">
        <v>426000</v>
      </c>
      <c r="W337" s="521" t="s">
        <v>227</v>
      </c>
      <c r="X337" s="521" t="s">
        <v>3383</v>
      </c>
      <c r="Y337" s="522" t="s">
        <v>2512</v>
      </c>
      <c r="Z337" s="523" t="s">
        <v>541</v>
      </c>
      <c r="AA337" s="521"/>
      <c r="AB337" s="521"/>
      <c r="AC337" s="521"/>
      <c r="AD337" s="521"/>
      <c r="AE337" s="521"/>
      <c r="AF337" s="521"/>
      <c r="AG337" s="264">
        <v>4</v>
      </c>
    </row>
    <row r="338" spans="1:33" s="526" customFormat="1" ht="29">
      <c r="A338" s="513">
        <v>336</v>
      </c>
      <c r="B338" s="514" t="s">
        <v>2124</v>
      </c>
      <c r="C338" s="515" t="s">
        <v>2124</v>
      </c>
      <c r="D338" s="262" t="s">
        <v>673</v>
      </c>
      <c r="E338" s="513">
        <v>337</v>
      </c>
      <c r="F338" s="544" t="s">
        <v>2124</v>
      </c>
      <c r="G338" s="517">
        <v>45383</v>
      </c>
      <c r="H338" s="517">
        <v>45383</v>
      </c>
      <c r="I338" s="517">
        <v>45383</v>
      </c>
      <c r="J338" s="517">
        <v>45383</v>
      </c>
      <c r="K338" s="517">
        <v>45383</v>
      </c>
      <c r="L338" s="518" t="s">
        <v>705</v>
      </c>
      <c r="M338" s="264" t="s">
        <v>2587</v>
      </c>
      <c r="N338" s="262" t="s">
        <v>2176</v>
      </c>
      <c r="O338" s="390" t="s">
        <v>2241</v>
      </c>
      <c r="P338" s="264" t="str">
        <f t="shared" si="14"/>
        <v>Stapler Stapler No, 50 MAX</v>
      </c>
      <c r="Q338" s="264" t="s">
        <v>710</v>
      </c>
      <c r="R338" s="519" t="s">
        <v>153</v>
      </c>
      <c r="S338" s="399">
        <v>2</v>
      </c>
      <c r="T338" s="348" t="s">
        <v>3363</v>
      </c>
      <c r="U338" s="520">
        <v>25000</v>
      </c>
      <c r="V338" s="266">
        <v>50000</v>
      </c>
      <c r="W338" s="521" t="s">
        <v>227</v>
      </c>
      <c r="X338" s="521" t="s">
        <v>3383</v>
      </c>
      <c r="Y338" s="522" t="s">
        <v>2512</v>
      </c>
      <c r="Z338" s="523" t="s">
        <v>541</v>
      </c>
      <c r="AA338" s="521"/>
      <c r="AB338" s="521"/>
      <c r="AC338" s="521"/>
      <c r="AD338" s="521"/>
      <c r="AE338" s="521"/>
      <c r="AF338" s="521"/>
      <c r="AG338" s="264">
        <v>4</v>
      </c>
    </row>
    <row r="339" spans="1:33" s="526" customFormat="1" ht="29">
      <c r="A339" s="513">
        <v>337</v>
      </c>
      <c r="B339" s="514" t="s">
        <v>2124</v>
      </c>
      <c r="C339" s="515" t="s">
        <v>2124</v>
      </c>
      <c r="D339" s="262" t="s">
        <v>673</v>
      </c>
      <c r="E339" s="513">
        <v>338</v>
      </c>
      <c r="F339" s="544" t="s">
        <v>2124</v>
      </c>
      <c r="G339" s="517">
        <v>45383</v>
      </c>
      <c r="H339" s="517">
        <v>45383</v>
      </c>
      <c r="I339" s="517">
        <v>45383</v>
      </c>
      <c r="J339" s="517">
        <v>45383</v>
      </c>
      <c r="K339" s="517">
        <v>45383</v>
      </c>
      <c r="L339" s="518" t="s">
        <v>705</v>
      </c>
      <c r="M339" s="264" t="s">
        <v>2587</v>
      </c>
      <c r="N339" s="262" t="s">
        <v>2176</v>
      </c>
      <c r="O339" s="390" t="s">
        <v>230</v>
      </c>
      <c r="P339" s="264" t="str">
        <f t="shared" si="14"/>
        <v>Amplop Coklat Merk : GSU Ukuran : 1/2 folio, bergaris</v>
      </c>
      <c r="Q339" s="264" t="s">
        <v>710</v>
      </c>
      <c r="R339" s="525" t="s">
        <v>2600</v>
      </c>
      <c r="S339" s="399">
        <v>1</v>
      </c>
      <c r="T339" s="348" t="s">
        <v>3365</v>
      </c>
      <c r="U339" s="520">
        <v>45000</v>
      </c>
      <c r="V339" s="266">
        <v>45000</v>
      </c>
      <c r="W339" s="521" t="s">
        <v>227</v>
      </c>
      <c r="X339" s="521" t="s">
        <v>3383</v>
      </c>
      <c r="Y339" s="522" t="s">
        <v>2512</v>
      </c>
      <c r="Z339" s="523" t="s">
        <v>541</v>
      </c>
      <c r="AA339" s="521"/>
      <c r="AB339" s="521"/>
      <c r="AC339" s="521"/>
      <c r="AD339" s="521"/>
      <c r="AE339" s="521"/>
      <c r="AF339" s="521"/>
      <c r="AG339" s="264">
        <v>4</v>
      </c>
    </row>
    <row r="340" spans="1:33" s="526" customFormat="1" ht="29">
      <c r="A340" s="513">
        <v>338</v>
      </c>
      <c r="B340" s="514" t="s">
        <v>2124</v>
      </c>
      <c r="C340" s="515" t="s">
        <v>2124</v>
      </c>
      <c r="D340" s="262" t="s">
        <v>673</v>
      </c>
      <c r="E340" s="513">
        <v>339</v>
      </c>
      <c r="F340" s="544" t="s">
        <v>2124</v>
      </c>
      <c r="G340" s="517">
        <v>45383</v>
      </c>
      <c r="H340" s="517">
        <v>45383</v>
      </c>
      <c r="I340" s="517">
        <v>45383</v>
      </c>
      <c r="J340" s="517">
        <v>45383</v>
      </c>
      <c r="K340" s="517">
        <v>45383</v>
      </c>
      <c r="L340" s="518" t="s">
        <v>705</v>
      </c>
      <c r="M340" s="264" t="s">
        <v>2587</v>
      </c>
      <c r="N340" s="262" t="s">
        <v>2176</v>
      </c>
      <c r="O340" s="390" t="s">
        <v>2242</v>
      </c>
      <c r="P340" s="264" t="str">
        <f t="shared" si="14"/>
        <v>Lakban Hitam--</v>
      </c>
      <c r="Q340" s="264" t="s">
        <v>710</v>
      </c>
      <c r="R340" s="519" t="s">
        <v>137</v>
      </c>
      <c r="S340" s="399">
        <v>5</v>
      </c>
      <c r="T340" s="348" t="s">
        <v>3363</v>
      </c>
      <c r="U340" s="520">
        <v>15500</v>
      </c>
      <c r="V340" s="266">
        <v>77500</v>
      </c>
      <c r="W340" s="521" t="s">
        <v>227</v>
      </c>
      <c r="X340" s="521" t="s">
        <v>3383</v>
      </c>
      <c r="Y340" s="522" t="s">
        <v>2512</v>
      </c>
      <c r="Z340" s="523" t="s">
        <v>541</v>
      </c>
      <c r="AA340" s="521"/>
      <c r="AB340" s="521"/>
      <c r="AC340" s="521"/>
      <c r="AD340" s="521"/>
      <c r="AE340" s="521"/>
      <c r="AF340" s="521"/>
      <c r="AG340" s="264">
        <v>4</v>
      </c>
    </row>
    <row r="341" spans="1:33" s="526" customFormat="1" ht="29">
      <c r="A341" s="513">
        <v>339</v>
      </c>
      <c r="B341" s="514" t="s">
        <v>2124</v>
      </c>
      <c r="C341" s="515" t="s">
        <v>2124</v>
      </c>
      <c r="D341" s="262" t="s">
        <v>673</v>
      </c>
      <c r="E341" s="513">
        <v>340</v>
      </c>
      <c r="F341" s="544" t="s">
        <v>2124</v>
      </c>
      <c r="G341" s="517">
        <v>45383</v>
      </c>
      <c r="H341" s="517">
        <v>45383</v>
      </c>
      <c r="I341" s="517">
        <v>45383</v>
      </c>
      <c r="J341" s="517">
        <v>45383</v>
      </c>
      <c r="K341" s="517">
        <v>45383</v>
      </c>
      <c r="L341" s="518" t="s">
        <v>705</v>
      </c>
      <c r="M341" s="264" t="s">
        <v>2587</v>
      </c>
      <c r="N341" s="262" t="s">
        <v>2176</v>
      </c>
      <c r="O341" s="390" t="s">
        <v>256</v>
      </c>
      <c r="P341" s="264" t="str">
        <f t="shared" si="14"/>
        <v>Paper Clip No 1  Paper Clip No 3</v>
      </c>
      <c r="Q341" s="264" t="s">
        <v>710</v>
      </c>
      <c r="R341" s="519" t="s">
        <v>145</v>
      </c>
      <c r="S341" s="399">
        <v>5</v>
      </c>
      <c r="T341" s="348" t="s">
        <v>3362</v>
      </c>
      <c r="U341" s="520">
        <v>6000</v>
      </c>
      <c r="V341" s="266">
        <v>30000</v>
      </c>
      <c r="W341" s="521" t="s">
        <v>227</v>
      </c>
      <c r="X341" s="521" t="s">
        <v>3383</v>
      </c>
      <c r="Y341" s="522" t="s">
        <v>2512</v>
      </c>
      <c r="Z341" s="523" t="s">
        <v>541</v>
      </c>
      <c r="AA341" s="521"/>
      <c r="AB341" s="521"/>
      <c r="AC341" s="521"/>
      <c r="AD341" s="521"/>
      <c r="AE341" s="521"/>
      <c r="AF341" s="521"/>
      <c r="AG341" s="264">
        <v>4</v>
      </c>
    </row>
    <row r="342" spans="1:33" s="526" customFormat="1" ht="29">
      <c r="A342" s="513">
        <v>340</v>
      </c>
      <c r="B342" s="514" t="s">
        <v>2124</v>
      </c>
      <c r="C342" s="515" t="s">
        <v>2124</v>
      </c>
      <c r="D342" s="262" t="s">
        <v>673</v>
      </c>
      <c r="E342" s="513">
        <v>341</v>
      </c>
      <c r="F342" s="544" t="s">
        <v>2124</v>
      </c>
      <c r="G342" s="517">
        <v>45383</v>
      </c>
      <c r="H342" s="517">
        <v>45383</v>
      </c>
      <c r="I342" s="517">
        <v>45383</v>
      </c>
      <c r="J342" s="517">
        <v>45383</v>
      </c>
      <c r="K342" s="517">
        <v>45383</v>
      </c>
      <c r="L342" s="518" t="s">
        <v>705</v>
      </c>
      <c r="M342" s="264" t="s">
        <v>2587</v>
      </c>
      <c r="N342" s="262" t="s">
        <v>2176</v>
      </c>
      <c r="O342" s="390" t="s">
        <v>2243</v>
      </c>
      <c r="P342" s="264" t="str">
        <f t="shared" si="14"/>
        <v>Lakban Hitam uk 2 " Warna hitam uk. 2 "</v>
      </c>
      <c r="Q342" s="264" t="s">
        <v>710</v>
      </c>
      <c r="R342" s="519" t="s">
        <v>140</v>
      </c>
      <c r="S342" s="399">
        <v>5</v>
      </c>
      <c r="T342" s="348" t="s">
        <v>3363</v>
      </c>
      <c r="U342" s="520">
        <v>25000</v>
      </c>
      <c r="V342" s="266">
        <v>125000</v>
      </c>
      <c r="W342" s="521" t="s">
        <v>227</v>
      </c>
      <c r="X342" s="521" t="s">
        <v>3383</v>
      </c>
      <c r="Y342" s="522" t="s">
        <v>2512</v>
      </c>
      <c r="Z342" s="523" t="s">
        <v>541</v>
      </c>
      <c r="AA342" s="521"/>
      <c r="AB342" s="521"/>
      <c r="AC342" s="521"/>
      <c r="AD342" s="521"/>
      <c r="AE342" s="521"/>
      <c r="AF342" s="521"/>
      <c r="AG342" s="264">
        <v>4</v>
      </c>
    </row>
    <row r="343" spans="1:33" s="526" customFormat="1" ht="29">
      <c r="A343" s="513">
        <v>341</v>
      </c>
      <c r="B343" s="514" t="s">
        <v>2124</v>
      </c>
      <c r="C343" s="515" t="s">
        <v>2124</v>
      </c>
      <c r="D343" s="262" t="s">
        <v>673</v>
      </c>
      <c r="E343" s="513">
        <v>342</v>
      </c>
      <c r="F343" s="544" t="s">
        <v>2124</v>
      </c>
      <c r="G343" s="517">
        <v>45383</v>
      </c>
      <c r="H343" s="517">
        <v>45383</v>
      </c>
      <c r="I343" s="517">
        <v>45383</v>
      </c>
      <c r="J343" s="517">
        <v>45383</v>
      </c>
      <c r="K343" s="517">
        <v>45383</v>
      </c>
      <c r="L343" s="518" t="s">
        <v>705</v>
      </c>
      <c r="M343" s="264" t="s">
        <v>2587</v>
      </c>
      <c r="N343" s="262" t="s">
        <v>2176</v>
      </c>
      <c r="O343" s="390" t="s">
        <v>250</v>
      </c>
      <c r="P343" s="264" t="str">
        <f t="shared" si="14"/>
        <v>Kertas StensiI</v>
      </c>
      <c r="Q343" s="264" t="s">
        <v>710</v>
      </c>
      <c r="R343" s="519" t="s">
        <v>132</v>
      </c>
      <c r="S343" s="399">
        <v>10</v>
      </c>
      <c r="T343" s="348" t="s">
        <v>3365</v>
      </c>
      <c r="U343" s="520">
        <v>50000</v>
      </c>
      <c r="V343" s="266">
        <v>500000</v>
      </c>
      <c r="W343" s="521" t="s">
        <v>227</v>
      </c>
      <c r="X343" s="521" t="s">
        <v>3383</v>
      </c>
      <c r="Y343" s="522" t="s">
        <v>2512</v>
      </c>
      <c r="Z343" s="523" t="s">
        <v>541</v>
      </c>
      <c r="AA343" s="521"/>
      <c r="AB343" s="521"/>
      <c r="AC343" s="521"/>
      <c r="AD343" s="521"/>
      <c r="AE343" s="521"/>
      <c r="AF343" s="521"/>
      <c r="AG343" s="264">
        <v>4</v>
      </c>
    </row>
    <row r="344" spans="1:33" s="526" customFormat="1" ht="43.5">
      <c r="A344" s="513">
        <v>342</v>
      </c>
      <c r="B344" s="514" t="s">
        <v>2124</v>
      </c>
      <c r="C344" s="515" t="s">
        <v>2124</v>
      </c>
      <c r="D344" s="262" t="s">
        <v>673</v>
      </c>
      <c r="E344" s="513">
        <v>343</v>
      </c>
      <c r="F344" s="544" t="s">
        <v>2124</v>
      </c>
      <c r="G344" s="517">
        <v>45383</v>
      </c>
      <c r="H344" s="517">
        <v>45383</v>
      </c>
      <c r="I344" s="517">
        <v>45383</v>
      </c>
      <c r="J344" s="517">
        <v>45383</v>
      </c>
      <c r="K344" s="517">
        <v>45383</v>
      </c>
      <c r="L344" s="518" t="s">
        <v>705</v>
      </c>
      <c r="M344" s="264" t="s">
        <v>2587</v>
      </c>
      <c r="N344" s="262" t="s">
        <v>2176</v>
      </c>
      <c r="O344" s="390" t="s">
        <v>262</v>
      </c>
      <c r="P344" s="264" t="str">
        <f t="shared" si="14"/>
        <v>Spidol White board</v>
      </c>
      <c r="Q344" s="264" t="s">
        <v>710</v>
      </c>
      <c r="R344" s="519" t="s">
        <v>151</v>
      </c>
      <c r="S344" s="399">
        <v>2</v>
      </c>
      <c r="T344" s="348" t="s">
        <v>3364</v>
      </c>
      <c r="U344" s="520">
        <v>120000</v>
      </c>
      <c r="V344" s="266">
        <v>240000</v>
      </c>
      <c r="W344" s="521" t="s">
        <v>227</v>
      </c>
      <c r="X344" s="521" t="s">
        <v>3383</v>
      </c>
      <c r="Y344" s="522" t="s">
        <v>2512</v>
      </c>
      <c r="Z344" s="523" t="s">
        <v>541</v>
      </c>
      <c r="AA344" s="521"/>
      <c r="AB344" s="521"/>
      <c r="AC344" s="521"/>
      <c r="AD344" s="521"/>
      <c r="AE344" s="521"/>
      <c r="AF344" s="521"/>
      <c r="AG344" s="264">
        <v>4</v>
      </c>
    </row>
    <row r="345" spans="1:33" s="526" customFormat="1" ht="29">
      <c r="A345" s="513">
        <v>343</v>
      </c>
      <c r="B345" s="514" t="s">
        <v>2124</v>
      </c>
      <c r="C345" s="515" t="s">
        <v>2124</v>
      </c>
      <c r="D345" s="262" t="s">
        <v>673</v>
      </c>
      <c r="E345" s="513">
        <v>344</v>
      </c>
      <c r="F345" s="544" t="s">
        <v>2124</v>
      </c>
      <c r="G345" s="517">
        <v>45383</v>
      </c>
      <c r="H345" s="517">
        <v>45383</v>
      </c>
      <c r="I345" s="517">
        <v>45383</v>
      </c>
      <c r="J345" s="517">
        <v>45383</v>
      </c>
      <c r="K345" s="517">
        <v>45383</v>
      </c>
      <c r="L345" s="518" t="s">
        <v>705</v>
      </c>
      <c r="M345" s="264" t="s">
        <v>2587</v>
      </c>
      <c r="N345" s="262" t="s">
        <v>2176</v>
      </c>
      <c r="O345" s="390" t="s">
        <v>258</v>
      </c>
      <c r="P345" s="264" t="str">
        <f t="shared" si="14"/>
        <v>Pisau Cutter Kenko L-500</v>
      </c>
      <c r="Q345" s="264" t="s">
        <v>710</v>
      </c>
      <c r="R345" s="525" t="s">
        <v>2601</v>
      </c>
      <c r="S345" s="399">
        <v>2</v>
      </c>
      <c r="T345" s="348" t="s">
        <v>3363</v>
      </c>
      <c r="U345" s="520">
        <v>15000</v>
      </c>
      <c r="V345" s="266">
        <v>30000</v>
      </c>
      <c r="W345" s="521" t="s">
        <v>227</v>
      </c>
      <c r="X345" s="521" t="s">
        <v>3383</v>
      </c>
      <c r="Y345" s="522" t="s">
        <v>2512</v>
      </c>
      <c r="Z345" s="523" t="s">
        <v>541</v>
      </c>
      <c r="AA345" s="521"/>
      <c r="AB345" s="521"/>
      <c r="AC345" s="521"/>
      <c r="AD345" s="521"/>
      <c r="AE345" s="521"/>
      <c r="AF345" s="521"/>
      <c r="AG345" s="264">
        <v>4</v>
      </c>
    </row>
    <row r="346" spans="1:33" s="526" customFormat="1" ht="29">
      <c r="A346" s="513">
        <v>344</v>
      </c>
      <c r="B346" s="514" t="s">
        <v>2124</v>
      </c>
      <c r="C346" s="515" t="s">
        <v>2124</v>
      </c>
      <c r="D346" s="262" t="s">
        <v>673</v>
      </c>
      <c r="E346" s="513">
        <v>345</v>
      </c>
      <c r="F346" s="544" t="s">
        <v>2124</v>
      </c>
      <c r="G346" s="517">
        <v>45383</v>
      </c>
      <c r="H346" s="517">
        <v>45383</v>
      </c>
      <c r="I346" s="517">
        <v>45383</v>
      </c>
      <c r="J346" s="517">
        <v>45383</v>
      </c>
      <c r="K346" s="517">
        <v>45383</v>
      </c>
      <c r="L346" s="518" t="s">
        <v>705</v>
      </c>
      <c r="M346" s="264" t="s">
        <v>2587</v>
      </c>
      <c r="N346" s="262" t="s">
        <v>2176</v>
      </c>
      <c r="O346" s="390" t="s">
        <v>2244</v>
      </c>
      <c r="P346" s="264" t="str">
        <f t="shared" si="14"/>
        <v>Lem Fox isi 500 gram--</v>
      </c>
      <c r="Q346" s="264" t="s">
        <v>710</v>
      </c>
      <c r="R346" s="519" t="s">
        <v>141</v>
      </c>
      <c r="S346" s="399">
        <v>2</v>
      </c>
      <c r="T346" s="348" t="s">
        <v>3363</v>
      </c>
      <c r="U346" s="520">
        <v>35400</v>
      </c>
      <c r="V346" s="266">
        <v>70800</v>
      </c>
      <c r="W346" s="521" t="s">
        <v>227</v>
      </c>
      <c r="X346" s="521" t="s">
        <v>3383</v>
      </c>
      <c r="Y346" s="522" t="s">
        <v>2512</v>
      </c>
      <c r="Z346" s="523" t="s">
        <v>541</v>
      </c>
      <c r="AA346" s="521"/>
      <c r="AB346" s="521"/>
      <c r="AC346" s="521"/>
      <c r="AD346" s="521"/>
      <c r="AE346" s="521"/>
      <c r="AF346" s="521"/>
      <c r="AG346" s="264">
        <v>4</v>
      </c>
    </row>
    <row r="347" spans="1:33" s="526" customFormat="1" ht="29">
      <c r="A347" s="513">
        <v>345</v>
      </c>
      <c r="B347" s="514" t="s">
        <v>2124</v>
      </c>
      <c r="C347" s="515" t="s">
        <v>2124</v>
      </c>
      <c r="D347" s="262" t="s">
        <v>673</v>
      </c>
      <c r="E347" s="513">
        <v>346</v>
      </c>
      <c r="F347" s="544" t="s">
        <v>2124</v>
      </c>
      <c r="G347" s="517">
        <v>45383</v>
      </c>
      <c r="H347" s="517">
        <v>45383</v>
      </c>
      <c r="I347" s="517">
        <v>45383</v>
      </c>
      <c r="J347" s="517">
        <v>45383</v>
      </c>
      <c r="K347" s="517">
        <v>45383</v>
      </c>
      <c r="L347" s="518" t="s">
        <v>705</v>
      </c>
      <c r="M347" s="264" t="s">
        <v>2587</v>
      </c>
      <c r="N347" s="262" t="s">
        <v>2176</v>
      </c>
      <c r="O347" s="390" t="s">
        <v>240</v>
      </c>
      <c r="P347" s="264" t="str">
        <f t="shared" si="14"/>
        <v>Binder Klip  nomor 260</v>
      </c>
      <c r="Q347" s="264" t="s">
        <v>710</v>
      </c>
      <c r="R347" s="525" t="s">
        <v>2602</v>
      </c>
      <c r="S347" s="399">
        <v>10</v>
      </c>
      <c r="T347" s="348" t="s">
        <v>3362</v>
      </c>
      <c r="U347" s="520">
        <v>20000</v>
      </c>
      <c r="V347" s="266">
        <v>200000</v>
      </c>
      <c r="W347" s="521" t="s">
        <v>227</v>
      </c>
      <c r="X347" s="521" t="s">
        <v>3383</v>
      </c>
      <c r="Y347" s="522" t="s">
        <v>2512</v>
      </c>
      <c r="Z347" s="523" t="s">
        <v>541</v>
      </c>
      <c r="AA347" s="521"/>
      <c r="AB347" s="521"/>
      <c r="AC347" s="521"/>
      <c r="AD347" s="521"/>
      <c r="AE347" s="521"/>
      <c r="AF347" s="521"/>
      <c r="AG347" s="264">
        <v>4</v>
      </c>
    </row>
    <row r="348" spans="1:33" s="526" customFormat="1" ht="29">
      <c r="A348" s="513">
        <v>346</v>
      </c>
      <c r="B348" s="514" t="s">
        <v>2124</v>
      </c>
      <c r="C348" s="515" t="s">
        <v>2124</v>
      </c>
      <c r="D348" s="262" t="s">
        <v>673</v>
      </c>
      <c r="E348" s="513">
        <v>347</v>
      </c>
      <c r="F348" s="544" t="s">
        <v>2124</v>
      </c>
      <c r="G348" s="517">
        <v>45383</v>
      </c>
      <c r="H348" s="517">
        <v>45383</v>
      </c>
      <c r="I348" s="517">
        <v>45383</v>
      </c>
      <c r="J348" s="517">
        <v>45383</v>
      </c>
      <c r="K348" s="517">
        <v>45383</v>
      </c>
      <c r="L348" s="518" t="s">
        <v>705</v>
      </c>
      <c r="M348" s="264" t="s">
        <v>2587</v>
      </c>
      <c r="N348" s="262" t="s">
        <v>2176</v>
      </c>
      <c r="O348" s="390" t="s">
        <v>246</v>
      </c>
      <c r="P348" s="264" t="str">
        <f t="shared" si="14"/>
        <v>C. Tinta Printer EPSON Tinta Printer Epson Yellow</v>
      </c>
      <c r="Q348" s="264" t="s">
        <v>710</v>
      </c>
      <c r="R348" s="519" t="s">
        <v>119</v>
      </c>
      <c r="S348" s="399">
        <v>4</v>
      </c>
      <c r="T348" s="348" t="s">
        <v>3367</v>
      </c>
      <c r="U348" s="520">
        <v>110000</v>
      </c>
      <c r="V348" s="266">
        <v>440000</v>
      </c>
      <c r="W348" s="521" t="s">
        <v>227</v>
      </c>
      <c r="X348" s="521" t="s">
        <v>3383</v>
      </c>
      <c r="Y348" s="522" t="s">
        <v>2512</v>
      </c>
      <c r="Z348" s="523" t="s">
        <v>541</v>
      </c>
      <c r="AA348" s="521"/>
      <c r="AB348" s="521"/>
      <c r="AC348" s="521"/>
      <c r="AD348" s="521"/>
      <c r="AE348" s="521"/>
      <c r="AF348" s="521"/>
      <c r="AG348" s="264">
        <v>4</v>
      </c>
    </row>
    <row r="349" spans="1:33" s="526" customFormat="1" ht="29">
      <c r="A349" s="513">
        <v>347</v>
      </c>
      <c r="B349" s="514" t="s">
        <v>2124</v>
      </c>
      <c r="C349" s="515" t="s">
        <v>2124</v>
      </c>
      <c r="D349" s="262" t="s">
        <v>673</v>
      </c>
      <c r="E349" s="513">
        <v>348</v>
      </c>
      <c r="F349" s="544" t="s">
        <v>2124</v>
      </c>
      <c r="G349" s="517">
        <v>45383</v>
      </c>
      <c r="H349" s="517">
        <v>45383</v>
      </c>
      <c r="I349" s="517">
        <v>45383</v>
      </c>
      <c r="J349" s="517">
        <v>45383</v>
      </c>
      <c r="K349" s="517">
        <v>45383</v>
      </c>
      <c r="L349" s="518" t="s">
        <v>705</v>
      </c>
      <c r="M349" s="264" t="s">
        <v>2587</v>
      </c>
      <c r="N349" s="262" t="s">
        <v>2176</v>
      </c>
      <c r="O349" s="390" t="s">
        <v>255</v>
      </c>
      <c r="P349" s="264" t="str">
        <f t="shared" si="14"/>
        <v>PAPER CLIP  Paper Clip No 1</v>
      </c>
      <c r="Q349" s="264" t="s">
        <v>710</v>
      </c>
      <c r="R349" s="519" t="s">
        <v>144</v>
      </c>
      <c r="S349" s="399">
        <v>5</v>
      </c>
      <c r="T349" s="348" t="s">
        <v>3362</v>
      </c>
      <c r="U349" s="520">
        <v>5000</v>
      </c>
      <c r="V349" s="266">
        <v>25000</v>
      </c>
      <c r="W349" s="521" t="s">
        <v>227</v>
      </c>
      <c r="X349" s="521" t="s">
        <v>3383</v>
      </c>
      <c r="Y349" s="522" t="s">
        <v>2512</v>
      </c>
      <c r="Z349" s="523" t="s">
        <v>541</v>
      </c>
      <c r="AA349" s="521"/>
      <c r="AB349" s="521"/>
      <c r="AC349" s="521"/>
      <c r="AD349" s="521"/>
      <c r="AE349" s="521"/>
      <c r="AF349" s="521"/>
      <c r="AG349" s="264">
        <v>4</v>
      </c>
    </row>
    <row r="350" spans="1:33" s="526" customFormat="1" ht="29">
      <c r="A350" s="513">
        <v>348</v>
      </c>
      <c r="B350" s="514" t="s">
        <v>2124</v>
      </c>
      <c r="C350" s="515" t="s">
        <v>2124</v>
      </c>
      <c r="D350" s="262" t="s">
        <v>673</v>
      </c>
      <c r="E350" s="513">
        <v>349</v>
      </c>
      <c r="F350" s="544" t="s">
        <v>2124</v>
      </c>
      <c r="G350" s="517">
        <v>45383</v>
      </c>
      <c r="H350" s="517">
        <v>45383</v>
      </c>
      <c r="I350" s="517">
        <v>45383</v>
      </c>
      <c r="J350" s="517">
        <v>45383</v>
      </c>
      <c r="K350" s="517">
        <v>45383</v>
      </c>
      <c r="L350" s="518" t="s">
        <v>705</v>
      </c>
      <c r="M350" s="264" t="s">
        <v>2587</v>
      </c>
      <c r="N350" s="262" t="s">
        <v>2176</v>
      </c>
      <c r="O350" s="390" t="s">
        <v>247</v>
      </c>
      <c r="P350" s="264" t="str">
        <f t="shared" si="14"/>
        <v>Kertas HVS 80 gram Merk : Paper One A4, Ukuran : 8,27" x 11,69", Isi : 500 lembar</v>
      </c>
      <c r="Q350" s="264" t="s">
        <v>710</v>
      </c>
      <c r="R350" s="519" t="s">
        <v>1351</v>
      </c>
      <c r="S350" s="399">
        <v>40</v>
      </c>
      <c r="T350" s="348" t="s">
        <v>3369</v>
      </c>
      <c r="U350" s="520">
        <v>50000</v>
      </c>
      <c r="V350" s="266">
        <v>2000000</v>
      </c>
      <c r="W350" s="521" t="s">
        <v>227</v>
      </c>
      <c r="X350" s="521" t="s">
        <v>3383</v>
      </c>
      <c r="Y350" s="522" t="s">
        <v>2512</v>
      </c>
      <c r="Z350" s="523" t="s">
        <v>541</v>
      </c>
      <c r="AA350" s="521"/>
      <c r="AB350" s="521"/>
      <c r="AC350" s="521"/>
      <c r="AD350" s="521"/>
      <c r="AE350" s="521"/>
      <c r="AF350" s="521"/>
      <c r="AG350" s="264">
        <v>4</v>
      </c>
    </row>
    <row r="351" spans="1:33" s="526" customFormat="1" ht="29">
      <c r="A351" s="513">
        <v>349</v>
      </c>
      <c r="B351" s="514" t="s">
        <v>2124</v>
      </c>
      <c r="C351" s="515" t="s">
        <v>2124</v>
      </c>
      <c r="D351" s="262" t="s">
        <v>673</v>
      </c>
      <c r="E351" s="513">
        <v>350</v>
      </c>
      <c r="F351" s="544" t="s">
        <v>2124</v>
      </c>
      <c r="G351" s="517">
        <v>45383</v>
      </c>
      <c r="H351" s="517">
        <v>45383</v>
      </c>
      <c r="I351" s="517">
        <v>45383</v>
      </c>
      <c r="J351" s="517">
        <v>45383</v>
      </c>
      <c r="K351" s="517">
        <v>45383</v>
      </c>
      <c r="L351" s="518" t="s">
        <v>705</v>
      </c>
      <c r="M351" s="264" t="s">
        <v>2587</v>
      </c>
      <c r="N351" s="262" t="s">
        <v>2176</v>
      </c>
      <c r="O351" s="390" t="s">
        <v>264</v>
      </c>
      <c r="P351" s="264" t="str">
        <f t="shared" si="14"/>
        <v>Stofmap Transparan</v>
      </c>
      <c r="Q351" s="264" t="s">
        <v>710</v>
      </c>
      <c r="R351" s="519" t="s">
        <v>157</v>
      </c>
      <c r="S351" s="399">
        <v>100</v>
      </c>
      <c r="T351" s="348" t="s">
        <v>3363</v>
      </c>
      <c r="U351" s="520">
        <v>5500</v>
      </c>
      <c r="V351" s="266">
        <v>550000</v>
      </c>
      <c r="W351" s="521" t="s">
        <v>227</v>
      </c>
      <c r="X351" s="521" t="s">
        <v>3383</v>
      </c>
      <c r="Y351" s="522" t="s">
        <v>2512</v>
      </c>
      <c r="Z351" s="523" t="s">
        <v>541</v>
      </c>
      <c r="AA351" s="521"/>
      <c r="AB351" s="521"/>
      <c r="AC351" s="521"/>
      <c r="AD351" s="521"/>
      <c r="AE351" s="521"/>
      <c r="AF351" s="521"/>
      <c r="AG351" s="264">
        <v>4</v>
      </c>
    </row>
    <row r="352" spans="1:33" s="526" customFormat="1" ht="29">
      <c r="A352" s="513">
        <v>350</v>
      </c>
      <c r="B352" s="514" t="s">
        <v>2124</v>
      </c>
      <c r="C352" s="515" t="s">
        <v>2124</v>
      </c>
      <c r="D352" s="262" t="s">
        <v>673</v>
      </c>
      <c r="E352" s="513">
        <v>351</v>
      </c>
      <c r="F352" s="544" t="s">
        <v>2124</v>
      </c>
      <c r="G352" s="517">
        <v>45383</v>
      </c>
      <c r="H352" s="517">
        <v>45383</v>
      </c>
      <c r="I352" s="517">
        <v>45383</v>
      </c>
      <c r="J352" s="517">
        <v>45383</v>
      </c>
      <c r="K352" s="517">
        <v>45383</v>
      </c>
      <c r="L352" s="518" t="s">
        <v>705</v>
      </c>
      <c r="M352" s="264" t="s">
        <v>2587</v>
      </c>
      <c r="N352" s="262" t="s">
        <v>2176</v>
      </c>
      <c r="O352" s="390" t="s">
        <v>2247</v>
      </c>
      <c r="P352" s="264" t="str">
        <f t="shared" si="14"/>
        <v>Amplop Panjang Putih Polos Merk : Jaya Ukuran : 11 x 23 cm</v>
      </c>
      <c r="Q352" s="264" t="s">
        <v>710</v>
      </c>
      <c r="R352" s="519" t="s">
        <v>99</v>
      </c>
      <c r="S352" s="399">
        <v>1</v>
      </c>
      <c r="T352" s="348" t="s">
        <v>3362</v>
      </c>
      <c r="U352" s="520">
        <v>48000</v>
      </c>
      <c r="V352" s="266">
        <v>48000</v>
      </c>
      <c r="W352" s="521" t="s">
        <v>227</v>
      </c>
      <c r="X352" s="521" t="s">
        <v>3383</v>
      </c>
      <c r="Y352" s="522" t="s">
        <v>2512</v>
      </c>
      <c r="Z352" s="523" t="s">
        <v>541</v>
      </c>
      <c r="AA352" s="521"/>
      <c r="AB352" s="521"/>
      <c r="AC352" s="521"/>
      <c r="AD352" s="521"/>
      <c r="AE352" s="521"/>
      <c r="AF352" s="521"/>
      <c r="AG352" s="264">
        <v>4</v>
      </c>
    </row>
    <row r="353" spans="1:33" s="526" customFormat="1" ht="29">
      <c r="A353" s="513">
        <v>351</v>
      </c>
      <c r="B353" s="514" t="s">
        <v>2124</v>
      </c>
      <c r="C353" s="515" t="s">
        <v>2124</v>
      </c>
      <c r="D353" s="262" t="s">
        <v>673</v>
      </c>
      <c r="E353" s="513">
        <v>352</v>
      </c>
      <c r="F353" s="544" t="s">
        <v>2124</v>
      </c>
      <c r="G353" s="517">
        <v>45383</v>
      </c>
      <c r="H353" s="517">
        <v>45383</v>
      </c>
      <c r="I353" s="517">
        <v>45383</v>
      </c>
      <c r="J353" s="517">
        <v>45383</v>
      </c>
      <c r="K353" s="517">
        <v>45383</v>
      </c>
      <c r="L353" s="518" t="s">
        <v>705</v>
      </c>
      <c r="M353" s="264" t="s">
        <v>2587</v>
      </c>
      <c r="N353" s="262" t="s">
        <v>2176</v>
      </c>
      <c r="O353" s="390" t="s">
        <v>249</v>
      </c>
      <c r="P353" s="264" t="str">
        <f t="shared" si="14"/>
        <v>Kertas Post-It Warna Warni  Sign Here</v>
      </c>
      <c r="Q353" s="264" t="s">
        <v>710</v>
      </c>
      <c r="R353" s="525" t="s">
        <v>2604</v>
      </c>
      <c r="S353" s="399">
        <v>5</v>
      </c>
      <c r="T353" s="348" t="s">
        <v>3363</v>
      </c>
      <c r="U353" s="520">
        <v>22800</v>
      </c>
      <c r="V353" s="266">
        <v>114000</v>
      </c>
      <c r="W353" s="521" t="s">
        <v>227</v>
      </c>
      <c r="X353" s="521" t="s">
        <v>3383</v>
      </c>
      <c r="Y353" s="522" t="s">
        <v>2512</v>
      </c>
      <c r="Z353" s="523" t="s">
        <v>541</v>
      </c>
      <c r="AA353" s="521"/>
      <c r="AB353" s="521"/>
      <c r="AC353" s="521"/>
      <c r="AD353" s="521"/>
      <c r="AE353" s="521"/>
      <c r="AF353" s="521"/>
      <c r="AG353" s="264">
        <v>4</v>
      </c>
    </row>
    <row r="354" spans="1:33" s="526" customFormat="1" ht="37.5">
      <c r="A354" s="513">
        <v>352</v>
      </c>
      <c r="B354" s="514" t="s">
        <v>2124</v>
      </c>
      <c r="C354" s="515" t="s">
        <v>2124</v>
      </c>
      <c r="D354" s="262" t="s">
        <v>673</v>
      </c>
      <c r="E354" s="513">
        <v>353</v>
      </c>
      <c r="F354" s="544" t="s">
        <v>2124</v>
      </c>
      <c r="G354" s="517">
        <v>45383</v>
      </c>
      <c r="H354" s="517">
        <v>45383</v>
      </c>
      <c r="I354" s="517">
        <v>45383</v>
      </c>
      <c r="J354" s="517">
        <v>45383</v>
      </c>
      <c r="K354" s="517">
        <v>45383</v>
      </c>
      <c r="L354" s="518" t="s">
        <v>705</v>
      </c>
      <c r="M354" s="264" t="s">
        <v>2587</v>
      </c>
      <c r="N354" s="262" t="s">
        <v>2176</v>
      </c>
      <c r="O354" s="390" t="s">
        <v>252</v>
      </c>
      <c r="P354" s="524" t="s">
        <v>2605</v>
      </c>
      <c r="Q354" s="264" t="s">
        <v>710</v>
      </c>
      <c r="R354" s="519" t="s">
        <v>134</v>
      </c>
      <c r="S354" s="399">
        <v>5</v>
      </c>
      <c r="T354" s="348" t="s">
        <v>2436</v>
      </c>
      <c r="U354" s="520">
        <v>10000</v>
      </c>
      <c r="V354" s="266">
        <v>50000</v>
      </c>
      <c r="W354" s="521" t="s">
        <v>227</v>
      </c>
      <c r="X354" s="521" t="s">
        <v>3383</v>
      </c>
      <c r="Y354" s="522" t="s">
        <v>2512</v>
      </c>
      <c r="Z354" s="523" t="s">
        <v>541</v>
      </c>
      <c r="AA354" s="521"/>
      <c r="AB354" s="521"/>
      <c r="AC354" s="521"/>
      <c r="AD354" s="521"/>
      <c r="AE354" s="521"/>
      <c r="AF354" s="521"/>
      <c r="AG354" s="264">
        <v>4</v>
      </c>
    </row>
    <row r="355" spans="1:33" s="526" customFormat="1" ht="29">
      <c r="A355" s="513">
        <v>353</v>
      </c>
      <c r="B355" s="514" t="s">
        <v>2124</v>
      </c>
      <c r="C355" s="515" t="s">
        <v>2124</v>
      </c>
      <c r="D355" s="262" t="s">
        <v>673</v>
      </c>
      <c r="E355" s="513">
        <v>354</v>
      </c>
      <c r="F355" s="544" t="s">
        <v>2124</v>
      </c>
      <c r="G355" s="517">
        <v>45383</v>
      </c>
      <c r="H355" s="517">
        <v>45383</v>
      </c>
      <c r="I355" s="517">
        <v>45383</v>
      </c>
      <c r="J355" s="517">
        <v>45383</v>
      </c>
      <c r="K355" s="517">
        <v>45383</v>
      </c>
      <c r="L355" s="518" t="s">
        <v>705</v>
      </c>
      <c r="M355" s="264" t="s">
        <v>2587</v>
      </c>
      <c r="N355" s="262" t="s">
        <v>2176</v>
      </c>
      <c r="O355" s="390" t="s">
        <v>239</v>
      </c>
      <c r="P355" s="264" t="str">
        <f t="shared" ref="P355:P380" si="15">O355</f>
        <v>Binder Klip  nomor 200</v>
      </c>
      <c r="Q355" s="264" t="s">
        <v>710</v>
      </c>
      <c r="R355" s="519" t="s">
        <v>110</v>
      </c>
      <c r="S355" s="399">
        <v>10</v>
      </c>
      <c r="T355" s="348" t="s">
        <v>3362</v>
      </c>
      <c r="U355" s="520">
        <v>16500</v>
      </c>
      <c r="V355" s="266">
        <v>165000</v>
      </c>
      <c r="W355" s="521" t="s">
        <v>227</v>
      </c>
      <c r="X355" s="521" t="s">
        <v>3383</v>
      </c>
      <c r="Y355" s="522" t="s">
        <v>2512</v>
      </c>
      <c r="Z355" s="523" t="s">
        <v>541</v>
      </c>
      <c r="AA355" s="521"/>
      <c r="AB355" s="521"/>
      <c r="AC355" s="521"/>
      <c r="AD355" s="521"/>
      <c r="AE355" s="521"/>
      <c r="AF355" s="521"/>
      <c r="AG355" s="264">
        <v>4</v>
      </c>
    </row>
    <row r="356" spans="1:33" s="526" customFormat="1" ht="29">
      <c r="A356" s="513">
        <v>354</v>
      </c>
      <c r="B356" s="514" t="s">
        <v>2124</v>
      </c>
      <c r="C356" s="515" t="s">
        <v>2124</v>
      </c>
      <c r="D356" s="262" t="s">
        <v>673</v>
      </c>
      <c r="E356" s="513">
        <v>355</v>
      </c>
      <c r="F356" s="544" t="s">
        <v>2124</v>
      </c>
      <c r="G356" s="517">
        <v>45383</v>
      </c>
      <c r="H356" s="517">
        <v>45383</v>
      </c>
      <c r="I356" s="517">
        <v>45383</v>
      </c>
      <c r="J356" s="517">
        <v>45383</v>
      </c>
      <c r="K356" s="517">
        <v>45383</v>
      </c>
      <c r="L356" s="518" t="s">
        <v>705</v>
      </c>
      <c r="M356" s="264" t="s">
        <v>2587</v>
      </c>
      <c r="N356" s="262" t="s">
        <v>2176</v>
      </c>
      <c r="O356" s="390" t="s">
        <v>2250</v>
      </c>
      <c r="P356" s="264" t="str">
        <f t="shared" si="15"/>
        <v>C. Tinta Printer EPSON Toner Epson 664 Black</v>
      </c>
      <c r="Q356" s="264" t="s">
        <v>710</v>
      </c>
      <c r="R356" s="519" t="s">
        <v>120</v>
      </c>
      <c r="S356" s="399">
        <v>6</v>
      </c>
      <c r="T356" s="348" t="s">
        <v>3367</v>
      </c>
      <c r="U356" s="520">
        <v>85000</v>
      </c>
      <c r="V356" s="266">
        <v>510000</v>
      </c>
      <c r="W356" s="521" t="s">
        <v>227</v>
      </c>
      <c r="X356" s="521" t="s">
        <v>3383</v>
      </c>
      <c r="Y356" s="522" t="s">
        <v>2512</v>
      </c>
      <c r="Z356" s="523" t="s">
        <v>541</v>
      </c>
      <c r="AA356" s="521"/>
      <c r="AB356" s="521"/>
      <c r="AC356" s="521"/>
      <c r="AD356" s="521"/>
      <c r="AE356" s="521"/>
      <c r="AF356" s="521"/>
      <c r="AG356" s="264">
        <v>4</v>
      </c>
    </row>
    <row r="357" spans="1:33" s="526" customFormat="1" ht="29">
      <c r="A357" s="513">
        <v>355</v>
      </c>
      <c r="B357" s="514" t="s">
        <v>2124</v>
      </c>
      <c r="C357" s="515" t="s">
        <v>2124</v>
      </c>
      <c r="D357" s="262" t="s">
        <v>673</v>
      </c>
      <c r="E357" s="513">
        <v>356</v>
      </c>
      <c r="F357" s="544" t="s">
        <v>2124</v>
      </c>
      <c r="G357" s="517">
        <v>45383</v>
      </c>
      <c r="H357" s="517">
        <v>45383</v>
      </c>
      <c r="I357" s="517">
        <v>45383</v>
      </c>
      <c r="J357" s="517">
        <v>45383</v>
      </c>
      <c r="K357" s="517">
        <v>45383</v>
      </c>
      <c r="L357" s="518" t="s">
        <v>705</v>
      </c>
      <c r="M357" s="264" t="s">
        <v>2587</v>
      </c>
      <c r="N357" s="262" t="s">
        <v>2176</v>
      </c>
      <c r="O357" s="390" t="s">
        <v>251</v>
      </c>
      <c r="P357" s="264" t="str">
        <f t="shared" si="15"/>
        <v>Kertas Warna Blank Folio, Ukuran : 8,5 x 14",  70 gram</v>
      </c>
      <c r="Q357" s="264" t="s">
        <v>710</v>
      </c>
      <c r="R357" s="519" t="s">
        <v>133</v>
      </c>
      <c r="S357" s="399">
        <v>2</v>
      </c>
      <c r="T357" s="348" t="s">
        <v>3369</v>
      </c>
      <c r="U357" s="520">
        <v>90000</v>
      </c>
      <c r="V357" s="266">
        <v>180000</v>
      </c>
      <c r="W357" s="521" t="s">
        <v>227</v>
      </c>
      <c r="X357" s="521" t="s">
        <v>3383</v>
      </c>
      <c r="Y357" s="522" t="s">
        <v>2512</v>
      </c>
      <c r="Z357" s="523" t="s">
        <v>541</v>
      </c>
      <c r="AA357" s="521"/>
      <c r="AB357" s="521"/>
      <c r="AC357" s="521"/>
      <c r="AD357" s="521"/>
      <c r="AE357" s="521"/>
      <c r="AF357" s="521"/>
      <c r="AG357" s="264">
        <v>4</v>
      </c>
    </row>
    <row r="358" spans="1:33" s="526" customFormat="1" ht="29">
      <c r="A358" s="513">
        <v>356</v>
      </c>
      <c r="B358" s="514" t="s">
        <v>2124</v>
      </c>
      <c r="C358" s="515" t="s">
        <v>2124</v>
      </c>
      <c r="D358" s="262" t="s">
        <v>673</v>
      </c>
      <c r="E358" s="513">
        <v>357</v>
      </c>
      <c r="F358" s="544" t="s">
        <v>2124</v>
      </c>
      <c r="G358" s="517">
        <v>45383</v>
      </c>
      <c r="H358" s="517">
        <v>45383</v>
      </c>
      <c r="I358" s="517">
        <v>45383</v>
      </c>
      <c r="J358" s="517">
        <v>45383</v>
      </c>
      <c r="K358" s="517">
        <v>45383</v>
      </c>
      <c r="L358" s="518" t="s">
        <v>705</v>
      </c>
      <c r="M358" s="264" t="s">
        <v>2587</v>
      </c>
      <c r="N358" s="262" t="s">
        <v>2176</v>
      </c>
      <c r="O358" s="390" t="s">
        <v>260</v>
      </c>
      <c r="P358" s="264" t="str">
        <f t="shared" si="15"/>
        <v>Sampul Plastik</v>
      </c>
      <c r="Q358" s="264" t="s">
        <v>710</v>
      </c>
      <c r="R358" s="519" t="s">
        <v>149</v>
      </c>
      <c r="S358" s="399">
        <v>5</v>
      </c>
      <c r="T358" s="348" t="s">
        <v>3365</v>
      </c>
      <c r="U358" s="520">
        <v>65000</v>
      </c>
      <c r="V358" s="266">
        <v>325000</v>
      </c>
      <c r="W358" s="521" t="s">
        <v>227</v>
      </c>
      <c r="X358" s="521" t="s">
        <v>3383</v>
      </c>
      <c r="Y358" s="522" t="s">
        <v>2512</v>
      </c>
      <c r="Z358" s="523" t="s">
        <v>541</v>
      </c>
      <c r="AA358" s="521"/>
      <c r="AB358" s="521"/>
      <c r="AC358" s="521"/>
      <c r="AD358" s="521"/>
      <c r="AE358" s="521"/>
      <c r="AF358" s="521"/>
      <c r="AG358" s="264">
        <v>4</v>
      </c>
    </row>
    <row r="359" spans="1:33" s="526" customFormat="1" ht="29">
      <c r="A359" s="513">
        <v>357</v>
      </c>
      <c r="B359" s="514" t="s">
        <v>2124</v>
      </c>
      <c r="C359" s="515" t="s">
        <v>2124</v>
      </c>
      <c r="D359" s="262" t="s">
        <v>673</v>
      </c>
      <c r="E359" s="513">
        <v>358</v>
      </c>
      <c r="F359" s="544" t="s">
        <v>2124</v>
      </c>
      <c r="G359" s="517">
        <v>45383</v>
      </c>
      <c r="H359" s="517">
        <v>45383</v>
      </c>
      <c r="I359" s="517">
        <v>45383</v>
      </c>
      <c r="J359" s="517">
        <v>45383</v>
      </c>
      <c r="K359" s="517">
        <v>45383</v>
      </c>
      <c r="L359" s="518" t="s">
        <v>705</v>
      </c>
      <c r="M359" s="264" t="s">
        <v>2587</v>
      </c>
      <c r="N359" s="262" t="s">
        <v>2176</v>
      </c>
      <c r="O359" s="390" t="s">
        <v>2252</v>
      </c>
      <c r="P359" s="264" t="str">
        <f t="shared" si="15"/>
        <v>Box File Merk : Bantex Ukuran : 115x270x325 mm</v>
      </c>
      <c r="Q359" s="264" t="s">
        <v>710</v>
      </c>
      <c r="R359" s="524" t="s">
        <v>2606</v>
      </c>
      <c r="S359" s="399">
        <v>4</v>
      </c>
      <c r="T359" s="348" t="s">
        <v>3363</v>
      </c>
      <c r="U359" s="520">
        <v>59800</v>
      </c>
      <c r="V359" s="266">
        <v>239200</v>
      </c>
      <c r="W359" s="521" t="s">
        <v>227</v>
      </c>
      <c r="X359" s="521" t="s">
        <v>3383</v>
      </c>
      <c r="Y359" s="522" t="s">
        <v>2512</v>
      </c>
      <c r="Z359" s="523" t="s">
        <v>541</v>
      </c>
      <c r="AA359" s="521"/>
      <c r="AB359" s="521"/>
      <c r="AC359" s="521"/>
      <c r="AD359" s="521"/>
      <c r="AE359" s="521"/>
      <c r="AF359" s="521"/>
      <c r="AG359" s="264">
        <v>4</v>
      </c>
    </row>
    <row r="360" spans="1:33" s="526" customFormat="1" ht="29">
      <c r="A360" s="513">
        <v>358</v>
      </c>
      <c r="B360" s="514" t="s">
        <v>2124</v>
      </c>
      <c r="C360" s="515" t="s">
        <v>2124</v>
      </c>
      <c r="D360" s="262" t="s">
        <v>673</v>
      </c>
      <c r="E360" s="513">
        <v>359</v>
      </c>
      <c r="F360" s="544" t="s">
        <v>2124</v>
      </c>
      <c r="G360" s="517">
        <v>45383</v>
      </c>
      <c r="H360" s="517">
        <v>45383</v>
      </c>
      <c r="I360" s="517">
        <v>45383</v>
      </c>
      <c r="J360" s="517">
        <v>45383</v>
      </c>
      <c r="K360" s="517">
        <v>45383</v>
      </c>
      <c r="L360" s="518" t="s">
        <v>705</v>
      </c>
      <c r="M360" s="264" t="s">
        <v>2587</v>
      </c>
      <c r="N360" s="262" t="s">
        <v>2176</v>
      </c>
      <c r="O360" s="390" t="s">
        <v>253</v>
      </c>
      <c r="P360" s="264" t="str">
        <f t="shared" si="15"/>
        <v>Lakban warna Uk 2" Warna Coklat Cofiie</v>
      </c>
      <c r="Q360" s="264" t="s">
        <v>710</v>
      </c>
      <c r="R360" s="519" t="s">
        <v>140</v>
      </c>
      <c r="S360" s="399">
        <v>3</v>
      </c>
      <c r="T360" s="348" t="s">
        <v>3363</v>
      </c>
      <c r="U360" s="520">
        <v>20000</v>
      </c>
      <c r="V360" s="266">
        <v>60000</v>
      </c>
      <c r="W360" s="521" t="s">
        <v>227</v>
      </c>
      <c r="X360" s="521" t="s">
        <v>3383</v>
      </c>
      <c r="Y360" s="522" t="s">
        <v>2512</v>
      </c>
      <c r="Z360" s="523" t="s">
        <v>541</v>
      </c>
      <c r="AA360" s="521"/>
      <c r="AB360" s="521"/>
      <c r="AC360" s="521"/>
      <c r="AD360" s="521"/>
      <c r="AE360" s="521"/>
      <c r="AF360" s="521"/>
      <c r="AG360" s="264">
        <v>4</v>
      </c>
    </row>
    <row r="361" spans="1:33" s="526" customFormat="1" ht="29">
      <c r="A361" s="513">
        <v>359</v>
      </c>
      <c r="B361" s="514" t="s">
        <v>2124</v>
      </c>
      <c r="C361" s="515" t="s">
        <v>2124</v>
      </c>
      <c r="D361" s="262" t="s">
        <v>673</v>
      </c>
      <c r="E361" s="513">
        <v>360</v>
      </c>
      <c r="F361" s="544" t="s">
        <v>2124</v>
      </c>
      <c r="G361" s="517">
        <v>45383</v>
      </c>
      <c r="H361" s="517">
        <v>45383</v>
      </c>
      <c r="I361" s="517">
        <v>45383</v>
      </c>
      <c r="J361" s="517">
        <v>45383</v>
      </c>
      <c r="K361" s="517">
        <v>45383</v>
      </c>
      <c r="L361" s="518" t="s">
        <v>705</v>
      </c>
      <c r="M361" s="264" t="s">
        <v>2587</v>
      </c>
      <c r="N361" s="262" t="s">
        <v>2176</v>
      </c>
      <c r="O361" s="390" t="s">
        <v>2255</v>
      </c>
      <c r="P361" s="264" t="str">
        <f t="shared" si="15"/>
        <v>gunting kertas-ukuran : panjang 21cm x lebar 8cm, stainless steel</v>
      </c>
      <c r="Q361" s="264" t="s">
        <v>710</v>
      </c>
      <c r="R361" s="519" t="s">
        <v>123</v>
      </c>
      <c r="S361" s="399">
        <v>2</v>
      </c>
      <c r="T361" s="348" t="s">
        <v>3363</v>
      </c>
      <c r="U361" s="520">
        <v>20000</v>
      </c>
      <c r="V361" s="266">
        <v>40000</v>
      </c>
      <c r="W361" s="521" t="s">
        <v>227</v>
      </c>
      <c r="X361" s="521" t="s">
        <v>3383</v>
      </c>
      <c r="Y361" s="522" t="s">
        <v>2512</v>
      </c>
      <c r="Z361" s="523" t="s">
        <v>541</v>
      </c>
      <c r="AA361" s="521"/>
      <c r="AB361" s="521"/>
      <c r="AC361" s="521"/>
      <c r="AD361" s="521"/>
      <c r="AE361" s="521"/>
      <c r="AF361" s="521"/>
      <c r="AG361" s="264">
        <v>4</v>
      </c>
    </row>
    <row r="362" spans="1:33" s="526" customFormat="1" ht="29">
      <c r="A362" s="513">
        <v>360</v>
      </c>
      <c r="B362" s="514" t="s">
        <v>2124</v>
      </c>
      <c r="C362" s="515" t="s">
        <v>2124</v>
      </c>
      <c r="D362" s="262" t="s">
        <v>673</v>
      </c>
      <c r="E362" s="513">
        <v>361</v>
      </c>
      <c r="F362" s="544" t="s">
        <v>2124</v>
      </c>
      <c r="G362" s="517">
        <v>45383</v>
      </c>
      <c r="H362" s="517">
        <v>45383</v>
      </c>
      <c r="I362" s="517">
        <v>45383</v>
      </c>
      <c r="J362" s="517">
        <v>45383</v>
      </c>
      <c r="K362" s="517">
        <v>45383</v>
      </c>
      <c r="L362" s="518" t="s">
        <v>705</v>
      </c>
      <c r="M362" s="264" t="s">
        <v>2587</v>
      </c>
      <c r="N362" s="262" t="s">
        <v>2176</v>
      </c>
      <c r="O362" s="390" t="s">
        <v>2256</v>
      </c>
      <c r="P362" s="264" t="str">
        <f t="shared" si="15"/>
        <v>Ballpoint Standard AE7</v>
      </c>
      <c r="Q362" s="264" t="s">
        <v>710</v>
      </c>
      <c r="R362" s="519" t="s">
        <v>103</v>
      </c>
      <c r="S362" s="399">
        <v>2</v>
      </c>
      <c r="T362" s="348" t="s">
        <v>3364</v>
      </c>
      <c r="U362" s="520">
        <v>20000</v>
      </c>
      <c r="V362" s="266">
        <v>40000</v>
      </c>
      <c r="W362" s="521" t="s">
        <v>227</v>
      </c>
      <c r="X362" s="521" t="s">
        <v>3383</v>
      </c>
      <c r="Y362" s="522" t="s">
        <v>2512</v>
      </c>
      <c r="Z362" s="523" t="s">
        <v>541</v>
      </c>
      <c r="AA362" s="521"/>
      <c r="AB362" s="521"/>
      <c r="AC362" s="521"/>
      <c r="AD362" s="521"/>
      <c r="AE362" s="521"/>
      <c r="AF362" s="521"/>
      <c r="AG362" s="264">
        <v>4</v>
      </c>
    </row>
    <row r="363" spans="1:33" s="526" customFormat="1" ht="29">
      <c r="A363" s="513">
        <v>361</v>
      </c>
      <c r="B363" s="514" t="s">
        <v>2124</v>
      </c>
      <c r="C363" s="515" t="s">
        <v>2124</v>
      </c>
      <c r="D363" s="262" t="s">
        <v>673</v>
      </c>
      <c r="E363" s="513">
        <v>362</v>
      </c>
      <c r="F363" s="544" t="s">
        <v>2124</v>
      </c>
      <c r="G363" s="517">
        <v>45383</v>
      </c>
      <c r="H363" s="517">
        <v>45383</v>
      </c>
      <c r="I363" s="517">
        <v>45383</v>
      </c>
      <c r="J363" s="517">
        <v>45383</v>
      </c>
      <c r="K363" s="517">
        <v>45383</v>
      </c>
      <c r="L363" s="518" t="s">
        <v>705</v>
      </c>
      <c r="M363" s="264" t="s">
        <v>2587</v>
      </c>
      <c r="N363" s="262" t="s">
        <v>2176</v>
      </c>
      <c r="O363" s="390" t="s">
        <v>245</v>
      </c>
      <c r="P363" s="264" t="str">
        <f t="shared" si="15"/>
        <v>C. Tinta Printer EPSON Tinta Printer Epson Read</v>
      </c>
      <c r="Q363" s="264" t="s">
        <v>710</v>
      </c>
      <c r="R363" s="528" t="s">
        <v>118</v>
      </c>
      <c r="S363" s="399">
        <v>4</v>
      </c>
      <c r="T363" s="348" t="s">
        <v>3367</v>
      </c>
      <c r="U363" s="520">
        <v>110000</v>
      </c>
      <c r="V363" s="266">
        <v>440000</v>
      </c>
      <c r="W363" s="521" t="s">
        <v>227</v>
      </c>
      <c r="X363" s="521" t="s">
        <v>3383</v>
      </c>
      <c r="Y363" s="522" t="s">
        <v>2512</v>
      </c>
      <c r="Z363" s="523" t="s">
        <v>541</v>
      </c>
      <c r="AA363" s="521"/>
      <c r="AB363" s="521"/>
      <c r="AC363" s="521"/>
      <c r="AD363" s="521"/>
      <c r="AE363" s="521"/>
      <c r="AF363" s="521"/>
      <c r="AG363" s="264">
        <v>4</v>
      </c>
    </row>
    <row r="364" spans="1:33" s="526" customFormat="1" ht="29">
      <c r="A364" s="513">
        <v>362</v>
      </c>
      <c r="B364" s="514" t="s">
        <v>2124</v>
      </c>
      <c r="C364" s="515" t="s">
        <v>2124</v>
      </c>
      <c r="D364" s="262" t="s">
        <v>673</v>
      </c>
      <c r="E364" s="513">
        <v>363</v>
      </c>
      <c r="F364" s="544" t="s">
        <v>2124</v>
      </c>
      <c r="G364" s="517">
        <v>45383</v>
      </c>
      <c r="H364" s="517">
        <v>45383</v>
      </c>
      <c r="I364" s="517">
        <v>45383</v>
      </c>
      <c r="J364" s="517">
        <v>45383</v>
      </c>
      <c r="K364" s="517">
        <v>45383</v>
      </c>
      <c r="L364" s="518" t="s">
        <v>705</v>
      </c>
      <c r="M364" s="264" t="s">
        <v>2587</v>
      </c>
      <c r="N364" s="262" t="s">
        <v>2176</v>
      </c>
      <c r="O364" s="390" t="s">
        <v>263</v>
      </c>
      <c r="P364" s="264" t="str">
        <f t="shared" si="15"/>
        <v>Stofmap Kertas</v>
      </c>
      <c r="Q364" s="264" t="s">
        <v>710</v>
      </c>
      <c r="R364" s="519" t="s">
        <v>156</v>
      </c>
      <c r="S364" s="399">
        <v>1</v>
      </c>
      <c r="T364" s="348" t="s">
        <v>3370</v>
      </c>
      <c r="U364" s="520">
        <v>87500</v>
      </c>
      <c r="V364" s="266">
        <v>87500</v>
      </c>
      <c r="W364" s="521" t="s">
        <v>227</v>
      </c>
      <c r="X364" s="521" t="s">
        <v>3383</v>
      </c>
      <c r="Y364" s="522" t="s">
        <v>2512</v>
      </c>
      <c r="Z364" s="523" t="s">
        <v>541</v>
      </c>
      <c r="AA364" s="521"/>
      <c r="AB364" s="521"/>
      <c r="AC364" s="521"/>
      <c r="AD364" s="521"/>
      <c r="AE364" s="521"/>
      <c r="AF364" s="521"/>
      <c r="AG364" s="264">
        <v>4</v>
      </c>
    </row>
    <row r="365" spans="1:33" s="526" customFormat="1" ht="29">
      <c r="A365" s="513">
        <v>363</v>
      </c>
      <c r="B365" s="514" t="s">
        <v>2124</v>
      </c>
      <c r="C365" s="515" t="s">
        <v>2124</v>
      </c>
      <c r="D365" s="262" t="s">
        <v>673</v>
      </c>
      <c r="E365" s="513">
        <v>364</v>
      </c>
      <c r="F365" s="544" t="s">
        <v>2124</v>
      </c>
      <c r="G365" s="517">
        <v>45383</v>
      </c>
      <c r="H365" s="517">
        <v>45383</v>
      </c>
      <c r="I365" s="517">
        <v>45383</v>
      </c>
      <c r="J365" s="517">
        <v>45383</v>
      </c>
      <c r="K365" s="517">
        <v>45383</v>
      </c>
      <c r="L365" s="518" t="s">
        <v>705</v>
      </c>
      <c r="M365" s="264" t="s">
        <v>2587</v>
      </c>
      <c r="N365" s="262" t="s">
        <v>2176</v>
      </c>
      <c r="O365" s="390" t="s">
        <v>2257</v>
      </c>
      <c r="P365" s="264" t="str">
        <f t="shared" si="15"/>
        <v>lakban hitam-ukuran : lebar 2 inch, panjang 12m, bahan : kain</v>
      </c>
      <c r="Q365" s="264" t="s">
        <v>710</v>
      </c>
      <c r="R365" s="519" t="s">
        <v>137</v>
      </c>
      <c r="S365" s="399">
        <v>4</v>
      </c>
      <c r="T365" s="348" t="s">
        <v>3363</v>
      </c>
      <c r="U365" s="520">
        <v>12500</v>
      </c>
      <c r="V365" s="266">
        <v>50000</v>
      </c>
      <c r="W365" s="521" t="s">
        <v>227</v>
      </c>
      <c r="X365" s="521" t="s">
        <v>3383</v>
      </c>
      <c r="Y365" s="522" t="s">
        <v>2512</v>
      </c>
      <c r="Z365" s="523" t="s">
        <v>541</v>
      </c>
      <c r="AA365" s="521"/>
      <c r="AB365" s="521"/>
      <c r="AC365" s="521"/>
      <c r="AD365" s="521"/>
      <c r="AE365" s="521"/>
      <c r="AF365" s="521"/>
      <c r="AG365" s="264">
        <v>4</v>
      </c>
    </row>
    <row r="366" spans="1:33" s="526" customFormat="1" ht="29">
      <c r="A366" s="513">
        <v>364</v>
      </c>
      <c r="B366" s="514" t="s">
        <v>2124</v>
      </c>
      <c r="C366" s="515" t="s">
        <v>2124</v>
      </c>
      <c r="D366" s="262" t="s">
        <v>673</v>
      </c>
      <c r="E366" s="513">
        <v>365</v>
      </c>
      <c r="F366" s="544" t="s">
        <v>2124</v>
      </c>
      <c r="G366" s="517">
        <v>45383</v>
      </c>
      <c r="H366" s="517">
        <v>45383</v>
      </c>
      <c r="I366" s="517">
        <v>45383</v>
      </c>
      <c r="J366" s="517">
        <v>45383</v>
      </c>
      <c r="K366" s="517">
        <v>45383</v>
      </c>
      <c r="L366" s="518" t="s">
        <v>705</v>
      </c>
      <c r="M366" s="264" t="s">
        <v>2587</v>
      </c>
      <c r="N366" s="262" t="s">
        <v>2176</v>
      </c>
      <c r="O366" s="390" t="s">
        <v>2258</v>
      </c>
      <c r="P366" s="264" t="str">
        <f t="shared" si="15"/>
        <v>Lakban Besar</v>
      </c>
      <c r="Q366" s="264" t="s">
        <v>710</v>
      </c>
      <c r="R366" s="519" t="s">
        <v>2607</v>
      </c>
      <c r="S366" s="399">
        <v>5</v>
      </c>
      <c r="T366" s="348" t="s">
        <v>3363</v>
      </c>
      <c r="U366" s="520">
        <v>25000</v>
      </c>
      <c r="V366" s="266">
        <v>125000</v>
      </c>
      <c r="W366" s="521" t="s">
        <v>227</v>
      </c>
      <c r="X366" s="521" t="s">
        <v>3383</v>
      </c>
      <c r="Y366" s="522" t="s">
        <v>2512</v>
      </c>
      <c r="Z366" s="523" t="s">
        <v>541</v>
      </c>
      <c r="AA366" s="521"/>
      <c r="AB366" s="521"/>
      <c r="AC366" s="521"/>
      <c r="AD366" s="521"/>
      <c r="AE366" s="521"/>
      <c r="AF366" s="521"/>
      <c r="AG366" s="264">
        <v>4</v>
      </c>
    </row>
    <row r="367" spans="1:33" s="526" customFormat="1" ht="29">
      <c r="A367" s="513">
        <v>365</v>
      </c>
      <c r="B367" s="514" t="s">
        <v>2124</v>
      </c>
      <c r="C367" s="515" t="s">
        <v>2124</v>
      </c>
      <c r="D367" s="262" t="s">
        <v>673</v>
      </c>
      <c r="E367" s="513">
        <v>366</v>
      </c>
      <c r="F367" s="544" t="s">
        <v>2124</v>
      </c>
      <c r="G367" s="517">
        <v>45383</v>
      </c>
      <c r="H367" s="517">
        <v>45383</v>
      </c>
      <c r="I367" s="517">
        <v>45383</v>
      </c>
      <c r="J367" s="517">
        <v>45383</v>
      </c>
      <c r="K367" s="517">
        <v>45383</v>
      </c>
      <c r="L367" s="518" t="s">
        <v>705</v>
      </c>
      <c r="M367" s="264" t="s">
        <v>2587</v>
      </c>
      <c r="N367" s="262" t="s">
        <v>2176</v>
      </c>
      <c r="O367" s="390" t="s">
        <v>2260</v>
      </c>
      <c r="P367" s="264" t="str">
        <f t="shared" si="15"/>
        <v>Tinta Printer Canon 740 Hitam-740 Hitam</v>
      </c>
      <c r="Q367" s="264" t="s">
        <v>710</v>
      </c>
      <c r="R367" s="519" t="s">
        <v>159</v>
      </c>
      <c r="S367" s="399">
        <v>8</v>
      </c>
      <c r="T367" s="348" t="s">
        <v>3367</v>
      </c>
      <c r="U367" s="520">
        <v>30000</v>
      </c>
      <c r="V367" s="266">
        <v>240000</v>
      </c>
      <c r="W367" s="521" t="s">
        <v>227</v>
      </c>
      <c r="X367" s="521" t="s">
        <v>3383</v>
      </c>
      <c r="Y367" s="522" t="s">
        <v>2512</v>
      </c>
      <c r="Z367" s="523" t="s">
        <v>541</v>
      </c>
      <c r="AA367" s="521"/>
      <c r="AB367" s="521"/>
      <c r="AC367" s="521"/>
      <c r="AD367" s="521"/>
      <c r="AE367" s="521"/>
      <c r="AF367" s="521"/>
      <c r="AG367" s="264">
        <v>4</v>
      </c>
    </row>
    <row r="368" spans="1:33" s="526" customFormat="1" ht="29">
      <c r="A368" s="513">
        <v>366</v>
      </c>
      <c r="B368" s="514" t="s">
        <v>2124</v>
      </c>
      <c r="C368" s="515" t="s">
        <v>2124</v>
      </c>
      <c r="D368" s="262" t="s">
        <v>673</v>
      </c>
      <c r="E368" s="513">
        <v>367</v>
      </c>
      <c r="F368" s="544" t="s">
        <v>2124</v>
      </c>
      <c r="G368" s="517">
        <v>45383</v>
      </c>
      <c r="H368" s="517">
        <v>45383</v>
      </c>
      <c r="I368" s="517">
        <v>45383</v>
      </c>
      <c r="J368" s="517">
        <v>45383</v>
      </c>
      <c r="K368" s="517">
        <v>45383</v>
      </c>
      <c r="L368" s="518" t="s">
        <v>705</v>
      </c>
      <c r="M368" s="264" t="s">
        <v>2587</v>
      </c>
      <c r="N368" s="262" t="s">
        <v>2176</v>
      </c>
      <c r="O368" s="390" t="s">
        <v>2261</v>
      </c>
      <c r="P368" s="264" t="str">
        <f t="shared" si="15"/>
        <v>Kertas HVS 60 gram Merk : Paper One HVS F4 uk. 8.27"x11.69"</v>
      </c>
      <c r="Q368" s="264" t="s">
        <v>710</v>
      </c>
      <c r="R368" s="519" t="s">
        <v>127</v>
      </c>
      <c r="S368" s="399">
        <v>10</v>
      </c>
      <c r="T368" s="348" t="s">
        <v>3369</v>
      </c>
      <c r="U368" s="520">
        <v>48500</v>
      </c>
      <c r="V368" s="266">
        <v>485000</v>
      </c>
      <c r="W368" s="521" t="s">
        <v>227</v>
      </c>
      <c r="X368" s="521" t="s">
        <v>3383</v>
      </c>
      <c r="Y368" s="522" t="s">
        <v>2512</v>
      </c>
      <c r="Z368" s="523" t="s">
        <v>541</v>
      </c>
      <c r="AA368" s="521"/>
      <c r="AB368" s="521"/>
      <c r="AC368" s="521"/>
      <c r="AD368" s="521"/>
      <c r="AE368" s="521"/>
      <c r="AF368" s="521"/>
      <c r="AG368" s="264">
        <v>4</v>
      </c>
    </row>
    <row r="369" spans="1:33" s="526" customFormat="1" ht="29">
      <c r="A369" s="513">
        <v>367</v>
      </c>
      <c r="B369" s="514" t="s">
        <v>2124</v>
      </c>
      <c r="C369" s="515" t="s">
        <v>2124</v>
      </c>
      <c r="D369" s="262" t="s">
        <v>673</v>
      </c>
      <c r="E369" s="513">
        <v>368</v>
      </c>
      <c r="F369" s="544" t="s">
        <v>2124</v>
      </c>
      <c r="G369" s="517">
        <v>45383</v>
      </c>
      <c r="H369" s="517">
        <v>45383</v>
      </c>
      <c r="I369" s="517">
        <v>45383</v>
      </c>
      <c r="J369" s="517">
        <v>45383</v>
      </c>
      <c r="K369" s="517">
        <v>45383</v>
      </c>
      <c r="L369" s="518" t="s">
        <v>705</v>
      </c>
      <c r="M369" s="264" t="s">
        <v>2587</v>
      </c>
      <c r="N369" s="262" t="s">
        <v>2176</v>
      </c>
      <c r="O369" s="390" t="s">
        <v>242</v>
      </c>
      <c r="P369" s="264" t="str">
        <f t="shared" si="15"/>
        <v>Binder Klip Ordner</v>
      </c>
      <c r="Q369" s="264" t="s">
        <v>710</v>
      </c>
      <c r="R369" s="519" t="s">
        <v>113</v>
      </c>
      <c r="S369" s="399">
        <v>6</v>
      </c>
      <c r="T369" s="348" t="s">
        <v>3363</v>
      </c>
      <c r="U369" s="520">
        <v>49500</v>
      </c>
      <c r="V369" s="266">
        <v>297000</v>
      </c>
      <c r="W369" s="521" t="s">
        <v>227</v>
      </c>
      <c r="X369" s="521" t="s">
        <v>3383</v>
      </c>
      <c r="Y369" s="522" t="s">
        <v>2512</v>
      </c>
      <c r="Z369" s="523" t="s">
        <v>541</v>
      </c>
      <c r="AA369" s="521"/>
      <c r="AB369" s="521"/>
      <c r="AC369" s="521"/>
      <c r="AD369" s="521"/>
      <c r="AE369" s="521"/>
      <c r="AF369" s="521"/>
      <c r="AG369" s="264">
        <v>4</v>
      </c>
    </row>
    <row r="370" spans="1:33" s="526" customFormat="1" ht="29">
      <c r="A370" s="513">
        <v>368</v>
      </c>
      <c r="B370" s="514" t="s">
        <v>2125</v>
      </c>
      <c r="C370" s="515" t="s">
        <v>2125</v>
      </c>
      <c r="D370" s="262" t="s">
        <v>674</v>
      </c>
      <c r="E370" s="513">
        <v>369</v>
      </c>
      <c r="F370" s="544" t="s">
        <v>2125</v>
      </c>
      <c r="G370" s="517">
        <v>45383</v>
      </c>
      <c r="H370" s="517">
        <v>45383</v>
      </c>
      <c r="I370" s="517">
        <v>45383</v>
      </c>
      <c r="J370" s="517">
        <v>45383</v>
      </c>
      <c r="K370" s="517">
        <v>45383</v>
      </c>
      <c r="L370" s="518" t="s">
        <v>533</v>
      </c>
      <c r="M370" s="264" t="s">
        <v>2587</v>
      </c>
      <c r="N370" s="262" t="s">
        <v>2177</v>
      </c>
      <c r="O370" s="390" t="s">
        <v>270</v>
      </c>
      <c r="P370" s="264" t="str">
        <f t="shared" si="15"/>
        <v>Handsoap/Pencuci Tangan</v>
      </c>
      <c r="Q370" s="264" t="s">
        <v>2609</v>
      </c>
      <c r="R370" s="519" t="s">
        <v>548</v>
      </c>
      <c r="S370" s="399">
        <v>5</v>
      </c>
      <c r="T370" s="348" t="s">
        <v>3367</v>
      </c>
      <c r="U370" s="520">
        <v>67000</v>
      </c>
      <c r="V370" s="266">
        <v>335000</v>
      </c>
      <c r="W370" s="521" t="s">
        <v>227</v>
      </c>
      <c r="X370" s="521" t="s">
        <v>3383</v>
      </c>
      <c r="Y370" s="522" t="s">
        <v>2512</v>
      </c>
      <c r="Z370" s="523" t="s">
        <v>541</v>
      </c>
      <c r="AA370" s="521"/>
      <c r="AB370" s="521"/>
      <c r="AC370" s="521"/>
      <c r="AD370" s="521"/>
      <c r="AE370" s="521"/>
      <c r="AF370" s="521"/>
      <c r="AG370" s="264">
        <v>4</v>
      </c>
    </row>
    <row r="371" spans="1:33" s="526" customFormat="1" ht="29">
      <c r="A371" s="513">
        <v>369</v>
      </c>
      <c r="B371" s="514" t="s">
        <v>2125</v>
      </c>
      <c r="C371" s="515" t="s">
        <v>2125</v>
      </c>
      <c r="D371" s="262" t="s">
        <v>674</v>
      </c>
      <c r="E371" s="513">
        <v>370</v>
      </c>
      <c r="F371" s="544" t="s">
        <v>2125</v>
      </c>
      <c r="G371" s="517">
        <v>45383</v>
      </c>
      <c r="H371" s="517">
        <v>45383</v>
      </c>
      <c r="I371" s="517">
        <v>45383</v>
      </c>
      <c r="J371" s="517">
        <v>45383</v>
      </c>
      <c r="K371" s="517">
        <v>45383</v>
      </c>
      <c r="L371" s="518" t="s">
        <v>533</v>
      </c>
      <c r="M371" s="264" t="s">
        <v>2587</v>
      </c>
      <c r="N371" s="262" t="s">
        <v>2177</v>
      </c>
      <c r="O371" s="390" t="s">
        <v>2266</v>
      </c>
      <c r="P371" s="264" t="str">
        <f t="shared" si="15"/>
        <v>Perlengkapan Kebersihan Pembersih Lantai Super Pel Varian 800ml</v>
      </c>
      <c r="Q371" s="264" t="s">
        <v>2609</v>
      </c>
      <c r="R371" s="525" t="s">
        <v>2613</v>
      </c>
      <c r="S371" s="399">
        <v>15</v>
      </c>
      <c r="T371" s="348" t="s">
        <v>3363</v>
      </c>
      <c r="U371" s="520">
        <v>13700</v>
      </c>
      <c r="V371" s="266">
        <v>205500</v>
      </c>
      <c r="W371" s="521" t="s">
        <v>227</v>
      </c>
      <c r="X371" s="521" t="s">
        <v>3383</v>
      </c>
      <c r="Y371" s="522" t="s">
        <v>2512</v>
      </c>
      <c r="Z371" s="523" t="s">
        <v>541</v>
      </c>
      <c r="AA371" s="521"/>
      <c r="AB371" s="521"/>
      <c r="AC371" s="521"/>
      <c r="AD371" s="521"/>
      <c r="AE371" s="521"/>
      <c r="AF371" s="521"/>
      <c r="AG371" s="264">
        <v>4</v>
      </c>
    </row>
    <row r="372" spans="1:33" s="526" customFormat="1" ht="29">
      <c r="A372" s="513">
        <v>370</v>
      </c>
      <c r="B372" s="514" t="s">
        <v>2125</v>
      </c>
      <c r="C372" s="515" t="s">
        <v>2125</v>
      </c>
      <c r="D372" s="262" t="s">
        <v>674</v>
      </c>
      <c r="E372" s="513">
        <v>371</v>
      </c>
      <c r="F372" s="544" t="s">
        <v>2125</v>
      </c>
      <c r="G372" s="517">
        <v>45383</v>
      </c>
      <c r="H372" s="517">
        <v>45383</v>
      </c>
      <c r="I372" s="517">
        <v>45383</v>
      </c>
      <c r="J372" s="517">
        <v>45383</v>
      </c>
      <c r="K372" s="517">
        <v>45383</v>
      </c>
      <c r="L372" s="518" t="s">
        <v>533</v>
      </c>
      <c r="M372" s="264" t="s">
        <v>2587</v>
      </c>
      <c r="N372" s="262" t="s">
        <v>2177</v>
      </c>
      <c r="O372" s="390" t="s">
        <v>271</v>
      </c>
      <c r="P372" s="264" t="str">
        <f t="shared" si="15"/>
        <v>Pengharum Ruangan</v>
      </c>
      <c r="Q372" s="264" t="s">
        <v>2609</v>
      </c>
      <c r="R372" s="519" t="s">
        <v>2615</v>
      </c>
      <c r="S372" s="399">
        <v>10</v>
      </c>
      <c r="T372" s="348" t="s">
        <v>3363</v>
      </c>
      <c r="U372" s="520">
        <v>12100</v>
      </c>
      <c r="V372" s="266">
        <v>121000</v>
      </c>
      <c r="W372" s="521" t="s">
        <v>227</v>
      </c>
      <c r="X372" s="521" t="s">
        <v>3383</v>
      </c>
      <c r="Y372" s="522" t="s">
        <v>2512</v>
      </c>
      <c r="Z372" s="523" t="s">
        <v>541</v>
      </c>
      <c r="AA372" s="521"/>
      <c r="AB372" s="521"/>
      <c r="AC372" s="521"/>
      <c r="AD372" s="521"/>
      <c r="AE372" s="521"/>
      <c r="AF372" s="521"/>
      <c r="AG372" s="264">
        <v>4</v>
      </c>
    </row>
    <row r="373" spans="1:33" s="526" customFormat="1" ht="29">
      <c r="A373" s="513">
        <v>371</v>
      </c>
      <c r="B373" s="514" t="s">
        <v>2125</v>
      </c>
      <c r="C373" s="515" t="s">
        <v>2125</v>
      </c>
      <c r="D373" s="262" t="s">
        <v>674</v>
      </c>
      <c r="E373" s="513">
        <v>372</v>
      </c>
      <c r="F373" s="544" t="s">
        <v>2125</v>
      </c>
      <c r="G373" s="517">
        <v>45383</v>
      </c>
      <c r="H373" s="517">
        <v>45383</v>
      </c>
      <c r="I373" s="517">
        <v>45383</v>
      </c>
      <c r="J373" s="517">
        <v>45383</v>
      </c>
      <c r="K373" s="517">
        <v>45383</v>
      </c>
      <c r="L373" s="518" t="s">
        <v>533</v>
      </c>
      <c r="M373" s="264" t="s">
        <v>2587</v>
      </c>
      <c r="N373" s="262" t="s">
        <v>2177</v>
      </c>
      <c r="O373" s="390" t="s">
        <v>2268</v>
      </c>
      <c r="P373" s="264" t="str">
        <f t="shared" si="15"/>
        <v>Perlengkapan Kebersihan Pembersih Pakaian Sunlight Refil 800ml</v>
      </c>
      <c r="Q373" s="264" t="s">
        <v>2609</v>
      </c>
      <c r="R373" s="525" t="s">
        <v>2616</v>
      </c>
      <c r="S373" s="399">
        <v>3</v>
      </c>
      <c r="T373" s="348" t="s">
        <v>3363</v>
      </c>
      <c r="U373" s="520">
        <v>15000</v>
      </c>
      <c r="V373" s="266">
        <v>45000</v>
      </c>
      <c r="W373" s="521" t="s">
        <v>227</v>
      </c>
      <c r="X373" s="521" t="s">
        <v>3383</v>
      </c>
      <c r="Y373" s="522" t="s">
        <v>2512</v>
      </c>
      <c r="Z373" s="523" t="s">
        <v>541</v>
      </c>
      <c r="AA373" s="521"/>
      <c r="AB373" s="521"/>
      <c r="AC373" s="521"/>
      <c r="AD373" s="521"/>
      <c r="AE373" s="521"/>
      <c r="AF373" s="521"/>
      <c r="AG373" s="264">
        <v>4</v>
      </c>
    </row>
    <row r="374" spans="1:33" s="526" customFormat="1" ht="29">
      <c r="A374" s="513">
        <v>372</v>
      </c>
      <c r="B374" s="514" t="s">
        <v>2125</v>
      </c>
      <c r="C374" s="515" t="s">
        <v>2125</v>
      </c>
      <c r="D374" s="262" t="s">
        <v>674</v>
      </c>
      <c r="E374" s="513">
        <v>373</v>
      </c>
      <c r="F374" s="544" t="s">
        <v>2125</v>
      </c>
      <c r="G374" s="517">
        <v>45383</v>
      </c>
      <c r="H374" s="517">
        <v>45383</v>
      </c>
      <c r="I374" s="517">
        <v>45383</v>
      </c>
      <c r="J374" s="517">
        <v>45383</v>
      </c>
      <c r="K374" s="517">
        <v>45383</v>
      </c>
      <c r="L374" s="518" t="s">
        <v>533</v>
      </c>
      <c r="M374" s="264" t="s">
        <v>2587</v>
      </c>
      <c r="N374" s="262" t="s">
        <v>2177</v>
      </c>
      <c r="O374" s="390" t="s">
        <v>276</v>
      </c>
      <c r="P374" s="264" t="str">
        <f t="shared" si="15"/>
        <v>vixal 500ml</v>
      </c>
      <c r="Q374" s="264" t="s">
        <v>2609</v>
      </c>
      <c r="R374" s="519" t="s">
        <v>2566</v>
      </c>
      <c r="S374" s="399">
        <v>10</v>
      </c>
      <c r="T374" s="348" t="s">
        <v>3367</v>
      </c>
      <c r="U374" s="520">
        <v>30000</v>
      </c>
      <c r="V374" s="266">
        <v>300000</v>
      </c>
      <c r="W374" s="521" t="s">
        <v>227</v>
      </c>
      <c r="X374" s="521" t="s">
        <v>3383</v>
      </c>
      <c r="Y374" s="522" t="s">
        <v>2512</v>
      </c>
      <c r="Z374" s="523" t="s">
        <v>541</v>
      </c>
      <c r="AA374" s="521"/>
      <c r="AB374" s="521"/>
      <c r="AC374" s="521"/>
      <c r="AD374" s="521"/>
      <c r="AE374" s="521"/>
      <c r="AF374" s="521"/>
      <c r="AG374" s="264">
        <v>4</v>
      </c>
    </row>
    <row r="375" spans="1:33" s="526" customFormat="1" ht="43.5">
      <c r="A375" s="513">
        <v>373</v>
      </c>
      <c r="B375" s="514" t="s">
        <v>2125</v>
      </c>
      <c r="C375" s="515" t="s">
        <v>2125</v>
      </c>
      <c r="D375" s="262" t="s">
        <v>674</v>
      </c>
      <c r="E375" s="513">
        <v>374</v>
      </c>
      <c r="F375" s="544" t="s">
        <v>2125</v>
      </c>
      <c r="G375" s="517">
        <v>45383</v>
      </c>
      <c r="H375" s="517">
        <v>45383</v>
      </c>
      <c r="I375" s="517">
        <v>45383</v>
      </c>
      <c r="J375" s="517">
        <v>45383</v>
      </c>
      <c r="K375" s="517">
        <v>45383</v>
      </c>
      <c r="L375" s="518" t="s">
        <v>533</v>
      </c>
      <c r="M375" s="264" t="s">
        <v>2587</v>
      </c>
      <c r="N375" s="262" t="s">
        <v>2177</v>
      </c>
      <c r="O375" s="390" t="s">
        <v>274</v>
      </c>
      <c r="P375" s="264" t="str">
        <f t="shared" si="15"/>
        <v>Spon Cuci</v>
      </c>
      <c r="Q375" s="264" t="s">
        <v>2609</v>
      </c>
      <c r="R375" s="519" t="s">
        <v>2617</v>
      </c>
      <c r="S375" s="399">
        <v>5</v>
      </c>
      <c r="T375" s="348" t="s">
        <v>3363</v>
      </c>
      <c r="U375" s="520">
        <v>12000</v>
      </c>
      <c r="V375" s="266">
        <v>60000</v>
      </c>
      <c r="W375" s="521" t="s">
        <v>227</v>
      </c>
      <c r="X375" s="521" t="s">
        <v>3383</v>
      </c>
      <c r="Y375" s="522" t="s">
        <v>2512</v>
      </c>
      <c r="Z375" s="523" t="s">
        <v>541</v>
      </c>
      <c r="AA375" s="521"/>
      <c r="AB375" s="521"/>
      <c r="AC375" s="521"/>
      <c r="AD375" s="521"/>
      <c r="AE375" s="521"/>
      <c r="AF375" s="521"/>
      <c r="AG375" s="264">
        <v>4</v>
      </c>
    </row>
    <row r="376" spans="1:33" s="526" customFormat="1" ht="29">
      <c r="A376" s="513">
        <v>374</v>
      </c>
      <c r="B376" s="514" t="s">
        <v>2125</v>
      </c>
      <c r="C376" s="515" t="s">
        <v>2125</v>
      </c>
      <c r="D376" s="262" t="s">
        <v>674</v>
      </c>
      <c r="E376" s="513">
        <v>375</v>
      </c>
      <c r="F376" s="544" t="s">
        <v>2125</v>
      </c>
      <c r="G376" s="517">
        <v>45383</v>
      </c>
      <c r="H376" s="517">
        <v>45383</v>
      </c>
      <c r="I376" s="517">
        <v>45383</v>
      </c>
      <c r="J376" s="517">
        <v>45383</v>
      </c>
      <c r="K376" s="517">
        <v>45383</v>
      </c>
      <c r="L376" s="518" t="s">
        <v>533</v>
      </c>
      <c r="M376" s="264" t="s">
        <v>2587</v>
      </c>
      <c r="N376" s="262" t="s">
        <v>2177</v>
      </c>
      <c r="O376" s="390" t="s">
        <v>2269</v>
      </c>
      <c r="P376" s="264" t="str">
        <f t="shared" si="15"/>
        <v>Tisu--</v>
      </c>
      <c r="Q376" s="264" t="s">
        <v>2609</v>
      </c>
      <c r="R376" s="519" t="s">
        <v>537</v>
      </c>
      <c r="S376" s="399">
        <v>12</v>
      </c>
      <c r="T376" s="348" t="s">
        <v>3363</v>
      </c>
      <c r="U376" s="520">
        <v>12500</v>
      </c>
      <c r="V376" s="266">
        <v>150000</v>
      </c>
      <c r="W376" s="521" t="s">
        <v>227</v>
      </c>
      <c r="X376" s="521" t="s">
        <v>3383</v>
      </c>
      <c r="Y376" s="522" t="s">
        <v>2512</v>
      </c>
      <c r="Z376" s="523" t="s">
        <v>541</v>
      </c>
      <c r="AA376" s="521"/>
      <c r="AB376" s="521"/>
      <c r="AC376" s="521"/>
      <c r="AD376" s="521"/>
      <c r="AE376" s="521"/>
      <c r="AF376" s="521"/>
      <c r="AG376" s="264">
        <v>4</v>
      </c>
    </row>
    <row r="377" spans="1:33" s="526" customFormat="1" ht="29">
      <c r="A377" s="513">
        <v>375</v>
      </c>
      <c r="B377" s="514" t="s">
        <v>2125</v>
      </c>
      <c r="C377" s="515" t="s">
        <v>2125</v>
      </c>
      <c r="D377" s="262" t="s">
        <v>674</v>
      </c>
      <c r="E377" s="513">
        <v>376</v>
      </c>
      <c r="F377" s="544" t="s">
        <v>2125</v>
      </c>
      <c r="G377" s="517">
        <v>45383</v>
      </c>
      <c r="H377" s="517">
        <v>45383</v>
      </c>
      <c r="I377" s="517">
        <v>45383</v>
      </c>
      <c r="J377" s="517">
        <v>45383</v>
      </c>
      <c r="K377" s="517">
        <v>45383</v>
      </c>
      <c r="L377" s="518" t="s">
        <v>533</v>
      </c>
      <c r="M377" s="264" t="s">
        <v>2587</v>
      </c>
      <c r="N377" s="262" t="s">
        <v>2177</v>
      </c>
      <c r="O377" s="390" t="s">
        <v>2270</v>
      </c>
      <c r="P377" s="264" t="str">
        <f t="shared" si="15"/>
        <v>Cairan Pembersih Kaca</v>
      </c>
      <c r="Q377" s="264" t="s">
        <v>2609</v>
      </c>
      <c r="R377" s="525" t="s">
        <v>2618</v>
      </c>
      <c r="S377" s="399">
        <v>5</v>
      </c>
      <c r="T377" s="348" t="s">
        <v>3363</v>
      </c>
      <c r="U377" s="520">
        <v>12000</v>
      </c>
      <c r="V377" s="266">
        <v>60000</v>
      </c>
      <c r="W377" s="521" t="s">
        <v>227</v>
      </c>
      <c r="X377" s="521" t="s">
        <v>3383</v>
      </c>
      <c r="Y377" s="522" t="s">
        <v>2512</v>
      </c>
      <c r="Z377" s="523" t="s">
        <v>541</v>
      </c>
      <c r="AA377" s="521"/>
      <c r="AB377" s="521"/>
      <c r="AC377" s="521"/>
      <c r="AD377" s="521"/>
      <c r="AE377" s="521"/>
      <c r="AF377" s="521"/>
      <c r="AG377" s="264">
        <v>4</v>
      </c>
    </row>
    <row r="378" spans="1:33" s="526" customFormat="1" ht="29">
      <c r="A378" s="513">
        <v>376</v>
      </c>
      <c r="B378" s="514" t="s">
        <v>2125</v>
      </c>
      <c r="C378" s="515" t="s">
        <v>2125</v>
      </c>
      <c r="D378" s="262" t="s">
        <v>674</v>
      </c>
      <c r="E378" s="513">
        <v>377</v>
      </c>
      <c r="F378" s="544" t="s">
        <v>2125</v>
      </c>
      <c r="G378" s="517">
        <v>45383</v>
      </c>
      <c r="H378" s="517">
        <v>45383</v>
      </c>
      <c r="I378" s="517">
        <v>45383</v>
      </c>
      <c r="J378" s="517">
        <v>45383</v>
      </c>
      <c r="K378" s="517">
        <v>45383</v>
      </c>
      <c r="L378" s="518" t="s">
        <v>533</v>
      </c>
      <c r="M378" s="264" t="s">
        <v>2587</v>
      </c>
      <c r="N378" s="262" t="s">
        <v>2177</v>
      </c>
      <c r="O378" s="390" t="s">
        <v>2272</v>
      </c>
      <c r="P378" s="264" t="str">
        <f t="shared" si="15"/>
        <v>Hand Sanitizer-Unit</v>
      </c>
      <c r="Q378" s="264" t="s">
        <v>2609</v>
      </c>
      <c r="R378" s="524" t="s">
        <v>2621</v>
      </c>
      <c r="S378" s="399">
        <v>5</v>
      </c>
      <c r="T378" s="348" t="s">
        <v>3371</v>
      </c>
      <c r="U378" s="520">
        <v>70000</v>
      </c>
      <c r="V378" s="266">
        <v>350000</v>
      </c>
      <c r="W378" s="521" t="s">
        <v>227</v>
      </c>
      <c r="X378" s="521" t="s">
        <v>3383</v>
      </c>
      <c r="Y378" s="522" t="s">
        <v>2512</v>
      </c>
      <c r="Z378" s="523" t="s">
        <v>541</v>
      </c>
      <c r="AA378" s="521"/>
      <c r="AB378" s="521"/>
      <c r="AC378" s="521"/>
      <c r="AD378" s="521"/>
      <c r="AE378" s="521"/>
      <c r="AF378" s="521"/>
      <c r="AG378" s="264">
        <v>4</v>
      </c>
    </row>
    <row r="379" spans="1:33" s="526" customFormat="1" ht="29">
      <c r="A379" s="513">
        <v>377</v>
      </c>
      <c r="B379" s="514" t="s">
        <v>2838</v>
      </c>
      <c r="C379" s="515" t="s">
        <v>2838</v>
      </c>
      <c r="D379" s="262" t="s">
        <v>675</v>
      </c>
      <c r="E379" s="513">
        <v>378</v>
      </c>
      <c r="F379" s="544" t="s">
        <v>2838</v>
      </c>
      <c r="G379" s="517">
        <v>45383</v>
      </c>
      <c r="H379" s="517">
        <v>45383</v>
      </c>
      <c r="I379" s="517">
        <v>45383</v>
      </c>
      <c r="J379" s="517">
        <v>45383</v>
      </c>
      <c r="K379" s="517">
        <v>45383</v>
      </c>
      <c r="L379" s="518" t="s">
        <v>571</v>
      </c>
      <c r="M379" s="264" t="s">
        <v>2587</v>
      </c>
      <c r="N379" s="262" t="s">
        <v>2176</v>
      </c>
      <c r="O379" s="390" t="s">
        <v>9</v>
      </c>
      <c r="P379" s="264" t="str">
        <f t="shared" si="15"/>
        <v>Foto Copy Filio dan Kuarto</v>
      </c>
      <c r="Q379" s="525" t="s">
        <v>2675</v>
      </c>
      <c r="R379" s="525" t="s">
        <v>2676</v>
      </c>
      <c r="S379" s="399">
        <v>4739</v>
      </c>
      <c r="T379" s="348" t="s">
        <v>3368</v>
      </c>
      <c r="U379" s="520">
        <v>350</v>
      </c>
      <c r="V379" s="266">
        <v>7308700</v>
      </c>
      <c r="W379" s="521" t="s">
        <v>227</v>
      </c>
      <c r="X379" s="521" t="s">
        <v>3383</v>
      </c>
      <c r="Y379" s="522" t="s">
        <v>2512</v>
      </c>
      <c r="Z379" s="523" t="s">
        <v>541</v>
      </c>
      <c r="AA379" s="521"/>
      <c r="AB379" s="521"/>
      <c r="AC379" s="521"/>
      <c r="AD379" s="521"/>
      <c r="AE379" s="521"/>
      <c r="AF379" s="521"/>
      <c r="AG379" s="264">
        <v>4</v>
      </c>
    </row>
    <row r="380" spans="1:33" s="526" customFormat="1" ht="29">
      <c r="A380" s="513">
        <v>378</v>
      </c>
      <c r="B380" s="514" t="s">
        <v>2839</v>
      </c>
      <c r="C380" s="515" t="s">
        <v>2839</v>
      </c>
      <c r="D380" s="262" t="s">
        <v>676</v>
      </c>
      <c r="E380" s="513">
        <v>379</v>
      </c>
      <c r="F380" s="544" t="s">
        <v>2839</v>
      </c>
      <c r="G380" s="517">
        <v>45383</v>
      </c>
      <c r="H380" s="517">
        <v>45383</v>
      </c>
      <c r="I380" s="517">
        <v>45383</v>
      </c>
      <c r="J380" s="517">
        <v>45383</v>
      </c>
      <c r="K380" s="517">
        <v>45383</v>
      </c>
      <c r="L380" s="518" t="s">
        <v>796</v>
      </c>
      <c r="M380" s="264" t="s">
        <v>2646</v>
      </c>
      <c r="N380" s="262" t="s">
        <v>2184</v>
      </c>
      <c r="O380" s="390" t="s">
        <v>2286</v>
      </c>
      <c r="P380" s="264" t="str">
        <f t="shared" si="15"/>
        <v>bola lampu hannock-45 watt</v>
      </c>
      <c r="Q380" s="264" t="s">
        <v>710</v>
      </c>
      <c r="R380" s="518" t="s">
        <v>2569</v>
      </c>
      <c r="S380" s="399">
        <v>21</v>
      </c>
      <c r="T380" s="348" t="s">
        <v>3363</v>
      </c>
      <c r="U380" s="520">
        <v>77800</v>
      </c>
      <c r="V380" s="266">
        <v>1633800</v>
      </c>
      <c r="W380" s="521" t="s">
        <v>12</v>
      </c>
      <c r="X380" s="521" t="s">
        <v>13</v>
      </c>
      <c r="Y380" s="522" t="s">
        <v>2514</v>
      </c>
      <c r="Z380" s="523" t="s">
        <v>541</v>
      </c>
      <c r="AA380" s="521"/>
      <c r="AB380" s="521"/>
      <c r="AC380" s="521"/>
      <c r="AD380" s="521"/>
      <c r="AE380" s="521"/>
      <c r="AF380" s="521"/>
      <c r="AG380" s="264">
        <v>4</v>
      </c>
    </row>
    <row r="381" spans="1:33" s="526" customFormat="1" ht="29">
      <c r="A381" s="513">
        <v>379</v>
      </c>
      <c r="B381" s="514" t="s">
        <v>2840</v>
      </c>
      <c r="C381" s="515" t="s">
        <v>2840</v>
      </c>
      <c r="D381" s="262" t="s">
        <v>678</v>
      </c>
      <c r="E381" s="513">
        <v>380</v>
      </c>
      <c r="F381" s="544" t="s">
        <v>2840</v>
      </c>
      <c r="G381" s="517">
        <v>45383</v>
      </c>
      <c r="H381" s="517">
        <v>45384</v>
      </c>
      <c r="I381" s="517">
        <v>45385</v>
      </c>
      <c r="J381" s="517">
        <v>45385</v>
      </c>
      <c r="K381" s="517">
        <v>45385</v>
      </c>
      <c r="L381" s="518" t="s">
        <v>2180</v>
      </c>
      <c r="M381" s="264" t="s">
        <v>2649</v>
      </c>
      <c r="N381" s="262" t="s">
        <v>2188</v>
      </c>
      <c r="O381" s="390" t="s">
        <v>2293</v>
      </c>
      <c r="P381" s="264" t="s">
        <v>2633</v>
      </c>
      <c r="Q381" s="264" t="s">
        <v>280</v>
      </c>
      <c r="R381" s="528" t="s">
        <v>165</v>
      </c>
      <c r="S381" s="399">
        <v>100</v>
      </c>
      <c r="T381" s="348" t="s">
        <v>3362</v>
      </c>
      <c r="U381" s="520">
        <v>15000</v>
      </c>
      <c r="V381" s="266">
        <v>1500000</v>
      </c>
      <c r="W381" s="521" t="s">
        <v>10</v>
      </c>
      <c r="X381" s="521" t="s">
        <v>11</v>
      </c>
      <c r="Y381" s="522" t="s">
        <v>2092</v>
      </c>
      <c r="Z381" s="523" t="s">
        <v>2634</v>
      </c>
      <c r="AA381" s="521"/>
      <c r="AB381" s="521"/>
      <c r="AC381" s="521"/>
      <c r="AD381" s="521"/>
      <c r="AE381" s="521"/>
      <c r="AF381" s="521"/>
      <c r="AG381" s="264">
        <v>4</v>
      </c>
    </row>
    <row r="382" spans="1:33" s="526" customFormat="1" ht="29">
      <c r="A382" s="513">
        <v>380</v>
      </c>
      <c r="B382" s="514" t="s">
        <v>2841</v>
      </c>
      <c r="C382" s="515" t="s">
        <v>2841</v>
      </c>
      <c r="D382" s="262" t="s">
        <v>681</v>
      </c>
      <c r="E382" s="513">
        <v>381</v>
      </c>
      <c r="F382" s="544" t="s">
        <v>2841</v>
      </c>
      <c r="G382" s="517">
        <v>45392</v>
      </c>
      <c r="H382" s="517">
        <v>45391</v>
      </c>
      <c r="I382" s="517">
        <v>45392</v>
      </c>
      <c r="J382" s="517">
        <v>45392</v>
      </c>
      <c r="K382" s="517">
        <v>45392</v>
      </c>
      <c r="L382" s="518" t="s">
        <v>571</v>
      </c>
      <c r="M382" s="264" t="s">
        <v>2649</v>
      </c>
      <c r="N382" s="262" t="s">
        <v>2185</v>
      </c>
      <c r="O382" s="390" t="s">
        <v>2287</v>
      </c>
      <c r="P382" s="264" t="str">
        <f>O382</f>
        <v>Spanduk Uk. 1 x 6 meter-</v>
      </c>
      <c r="Q382" s="264" t="s">
        <v>2650</v>
      </c>
      <c r="R382" s="528" t="s">
        <v>2651</v>
      </c>
      <c r="S382" s="399">
        <v>2</v>
      </c>
      <c r="T382" s="348" t="s">
        <v>3363</v>
      </c>
      <c r="U382" s="520">
        <v>300000</v>
      </c>
      <c r="V382" s="266">
        <v>600000</v>
      </c>
      <c r="W382" s="521" t="s">
        <v>2652</v>
      </c>
      <c r="X382" s="521" t="s">
        <v>2653</v>
      </c>
      <c r="Y382" s="522" t="s">
        <v>2512</v>
      </c>
      <c r="Z382" s="523" t="s">
        <v>541</v>
      </c>
      <c r="AA382" s="521"/>
      <c r="AB382" s="521"/>
      <c r="AC382" s="521"/>
      <c r="AD382" s="521"/>
      <c r="AE382" s="521"/>
      <c r="AF382" s="521"/>
      <c r="AG382" s="264">
        <v>4</v>
      </c>
    </row>
    <row r="383" spans="1:33" s="526" customFormat="1" ht="29">
      <c r="A383" s="513">
        <v>381</v>
      </c>
      <c r="B383" s="514" t="s">
        <v>2842</v>
      </c>
      <c r="C383" s="515" t="s">
        <v>2842</v>
      </c>
      <c r="D383" s="262" t="s">
        <v>683</v>
      </c>
      <c r="E383" s="513">
        <v>382</v>
      </c>
      <c r="F383" s="544" t="s">
        <v>2842</v>
      </c>
      <c r="G383" s="517">
        <v>45393</v>
      </c>
      <c r="H383" s="517">
        <v>45394</v>
      </c>
      <c r="I383" s="517">
        <v>45395</v>
      </c>
      <c r="J383" s="517">
        <v>45395</v>
      </c>
      <c r="K383" s="517">
        <v>45395</v>
      </c>
      <c r="L383" s="518" t="s">
        <v>2180</v>
      </c>
      <c r="M383" s="264" t="s">
        <v>2649</v>
      </c>
      <c r="N383" s="262" t="s">
        <v>2185</v>
      </c>
      <c r="O383" s="390" t="s">
        <v>2314</v>
      </c>
      <c r="P383" s="264" t="s">
        <v>467</v>
      </c>
      <c r="Q383" s="264" t="s">
        <v>8</v>
      </c>
      <c r="R383" s="519" t="s">
        <v>2635</v>
      </c>
      <c r="S383" s="399">
        <v>100</v>
      </c>
      <c r="T383" s="348" t="s">
        <v>3362</v>
      </c>
      <c r="U383" s="520">
        <v>40000</v>
      </c>
      <c r="V383" s="266">
        <v>4000000</v>
      </c>
      <c r="W383" s="521" t="s">
        <v>2507</v>
      </c>
      <c r="X383" s="521" t="s">
        <v>2508</v>
      </c>
      <c r="Y383" s="522" t="s">
        <v>2516</v>
      </c>
      <c r="Z383" s="523" t="s">
        <v>2636</v>
      </c>
      <c r="AA383" s="521"/>
      <c r="AB383" s="521"/>
      <c r="AC383" s="521"/>
      <c r="AD383" s="521"/>
      <c r="AE383" s="521"/>
      <c r="AF383" s="521"/>
      <c r="AG383" s="264">
        <v>4</v>
      </c>
    </row>
    <row r="384" spans="1:33" s="526" customFormat="1" ht="37.5">
      <c r="A384" s="513">
        <v>382</v>
      </c>
      <c r="B384" s="514" t="s">
        <v>2843</v>
      </c>
      <c r="C384" s="515" t="s">
        <v>2843</v>
      </c>
      <c r="D384" s="262" t="s">
        <v>684</v>
      </c>
      <c r="E384" s="513">
        <v>383</v>
      </c>
      <c r="F384" s="544" t="s">
        <v>2843</v>
      </c>
      <c r="G384" s="517">
        <v>45397</v>
      </c>
      <c r="H384" s="517">
        <v>45398</v>
      </c>
      <c r="I384" s="517">
        <v>45399</v>
      </c>
      <c r="J384" s="517">
        <v>45399</v>
      </c>
      <c r="K384" s="517">
        <v>45399</v>
      </c>
      <c r="L384" s="518" t="s">
        <v>464</v>
      </c>
      <c r="M384" s="264" t="s">
        <v>2844</v>
      </c>
      <c r="N384" s="262" t="s">
        <v>2200</v>
      </c>
      <c r="O384" s="390" t="s">
        <v>2296</v>
      </c>
      <c r="P384" s="264" t="s">
        <v>2633</v>
      </c>
      <c r="Q384" s="264" t="s">
        <v>280</v>
      </c>
      <c r="R384" s="528" t="s">
        <v>165</v>
      </c>
      <c r="S384" s="399">
        <v>80</v>
      </c>
      <c r="T384" s="348" t="s">
        <v>3362</v>
      </c>
      <c r="U384" s="520">
        <v>15000</v>
      </c>
      <c r="V384" s="266">
        <v>900000</v>
      </c>
      <c r="W384" s="521" t="s">
        <v>10</v>
      </c>
      <c r="X384" s="521" t="s">
        <v>11</v>
      </c>
      <c r="Y384" s="522" t="s">
        <v>2092</v>
      </c>
      <c r="Z384" s="523" t="s">
        <v>2634</v>
      </c>
      <c r="AA384" s="521"/>
      <c r="AB384" s="521"/>
      <c r="AC384" s="521"/>
      <c r="AD384" s="521"/>
      <c r="AE384" s="521"/>
      <c r="AF384" s="521"/>
      <c r="AG384" s="264">
        <v>4</v>
      </c>
    </row>
    <row r="385" spans="1:33" s="526" customFormat="1" ht="37.5">
      <c r="A385" s="513">
        <v>383</v>
      </c>
      <c r="B385" s="514" t="s">
        <v>2845</v>
      </c>
      <c r="C385" s="515" t="s">
        <v>2845</v>
      </c>
      <c r="D385" s="262" t="s">
        <v>685</v>
      </c>
      <c r="E385" s="513">
        <v>384</v>
      </c>
      <c r="F385" s="544" t="s">
        <v>2845</v>
      </c>
      <c r="G385" s="517">
        <v>45397</v>
      </c>
      <c r="H385" s="517">
        <v>45398</v>
      </c>
      <c r="I385" s="517">
        <v>45399</v>
      </c>
      <c r="J385" s="517">
        <v>45399</v>
      </c>
      <c r="K385" s="517">
        <v>45399</v>
      </c>
      <c r="L385" s="518" t="s">
        <v>464</v>
      </c>
      <c r="M385" s="264" t="s">
        <v>2844</v>
      </c>
      <c r="N385" s="262" t="s">
        <v>2200</v>
      </c>
      <c r="O385" s="390" t="s">
        <v>2295</v>
      </c>
      <c r="P385" s="264" t="s">
        <v>467</v>
      </c>
      <c r="Q385" s="264" t="s">
        <v>8</v>
      </c>
      <c r="R385" s="519" t="s">
        <v>2635</v>
      </c>
      <c r="S385" s="399">
        <v>80</v>
      </c>
      <c r="T385" s="348" t="s">
        <v>3362</v>
      </c>
      <c r="U385" s="520">
        <v>40000</v>
      </c>
      <c r="V385" s="266">
        <v>2400000</v>
      </c>
      <c r="W385" s="521" t="s">
        <v>2507</v>
      </c>
      <c r="X385" s="521" t="s">
        <v>2508</v>
      </c>
      <c r="Y385" s="522" t="s">
        <v>2516</v>
      </c>
      <c r="Z385" s="523" t="s">
        <v>2636</v>
      </c>
      <c r="AA385" s="521"/>
      <c r="AB385" s="521"/>
      <c r="AC385" s="521"/>
      <c r="AD385" s="521"/>
      <c r="AE385" s="521"/>
      <c r="AF385" s="521"/>
      <c r="AG385" s="264">
        <v>4</v>
      </c>
    </row>
    <row r="386" spans="1:33" s="526" customFormat="1" ht="37.5">
      <c r="A386" s="513">
        <v>384</v>
      </c>
      <c r="B386" s="514" t="s">
        <v>2846</v>
      </c>
      <c r="C386" s="515" t="s">
        <v>2846</v>
      </c>
      <c r="D386" s="262" t="s">
        <v>686</v>
      </c>
      <c r="E386" s="513">
        <v>385</v>
      </c>
      <c r="F386" s="544" t="s">
        <v>2846</v>
      </c>
      <c r="G386" s="517">
        <v>45398</v>
      </c>
      <c r="H386" s="517">
        <v>45399</v>
      </c>
      <c r="I386" s="517">
        <v>45400</v>
      </c>
      <c r="J386" s="517">
        <v>45400</v>
      </c>
      <c r="K386" s="517">
        <v>45400</v>
      </c>
      <c r="L386" s="518" t="s">
        <v>2180</v>
      </c>
      <c r="M386" s="264" t="s">
        <v>2640</v>
      </c>
      <c r="N386" s="262" t="s">
        <v>2201</v>
      </c>
      <c r="O386" s="390" t="s">
        <v>2315</v>
      </c>
      <c r="P386" s="264" t="s">
        <v>2633</v>
      </c>
      <c r="Q386" s="264" t="s">
        <v>280</v>
      </c>
      <c r="R386" s="528" t="s">
        <v>165</v>
      </c>
      <c r="S386" s="399">
        <v>60</v>
      </c>
      <c r="T386" s="348" t="s">
        <v>3362</v>
      </c>
      <c r="U386" s="520">
        <v>15000</v>
      </c>
      <c r="V386" s="266">
        <v>900000</v>
      </c>
      <c r="W386" s="521" t="s">
        <v>10</v>
      </c>
      <c r="X386" s="521" t="s">
        <v>11</v>
      </c>
      <c r="Y386" s="522" t="s">
        <v>2092</v>
      </c>
      <c r="Z386" s="523" t="s">
        <v>2634</v>
      </c>
      <c r="AA386" s="521"/>
      <c r="AB386" s="521"/>
      <c r="AC386" s="521"/>
      <c r="AD386" s="521"/>
      <c r="AE386" s="521"/>
      <c r="AF386" s="521"/>
      <c r="AG386" s="264">
        <v>4</v>
      </c>
    </row>
    <row r="387" spans="1:33" s="526" customFormat="1" ht="37.5">
      <c r="A387" s="513">
        <v>385</v>
      </c>
      <c r="B387" s="514" t="s">
        <v>2847</v>
      </c>
      <c r="C387" s="515" t="s">
        <v>2847</v>
      </c>
      <c r="D387" s="262" t="s">
        <v>687</v>
      </c>
      <c r="E387" s="513">
        <v>386</v>
      </c>
      <c r="F387" s="544" t="s">
        <v>2847</v>
      </c>
      <c r="G387" s="517">
        <v>45398</v>
      </c>
      <c r="H387" s="517">
        <v>45399</v>
      </c>
      <c r="I387" s="517">
        <v>45400</v>
      </c>
      <c r="J387" s="517">
        <v>45400</v>
      </c>
      <c r="K387" s="517">
        <v>45400</v>
      </c>
      <c r="L387" s="518" t="s">
        <v>2180</v>
      </c>
      <c r="M387" s="264" t="s">
        <v>2640</v>
      </c>
      <c r="N387" s="262" t="s">
        <v>2201</v>
      </c>
      <c r="O387" s="390" t="s">
        <v>2316</v>
      </c>
      <c r="P387" s="264" t="s">
        <v>467</v>
      </c>
      <c r="Q387" s="264" t="s">
        <v>8</v>
      </c>
      <c r="R387" s="519" t="s">
        <v>2635</v>
      </c>
      <c r="S387" s="399">
        <v>60</v>
      </c>
      <c r="T387" s="348" t="s">
        <v>3362</v>
      </c>
      <c r="U387" s="520">
        <v>40000</v>
      </c>
      <c r="V387" s="266">
        <v>2400000</v>
      </c>
      <c r="W387" s="521" t="s">
        <v>2507</v>
      </c>
      <c r="X387" s="521" t="s">
        <v>2508</v>
      </c>
      <c r="Y387" s="522" t="s">
        <v>2516</v>
      </c>
      <c r="Z387" s="523" t="s">
        <v>2636</v>
      </c>
      <c r="AA387" s="521"/>
      <c r="AB387" s="521"/>
      <c r="AC387" s="521"/>
      <c r="AD387" s="521"/>
      <c r="AE387" s="521"/>
      <c r="AF387" s="521"/>
      <c r="AG387" s="264">
        <v>4</v>
      </c>
    </row>
    <row r="388" spans="1:33" s="526" customFormat="1" ht="37.5">
      <c r="A388" s="513">
        <v>386</v>
      </c>
      <c r="B388" s="514" t="s">
        <v>2848</v>
      </c>
      <c r="C388" s="515" t="s">
        <v>2848</v>
      </c>
      <c r="D388" s="262" t="s">
        <v>689</v>
      </c>
      <c r="E388" s="513">
        <v>387</v>
      </c>
      <c r="F388" s="544" t="s">
        <v>2848</v>
      </c>
      <c r="G388" s="517">
        <v>45399</v>
      </c>
      <c r="H388" s="517">
        <v>45400</v>
      </c>
      <c r="I388" s="517">
        <v>45401</v>
      </c>
      <c r="J388" s="517">
        <v>45401</v>
      </c>
      <c r="K388" s="517">
        <v>45401</v>
      </c>
      <c r="L388" s="518" t="s">
        <v>2180</v>
      </c>
      <c r="M388" s="264" t="s">
        <v>2640</v>
      </c>
      <c r="N388" s="262" t="s">
        <v>2202</v>
      </c>
      <c r="O388" s="390" t="s">
        <v>2317</v>
      </c>
      <c r="P388" s="264" t="s">
        <v>2633</v>
      </c>
      <c r="Q388" s="264" t="s">
        <v>280</v>
      </c>
      <c r="R388" s="528" t="s">
        <v>165</v>
      </c>
      <c r="S388" s="399">
        <v>60</v>
      </c>
      <c r="T388" s="348" t="s">
        <v>3362</v>
      </c>
      <c r="U388" s="520">
        <v>15000</v>
      </c>
      <c r="V388" s="266">
        <v>900000</v>
      </c>
      <c r="W388" s="521" t="s">
        <v>10</v>
      </c>
      <c r="X388" s="521" t="s">
        <v>11</v>
      </c>
      <c r="Y388" s="522" t="s">
        <v>2092</v>
      </c>
      <c r="Z388" s="523" t="s">
        <v>2634</v>
      </c>
      <c r="AA388" s="521"/>
      <c r="AB388" s="521"/>
      <c r="AC388" s="521"/>
      <c r="AD388" s="521"/>
      <c r="AE388" s="521"/>
      <c r="AF388" s="521"/>
      <c r="AG388" s="264">
        <v>4</v>
      </c>
    </row>
    <row r="389" spans="1:33" s="526" customFormat="1" ht="37.5">
      <c r="A389" s="513">
        <v>387</v>
      </c>
      <c r="B389" s="514" t="s">
        <v>2849</v>
      </c>
      <c r="C389" s="515" t="s">
        <v>2849</v>
      </c>
      <c r="D389" s="262" t="s">
        <v>690</v>
      </c>
      <c r="E389" s="513">
        <v>388</v>
      </c>
      <c r="F389" s="544" t="s">
        <v>2849</v>
      </c>
      <c r="G389" s="517">
        <v>45399</v>
      </c>
      <c r="H389" s="517">
        <v>45400</v>
      </c>
      <c r="I389" s="517">
        <v>45401</v>
      </c>
      <c r="J389" s="517">
        <v>45401</v>
      </c>
      <c r="K389" s="517">
        <v>45401</v>
      </c>
      <c r="L389" s="518" t="s">
        <v>2180</v>
      </c>
      <c r="M389" s="264" t="s">
        <v>2640</v>
      </c>
      <c r="N389" s="262" t="s">
        <v>2202</v>
      </c>
      <c r="O389" s="390" t="s">
        <v>2318</v>
      </c>
      <c r="P389" s="264" t="s">
        <v>467</v>
      </c>
      <c r="Q389" s="264" t="s">
        <v>8</v>
      </c>
      <c r="R389" s="519" t="s">
        <v>2635</v>
      </c>
      <c r="S389" s="399">
        <v>60</v>
      </c>
      <c r="T389" s="348" t="s">
        <v>3362</v>
      </c>
      <c r="U389" s="520">
        <v>40000</v>
      </c>
      <c r="V389" s="266">
        <v>2400000</v>
      </c>
      <c r="W389" s="521" t="s">
        <v>2507</v>
      </c>
      <c r="X389" s="521" t="s">
        <v>2508</v>
      </c>
      <c r="Y389" s="522" t="s">
        <v>2516</v>
      </c>
      <c r="Z389" s="523" t="s">
        <v>2636</v>
      </c>
      <c r="AA389" s="521"/>
      <c r="AB389" s="521"/>
      <c r="AC389" s="521"/>
      <c r="AD389" s="521"/>
      <c r="AE389" s="521"/>
      <c r="AF389" s="521"/>
      <c r="AG389" s="264">
        <v>4</v>
      </c>
    </row>
    <row r="390" spans="1:33" s="526" customFormat="1" ht="29">
      <c r="A390" s="513">
        <v>388</v>
      </c>
      <c r="B390" s="514" t="s">
        <v>2850</v>
      </c>
      <c r="C390" s="515" t="s">
        <v>2850</v>
      </c>
      <c r="D390" s="262" t="s">
        <v>691</v>
      </c>
      <c r="E390" s="513">
        <v>389</v>
      </c>
      <c r="F390" s="544" t="s">
        <v>2850</v>
      </c>
      <c r="G390" s="517">
        <v>45399</v>
      </c>
      <c r="H390" s="517">
        <v>45400</v>
      </c>
      <c r="I390" s="517">
        <v>45401</v>
      </c>
      <c r="J390" s="517">
        <v>45401</v>
      </c>
      <c r="K390" s="517">
        <v>45401</v>
      </c>
      <c r="L390" s="518" t="s">
        <v>584</v>
      </c>
      <c r="M390" s="264" t="s">
        <v>2663</v>
      </c>
      <c r="N390" s="262" t="s">
        <v>2186</v>
      </c>
      <c r="O390" s="390" t="s">
        <v>2291</v>
      </c>
      <c r="P390" s="264" t="str">
        <f>O390</f>
        <v>Biaya Rekening Listrik--</v>
      </c>
      <c r="Q390" s="264" t="s">
        <v>2664</v>
      </c>
      <c r="R390" s="519" t="s">
        <v>2665</v>
      </c>
      <c r="S390" s="399">
        <v>1</v>
      </c>
      <c r="T390" s="348" t="s">
        <v>3373</v>
      </c>
      <c r="U390" s="520">
        <v>2000000</v>
      </c>
      <c r="V390" s="266">
        <v>1812220</v>
      </c>
      <c r="W390" s="521" t="s">
        <v>2666</v>
      </c>
      <c r="X390" s="521" t="s">
        <v>2659</v>
      </c>
      <c r="Y390" s="522" t="s">
        <v>2660</v>
      </c>
      <c r="Z390" s="523" t="s">
        <v>2661</v>
      </c>
      <c r="AA390" s="521"/>
      <c r="AB390" s="521"/>
      <c r="AC390" s="521"/>
      <c r="AD390" s="521"/>
      <c r="AE390" s="521"/>
      <c r="AF390" s="521"/>
      <c r="AG390" s="264">
        <v>4</v>
      </c>
    </row>
    <row r="391" spans="1:33" s="526" customFormat="1" ht="29">
      <c r="A391" s="513">
        <v>389</v>
      </c>
      <c r="B391" s="514" t="s">
        <v>2851</v>
      </c>
      <c r="C391" s="515" t="s">
        <v>2851</v>
      </c>
      <c r="D391" s="262" t="s">
        <v>692</v>
      </c>
      <c r="E391" s="513">
        <v>390</v>
      </c>
      <c r="F391" s="544" t="s">
        <v>2851</v>
      </c>
      <c r="G391" s="517">
        <v>45399</v>
      </c>
      <c r="H391" s="517">
        <v>45400</v>
      </c>
      <c r="I391" s="517">
        <v>45401</v>
      </c>
      <c r="J391" s="517">
        <v>45401</v>
      </c>
      <c r="K391" s="517">
        <v>45401</v>
      </c>
      <c r="L391" s="518" t="s">
        <v>590</v>
      </c>
      <c r="M391" s="264" t="s">
        <v>2663</v>
      </c>
      <c r="N391" s="262" t="s">
        <v>2187</v>
      </c>
      <c r="O391" s="390" t="s">
        <v>2292</v>
      </c>
      <c r="P391" s="264" t="str">
        <f>O391</f>
        <v>Biaya Langganan Internet--</v>
      </c>
      <c r="Q391" s="264" t="s">
        <v>2668</v>
      </c>
      <c r="R391" s="519" t="s">
        <v>2669</v>
      </c>
      <c r="S391" s="399">
        <v>1</v>
      </c>
      <c r="T391" s="348" t="s">
        <v>3373</v>
      </c>
      <c r="U391" s="520">
        <v>1500000</v>
      </c>
      <c r="V391" s="266">
        <v>1168359</v>
      </c>
      <c r="W391" s="521" t="s">
        <v>3381</v>
      </c>
      <c r="X391" s="521" t="s">
        <v>2659</v>
      </c>
      <c r="Y391" s="522" t="s">
        <v>2660</v>
      </c>
      <c r="Z391" s="523" t="s">
        <v>2661</v>
      </c>
      <c r="AA391" s="521"/>
      <c r="AB391" s="521"/>
      <c r="AC391" s="521"/>
      <c r="AD391" s="521"/>
      <c r="AE391" s="521"/>
      <c r="AF391" s="521"/>
      <c r="AG391" s="264">
        <v>4</v>
      </c>
    </row>
    <row r="392" spans="1:33" s="526" customFormat="1" ht="37.5">
      <c r="A392" s="513">
        <v>390</v>
      </c>
      <c r="B392" s="514" t="s">
        <v>2852</v>
      </c>
      <c r="C392" s="515" t="s">
        <v>2852</v>
      </c>
      <c r="D392" s="262" t="s">
        <v>703</v>
      </c>
      <c r="E392" s="513">
        <v>391</v>
      </c>
      <c r="F392" s="544" t="s">
        <v>2852</v>
      </c>
      <c r="G392" s="517">
        <v>45400</v>
      </c>
      <c r="H392" s="517">
        <v>45401</v>
      </c>
      <c r="I392" s="517">
        <v>45402</v>
      </c>
      <c r="J392" s="517">
        <v>45402</v>
      </c>
      <c r="K392" s="517">
        <v>45402</v>
      </c>
      <c r="L392" s="518" t="s">
        <v>2180</v>
      </c>
      <c r="M392" s="264" t="s">
        <v>2640</v>
      </c>
      <c r="N392" s="262" t="s">
        <v>2203</v>
      </c>
      <c r="O392" s="390" t="s">
        <v>2319</v>
      </c>
      <c r="P392" s="264" t="s">
        <v>2633</v>
      </c>
      <c r="Q392" s="264" t="s">
        <v>280</v>
      </c>
      <c r="R392" s="528" t="s">
        <v>165</v>
      </c>
      <c r="S392" s="399">
        <v>75</v>
      </c>
      <c r="T392" s="348" t="s">
        <v>3362</v>
      </c>
      <c r="U392" s="520">
        <v>14000</v>
      </c>
      <c r="V392" s="266">
        <v>1050000</v>
      </c>
      <c r="W392" s="521" t="s">
        <v>10</v>
      </c>
      <c r="X392" s="521" t="s">
        <v>11</v>
      </c>
      <c r="Y392" s="522" t="s">
        <v>2092</v>
      </c>
      <c r="Z392" s="523" t="s">
        <v>2634</v>
      </c>
      <c r="AA392" s="521"/>
      <c r="AB392" s="521"/>
      <c r="AC392" s="521"/>
      <c r="AD392" s="521"/>
      <c r="AE392" s="521"/>
      <c r="AF392" s="521"/>
      <c r="AG392" s="264">
        <v>4</v>
      </c>
    </row>
    <row r="393" spans="1:33" s="526" customFormat="1" ht="37.5">
      <c r="A393" s="513">
        <v>391</v>
      </c>
      <c r="B393" s="514" t="s">
        <v>2853</v>
      </c>
      <c r="C393" s="515" t="s">
        <v>2853</v>
      </c>
      <c r="D393" s="262" t="s">
        <v>788</v>
      </c>
      <c r="E393" s="513">
        <v>392</v>
      </c>
      <c r="F393" s="544" t="s">
        <v>2853</v>
      </c>
      <c r="G393" s="517">
        <v>45400</v>
      </c>
      <c r="H393" s="517">
        <v>45401</v>
      </c>
      <c r="I393" s="517">
        <v>45402</v>
      </c>
      <c r="J393" s="517">
        <v>45402</v>
      </c>
      <c r="K393" s="517">
        <v>45402</v>
      </c>
      <c r="L393" s="518" t="s">
        <v>2180</v>
      </c>
      <c r="M393" s="264" t="s">
        <v>2640</v>
      </c>
      <c r="N393" s="262" t="s">
        <v>2203</v>
      </c>
      <c r="O393" s="390" t="s">
        <v>2320</v>
      </c>
      <c r="P393" s="264" t="s">
        <v>467</v>
      </c>
      <c r="Q393" s="264" t="s">
        <v>8</v>
      </c>
      <c r="R393" s="519" t="s">
        <v>2635</v>
      </c>
      <c r="S393" s="399">
        <v>75</v>
      </c>
      <c r="T393" s="348" t="s">
        <v>3362</v>
      </c>
      <c r="U393" s="520">
        <v>40000</v>
      </c>
      <c r="V393" s="266">
        <v>3000000</v>
      </c>
      <c r="W393" s="521" t="s">
        <v>2507</v>
      </c>
      <c r="X393" s="521" t="s">
        <v>2508</v>
      </c>
      <c r="Y393" s="522" t="s">
        <v>2516</v>
      </c>
      <c r="Z393" s="523" t="s">
        <v>2636</v>
      </c>
      <c r="AA393" s="521"/>
      <c r="AB393" s="521"/>
      <c r="AC393" s="521"/>
      <c r="AD393" s="521"/>
      <c r="AE393" s="521"/>
      <c r="AF393" s="521"/>
      <c r="AG393" s="264">
        <v>4</v>
      </c>
    </row>
    <row r="394" spans="1:33" s="526" customFormat="1" ht="29">
      <c r="A394" s="513">
        <v>392</v>
      </c>
      <c r="B394" s="514" t="s">
        <v>2854</v>
      </c>
      <c r="C394" s="515" t="s">
        <v>2854</v>
      </c>
      <c r="D394" s="262" t="s">
        <v>789</v>
      </c>
      <c r="E394" s="513">
        <v>393</v>
      </c>
      <c r="F394" s="544" t="s">
        <v>2854</v>
      </c>
      <c r="G394" s="517">
        <v>45407</v>
      </c>
      <c r="H394" s="517">
        <v>45407</v>
      </c>
      <c r="I394" s="517">
        <v>45408</v>
      </c>
      <c r="J394" s="517">
        <v>45408</v>
      </c>
      <c r="K394" s="517">
        <v>45408</v>
      </c>
      <c r="L394" s="518" t="s">
        <v>611</v>
      </c>
      <c r="M394" s="264" t="s">
        <v>2587</v>
      </c>
      <c r="N394" s="262" t="s">
        <v>2189</v>
      </c>
      <c r="O394" s="390" t="s">
        <v>2294</v>
      </c>
      <c r="P394" s="264" t="str">
        <f t="shared" ref="P394:P406" si="16">O394</f>
        <v>Belanja Jasa Tenaga Operator Komputer--</v>
      </c>
      <c r="Q394" s="264" t="s">
        <v>2672</v>
      </c>
      <c r="R394" s="528" t="s">
        <v>2673</v>
      </c>
      <c r="S394" s="399">
        <v>1</v>
      </c>
      <c r="T394" s="348" t="s">
        <v>3373</v>
      </c>
      <c r="U394" s="520">
        <v>1000000</v>
      </c>
      <c r="V394" s="266">
        <v>1000000</v>
      </c>
      <c r="W394" s="521" t="s">
        <v>2659</v>
      </c>
      <c r="X394" s="521" t="s">
        <v>2659</v>
      </c>
      <c r="Y394" s="522" t="s">
        <v>2660</v>
      </c>
      <c r="Z394" s="523" t="s">
        <v>2661</v>
      </c>
      <c r="AA394" s="521"/>
      <c r="AB394" s="521"/>
      <c r="AC394" s="521"/>
      <c r="AD394" s="521"/>
      <c r="AE394" s="521"/>
      <c r="AF394" s="521"/>
      <c r="AG394" s="264">
        <v>4</v>
      </c>
    </row>
    <row r="395" spans="1:33" s="526" customFormat="1">
      <c r="A395" s="513">
        <v>393</v>
      </c>
      <c r="B395" s="514" t="s">
        <v>2855</v>
      </c>
      <c r="C395" s="515" t="s">
        <v>2855</v>
      </c>
      <c r="D395" s="262" t="s">
        <v>2856</v>
      </c>
      <c r="E395" s="513">
        <v>394</v>
      </c>
      <c r="F395" s="544" t="s">
        <v>2855</v>
      </c>
      <c r="G395" s="517">
        <v>45407</v>
      </c>
      <c r="H395" s="517">
        <v>45407</v>
      </c>
      <c r="I395" s="517">
        <v>45408</v>
      </c>
      <c r="J395" s="517">
        <v>45408</v>
      </c>
      <c r="K395" s="517">
        <v>45408</v>
      </c>
      <c r="L395" s="518" t="s">
        <v>2678</v>
      </c>
      <c r="M395" s="264" t="s">
        <v>2679</v>
      </c>
      <c r="N395" s="262" t="s">
        <v>2680</v>
      </c>
      <c r="O395" s="390" t="s">
        <v>2681</v>
      </c>
      <c r="P395" s="264" t="str">
        <f t="shared" si="16"/>
        <v>Selatieli Nehe</v>
      </c>
      <c r="Q395" s="264" t="s">
        <v>2682</v>
      </c>
      <c r="R395" s="528" t="s">
        <v>2683</v>
      </c>
      <c r="S395" s="399">
        <v>33</v>
      </c>
      <c r="T395" s="348" t="s">
        <v>3374</v>
      </c>
      <c r="U395" s="520">
        <v>75000</v>
      </c>
      <c r="V395" s="266">
        <v>2475000</v>
      </c>
      <c r="W395" s="521" t="s">
        <v>2684</v>
      </c>
      <c r="X395" s="521">
        <v>0</v>
      </c>
      <c r="Y395" s="521"/>
      <c r="Z395" s="523"/>
      <c r="AA395" s="521"/>
      <c r="AB395" s="521"/>
      <c r="AC395" s="521"/>
      <c r="AD395" s="521"/>
      <c r="AE395" s="521"/>
      <c r="AF395" s="521"/>
      <c r="AG395" s="264">
        <v>4</v>
      </c>
    </row>
    <row r="396" spans="1:33" s="526" customFormat="1">
      <c r="A396" s="513">
        <v>394</v>
      </c>
      <c r="B396" s="514" t="s">
        <v>2857</v>
      </c>
      <c r="C396" s="515" t="s">
        <v>2857</v>
      </c>
      <c r="D396" s="262" t="s">
        <v>2858</v>
      </c>
      <c r="E396" s="513">
        <v>395</v>
      </c>
      <c r="F396" s="544" t="s">
        <v>2857</v>
      </c>
      <c r="G396" s="517">
        <v>45407</v>
      </c>
      <c r="H396" s="517">
        <v>45407</v>
      </c>
      <c r="I396" s="517">
        <v>45408</v>
      </c>
      <c r="J396" s="517">
        <v>45408</v>
      </c>
      <c r="K396" s="517">
        <v>45408</v>
      </c>
      <c r="L396" s="518" t="s">
        <v>2678</v>
      </c>
      <c r="M396" s="264" t="s">
        <v>2679</v>
      </c>
      <c r="N396" s="262" t="s">
        <v>2680</v>
      </c>
      <c r="O396" s="390" t="s">
        <v>2686</v>
      </c>
      <c r="P396" s="264" t="str">
        <f t="shared" si="16"/>
        <v>Arifin Metodi Bate'e</v>
      </c>
      <c r="Q396" s="264" t="s">
        <v>2682</v>
      </c>
      <c r="R396" s="528" t="s">
        <v>2683</v>
      </c>
      <c r="S396" s="399">
        <v>34</v>
      </c>
      <c r="T396" s="348" t="s">
        <v>3374</v>
      </c>
      <c r="U396" s="520">
        <v>75000</v>
      </c>
      <c r="V396" s="266">
        <v>2550000</v>
      </c>
      <c r="W396" s="521" t="s">
        <v>2684</v>
      </c>
      <c r="X396" s="521">
        <v>0</v>
      </c>
      <c r="Y396" s="521"/>
      <c r="Z396" s="523"/>
      <c r="AA396" s="521"/>
      <c r="AB396" s="521"/>
      <c r="AC396" s="521"/>
      <c r="AD396" s="521"/>
      <c r="AE396" s="521"/>
      <c r="AF396" s="521"/>
      <c r="AG396" s="264">
        <v>4</v>
      </c>
    </row>
    <row r="397" spans="1:33" s="526" customFormat="1">
      <c r="A397" s="513">
        <v>395</v>
      </c>
      <c r="B397" s="514" t="s">
        <v>2859</v>
      </c>
      <c r="C397" s="515" t="s">
        <v>2859</v>
      </c>
      <c r="D397" s="262" t="s">
        <v>2860</v>
      </c>
      <c r="E397" s="513">
        <v>396</v>
      </c>
      <c r="F397" s="544" t="s">
        <v>2859</v>
      </c>
      <c r="G397" s="517">
        <v>45407</v>
      </c>
      <c r="H397" s="517">
        <v>45407</v>
      </c>
      <c r="I397" s="517">
        <v>45408</v>
      </c>
      <c r="J397" s="517">
        <v>45408</v>
      </c>
      <c r="K397" s="517">
        <v>45408</v>
      </c>
      <c r="L397" s="518" t="s">
        <v>2678</v>
      </c>
      <c r="M397" s="264" t="s">
        <v>2679</v>
      </c>
      <c r="N397" s="262" t="s">
        <v>2680</v>
      </c>
      <c r="O397" s="390" t="s">
        <v>2688</v>
      </c>
      <c r="P397" s="264" t="str">
        <f t="shared" si="16"/>
        <v>Ferdiwati Wau</v>
      </c>
      <c r="Q397" s="264" t="s">
        <v>2682</v>
      </c>
      <c r="R397" s="528" t="s">
        <v>2683</v>
      </c>
      <c r="S397" s="399">
        <v>30</v>
      </c>
      <c r="T397" s="348" t="s">
        <v>3374</v>
      </c>
      <c r="U397" s="520">
        <v>75000</v>
      </c>
      <c r="V397" s="266">
        <v>2250000</v>
      </c>
      <c r="W397" s="521" t="s">
        <v>2684</v>
      </c>
      <c r="X397" s="521">
        <v>0</v>
      </c>
      <c r="Y397" s="521"/>
      <c r="Z397" s="523"/>
      <c r="AA397" s="521"/>
      <c r="AB397" s="521"/>
      <c r="AC397" s="521"/>
      <c r="AD397" s="521"/>
      <c r="AE397" s="521"/>
      <c r="AF397" s="521"/>
      <c r="AG397" s="264">
        <v>4</v>
      </c>
    </row>
    <row r="398" spans="1:33" s="526" customFormat="1">
      <c r="A398" s="513">
        <v>396</v>
      </c>
      <c r="B398" s="514" t="s">
        <v>2861</v>
      </c>
      <c r="C398" s="515" t="s">
        <v>2861</v>
      </c>
      <c r="D398" s="262" t="s">
        <v>2862</v>
      </c>
      <c r="E398" s="513">
        <v>397</v>
      </c>
      <c r="F398" s="544" t="s">
        <v>2861</v>
      </c>
      <c r="G398" s="517">
        <v>45407</v>
      </c>
      <c r="H398" s="517">
        <v>45407</v>
      </c>
      <c r="I398" s="517">
        <v>45408</v>
      </c>
      <c r="J398" s="517">
        <v>45408</v>
      </c>
      <c r="K398" s="517">
        <v>45408</v>
      </c>
      <c r="L398" s="518" t="s">
        <v>2678</v>
      </c>
      <c r="M398" s="264" t="s">
        <v>2679</v>
      </c>
      <c r="N398" s="262" t="s">
        <v>2680</v>
      </c>
      <c r="O398" s="390" t="s">
        <v>2690</v>
      </c>
      <c r="P398" s="264" t="str">
        <f t="shared" si="16"/>
        <v>Noni Alfanita Sarumaha, S.Pd</v>
      </c>
      <c r="Q398" s="264" t="s">
        <v>2682</v>
      </c>
      <c r="R398" s="528" t="s">
        <v>2683</v>
      </c>
      <c r="S398" s="399">
        <v>33</v>
      </c>
      <c r="T398" s="348" t="s">
        <v>3374</v>
      </c>
      <c r="U398" s="520">
        <v>75000</v>
      </c>
      <c r="V398" s="266">
        <v>2475000</v>
      </c>
      <c r="W398" s="521" t="s">
        <v>2684</v>
      </c>
      <c r="X398" s="521">
        <v>0</v>
      </c>
      <c r="Y398" s="521"/>
      <c r="Z398" s="523"/>
      <c r="AA398" s="521"/>
      <c r="AB398" s="521"/>
      <c r="AC398" s="521"/>
      <c r="AD398" s="521"/>
      <c r="AE398" s="521"/>
      <c r="AF398" s="521"/>
      <c r="AG398" s="264">
        <v>4</v>
      </c>
    </row>
    <row r="399" spans="1:33" s="526" customFormat="1">
      <c r="A399" s="513">
        <v>397</v>
      </c>
      <c r="B399" s="514" t="s">
        <v>2863</v>
      </c>
      <c r="C399" s="515" t="s">
        <v>2863</v>
      </c>
      <c r="D399" s="262" t="s">
        <v>2864</v>
      </c>
      <c r="E399" s="513">
        <v>398</v>
      </c>
      <c r="F399" s="544" t="s">
        <v>2863</v>
      </c>
      <c r="G399" s="517">
        <v>45407</v>
      </c>
      <c r="H399" s="517">
        <v>45407</v>
      </c>
      <c r="I399" s="517">
        <v>45408</v>
      </c>
      <c r="J399" s="517">
        <v>45408</v>
      </c>
      <c r="K399" s="517">
        <v>45408</v>
      </c>
      <c r="L399" s="518" t="s">
        <v>2678</v>
      </c>
      <c r="M399" s="264" t="s">
        <v>2679</v>
      </c>
      <c r="N399" s="262" t="s">
        <v>2680</v>
      </c>
      <c r="O399" s="390" t="s">
        <v>2692</v>
      </c>
      <c r="P399" s="264" t="str">
        <f t="shared" si="16"/>
        <v>EMILA HAFO</v>
      </c>
      <c r="Q399" s="264" t="s">
        <v>2682</v>
      </c>
      <c r="R399" s="528" t="s">
        <v>2683</v>
      </c>
      <c r="S399" s="399">
        <v>28</v>
      </c>
      <c r="T399" s="348" t="s">
        <v>3374</v>
      </c>
      <c r="U399" s="520">
        <v>75000</v>
      </c>
      <c r="V399" s="266">
        <v>2100000</v>
      </c>
      <c r="W399" s="521" t="s">
        <v>2684</v>
      </c>
      <c r="X399" s="521">
        <v>0</v>
      </c>
      <c r="Y399" s="521"/>
      <c r="Z399" s="523"/>
      <c r="AA399" s="521"/>
      <c r="AB399" s="521"/>
      <c r="AC399" s="521"/>
      <c r="AD399" s="521"/>
      <c r="AE399" s="521"/>
      <c r="AF399" s="521"/>
      <c r="AG399" s="264">
        <v>4</v>
      </c>
    </row>
    <row r="400" spans="1:33" s="526" customFormat="1">
      <c r="A400" s="513">
        <v>398</v>
      </c>
      <c r="B400" s="514" t="s">
        <v>2865</v>
      </c>
      <c r="C400" s="515" t="s">
        <v>2865</v>
      </c>
      <c r="D400" s="262" t="s">
        <v>2866</v>
      </c>
      <c r="E400" s="513">
        <v>399</v>
      </c>
      <c r="F400" s="544" t="s">
        <v>2865</v>
      </c>
      <c r="G400" s="517">
        <v>45407</v>
      </c>
      <c r="H400" s="517">
        <v>45407</v>
      </c>
      <c r="I400" s="517">
        <v>45408</v>
      </c>
      <c r="J400" s="517">
        <v>45408</v>
      </c>
      <c r="K400" s="517">
        <v>45408</v>
      </c>
      <c r="L400" s="518" t="s">
        <v>2678</v>
      </c>
      <c r="M400" s="264" t="s">
        <v>2679</v>
      </c>
      <c r="N400" s="262" t="s">
        <v>2680</v>
      </c>
      <c r="O400" s="390" t="s">
        <v>2694</v>
      </c>
      <c r="P400" s="264" t="str">
        <f t="shared" si="16"/>
        <v>Asep Nurhidayat</v>
      </c>
      <c r="Q400" s="264" t="s">
        <v>2682</v>
      </c>
      <c r="R400" s="528" t="s">
        <v>2683</v>
      </c>
      <c r="S400" s="399">
        <v>33</v>
      </c>
      <c r="T400" s="348" t="s">
        <v>3374</v>
      </c>
      <c r="U400" s="520">
        <v>75000</v>
      </c>
      <c r="V400" s="266">
        <v>2475000</v>
      </c>
      <c r="W400" s="521" t="s">
        <v>2684</v>
      </c>
      <c r="X400" s="521">
        <v>0</v>
      </c>
      <c r="Y400" s="521"/>
      <c r="Z400" s="523"/>
      <c r="AA400" s="521"/>
      <c r="AB400" s="521"/>
      <c r="AC400" s="521"/>
      <c r="AD400" s="521"/>
      <c r="AE400" s="521"/>
      <c r="AF400" s="521"/>
      <c r="AG400" s="264">
        <v>4</v>
      </c>
    </row>
    <row r="401" spans="1:33" s="526" customFormat="1">
      <c r="A401" s="513">
        <v>399</v>
      </c>
      <c r="B401" s="514" t="s">
        <v>2867</v>
      </c>
      <c r="C401" s="515" t="s">
        <v>2867</v>
      </c>
      <c r="D401" s="262" t="s">
        <v>2868</v>
      </c>
      <c r="E401" s="513">
        <v>400</v>
      </c>
      <c r="F401" s="544" t="s">
        <v>2867</v>
      </c>
      <c r="G401" s="517">
        <v>45407</v>
      </c>
      <c r="H401" s="517">
        <v>45407</v>
      </c>
      <c r="I401" s="517">
        <v>45408</v>
      </c>
      <c r="J401" s="517">
        <v>45408</v>
      </c>
      <c r="K401" s="517">
        <v>45408</v>
      </c>
      <c r="L401" s="518" t="s">
        <v>2696</v>
      </c>
      <c r="M401" s="264" t="s">
        <v>2679</v>
      </c>
      <c r="N401" s="262" t="s">
        <v>2697</v>
      </c>
      <c r="O401" s="390" t="s">
        <v>2698</v>
      </c>
      <c r="P401" s="264" t="str">
        <f t="shared" si="16"/>
        <v>Estera Nehe</v>
      </c>
      <c r="Q401" s="264" t="s">
        <v>2699</v>
      </c>
      <c r="R401" s="528" t="s">
        <v>2700</v>
      </c>
      <c r="S401" s="399">
        <v>1</v>
      </c>
      <c r="T401" s="348" t="s">
        <v>3373</v>
      </c>
      <c r="U401" s="520">
        <v>2000000</v>
      </c>
      <c r="V401" s="266">
        <v>2000000</v>
      </c>
      <c r="W401" s="521" t="s">
        <v>2684</v>
      </c>
      <c r="X401" s="521">
        <v>0</v>
      </c>
      <c r="Y401" s="521"/>
      <c r="Z401" s="523"/>
      <c r="AA401" s="521"/>
      <c r="AB401" s="521"/>
      <c r="AC401" s="521"/>
      <c r="AD401" s="521"/>
      <c r="AE401" s="521"/>
      <c r="AF401" s="521"/>
      <c r="AG401" s="264">
        <v>4</v>
      </c>
    </row>
    <row r="402" spans="1:33" s="526" customFormat="1">
      <c r="A402" s="513">
        <v>400</v>
      </c>
      <c r="B402" s="514" t="s">
        <v>2869</v>
      </c>
      <c r="C402" s="515" t="s">
        <v>2869</v>
      </c>
      <c r="D402" s="262" t="s">
        <v>2870</v>
      </c>
      <c r="E402" s="513">
        <v>401</v>
      </c>
      <c r="F402" s="544" t="s">
        <v>2869</v>
      </c>
      <c r="G402" s="517">
        <v>45407</v>
      </c>
      <c r="H402" s="517">
        <v>45407</v>
      </c>
      <c r="I402" s="517">
        <v>45408</v>
      </c>
      <c r="J402" s="517">
        <v>45408</v>
      </c>
      <c r="K402" s="517">
        <v>45408</v>
      </c>
      <c r="L402" s="518" t="s">
        <v>2696</v>
      </c>
      <c r="M402" s="264" t="s">
        <v>2679</v>
      </c>
      <c r="N402" s="262" t="s">
        <v>2697</v>
      </c>
      <c r="O402" s="390" t="s">
        <v>2702</v>
      </c>
      <c r="P402" s="264" t="str">
        <f t="shared" si="16"/>
        <v>Hatieli Buulolo</v>
      </c>
      <c r="Q402" s="264" t="s">
        <v>2699</v>
      </c>
      <c r="R402" s="528" t="s">
        <v>2700</v>
      </c>
      <c r="S402" s="399">
        <v>1</v>
      </c>
      <c r="T402" s="348" t="s">
        <v>3373</v>
      </c>
      <c r="U402" s="520">
        <v>2000000</v>
      </c>
      <c r="V402" s="266">
        <v>2000000</v>
      </c>
      <c r="W402" s="521" t="s">
        <v>2684</v>
      </c>
      <c r="X402" s="521">
        <v>0</v>
      </c>
      <c r="Y402" s="521"/>
      <c r="Z402" s="523"/>
      <c r="AA402" s="521"/>
      <c r="AB402" s="521"/>
      <c r="AC402" s="521"/>
      <c r="AD402" s="521"/>
      <c r="AE402" s="521"/>
      <c r="AF402" s="521"/>
      <c r="AG402" s="264">
        <v>4</v>
      </c>
    </row>
    <row r="403" spans="1:33" s="526" customFormat="1">
      <c r="A403" s="513">
        <v>401</v>
      </c>
      <c r="B403" s="514" t="s">
        <v>2871</v>
      </c>
      <c r="C403" s="515" t="s">
        <v>2871</v>
      </c>
      <c r="D403" s="262" t="s">
        <v>2872</v>
      </c>
      <c r="E403" s="513">
        <v>402</v>
      </c>
      <c r="F403" s="544" t="s">
        <v>2871</v>
      </c>
      <c r="G403" s="517">
        <v>45407</v>
      </c>
      <c r="H403" s="517">
        <v>45407</v>
      </c>
      <c r="I403" s="517">
        <v>45408</v>
      </c>
      <c r="J403" s="517">
        <v>45408</v>
      </c>
      <c r="K403" s="517">
        <v>45408</v>
      </c>
      <c r="L403" s="518" t="s">
        <v>2696</v>
      </c>
      <c r="M403" s="264" t="s">
        <v>2679</v>
      </c>
      <c r="N403" s="262" t="s">
        <v>2697</v>
      </c>
      <c r="O403" s="390" t="s">
        <v>2704</v>
      </c>
      <c r="P403" s="264" t="str">
        <f t="shared" si="16"/>
        <v>David J. Sitinjak</v>
      </c>
      <c r="Q403" s="264" t="s">
        <v>2699</v>
      </c>
      <c r="R403" s="528" t="s">
        <v>2700</v>
      </c>
      <c r="S403" s="399">
        <v>1</v>
      </c>
      <c r="T403" s="348" t="s">
        <v>3373</v>
      </c>
      <c r="U403" s="520">
        <v>2000000</v>
      </c>
      <c r="V403" s="266">
        <v>2000000</v>
      </c>
      <c r="W403" s="521" t="s">
        <v>2684</v>
      </c>
      <c r="X403" s="521">
        <v>0</v>
      </c>
      <c r="Y403" s="521"/>
      <c r="Z403" s="523"/>
      <c r="AA403" s="521"/>
      <c r="AB403" s="521"/>
      <c r="AC403" s="521"/>
      <c r="AD403" s="521"/>
      <c r="AE403" s="521"/>
      <c r="AF403" s="521"/>
      <c r="AG403" s="264">
        <v>4</v>
      </c>
    </row>
    <row r="404" spans="1:33" s="526" customFormat="1">
      <c r="A404" s="513">
        <v>402</v>
      </c>
      <c r="B404" s="514" t="s">
        <v>2873</v>
      </c>
      <c r="C404" s="515" t="s">
        <v>2873</v>
      </c>
      <c r="D404" s="262" t="s">
        <v>2874</v>
      </c>
      <c r="E404" s="513">
        <v>403</v>
      </c>
      <c r="F404" s="544" t="s">
        <v>2873</v>
      </c>
      <c r="G404" s="517">
        <v>45407</v>
      </c>
      <c r="H404" s="517">
        <v>45407</v>
      </c>
      <c r="I404" s="517">
        <v>45408</v>
      </c>
      <c r="J404" s="517">
        <v>45408</v>
      </c>
      <c r="K404" s="517">
        <v>45408</v>
      </c>
      <c r="L404" s="518" t="s">
        <v>2696</v>
      </c>
      <c r="M404" s="264" t="s">
        <v>2679</v>
      </c>
      <c r="N404" s="262" t="s">
        <v>2697</v>
      </c>
      <c r="O404" s="390" t="s">
        <v>2706</v>
      </c>
      <c r="P404" s="264" t="str">
        <f t="shared" si="16"/>
        <v>Siona Ziraluo</v>
      </c>
      <c r="Q404" s="264" t="s">
        <v>2699</v>
      </c>
      <c r="R404" s="528" t="s">
        <v>2700</v>
      </c>
      <c r="S404" s="399">
        <v>1</v>
      </c>
      <c r="T404" s="348" t="s">
        <v>3373</v>
      </c>
      <c r="U404" s="520">
        <v>2000000</v>
      </c>
      <c r="V404" s="266">
        <v>2000000</v>
      </c>
      <c r="W404" s="521" t="s">
        <v>2684</v>
      </c>
      <c r="X404" s="521">
        <v>0</v>
      </c>
      <c r="Y404" s="521"/>
      <c r="Z404" s="523"/>
      <c r="AA404" s="521"/>
      <c r="AB404" s="521"/>
      <c r="AC404" s="521"/>
      <c r="AD404" s="521"/>
      <c r="AE404" s="521"/>
      <c r="AF404" s="521"/>
      <c r="AG404" s="264">
        <v>4</v>
      </c>
    </row>
    <row r="405" spans="1:33" s="526" customFormat="1">
      <c r="A405" s="513">
        <v>403</v>
      </c>
      <c r="B405" s="514" t="s">
        <v>2875</v>
      </c>
      <c r="C405" s="515" t="s">
        <v>2875</v>
      </c>
      <c r="D405" s="262" t="s">
        <v>2876</v>
      </c>
      <c r="E405" s="513">
        <v>404</v>
      </c>
      <c r="F405" s="544" t="s">
        <v>2875</v>
      </c>
      <c r="G405" s="517">
        <v>45407</v>
      </c>
      <c r="H405" s="517">
        <v>45407</v>
      </c>
      <c r="I405" s="517">
        <v>45408</v>
      </c>
      <c r="J405" s="517">
        <v>45408</v>
      </c>
      <c r="K405" s="517">
        <v>45408</v>
      </c>
      <c r="L405" s="518" t="s">
        <v>2696</v>
      </c>
      <c r="M405" s="264" t="s">
        <v>2679</v>
      </c>
      <c r="N405" s="262" t="s">
        <v>2697</v>
      </c>
      <c r="O405" s="390" t="s">
        <v>2708</v>
      </c>
      <c r="P405" s="264" t="str">
        <f t="shared" si="16"/>
        <v>Merdina Ziraluo</v>
      </c>
      <c r="Q405" s="264" t="s">
        <v>2699</v>
      </c>
      <c r="R405" s="528" t="s">
        <v>2700</v>
      </c>
      <c r="S405" s="399">
        <v>1</v>
      </c>
      <c r="T405" s="348" t="s">
        <v>3373</v>
      </c>
      <c r="U405" s="520">
        <v>2000000</v>
      </c>
      <c r="V405" s="266">
        <v>2000000</v>
      </c>
      <c r="W405" s="521" t="s">
        <v>2684</v>
      </c>
      <c r="X405" s="521">
        <v>0</v>
      </c>
      <c r="Y405" s="521"/>
      <c r="Z405" s="523"/>
      <c r="AA405" s="521"/>
      <c r="AB405" s="521"/>
      <c r="AC405" s="521"/>
      <c r="AD405" s="521"/>
      <c r="AE405" s="521"/>
      <c r="AF405" s="521"/>
      <c r="AG405" s="264">
        <v>4</v>
      </c>
    </row>
    <row r="406" spans="1:33" s="526" customFormat="1">
      <c r="A406" s="513">
        <v>404</v>
      </c>
      <c r="B406" s="514" t="s">
        <v>2877</v>
      </c>
      <c r="C406" s="515" t="s">
        <v>2877</v>
      </c>
      <c r="D406" s="262" t="s">
        <v>2878</v>
      </c>
      <c r="E406" s="513">
        <v>405</v>
      </c>
      <c r="F406" s="544" t="s">
        <v>2877</v>
      </c>
      <c r="G406" s="517">
        <v>45407</v>
      </c>
      <c r="H406" s="517">
        <v>45407</v>
      </c>
      <c r="I406" s="517">
        <v>45408</v>
      </c>
      <c r="J406" s="517">
        <v>45408</v>
      </c>
      <c r="K406" s="517">
        <v>45408</v>
      </c>
      <c r="L406" s="518" t="s">
        <v>2710</v>
      </c>
      <c r="M406" s="264" t="s">
        <v>2679</v>
      </c>
      <c r="N406" s="262" t="s">
        <v>2711</v>
      </c>
      <c r="O406" s="390" t="s">
        <v>2712</v>
      </c>
      <c r="P406" s="264" t="str">
        <f t="shared" si="16"/>
        <v>Fransiskus Lombu</v>
      </c>
      <c r="Q406" s="264" t="s">
        <v>2713</v>
      </c>
      <c r="R406" s="528" t="s">
        <v>2714</v>
      </c>
      <c r="S406" s="399">
        <v>1</v>
      </c>
      <c r="T406" s="348" t="s">
        <v>3373</v>
      </c>
      <c r="U406" s="520">
        <v>1000000</v>
      </c>
      <c r="V406" s="266">
        <v>1000000</v>
      </c>
      <c r="W406" s="521" t="s">
        <v>2715</v>
      </c>
      <c r="X406" s="521">
        <v>0</v>
      </c>
      <c r="Y406" s="521"/>
      <c r="Z406" s="523"/>
      <c r="AA406" s="521"/>
      <c r="AB406" s="521"/>
      <c r="AC406" s="521"/>
      <c r="AD406" s="521"/>
      <c r="AE406" s="521"/>
      <c r="AF406" s="521"/>
      <c r="AG406" s="264">
        <v>4</v>
      </c>
    </row>
    <row r="407" spans="1:33" s="526" customFormat="1" ht="29">
      <c r="A407" s="513">
        <v>405</v>
      </c>
      <c r="B407" s="514" t="s">
        <v>2879</v>
      </c>
      <c r="C407" s="515" t="s">
        <v>2879</v>
      </c>
      <c r="D407" s="262" t="s">
        <v>794</v>
      </c>
      <c r="E407" s="513">
        <v>406</v>
      </c>
      <c r="F407" s="544" t="s">
        <v>2879</v>
      </c>
      <c r="G407" s="517">
        <v>45410</v>
      </c>
      <c r="H407" s="517">
        <v>45411</v>
      </c>
      <c r="I407" s="517">
        <v>45411</v>
      </c>
      <c r="J407" s="517">
        <v>45411</v>
      </c>
      <c r="K407" s="517">
        <v>45411</v>
      </c>
      <c r="L407" s="518" t="s">
        <v>2180</v>
      </c>
      <c r="M407" s="264" t="s">
        <v>2643</v>
      </c>
      <c r="N407" s="262" t="s">
        <v>2183</v>
      </c>
      <c r="O407" s="390" t="s">
        <v>2285</v>
      </c>
      <c r="P407" s="264" t="s">
        <v>2442</v>
      </c>
      <c r="Q407" s="264" t="s">
        <v>1545</v>
      </c>
      <c r="R407" s="519" t="s">
        <v>163</v>
      </c>
      <c r="S407" s="399">
        <v>25</v>
      </c>
      <c r="T407" s="348" t="s">
        <v>3372</v>
      </c>
      <c r="U407" s="520">
        <v>50000</v>
      </c>
      <c r="V407" s="266">
        <v>1250000</v>
      </c>
      <c r="W407" s="521" t="s">
        <v>10</v>
      </c>
      <c r="X407" s="521" t="s">
        <v>11</v>
      </c>
      <c r="Y407" s="522" t="s">
        <v>2092</v>
      </c>
      <c r="Z407" s="523" t="s">
        <v>2634</v>
      </c>
      <c r="AA407" s="521"/>
      <c r="AB407" s="521"/>
      <c r="AC407" s="521"/>
      <c r="AD407" s="521"/>
      <c r="AE407" s="521"/>
      <c r="AF407" s="521"/>
      <c r="AG407" s="264">
        <v>4</v>
      </c>
    </row>
    <row r="408" spans="1:33" s="526" customFormat="1" ht="29">
      <c r="A408" s="513">
        <v>406</v>
      </c>
      <c r="B408" s="514" t="s">
        <v>2880</v>
      </c>
      <c r="C408" s="515" t="s">
        <v>2880</v>
      </c>
      <c r="D408" s="262" t="s">
        <v>800</v>
      </c>
      <c r="E408" s="513">
        <v>407</v>
      </c>
      <c r="F408" s="544" t="s">
        <v>2880</v>
      </c>
      <c r="G408" s="517">
        <v>45410</v>
      </c>
      <c r="H408" s="517">
        <v>45411</v>
      </c>
      <c r="I408" s="517">
        <v>45412</v>
      </c>
      <c r="J408" s="517">
        <v>45412</v>
      </c>
      <c r="K408" s="517">
        <v>45412</v>
      </c>
      <c r="L408" s="518" t="s">
        <v>2204</v>
      </c>
      <c r="M408" s="264" t="s">
        <v>2646</v>
      </c>
      <c r="N408" s="262" t="s">
        <v>2191</v>
      </c>
      <c r="O408" s="390" t="s">
        <v>2321</v>
      </c>
      <c r="P408" s="264" t="str">
        <f>O408</f>
        <v>Server</v>
      </c>
      <c r="Q408" s="264" t="s">
        <v>2720</v>
      </c>
      <c r="R408" s="528" t="s">
        <v>2881</v>
      </c>
      <c r="S408" s="399">
        <v>1</v>
      </c>
      <c r="T408" s="348" t="s">
        <v>3371</v>
      </c>
      <c r="U408" s="520">
        <v>32400000</v>
      </c>
      <c r="V408" s="266">
        <v>32400000</v>
      </c>
      <c r="W408" s="521" t="s">
        <v>12</v>
      </c>
      <c r="X408" s="521" t="s">
        <v>13</v>
      </c>
      <c r="Y408" s="522" t="s">
        <v>2514</v>
      </c>
      <c r="Z408" s="523" t="s">
        <v>541</v>
      </c>
      <c r="AA408" s="521"/>
      <c r="AB408" s="521"/>
      <c r="AC408" s="521"/>
      <c r="AD408" s="521"/>
      <c r="AE408" s="521"/>
      <c r="AF408" s="521"/>
      <c r="AG408" s="264">
        <v>4</v>
      </c>
    </row>
    <row r="409" spans="1:33" s="526" customFormat="1">
      <c r="A409" s="513">
        <v>407</v>
      </c>
      <c r="B409" s="514" t="s">
        <v>2882</v>
      </c>
      <c r="C409" s="515" t="s">
        <v>2882</v>
      </c>
      <c r="D409" s="564" t="s">
        <v>811</v>
      </c>
      <c r="E409" s="513">
        <v>408</v>
      </c>
      <c r="F409" s="544" t="s">
        <v>2882</v>
      </c>
      <c r="G409" s="517">
        <v>45410</v>
      </c>
      <c r="H409" s="517">
        <v>45411</v>
      </c>
      <c r="I409" s="517">
        <v>45412</v>
      </c>
      <c r="J409" s="517">
        <v>45412</v>
      </c>
      <c r="K409" s="517">
        <v>45412</v>
      </c>
      <c r="L409" s="518" t="s">
        <v>2190</v>
      </c>
      <c r="M409" s="264" t="s">
        <v>2649</v>
      </c>
      <c r="N409" s="564" t="s">
        <v>2199</v>
      </c>
      <c r="O409" s="565" t="s">
        <v>2322</v>
      </c>
      <c r="P409" s="264" t="str">
        <f>O409</f>
        <v>Biaya Lomba MTQ 2024</v>
      </c>
      <c r="Q409" s="264" t="s">
        <v>2834</v>
      </c>
      <c r="R409" s="518" t="s">
        <v>2883</v>
      </c>
      <c r="S409" s="399">
        <v>1</v>
      </c>
      <c r="T409" s="561" t="s">
        <v>3377</v>
      </c>
      <c r="U409" s="520">
        <v>16600000</v>
      </c>
      <c r="V409" s="266">
        <v>16600000</v>
      </c>
      <c r="W409" s="521" t="s">
        <v>2659</v>
      </c>
      <c r="X409" s="521" t="s">
        <v>2659</v>
      </c>
      <c r="Y409" s="522" t="s">
        <v>2660</v>
      </c>
      <c r="Z409" s="521" t="s">
        <v>2661</v>
      </c>
      <c r="AA409" s="521"/>
      <c r="AB409" s="521"/>
      <c r="AC409" s="521"/>
      <c r="AD409" s="521"/>
      <c r="AE409" s="521"/>
      <c r="AF409" s="521"/>
      <c r="AG409" s="264">
        <v>4</v>
      </c>
    </row>
    <row r="410" spans="1:33" s="526" customFormat="1" ht="29">
      <c r="A410" s="513">
        <v>408</v>
      </c>
      <c r="B410" s="514" t="s">
        <v>2884</v>
      </c>
      <c r="C410" s="515" t="s">
        <v>2884</v>
      </c>
      <c r="D410" s="545" t="s">
        <v>813</v>
      </c>
      <c r="E410" s="513">
        <v>409</v>
      </c>
      <c r="F410" s="544" t="s">
        <v>2884</v>
      </c>
      <c r="G410" s="517">
        <v>45410</v>
      </c>
      <c r="H410" s="517">
        <v>45411</v>
      </c>
      <c r="I410" s="546">
        <v>45412</v>
      </c>
      <c r="J410" s="517">
        <v>45412</v>
      </c>
      <c r="K410" s="546">
        <v>45412</v>
      </c>
      <c r="L410" s="518" t="s">
        <v>2180</v>
      </c>
      <c r="M410" s="264" t="s">
        <v>2587</v>
      </c>
      <c r="N410" s="545" t="s">
        <v>1004</v>
      </c>
      <c r="O410" s="547" t="s">
        <v>2297</v>
      </c>
      <c r="P410" s="264" t="s">
        <v>2633</v>
      </c>
      <c r="Q410" s="264" t="s">
        <v>280</v>
      </c>
      <c r="R410" s="528" t="s">
        <v>165</v>
      </c>
      <c r="S410" s="399">
        <v>60</v>
      </c>
      <c r="T410" s="348" t="s">
        <v>3363</v>
      </c>
      <c r="U410" s="520">
        <v>15000</v>
      </c>
      <c r="V410" s="548">
        <v>900000</v>
      </c>
      <c r="W410" s="521" t="s">
        <v>10</v>
      </c>
      <c r="X410" s="521" t="s">
        <v>11</v>
      </c>
      <c r="Y410" s="522" t="s">
        <v>2092</v>
      </c>
      <c r="Z410" s="523" t="s">
        <v>2634</v>
      </c>
      <c r="AA410" s="521"/>
      <c r="AB410" s="521"/>
      <c r="AC410" s="521"/>
      <c r="AD410" s="521"/>
      <c r="AE410" s="521"/>
      <c r="AF410" s="521"/>
      <c r="AG410" s="264">
        <v>4</v>
      </c>
    </row>
    <row r="411" spans="1:33" s="526" customFormat="1" ht="29">
      <c r="A411" s="513">
        <v>409</v>
      </c>
      <c r="B411" s="514" t="s">
        <v>2885</v>
      </c>
      <c r="C411" s="515" t="s">
        <v>2885</v>
      </c>
      <c r="D411" s="262" t="s">
        <v>814</v>
      </c>
      <c r="E411" s="513">
        <v>410</v>
      </c>
      <c r="F411" s="544" t="s">
        <v>2885</v>
      </c>
      <c r="G411" s="543">
        <v>45413</v>
      </c>
      <c r="H411" s="543">
        <v>45413</v>
      </c>
      <c r="I411" s="543">
        <v>45413</v>
      </c>
      <c r="J411" s="543">
        <v>45413</v>
      </c>
      <c r="K411" s="517">
        <v>45415</v>
      </c>
      <c r="L411" s="518" t="s">
        <v>705</v>
      </c>
      <c r="M411" s="264" t="s">
        <v>2587</v>
      </c>
      <c r="N411" s="262" t="s">
        <v>2176</v>
      </c>
      <c r="O411" s="390" t="s">
        <v>238</v>
      </c>
      <c r="P411" s="264" t="str">
        <f t="shared" ref="P411:P418" si="17">O411</f>
        <v>Binder Klip  nomor 111</v>
      </c>
      <c r="Q411" s="264" t="s">
        <v>710</v>
      </c>
      <c r="R411" s="519" t="s">
        <v>109</v>
      </c>
      <c r="S411" s="399">
        <v>5</v>
      </c>
      <c r="T411" s="348" t="s">
        <v>3362</v>
      </c>
      <c r="U411" s="520">
        <v>11000</v>
      </c>
      <c r="V411" s="266">
        <v>55000</v>
      </c>
      <c r="W411" s="521" t="s">
        <v>227</v>
      </c>
      <c r="X411" s="521" t="s">
        <v>3383</v>
      </c>
      <c r="Y411" s="522" t="s">
        <v>2512</v>
      </c>
      <c r="Z411" s="523" t="s">
        <v>541</v>
      </c>
      <c r="AA411" s="521"/>
      <c r="AB411" s="521"/>
      <c r="AC411" s="521"/>
      <c r="AD411" s="521"/>
      <c r="AE411" s="521"/>
      <c r="AF411" s="521"/>
      <c r="AG411" s="264">
        <v>5</v>
      </c>
    </row>
    <row r="412" spans="1:33" s="526" customFormat="1" ht="29">
      <c r="A412" s="513">
        <v>410</v>
      </c>
      <c r="B412" s="514" t="s">
        <v>2885</v>
      </c>
      <c r="C412" s="515" t="s">
        <v>2885</v>
      </c>
      <c r="D412" s="262" t="s">
        <v>814</v>
      </c>
      <c r="E412" s="513">
        <v>411</v>
      </c>
      <c r="F412" s="544" t="s">
        <v>2885</v>
      </c>
      <c r="G412" s="543">
        <v>45413</v>
      </c>
      <c r="H412" s="543">
        <v>45413</v>
      </c>
      <c r="I412" s="543">
        <v>45413</v>
      </c>
      <c r="J412" s="543">
        <v>45413</v>
      </c>
      <c r="K412" s="517">
        <v>45415</v>
      </c>
      <c r="L412" s="518" t="s">
        <v>705</v>
      </c>
      <c r="M412" s="264" t="s">
        <v>2587</v>
      </c>
      <c r="N412" s="262" t="s">
        <v>2176</v>
      </c>
      <c r="O412" s="390" t="s">
        <v>233</v>
      </c>
      <c r="P412" s="264" t="str">
        <f t="shared" si="17"/>
        <v>Ballpoint Drawing Pen 0,1 Snowman</v>
      </c>
      <c r="Q412" s="264" t="s">
        <v>710</v>
      </c>
      <c r="R412" s="525" t="s">
        <v>2590</v>
      </c>
      <c r="S412" s="399">
        <v>1</v>
      </c>
      <c r="T412" s="348" t="s">
        <v>3364</v>
      </c>
      <c r="U412" s="520">
        <v>95000</v>
      </c>
      <c r="V412" s="266">
        <v>95000</v>
      </c>
      <c r="W412" s="521" t="s">
        <v>227</v>
      </c>
      <c r="X412" s="521" t="s">
        <v>3383</v>
      </c>
      <c r="Y412" s="522" t="s">
        <v>2512</v>
      </c>
      <c r="Z412" s="523" t="s">
        <v>541</v>
      </c>
      <c r="AA412" s="521"/>
      <c r="AB412" s="521"/>
      <c r="AC412" s="521"/>
      <c r="AD412" s="521"/>
      <c r="AE412" s="521"/>
      <c r="AF412" s="521"/>
      <c r="AG412" s="264">
        <v>5</v>
      </c>
    </row>
    <row r="413" spans="1:33" s="526" customFormat="1" ht="29">
      <c r="A413" s="513">
        <v>411</v>
      </c>
      <c r="B413" s="514" t="s">
        <v>2885</v>
      </c>
      <c r="C413" s="515" t="s">
        <v>2885</v>
      </c>
      <c r="D413" s="262" t="s">
        <v>814</v>
      </c>
      <c r="E413" s="513">
        <v>412</v>
      </c>
      <c r="F413" s="544" t="s">
        <v>2885</v>
      </c>
      <c r="G413" s="543">
        <v>45413</v>
      </c>
      <c r="H413" s="543">
        <v>45413</v>
      </c>
      <c r="I413" s="543">
        <v>45413</v>
      </c>
      <c r="J413" s="543">
        <v>45413</v>
      </c>
      <c r="K413" s="517">
        <v>45415</v>
      </c>
      <c r="L413" s="518" t="s">
        <v>705</v>
      </c>
      <c r="M413" s="264" t="s">
        <v>2587</v>
      </c>
      <c r="N413" s="262" t="s">
        <v>2176</v>
      </c>
      <c r="O413" s="390" t="s">
        <v>2234</v>
      </c>
      <c r="P413" s="264" t="str">
        <f t="shared" si="17"/>
        <v>Stofmap Transparan tali</v>
      </c>
      <c r="Q413" s="264" t="s">
        <v>710</v>
      </c>
      <c r="R413" s="519" t="s">
        <v>158</v>
      </c>
      <c r="S413" s="399">
        <v>100</v>
      </c>
      <c r="T413" s="348" t="s">
        <v>3363</v>
      </c>
      <c r="U413" s="520">
        <v>5500</v>
      </c>
      <c r="V413" s="266">
        <v>550000</v>
      </c>
      <c r="W413" s="521" t="s">
        <v>227</v>
      </c>
      <c r="X413" s="521" t="s">
        <v>3383</v>
      </c>
      <c r="Y413" s="522" t="s">
        <v>2512</v>
      </c>
      <c r="Z413" s="523" t="s">
        <v>541</v>
      </c>
      <c r="AA413" s="521"/>
      <c r="AB413" s="521"/>
      <c r="AC413" s="521"/>
      <c r="AD413" s="521"/>
      <c r="AE413" s="521"/>
      <c r="AF413" s="521"/>
      <c r="AG413" s="264">
        <v>5</v>
      </c>
    </row>
    <row r="414" spans="1:33" s="526" customFormat="1" ht="29">
      <c r="A414" s="513">
        <v>412</v>
      </c>
      <c r="B414" s="514" t="s">
        <v>2885</v>
      </c>
      <c r="C414" s="515" t="s">
        <v>2885</v>
      </c>
      <c r="D414" s="262" t="s">
        <v>814</v>
      </c>
      <c r="E414" s="513">
        <v>413</v>
      </c>
      <c r="F414" s="544" t="s">
        <v>2885</v>
      </c>
      <c r="G414" s="543">
        <v>45413</v>
      </c>
      <c r="H414" s="543">
        <v>45413</v>
      </c>
      <c r="I414" s="543">
        <v>45413</v>
      </c>
      <c r="J414" s="543">
        <v>45413</v>
      </c>
      <c r="K414" s="517">
        <v>45415</v>
      </c>
      <c r="L414" s="518" t="s">
        <v>705</v>
      </c>
      <c r="M414" s="264" t="s">
        <v>2587</v>
      </c>
      <c r="N414" s="262" t="s">
        <v>2176</v>
      </c>
      <c r="O414" s="390" t="s">
        <v>2235</v>
      </c>
      <c r="P414" s="264" t="str">
        <f t="shared" si="17"/>
        <v>Amplop Coklat Merk : GSU Ukuran Folio polos</v>
      </c>
      <c r="Q414" s="264" t="s">
        <v>710</v>
      </c>
      <c r="R414" s="529" t="s">
        <v>2593</v>
      </c>
      <c r="S414" s="399">
        <v>2</v>
      </c>
      <c r="T414" s="348" t="s">
        <v>3365</v>
      </c>
      <c r="U414" s="520">
        <v>60000</v>
      </c>
      <c r="V414" s="266">
        <v>120000</v>
      </c>
      <c r="W414" s="521" t="s">
        <v>227</v>
      </c>
      <c r="X414" s="521" t="s">
        <v>3383</v>
      </c>
      <c r="Y414" s="522" t="s">
        <v>2512</v>
      </c>
      <c r="Z414" s="523" t="s">
        <v>541</v>
      </c>
      <c r="AA414" s="521"/>
      <c r="AB414" s="521"/>
      <c r="AC414" s="521"/>
      <c r="AD414" s="521"/>
      <c r="AE414" s="521"/>
      <c r="AF414" s="521"/>
      <c r="AG414" s="264">
        <v>5</v>
      </c>
    </row>
    <row r="415" spans="1:33" s="526" customFormat="1" ht="29">
      <c r="A415" s="513">
        <v>413</v>
      </c>
      <c r="B415" s="514" t="s">
        <v>2885</v>
      </c>
      <c r="C415" s="515" t="s">
        <v>2885</v>
      </c>
      <c r="D415" s="262" t="s">
        <v>814</v>
      </c>
      <c r="E415" s="513">
        <v>414</v>
      </c>
      <c r="F415" s="544" t="s">
        <v>2885</v>
      </c>
      <c r="G415" s="543">
        <v>45413</v>
      </c>
      <c r="H415" s="543">
        <v>45413</v>
      </c>
      <c r="I415" s="543">
        <v>45413</v>
      </c>
      <c r="J415" s="543">
        <v>45413</v>
      </c>
      <c r="K415" s="517">
        <v>45415</v>
      </c>
      <c r="L415" s="518" t="s">
        <v>705</v>
      </c>
      <c r="M415" s="264" t="s">
        <v>2587</v>
      </c>
      <c r="N415" s="262" t="s">
        <v>2176</v>
      </c>
      <c r="O415" s="390" t="s">
        <v>2236</v>
      </c>
      <c r="P415" s="264" t="str">
        <f t="shared" si="17"/>
        <v>Stapler HD-10--</v>
      </c>
      <c r="Q415" s="264" t="s">
        <v>710</v>
      </c>
      <c r="R415" s="519" t="s">
        <v>152</v>
      </c>
      <c r="S415" s="399">
        <v>2</v>
      </c>
      <c r="T415" s="348" t="s">
        <v>3363</v>
      </c>
      <c r="U415" s="520">
        <v>20000</v>
      </c>
      <c r="V415" s="266">
        <v>40000</v>
      </c>
      <c r="W415" s="521" t="s">
        <v>227</v>
      </c>
      <c r="X415" s="521" t="s">
        <v>3383</v>
      </c>
      <c r="Y415" s="522" t="s">
        <v>2512</v>
      </c>
      <c r="Z415" s="523" t="s">
        <v>541</v>
      </c>
      <c r="AA415" s="521"/>
      <c r="AB415" s="521"/>
      <c r="AC415" s="521"/>
      <c r="AD415" s="521"/>
      <c r="AE415" s="521"/>
      <c r="AF415" s="521"/>
      <c r="AG415" s="264">
        <v>5</v>
      </c>
    </row>
    <row r="416" spans="1:33" s="526" customFormat="1" ht="29">
      <c r="A416" s="513">
        <v>414</v>
      </c>
      <c r="B416" s="514" t="s">
        <v>2885</v>
      </c>
      <c r="C416" s="515" t="s">
        <v>2885</v>
      </c>
      <c r="D416" s="262" t="s">
        <v>814</v>
      </c>
      <c r="E416" s="513">
        <v>415</v>
      </c>
      <c r="F416" s="544" t="s">
        <v>2885</v>
      </c>
      <c r="G416" s="543">
        <v>45413</v>
      </c>
      <c r="H416" s="543">
        <v>45413</v>
      </c>
      <c r="I416" s="543">
        <v>45413</v>
      </c>
      <c r="J416" s="543">
        <v>45413</v>
      </c>
      <c r="K416" s="517">
        <v>45415</v>
      </c>
      <c r="L416" s="518" t="s">
        <v>705</v>
      </c>
      <c r="M416" s="264" t="s">
        <v>2587</v>
      </c>
      <c r="N416" s="262" t="s">
        <v>2176</v>
      </c>
      <c r="O416" s="390" t="s">
        <v>2237</v>
      </c>
      <c r="P416" s="264" t="str">
        <f t="shared" si="17"/>
        <v>Kertas Lain-Lain Kertas Buffalo</v>
      </c>
      <c r="Q416" s="264" t="s">
        <v>710</v>
      </c>
      <c r="R416" s="519" t="s">
        <v>130</v>
      </c>
      <c r="S416" s="399">
        <v>5</v>
      </c>
      <c r="T416" s="348" t="s">
        <v>3365</v>
      </c>
      <c r="U416" s="520">
        <v>31000</v>
      </c>
      <c r="V416" s="266">
        <v>155000</v>
      </c>
      <c r="W416" s="521" t="s">
        <v>227</v>
      </c>
      <c r="X416" s="521" t="s">
        <v>3383</v>
      </c>
      <c r="Y416" s="522" t="s">
        <v>2512</v>
      </c>
      <c r="Z416" s="523" t="s">
        <v>541</v>
      </c>
      <c r="AA416" s="521"/>
      <c r="AB416" s="521"/>
      <c r="AC416" s="521"/>
      <c r="AD416" s="521"/>
      <c r="AE416" s="521"/>
      <c r="AF416" s="521"/>
      <c r="AG416" s="264">
        <v>5</v>
      </c>
    </row>
    <row r="417" spans="1:33" s="526" customFormat="1" ht="29">
      <c r="A417" s="513">
        <v>415</v>
      </c>
      <c r="B417" s="514" t="s">
        <v>2885</v>
      </c>
      <c r="C417" s="515" t="s">
        <v>2885</v>
      </c>
      <c r="D417" s="262" t="s">
        <v>814</v>
      </c>
      <c r="E417" s="513">
        <v>416</v>
      </c>
      <c r="F417" s="544" t="s">
        <v>2885</v>
      </c>
      <c r="G417" s="543">
        <v>45413</v>
      </c>
      <c r="H417" s="543">
        <v>45413</v>
      </c>
      <c r="I417" s="543">
        <v>45413</v>
      </c>
      <c r="J417" s="543">
        <v>45413</v>
      </c>
      <c r="K417" s="517">
        <v>45415</v>
      </c>
      <c r="L417" s="518" t="s">
        <v>705</v>
      </c>
      <c r="M417" s="264" t="s">
        <v>2587</v>
      </c>
      <c r="N417" s="262" t="s">
        <v>2176</v>
      </c>
      <c r="O417" s="390" t="s">
        <v>236</v>
      </c>
      <c r="P417" s="264" t="str">
        <f t="shared" si="17"/>
        <v>Baterey Kecil</v>
      </c>
      <c r="Q417" s="264" t="s">
        <v>710</v>
      </c>
      <c r="R417" s="519" t="s">
        <v>106</v>
      </c>
      <c r="S417" s="399">
        <v>2</v>
      </c>
      <c r="T417" s="348" t="s">
        <v>3366</v>
      </c>
      <c r="U417" s="520">
        <v>20000</v>
      </c>
      <c r="V417" s="266">
        <v>40000</v>
      </c>
      <c r="W417" s="521" t="s">
        <v>227</v>
      </c>
      <c r="X417" s="521" t="s">
        <v>3383</v>
      </c>
      <c r="Y417" s="522" t="s">
        <v>2512</v>
      </c>
      <c r="Z417" s="523" t="s">
        <v>541</v>
      </c>
      <c r="AA417" s="521"/>
      <c r="AB417" s="521"/>
      <c r="AC417" s="521"/>
      <c r="AD417" s="521"/>
      <c r="AE417" s="521"/>
      <c r="AF417" s="521"/>
      <c r="AG417" s="264">
        <v>5</v>
      </c>
    </row>
    <row r="418" spans="1:33" s="526" customFormat="1" ht="29">
      <c r="A418" s="513">
        <v>416</v>
      </c>
      <c r="B418" s="514" t="s">
        <v>2885</v>
      </c>
      <c r="C418" s="515" t="s">
        <v>2885</v>
      </c>
      <c r="D418" s="262" t="s">
        <v>814</v>
      </c>
      <c r="E418" s="513">
        <v>417</v>
      </c>
      <c r="F418" s="544" t="s">
        <v>2885</v>
      </c>
      <c r="G418" s="543">
        <v>45413</v>
      </c>
      <c r="H418" s="543">
        <v>45413</v>
      </c>
      <c r="I418" s="543">
        <v>45413</v>
      </c>
      <c r="J418" s="543">
        <v>45413</v>
      </c>
      <c r="K418" s="517">
        <v>45415</v>
      </c>
      <c r="L418" s="518" t="s">
        <v>705</v>
      </c>
      <c r="M418" s="264" t="s">
        <v>2587</v>
      </c>
      <c r="N418" s="262" t="s">
        <v>2176</v>
      </c>
      <c r="O418" s="390" t="s">
        <v>2239</v>
      </c>
      <c r="P418" s="264" t="str">
        <f t="shared" si="17"/>
        <v>Tinta Printer Canon 741 Warna-741 Warna</v>
      </c>
      <c r="Q418" s="264" t="s">
        <v>710</v>
      </c>
      <c r="R418" s="519" t="s">
        <v>160</v>
      </c>
      <c r="S418" s="399">
        <v>12</v>
      </c>
      <c r="T418" s="348" t="s">
        <v>3367</v>
      </c>
      <c r="U418" s="520">
        <v>33000</v>
      </c>
      <c r="V418" s="266">
        <v>396000</v>
      </c>
      <c r="W418" s="521" t="s">
        <v>227</v>
      </c>
      <c r="X418" s="521" t="s">
        <v>3383</v>
      </c>
      <c r="Y418" s="522" t="s">
        <v>2512</v>
      </c>
      <c r="Z418" s="523" t="s">
        <v>541</v>
      </c>
      <c r="AA418" s="521"/>
      <c r="AB418" s="521"/>
      <c r="AC418" s="521"/>
      <c r="AD418" s="521"/>
      <c r="AE418" s="521"/>
      <c r="AF418" s="521"/>
      <c r="AG418" s="264">
        <v>5</v>
      </c>
    </row>
    <row r="419" spans="1:33" s="526" customFormat="1" ht="37.5">
      <c r="A419" s="513">
        <v>417</v>
      </c>
      <c r="B419" s="514" t="s">
        <v>2885</v>
      </c>
      <c r="C419" s="515" t="s">
        <v>2885</v>
      </c>
      <c r="D419" s="262" t="s">
        <v>814</v>
      </c>
      <c r="E419" s="513">
        <v>418</v>
      </c>
      <c r="F419" s="544" t="s">
        <v>2885</v>
      </c>
      <c r="G419" s="543">
        <v>45413</v>
      </c>
      <c r="H419" s="543">
        <v>45413</v>
      </c>
      <c r="I419" s="543">
        <v>45413</v>
      </c>
      <c r="J419" s="543">
        <v>45413</v>
      </c>
      <c r="K419" s="517">
        <v>45415</v>
      </c>
      <c r="L419" s="518" t="s">
        <v>705</v>
      </c>
      <c r="M419" s="264" t="s">
        <v>2587</v>
      </c>
      <c r="N419" s="262" t="s">
        <v>2176</v>
      </c>
      <c r="O419" s="390" t="s">
        <v>252</v>
      </c>
      <c r="P419" s="524" t="s">
        <v>2571</v>
      </c>
      <c r="Q419" s="264" t="s">
        <v>710</v>
      </c>
      <c r="R419" s="519" t="s">
        <v>136</v>
      </c>
      <c r="S419" s="399">
        <v>5</v>
      </c>
      <c r="T419" s="348" t="s">
        <v>2436</v>
      </c>
      <c r="U419" s="520">
        <v>15000</v>
      </c>
      <c r="V419" s="266">
        <v>75000</v>
      </c>
      <c r="W419" s="521" t="s">
        <v>227</v>
      </c>
      <c r="X419" s="521" t="s">
        <v>3383</v>
      </c>
      <c r="Y419" s="522" t="s">
        <v>2512</v>
      </c>
      <c r="Z419" s="523" t="s">
        <v>541</v>
      </c>
      <c r="AA419" s="521"/>
      <c r="AB419" s="521"/>
      <c r="AC419" s="521"/>
      <c r="AD419" s="521"/>
      <c r="AE419" s="521"/>
      <c r="AF419" s="521"/>
      <c r="AG419" s="264">
        <v>5</v>
      </c>
    </row>
    <row r="420" spans="1:33" s="526" customFormat="1" ht="29">
      <c r="A420" s="513">
        <v>418</v>
      </c>
      <c r="B420" s="514" t="s">
        <v>2885</v>
      </c>
      <c r="C420" s="515" t="s">
        <v>2885</v>
      </c>
      <c r="D420" s="262" t="s">
        <v>814</v>
      </c>
      <c r="E420" s="513">
        <v>419</v>
      </c>
      <c r="F420" s="544" t="s">
        <v>2885</v>
      </c>
      <c r="G420" s="543">
        <v>45413</v>
      </c>
      <c r="H420" s="543">
        <v>45413</v>
      </c>
      <c r="I420" s="543">
        <v>45413</v>
      </c>
      <c r="J420" s="543">
        <v>45413</v>
      </c>
      <c r="K420" s="517">
        <v>45415</v>
      </c>
      <c r="L420" s="518" t="s">
        <v>705</v>
      </c>
      <c r="M420" s="264" t="s">
        <v>2587</v>
      </c>
      <c r="N420" s="262" t="s">
        <v>2176</v>
      </c>
      <c r="O420" s="390" t="s">
        <v>259</v>
      </c>
      <c r="P420" s="264" t="str">
        <f t="shared" ref="P420:P444" si="18">O420</f>
        <v>Plastik Mika</v>
      </c>
      <c r="Q420" s="264" t="s">
        <v>710</v>
      </c>
      <c r="R420" s="519" t="s">
        <v>148</v>
      </c>
      <c r="S420" s="399">
        <v>5</v>
      </c>
      <c r="T420" s="348" t="s">
        <v>3365</v>
      </c>
      <c r="U420" s="520">
        <v>60000</v>
      </c>
      <c r="V420" s="266">
        <v>300000</v>
      </c>
      <c r="W420" s="521" t="s">
        <v>227</v>
      </c>
      <c r="X420" s="521" t="s">
        <v>3383</v>
      </c>
      <c r="Y420" s="522" t="s">
        <v>2512</v>
      </c>
      <c r="Z420" s="523" t="s">
        <v>541</v>
      </c>
      <c r="AA420" s="521"/>
      <c r="AB420" s="521"/>
      <c r="AC420" s="521"/>
      <c r="AD420" s="521"/>
      <c r="AE420" s="521"/>
      <c r="AF420" s="521"/>
      <c r="AG420" s="264">
        <v>5</v>
      </c>
    </row>
    <row r="421" spans="1:33" s="526" customFormat="1" ht="29">
      <c r="A421" s="513">
        <v>419</v>
      </c>
      <c r="B421" s="514" t="s">
        <v>2885</v>
      </c>
      <c r="C421" s="515" t="s">
        <v>2885</v>
      </c>
      <c r="D421" s="262" t="s">
        <v>814</v>
      </c>
      <c r="E421" s="513">
        <v>420</v>
      </c>
      <c r="F421" s="544" t="s">
        <v>2885</v>
      </c>
      <c r="G421" s="543">
        <v>45413</v>
      </c>
      <c r="H421" s="543">
        <v>45413</v>
      </c>
      <c r="I421" s="543">
        <v>45413</v>
      </c>
      <c r="J421" s="543">
        <v>45413</v>
      </c>
      <c r="K421" s="517">
        <v>45415</v>
      </c>
      <c r="L421" s="518" t="s">
        <v>705</v>
      </c>
      <c r="M421" s="264" t="s">
        <v>2587</v>
      </c>
      <c r="N421" s="262" t="s">
        <v>2176</v>
      </c>
      <c r="O421" s="390" t="s">
        <v>237</v>
      </c>
      <c r="P421" s="264" t="str">
        <f t="shared" si="18"/>
        <v>Binder Klip  nomor 107</v>
      </c>
      <c r="Q421" s="264" t="s">
        <v>710</v>
      </c>
      <c r="R421" s="525" t="s">
        <v>2595</v>
      </c>
      <c r="S421" s="399">
        <v>5</v>
      </c>
      <c r="T421" s="348" t="s">
        <v>3362</v>
      </c>
      <c r="U421" s="520">
        <v>7500</v>
      </c>
      <c r="V421" s="266">
        <v>37500</v>
      </c>
      <c r="W421" s="521" t="s">
        <v>227</v>
      </c>
      <c r="X421" s="521" t="s">
        <v>3383</v>
      </c>
      <c r="Y421" s="522" t="s">
        <v>2512</v>
      </c>
      <c r="Z421" s="523" t="s">
        <v>541</v>
      </c>
      <c r="AA421" s="521"/>
      <c r="AB421" s="521"/>
      <c r="AC421" s="521"/>
      <c r="AD421" s="521"/>
      <c r="AE421" s="521"/>
      <c r="AF421" s="521"/>
      <c r="AG421" s="264">
        <v>5</v>
      </c>
    </row>
    <row r="422" spans="1:33" s="526" customFormat="1" ht="29">
      <c r="A422" s="513">
        <v>420</v>
      </c>
      <c r="B422" s="514" t="s">
        <v>2885</v>
      </c>
      <c r="C422" s="515" t="s">
        <v>2885</v>
      </c>
      <c r="D422" s="262" t="s">
        <v>814</v>
      </c>
      <c r="E422" s="513">
        <v>421</v>
      </c>
      <c r="F422" s="544" t="s">
        <v>2885</v>
      </c>
      <c r="G422" s="543">
        <v>45413</v>
      </c>
      <c r="H422" s="543">
        <v>45413</v>
      </c>
      <c r="I422" s="543">
        <v>45413</v>
      </c>
      <c r="J422" s="543">
        <v>45413</v>
      </c>
      <c r="K422" s="517">
        <v>45415</v>
      </c>
      <c r="L422" s="518" t="s">
        <v>705</v>
      </c>
      <c r="M422" s="264" t="s">
        <v>2587</v>
      </c>
      <c r="N422" s="262" t="s">
        <v>2176</v>
      </c>
      <c r="O422" s="390" t="s">
        <v>228</v>
      </c>
      <c r="P422" s="264" t="str">
        <f t="shared" si="18"/>
        <v>Amplop Coklat Merk : Garda Ukuran Cabinet</v>
      </c>
      <c r="Q422" s="264" t="s">
        <v>710</v>
      </c>
      <c r="R422" s="525" t="s">
        <v>2596</v>
      </c>
      <c r="S422" s="399">
        <v>3</v>
      </c>
      <c r="T422" s="348" t="s">
        <v>3365</v>
      </c>
      <c r="U422" s="520">
        <v>23000</v>
      </c>
      <c r="V422" s="266">
        <v>69000</v>
      </c>
      <c r="W422" s="521" t="s">
        <v>227</v>
      </c>
      <c r="X422" s="521" t="s">
        <v>3383</v>
      </c>
      <c r="Y422" s="522" t="s">
        <v>2512</v>
      </c>
      <c r="Z422" s="523" t="s">
        <v>541</v>
      </c>
      <c r="AA422" s="521"/>
      <c r="AB422" s="521"/>
      <c r="AC422" s="521"/>
      <c r="AD422" s="521"/>
      <c r="AE422" s="521"/>
      <c r="AF422" s="521"/>
      <c r="AG422" s="264">
        <v>5</v>
      </c>
    </row>
    <row r="423" spans="1:33" s="526" customFormat="1" ht="29">
      <c r="A423" s="513">
        <v>421</v>
      </c>
      <c r="B423" s="514" t="s">
        <v>2885</v>
      </c>
      <c r="C423" s="515" t="s">
        <v>2885</v>
      </c>
      <c r="D423" s="262" t="s">
        <v>814</v>
      </c>
      <c r="E423" s="513">
        <v>422</v>
      </c>
      <c r="F423" s="544" t="s">
        <v>2885</v>
      </c>
      <c r="G423" s="543">
        <v>45413</v>
      </c>
      <c r="H423" s="543">
        <v>45413</v>
      </c>
      <c r="I423" s="543">
        <v>45413</v>
      </c>
      <c r="J423" s="543">
        <v>45413</v>
      </c>
      <c r="K423" s="517">
        <v>45415</v>
      </c>
      <c r="L423" s="518" t="s">
        <v>705</v>
      </c>
      <c r="M423" s="264" t="s">
        <v>2587</v>
      </c>
      <c r="N423" s="262" t="s">
        <v>2176</v>
      </c>
      <c r="O423" s="390" t="s">
        <v>248</v>
      </c>
      <c r="P423" s="264" t="str">
        <f t="shared" si="18"/>
        <v>Kertas Label</v>
      </c>
      <c r="Q423" s="264" t="s">
        <v>710</v>
      </c>
      <c r="R423" s="525" t="s">
        <v>2597</v>
      </c>
      <c r="S423" s="399">
        <v>5</v>
      </c>
      <c r="T423" s="348" t="s">
        <v>3368</v>
      </c>
      <c r="U423" s="520">
        <v>25000</v>
      </c>
      <c r="V423" s="266">
        <v>125000</v>
      </c>
      <c r="W423" s="521" t="s">
        <v>227</v>
      </c>
      <c r="X423" s="521" t="s">
        <v>3383</v>
      </c>
      <c r="Y423" s="522" t="s">
        <v>2512</v>
      </c>
      <c r="Z423" s="523" t="s">
        <v>541</v>
      </c>
      <c r="AA423" s="521"/>
      <c r="AB423" s="521"/>
      <c r="AC423" s="521"/>
      <c r="AD423" s="521"/>
      <c r="AE423" s="521"/>
      <c r="AF423" s="521"/>
      <c r="AG423" s="264">
        <v>5</v>
      </c>
    </row>
    <row r="424" spans="1:33" s="526" customFormat="1" ht="43.5">
      <c r="A424" s="513">
        <v>422</v>
      </c>
      <c r="B424" s="514" t="s">
        <v>2885</v>
      </c>
      <c r="C424" s="515" t="s">
        <v>2885</v>
      </c>
      <c r="D424" s="262" t="s">
        <v>814</v>
      </c>
      <c r="E424" s="513">
        <v>423</v>
      </c>
      <c r="F424" s="544" t="s">
        <v>2885</v>
      </c>
      <c r="G424" s="543">
        <v>45413</v>
      </c>
      <c r="H424" s="543">
        <v>45413</v>
      </c>
      <c r="I424" s="543">
        <v>45413</v>
      </c>
      <c r="J424" s="543">
        <v>45413</v>
      </c>
      <c r="K424" s="517">
        <v>45415</v>
      </c>
      <c r="L424" s="518" t="s">
        <v>705</v>
      </c>
      <c r="M424" s="264" t="s">
        <v>2587</v>
      </c>
      <c r="N424" s="262" t="s">
        <v>2176</v>
      </c>
      <c r="O424" s="390" t="s">
        <v>261</v>
      </c>
      <c r="P424" s="264" t="str">
        <f t="shared" si="18"/>
        <v>Spidol Refil Spidol White Board Snowman</v>
      </c>
      <c r="Q424" s="264" t="s">
        <v>710</v>
      </c>
      <c r="R424" s="519" t="s">
        <v>150</v>
      </c>
      <c r="S424" s="399">
        <v>10</v>
      </c>
      <c r="T424" s="348" t="s">
        <v>3363</v>
      </c>
      <c r="U424" s="520">
        <v>20900</v>
      </c>
      <c r="V424" s="266">
        <v>209000</v>
      </c>
      <c r="W424" s="521" t="s">
        <v>227</v>
      </c>
      <c r="X424" s="521" t="s">
        <v>3383</v>
      </c>
      <c r="Y424" s="522" t="s">
        <v>2512</v>
      </c>
      <c r="Z424" s="523" t="s">
        <v>541</v>
      </c>
      <c r="AA424" s="521"/>
      <c r="AB424" s="521"/>
      <c r="AC424" s="521"/>
      <c r="AD424" s="521"/>
      <c r="AE424" s="521"/>
      <c r="AF424" s="521"/>
      <c r="AG424" s="264">
        <v>5</v>
      </c>
    </row>
    <row r="425" spans="1:33" s="526" customFormat="1" ht="29">
      <c r="A425" s="513">
        <v>423</v>
      </c>
      <c r="B425" s="514" t="s">
        <v>2885</v>
      </c>
      <c r="C425" s="515" t="s">
        <v>2885</v>
      </c>
      <c r="D425" s="262" t="s">
        <v>814</v>
      </c>
      <c r="E425" s="513">
        <v>424</v>
      </c>
      <c r="F425" s="544" t="s">
        <v>2885</v>
      </c>
      <c r="G425" s="543">
        <v>45413</v>
      </c>
      <c r="H425" s="543">
        <v>45413</v>
      </c>
      <c r="I425" s="543">
        <v>45413</v>
      </c>
      <c r="J425" s="543">
        <v>45413</v>
      </c>
      <c r="K425" s="517">
        <v>45415</v>
      </c>
      <c r="L425" s="518" t="s">
        <v>705</v>
      </c>
      <c r="M425" s="264" t="s">
        <v>2587</v>
      </c>
      <c r="N425" s="262" t="s">
        <v>2176</v>
      </c>
      <c r="O425" s="390" t="s">
        <v>241</v>
      </c>
      <c r="P425" s="264" t="str">
        <f t="shared" si="18"/>
        <v>Binder Klip Merk : KENKO nomor 105</v>
      </c>
      <c r="Q425" s="264" t="s">
        <v>710</v>
      </c>
      <c r="R425" s="525" t="s">
        <v>2728</v>
      </c>
      <c r="S425" s="399">
        <v>2</v>
      </c>
      <c r="T425" s="348" t="s">
        <v>3362</v>
      </c>
      <c r="U425" s="520">
        <v>5000</v>
      </c>
      <c r="V425" s="266">
        <v>10000</v>
      </c>
      <c r="W425" s="521" t="s">
        <v>227</v>
      </c>
      <c r="X425" s="521" t="s">
        <v>3383</v>
      </c>
      <c r="Y425" s="522" t="s">
        <v>2512</v>
      </c>
      <c r="Z425" s="523" t="s">
        <v>541</v>
      </c>
      <c r="AA425" s="521"/>
      <c r="AB425" s="521"/>
      <c r="AC425" s="521"/>
      <c r="AD425" s="521"/>
      <c r="AE425" s="521"/>
      <c r="AF425" s="521"/>
      <c r="AG425" s="264">
        <v>5</v>
      </c>
    </row>
    <row r="426" spans="1:33" s="526" customFormat="1" ht="29">
      <c r="A426" s="513">
        <v>424</v>
      </c>
      <c r="B426" s="514" t="s">
        <v>2885</v>
      </c>
      <c r="C426" s="515" t="s">
        <v>2885</v>
      </c>
      <c r="D426" s="262" t="s">
        <v>814</v>
      </c>
      <c r="E426" s="513">
        <v>425</v>
      </c>
      <c r="F426" s="544" t="s">
        <v>2885</v>
      </c>
      <c r="G426" s="543">
        <v>45413</v>
      </c>
      <c r="H426" s="543">
        <v>45413</v>
      </c>
      <c r="I426" s="543">
        <v>45413</v>
      </c>
      <c r="J426" s="543">
        <v>45413</v>
      </c>
      <c r="K426" s="517">
        <v>45415</v>
      </c>
      <c r="L426" s="518" t="s">
        <v>705</v>
      </c>
      <c r="M426" s="264" t="s">
        <v>2587</v>
      </c>
      <c r="N426" s="262" t="s">
        <v>2176</v>
      </c>
      <c r="O426" s="390" t="s">
        <v>234</v>
      </c>
      <c r="P426" s="264" t="str">
        <f t="shared" si="18"/>
        <v>Ballpoint Pilot G2</v>
      </c>
      <c r="Q426" s="264" t="s">
        <v>710</v>
      </c>
      <c r="R426" s="519" t="s">
        <v>102</v>
      </c>
      <c r="S426" s="399">
        <v>1</v>
      </c>
      <c r="T426" s="348" t="s">
        <v>3364</v>
      </c>
      <c r="U426" s="520">
        <v>235000</v>
      </c>
      <c r="V426" s="266">
        <v>235000</v>
      </c>
      <c r="W426" s="521" t="s">
        <v>227</v>
      </c>
      <c r="X426" s="521" t="s">
        <v>3383</v>
      </c>
      <c r="Y426" s="522" t="s">
        <v>2512</v>
      </c>
      <c r="Z426" s="523" t="s">
        <v>541</v>
      </c>
      <c r="AA426" s="521"/>
      <c r="AB426" s="521"/>
      <c r="AC426" s="521"/>
      <c r="AD426" s="521"/>
      <c r="AE426" s="521"/>
      <c r="AF426" s="521"/>
      <c r="AG426" s="264">
        <v>5</v>
      </c>
    </row>
    <row r="427" spans="1:33" s="526" customFormat="1" ht="43.5">
      <c r="A427" s="513">
        <v>425</v>
      </c>
      <c r="B427" s="514" t="s">
        <v>2885</v>
      </c>
      <c r="C427" s="515" t="s">
        <v>2885</v>
      </c>
      <c r="D427" s="262" t="s">
        <v>814</v>
      </c>
      <c r="E427" s="513">
        <v>426</v>
      </c>
      <c r="F427" s="544" t="s">
        <v>2885</v>
      </c>
      <c r="G427" s="543">
        <v>45413</v>
      </c>
      <c r="H427" s="543">
        <v>45413</v>
      </c>
      <c r="I427" s="543">
        <v>45413</v>
      </c>
      <c r="J427" s="543">
        <v>45413</v>
      </c>
      <c r="K427" s="517">
        <v>45415</v>
      </c>
      <c r="L427" s="518" t="s">
        <v>705</v>
      </c>
      <c r="M427" s="264" t="s">
        <v>2587</v>
      </c>
      <c r="N427" s="262" t="s">
        <v>2176</v>
      </c>
      <c r="O427" s="390" t="s">
        <v>2240</v>
      </c>
      <c r="P427" s="264" t="str">
        <f t="shared" si="18"/>
        <v>Ballpoint Boldiner Standar</v>
      </c>
      <c r="Q427" s="264" t="s">
        <v>710</v>
      </c>
      <c r="R427" s="519" t="s">
        <v>100</v>
      </c>
      <c r="S427" s="399">
        <v>2</v>
      </c>
      <c r="T427" s="348" t="s">
        <v>3364</v>
      </c>
      <c r="U427" s="520">
        <v>225000</v>
      </c>
      <c r="V427" s="266">
        <v>450000</v>
      </c>
      <c r="W427" s="521" t="s">
        <v>227</v>
      </c>
      <c r="X427" s="521" t="s">
        <v>3383</v>
      </c>
      <c r="Y427" s="522" t="s">
        <v>2512</v>
      </c>
      <c r="Z427" s="523" t="s">
        <v>541</v>
      </c>
      <c r="AA427" s="521"/>
      <c r="AB427" s="521"/>
      <c r="AC427" s="521"/>
      <c r="AD427" s="521"/>
      <c r="AE427" s="521"/>
      <c r="AF427" s="521"/>
      <c r="AG427" s="264">
        <v>5</v>
      </c>
    </row>
    <row r="428" spans="1:33" s="526" customFormat="1" ht="29">
      <c r="A428" s="513">
        <v>426</v>
      </c>
      <c r="B428" s="514" t="s">
        <v>2885</v>
      </c>
      <c r="C428" s="515" t="s">
        <v>2885</v>
      </c>
      <c r="D428" s="262" t="s">
        <v>814</v>
      </c>
      <c r="E428" s="513">
        <v>427</v>
      </c>
      <c r="F428" s="544" t="s">
        <v>2885</v>
      </c>
      <c r="G428" s="543">
        <v>45413</v>
      </c>
      <c r="H428" s="543">
        <v>45413</v>
      </c>
      <c r="I428" s="543">
        <v>45413</v>
      </c>
      <c r="J428" s="543">
        <v>45413</v>
      </c>
      <c r="K428" s="517">
        <v>45415</v>
      </c>
      <c r="L428" s="518" t="s">
        <v>705</v>
      </c>
      <c r="M428" s="264" t="s">
        <v>2587</v>
      </c>
      <c r="N428" s="262" t="s">
        <v>2176</v>
      </c>
      <c r="O428" s="390" t="s">
        <v>243</v>
      </c>
      <c r="P428" s="264" t="str">
        <f t="shared" si="18"/>
        <v>C. Tinta Printer EPSON Tinta Printer Epson Blue</v>
      </c>
      <c r="Q428" s="264" t="s">
        <v>710</v>
      </c>
      <c r="R428" s="519" t="s">
        <v>117</v>
      </c>
      <c r="S428" s="399">
        <v>4</v>
      </c>
      <c r="T428" s="348" t="s">
        <v>3367</v>
      </c>
      <c r="U428" s="520">
        <v>110000</v>
      </c>
      <c r="V428" s="266">
        <v>440000</v>
      </c>
      <c r="W428" s="521" t="s">
        <v>227</v>
      </c>
      <c r="X428" s="521" t="s">
        <v>3383</v>
      </c>
      <c r="Y428" s="522" t="s">
        <v>2512</v>
      </c>
      <c r="Z428" s="523" t="s">
        <v>541</v>
      </c>
      <c r="AA428" s="521"/>
      <c r="AB428" s="521"/>
      <c r="AC428" s="521"/>
      <c r="AD428" s="521"/>
      <c r="AE428" s="521"/>
      <c r="AF428" s="521"/>
      <c r="AG428" s="264">
        <v>5</v>
      </c>
    </row>
    <row r="429" spans="1:33" s="526" customFormat="1" ht="29">
      <c r="A429" s="513">
        <v>427</v>
      </c>
      <c r="B429" s="514" t="s">
        <v>2885</v>
      </c>
      <c r="C429" s="515" t="s">
        <v>2885</v>
      </c>
      <c r="D429" s="262" t="s">
        <v>814</v>
      </c>
      <c r="E429" s="513">
        <v>428</v>
      </c>
      <c r="F429" s="544" t="s">
        <v>2885</v>
      </c>
      <c r="G429" s="543">
        <v>45413</v>
      </c>
      <c r="H429" s="543">
        <v>45413</v>
      </c>
      <c r="I429" s="543">
        <v>45413</v>
      </c>
      <c r="J429" s="543">
        <v>45413</v>
      </c>
      <c r="K429" s="517">
        <v>45415</v>
      </c>
      <c r="L429" s="518" t="s">
        <v>705</v>
      </c>
      <c r="M429" s="264" t="s">
        <v>2587</v>
      </c>
      <c r="N429" s="262" t="s">
        <v>2176</v>
      </c>
      <c r="O429" s="390" t="s">
        <v>254</v>
      </c>
      <c r="P429" s="264" t="str">
        <f t="shared" si="18"/>
        <v>Map Binder</v>
      </c>
      <c r="Q429" s="264" t="s">
        <v>710</v>
      </c>
      <c r="R429" s="519" t="s">
        <v>142</v>
      </c>
      <c r="S429" s="399">
        <v>12</v>
      </c>
      <c r="T429" s="348" t="s">
        <v>3363</v>
      </c>
      <c r="U429" s="520">
        <v>35500</v>
      </c>
      <c r="V429" s="266">
        <v>426000</v>
      </c>
      <c r="W429" s="521" t="s">
        <v>227</v>
      </c>
      <c r="X429" s="521" t="s">
        <v>3383</v>
      </c>
      <c r="Y429" s="522" t="s">
        <v>2512</v>
      </c>
      <c r="Z429" s="523" t="s">
        <v>541</v>
      </c>
      <c r="AA429" s="521"/>
      <c r="AB429" s="521"/>
      <c r="AC429" s="521"/>
      <c r="AD429" s="521"/>
      <c r="AE429" s="521"/>
      <c r="AF429" s="521"/>
      <c r="AG429" s="264">
        <v>5</v>
      </c>
    </row>
    <row r="430" spans="1:33" s="526" customFormat="1" ht="29">
      <c r="A430" s="513">
        <v>428</v>
      </c>
      <c r="B430" s="514" t="s">
        <v>2885</v>
      </c>
      <c r="C430" s="515" t="s">
        <v>2885</v>
      </c>
      <c r="D430" s="262" t="s">
        <v>814</v>
      </c>
      <c r="E430" s="513">
        <v>429</v>
      </c>
      <c r="F430" s="544" t="s">
        <v>2885</v>
      </c>
      <c r="G430" s="543">
        <v>45413</v>
      </c>
      <c r="H430" s="543">
        <v>45413</v>
      </c>
      <c r="I430" s="543">
        <v>45413</v>
      </c>
      <c r="J430" s="543">
        <v>45413</v>
      </c>
      <c r="K430" s="517">
        <v>45415</v>
      </c>
      <c r="L430" s="518" t="s">
        <v>705</v>
      </c>
      <c r="M430" s="264" t="s">
        <v>2587</v>
      </c>
      <c r="N430" s="262" t="s">
        <v>2176</v>
      </c>
      <c r="O430" s="390" t="s">
        <v>2241</v>
      </c>
      <c r="P430" s="264" t="str">
        <f t="shared" si="18"/>
        <v>Stapler Stapler No, 50 MAX</v>
      </c>
      <c r="Q430" s="264" t="s">
        <v>710</v>
      </c>
      <c r="R430" s="519" t="s">
        <v>153</v>
      </c>
      <c r="S430" s="399">
        <v>2</v>
      </c>
      <c r="T430" s="348" t="s">
        <v>3363</v>
      </c>
      <c r="U430" s="520">
        <v>25000</v>
      </c>
      <c r="V430" s="266">
        <v>50000</v>
      </c>
      <c r="W430" s="521" t="s">
        <v>227</v>
      </c>
      <c r="X430" s="521" t="s">
        <v>3383</v>
      </c>
      <c r="Y430" s="522" t="s">
        <v>2512</v>
      </c>
      <c r="Z430" s="523" t="s">
        <v>541</v>
      </c>
      <c r="AA430" s="521"/>
      <c r="AB430" s="521"/>
      <c r="AC430" s="521"/>
      <c r="AD430" s="521"/>
      <c r="AE430" s="521"/>
      <c r="AF430" s="521"/>
      <c r="AG430" s="264">
        <v>5</v>
      </c>
    </row>
    <row r="431" spans="1:33" s="526" customFormat="1" ht="29">
      <c r="A431" s="513">
        <v>429</v>
      </c>
      <c r="B431" s="514" t="s">
        <v>2885</v>
      </c>
      <c r="C431" s="515" t="s">
        <v>2885</v>
      </c>
      <c r="D431" s="262" t="s">
        <v>814</v>
      </c>
      <c r="E431" s="513">
        <v>430</v>
      </c>
      <c r="F431" s="544" t="s">
        <v>2885</v>
      </c>
      <c r="G431" s="543">
        <v>45413</v>
      </c>
      <c r="H431" s="543">
        <v>45413</v>
      </c>
      <c r="I431" s="543">
        <v>45413</v>
      </c>
      <c r="J431" s="543">
        <v>45413</v>
      </c>
      <c r="K431" s="517">
        <v>45415</v>
      </c>
      <c r="L431" s="518" t="s">
        <v>705</v>
      </c>
      <c r="M431" s="264" t="s">
        <v>2587</v>
      </c>
      <c r="N431" s="262" t="s">
        <v>2176</v>
      </c>
      <c r="O431" s="390" t="s">
        <v>230</v>
      </c>
      <c r="P431" s="264" t="str">
        <f t="shared" si="18"/>
        <v>Amplop Coklat Merk : GSU Ukuran : 1/2 folio, bergaris</v>
      </c>
      <c r="Q431" s="264" t="s">
        <v>710</v>
      </c>
      <c r="R431" s="525" t="s">
        <v>2600</v>
      </c>
      <c r="S431" s="399">
        <v>1</v>
      </c>
      <c r="T431" s="348" t="s">
        <v>3365</v>
      </c>
      <c r="U431" s="520">
        <v>45000</v>
      </c>
      <c r="V431" s="266">
        <v>45000</v>
      </c>
      <c r="W431" s="521" t="s">
        <v>227</v>
      </c>
      <c r="X431" s="521" t="s">
        <v>3383</v>
      </c>
      <c r="Y431" s="522" t="s">
        <v>2512</v>
      </c>
      <c r="Z431" s="523" t="s">
        <v>541</v>
      </c>
      <c r="AA431" s="521"/>
      <c r="AB431" s="521"/>
      <c r="AC431" s="521"/>
      <c r="AD431" s="521"/>
      <c r="AE431" s="521"/>
      <c r="AF431" s="521"/>
      <c r="AG431" s="264">
        <v>5</v>
      </c>
    </row>
    <row r="432" spans="1:33" s="526" customFormat="1" ht="29">
      <c r="A432" s="513">
        <v>430</v>
      </c>
      <c r="B432" s="514" t="s">
        <v>2885</v>
      </c>
      <c r="C432" s="515" t="s">
        <v>2885</v>
      </c>
      <c r="D432" s="262" t="s">
        <v>814</v>
      </c>
      <c r="E432" s="513">
        <v>431</v>
      </c>
      <c r="F432" s="544" t="s">
        <v>2885</v>
      </c>
      <c r="G432" s="543">
        <v>45413</v>
      </c>
      <c r="H432" s="543">
        <v>45413</v>
      </c>
      <c r="I432" s="543">
        <v>45413</v>
      </c>
      <c r="J432" s="543">
        <v>45413</v>
      </c>
      <c r="K432" s="517">
        <v>45415</v>
      </c>
      <c r="L432" s="518" t="s">
        <v>705</v>
      </c>
      <c r="M432" s="264" t="s">
        <v>2587</v>
      </c>
      <c r="N432" s="262" t="s">
        <v>2176</v>
      </c>
      <c r="O432" s="390" t="s">
        <v>2242</v>
      </c>
      <c r="P432" s="264" t="str">
        <f t="shared" si="18"/>
        <v>Lakban Hitam--</v>
      </c>
      <c r="Q432" s="264" t="s">
        <v>710</v>
      </c>
      <c r="R432" s="519" t="s">
        <v>137</v>
      </c>
      <c r="S432" s="399">
        <v>5</v>
      </c>
      <c r="T432" s="348" t="s">
        <v>3363</v>
      </c>
      <c r="U432" s="520">
        <v>15500</v>
      </c>
      <c r="V432" s="266">
        <v>77500</v>
      </c>
      <c r="W432" s="521" t="s">
        <v>227</v>
      </c>
      <c r="X432" s="521" t="s">
        <v>3383</v>
      </c>
      <c r="Y432" s="522" t="s">
        <v>2512</v>
      </c>
      <c r="Z432" s="523" t="s">
        <v>541</v>
      </c>
      <c r="AA432" s="521"/>
      <c r="AB432" s="521"/>
      <c r="AC432" s="521"/>
      <c r="AD432" s="521"/>
      <c r="AE432" s="521"/>
      <c r="AF432" s="521"/>
      <c r="AG432" s="264">
        <v>5</v>
      </c>
    </row>
    <row r="433" spans="1:33" s="526" customFormat="1" ht="29">
      <c r="A433" s="513">
        <v>431</v>
      </c>
      <c r="B433" s="514" t="s">
        <v>2885</v>
      </c>
      <c r="C433" s="515" t="s">
        <v>2885</v>
      </c>
      <c r="D433" s="262" t="s">
        <v>814</v>
      </c>
      <c r="E433" s="513">
        <v>432</v>
      </c>
      <c r="F433" s="544" t="s">
        <v>2885</v>
      </c>
      <c r="G433" s="543">
        <v>45413</v>
      </c>
      <c r="H433" s="543">
        <v>45413</v>
      </c>
      <c r="I433" s="543">
        <v>45413</v>
      </c>
      <c r="J433" s="543">
        <v>45413</v>
      </c>
      <c r="K433" s="517">
        <v>45415</v>
      </c>
      <c r="L433" s="518" t="s">
        <v>705</v>
      </c>
      <c r="M433" s="264" t="s">
        <v>2587</v>
      </c>
      <c r="N433" s="262" t="s">
        <v>2176</v>
      </c>
      <c r="O433" s="390" t="s">
        <v>256</v>
      </c>
      <c r="P433" s="264" t="str">
        <f t="shared" si="18"/>
        <v>Paper Clip No 1  Paper Clip No 3</v>
      </c>
      <c r="Q433" s="264" t="s">
        <v>710</v>
      </c>
      <c r="R433" s="519" t="s">
        <v>145</v>
      </c>
      <c r="S433" s="399">
        <v>5</v>
      </c>
      <c r="T433" s="348" t="s">
        <v>3362</v>
      </c>
      <c r="U433" s="520">
        <v>6000</v>
      </c>
      <c r="V433" s="266">
        <v>30000</v>
      </c>
      <c r="W433" s="521" t="s">
        <v>227</v>
      </c>
      <c r="X433" s="521" t="s">
        <v>3383</v>
      </c>
      <c r="Y433" s="522" t="s">
        <v>2512</v>
      </c>
      <c r="Z433" s="523" t="s">
        <v>541</v>
      </c>
      <c r="AA433" s="521"/>
      <c r="AB433" s="521"/>
      <c r="AC433" s="521"/>
      <c r="AD433" s="521"/>
      <c r="AE433" s="521"/>
      <c r="AF433" s="521"/>
      <c r="AG433" s="264">
        <v>5</v>
      </c>
    </row>
    <row r="434" spans="1:33" s="526" customFormat="1" ht="29">
      <c r="A434" s="513">
        <v>432</v>
      </c>
      <c r="B434" s="514" t="s">
        <v>2885</v>
      </c>
      <c r="C434" s="515" t="s">
        <v>2885</v>
      </c>
      <c r="D434" s="262" t="s">
        <v>814</v>
      </c>
      <c r="E434" s="513">
        <v>433</v>
      </c>
      <c r="F434" s="544" t="s">
        <v>2885</v>
      </c>
      <c r="G434" s="543">
        <v>45413</v>
      </c>
      <c r="H434" s="543">
        <v>45413</v>
      </c>
      <c r="I434" s="543">
        <v>45413</v>
      </c>
      <c r="J434" s="543">
        <v>45413</v>
      </c>
      <c r="K434" s="517">
        <v>45415</v>
      </c>
      <c r="L434" s="518" t="s">
        <v>705</v>
      </c>
      <c r="M434" s="264" t="s">
        <v>2587</v>
      </c>
      <c r="N434" s="262" t="s">
        <v>2176</v>
      </c>
      <c r="O434" s="390" t="s">
        <v>2243</v>
      </c>
      <c r="P434" s="264" t="str">
        <f t="shared" si="18"/>
        <v>Lakban Hitam uk 2 " Warna hitam uk. 2 "</v>
      </c>
      <c r="Q434" s="264" t="s">
        <v>710</v>
      </c>
      <c r="R434" s="519" t="s">
        <v>140</v>
      </c>
      <c r="S434" s="399">
        <v>5</v>
      </c>
      <c r="T434" s="348" t="s">
        <v>3363</v>
      </c>
      <c r="U434" s="520">
        <v>25000</v>
      </c>
      <c r="V434" s="266">
        <v>125000</v>
      </c>
      <c r="W434" s="521" t="s">
        <v>227</v>
      </c>
      <c r="X434" s="521" t="s">
        <v>3383</v>
      </c>
      <c r="Y434" s="522" t="s">
        <v>2512</v>
      </c>
      <c r="Z434" s="523" t="s">
        <v>541</v>
      </c>
      <c r="AA434" s="521"/>
      <c r="AB434" s="521"/>
      <c r="AC434" s="521"/>
      <c r="AD434" s="521"/>
      <c r="AE434" s="521"/>
      <c r="AF434" s="521"/>
      <c r="AG434" s="264">
        <v>5</v>
      </c>
    </row>
    <row r="435" spans="1:33" s="526" customFormat="1" ht="29">
      <c r="A435" s="513">
        <v>433</v>
      </c>
      <c r="B435" s="514" t="s">
        <v>2885</v>
      </c>
      <c r="C435" s="515" t="s">
        <v>2885</v>
      </c>
      <c r="D435" s="262" t="s">
        <v>814</v>
      </c>
      <c r="E435" s="513">
        <v>434</v>
      </c>
      <c r="F435" s="544" t="s">
        <v>2885</v>
      </c>
      <c r="G435" s="543">
        <v>45413</v>
      </c>
      <c r="H435" s="543">
        <v>45413</v>
      </c>
      <c r="I435" s="543">
        <v>45413</v>
      </c>
      <c r="J435" s="543">
        <v>45413</v>
      </c>
      <c r="K435" s="517">
        <v>45415</v>
      </c>
      <c r="L435" s="518" t="s">
        <v>705</v>
      </c>
      <c r="M435" s="264" t="s">
        <v>2587</v>
      </c>
      <c r="N435" s="262" t="s">
        <v>2176</v>
      </c>
      <c r="O435" s="390" t="s">
        <v>250</v>
      </c>
      <c r="P435" s="264" t="str">
        <f t="shared" si="18"/>
        <v>Kertas StensiI</v>
      </c>
      <c r="Q435" s="264" t="s">
        <v>710</v>
      </c>
      <c r="R435" s="519" t="s">
        <v>132</v>
      </c>
      <c r="S435" s="399">
        <v>10</v>
      </c>
      <c r="T435" s="348" t="s">
        <v>3365</v>
      </c>
      <c r="U435" s="520">
        <v>50000</v>
      </c>
      <c r="V435" s="266">
        <v>500000</v>
      </c>
      <c r="W435" s="521" t="s">
        <v>227</v>
      </c>
      <c r="X435" s="521" t="s">
        <v>3383</v>
      </c>
      <c r="Y435" s="522" t="s">
        <v>2512</v>
      </c>
      <c r="Z435" s="523" t="s">
        <v>541</v>
      </c>
      <c r="AA435" s="521"/>
      <c r="AB435" s="521"/>
      <c r="AC435" s="521"/>
      <c r="AD435" s="521"/>
      <c r="AE435" s="521"/>
      <c r="AF435" s="521"/>
      <c r="AG435" s="264">
        <v>5</v>
      </c>
    </row>
    <row r="436" spans="1:33" s="526" customFormat="1" ht="43.5">
      <c r="A436" s="513">
        <v>434</v>
      </c>
      <c r="B436" s="514" t="s">
        <v>2885</v>
      </c>
      <c r="C436" s="515" t="s">
        <v>2885</v>
      </c>
      <c r="D436" s="262" t="s">
        <v>814</v>
      </c>
      <c r="E436" s="513">
        <v>435</v>
      </c>
      <c r="F436" s="544" t="s">
        <v>2885</v>
      </c>
      <c r="G436" s="543">
        <v>45413</v>
      </c>
      <c r="H436" s="543">
        <v>45413</v>
      </c>
      <c r="I436" s="543">
        <v>45413</v>
      </c>
      <c r="J436" s="543">
        <v>45413</v>
      </c>
      <c r="K436" s="517">
        <v>45415</v>
      </c>
      <c r="L436" s="518" t="s">
        <v>705</v>
      </c>
      <c r="M436" s="264" t="s">
        <v>2587</v>
      </c>
      <c r="N436" s="262" t="s">
        <v>2176</v>
      </c>
      <c r="O436" s="390" t="s">
        <v>262</v>
      </c>
      <c r="P436" s="264" t="str">
        <f t="shared" si="18"/>
        <v>Spidol White board</v>
      </c>
      <c r="Q436" s="264" t="s">
        <v>710</v>
      </c>
      <c r="R436" s="519" t="s">
        <v>151</v>
      </c>
      <c r="S436" s="399">
        <v>2</v>
      </c>
      <c r="T436" s="348" t="s">
        <v>3364</v>
      </c>
      <c r="U436" s="520">
        <v>120000</v>
      </c>
      <c r="V436" s="266">
        <v>240000</v>
      </c>
      <c r="W436" s="521" t="s">
        <v>227</v>
      </c>
      <c r="X436" s="521" t="s">
        <v>3383</v>
      </c>
      <c r="Y436" s="522" t="s">
        <v>2512</v>
      </c>
      <c r="Z436" s="523" t="s">
        <v>541</v>
      </c>
      <c r="AA436" s="521"/>
      <c r="AB436" s="521"/>
      <c r="AC436" s="521"/>
      <c r="AD436" s="521"/>
      <c r="AE436" s="521"/>
      <c r="AF436" s="521"/>
      <c r="AG436" s="264">
        <v>5</v>
      </c>
    </row>
    <row r="437" spans="1:33" s="526" customFormat="1" ht="29">
      <c r="A437" s="513">
        <v>435</v>
      </c>
      <c r="B437" s="514" t="s">
        <v>2885</v>
      </c>
      <c r="C437" s="515" t="s">
        <v>2885</v>
      </c>
      <c r="D437" s="262" t="s">
        <v>814</v>
      </c>
      <c r="E437" s="513">
        <v>436</v>
      </c>
      <c r="F437" s="544" t="s">
        <v>2885</v>
      </c>
      <c r="G437" s="543">
        <v>45413</v>
      </c>
      <c r="H437" s="543">
        <v>45413</v>
      </c>
      <c r="I437" s="543">
        <v>45413</v>
      </c>
      <c r="J437" s="543">
        <v>45413</v>
      </c>
      <c r="K437" s="517">
        <v>45415</v>
      </c>
      <c r="L437" s="518" t="s">
        <v>705</v>
      </c>
      <c r="M437" s="264" t="s">
        <v>2587</v>
      </c>
      <c r="N437" s="262" t="s">
        <v>2176</v>
      </c>
      <c r="O437" s="390" t="s">
        <v>258</v>
      </c>
      <c r="P437" s="264" t="str">
        <f t="shared" si="18"/>
        <v>Pisau Cutter Kenko L-500</v>
      </c>
      <c r="Q437" s="264" t="s">
        <v>710</v>
      </c>
      <c r="R437" s="525" t="s">
        <v>2601</v>
      </c>
      <c r="S437" s="399">
        <v>2</v>
      </c>
      <c r="T437" s="348" t="s">
        <v>3363</v>
      </c>
      <c r="U437" s="520">
        <v>15000</v>
      </c>
      <c r="V437" s="266">
        <v>30000</v>
      </c>
      <c r="W437" s="521" t="s">
        <v>227</v>
      </c>
      <c r="X437" s="521" t="s">
        <v>3383</v>
      </c>
      <c r="Y437" s="522" t="s">
        <v>2512</v>
      </c>
      <c r="Z437" s="523" t="s">
        <v>541</v>
      </c>
      <c r="AA437" s="521"/>
      <c r="AB437" s="521"/>
      <c r="AC437" s="521"/>
      <c r="AD437" s="521"/>
      <c r="AE437" s="521"/>
      <c r="AF437" s="521"/>
      <c r="AG437" s="264">
        <v>5</v>
      </c>
    </row>
    <row r="438" spans="1:33" s="526" customFormat="1" ht="29">
      <c r="A438" s="513">
        <v>436</v>
      </c>
      <c r="B438" s="514" t="s">
        <v>2885</v>
      </c>
      <c r="C438" s="515" t="s">
        <v>2885</v>
      </c>
      <c r="D438" s="262" t="s">
        <v>814</v>
      </c>
      <c r="E438" s="513">
        <v>437</v>
      </c>
      <c r="F438" s="544" t="s">
        <v>2885</v>
      </c>
      <c r="G438" s="543">
        <v>45413</v>
      </c>
      <c r="H438" s="543">
        <v>45413</v>
      </c>
      <c r="I438" s="543">
        <v>45413</v>
      </c>
      <c r="J438" s="543">
        <v>45413</v>
      </c>
      <c r="K438" s="517">
        <v>45415</v>
      </c>
      <c r="L438" s="518" t="s">
        <v>705</v>
      </c>
      <c r="M438" s="264" t="s">
        <v>2587</v>
      </c>
      <c r="N438" s="262" t="s">
        <v>2176</v>
      </c>
      <c r="O438" s="390" t="s">
        <v>240</v>
      </c>
      <c r="P438" s="264" t="str">
        <f t="shared" si="18"/>
        <v>Binder Klip  nomor 260</v>
      </c>
      <c r="Q438" s="264" t="s">
        <v>710</v>
      </c>
      <c r="R438" s="525" t="s">
        <v>2602</v>
      </c>
      <c r="S438" s="399">
        <v>10</v>
      </c>
      <c r="T438" s="348" t="s">
        <v>3362</v>
      </c>
      <c r="U438" s="520">
        <v>20000</v>
      </c>
      <c r="V438" s="266">
        <v>200000</v>
      </c>
      <c r="W438" s="521" t="s">
        <v>227</v>
      </c>
      <c r="X438" s="521" t="s">
        <v>3383</v>
      </c>
      <c r="Y438" s="522" t="s">
        <v>2512</v>
      </c>
      <c r="Z438" s="523" t="s">
        <v>541</v>
      </c>
      <c r="AA438" s="521"/>
      <c r="AB438" s="521"/>
      <c r="AC438" s="521"/>
      <c r="AD438" s="521"/>
      <c r="AE438" s="521"/>
      <c r="AF438" s="521"/>
      <c r="AG438" s="264">
        <v>5</v>
      </c>
    </row>
    <row r="439" spans="1:33" s="526" customFormat="1" ht="29">
      <c r="A439" s="513">
        <v>437</v>
      </c>
      <c r="B439" s="514" t="s">
        <v>2885</v>
      </c>
      <c r="C439" s="515" t="s">
        <v>2885</v>
      </c>
      <c r="D439" s="262" t="s">
        <v>814</v>
      </c>
      <c r="E439" s="513">
        <v>438</v>
      </c>
      <c r="F439" s="544" t="s">
        <v>2885</v>
      </c>
      <c r="G439" s="543">
        <v>45413</v>
      </c>
      <c r="H439" s="543">
        <v>45413</v>
      </c>
      <c r="I439" s="543">
        <v>45413</v>
      </c>
      <c r="J439" s="543">
        <v>45413</v>
      </c>
      <c r="K439" s="517">
        <v>45415</v>
      </c>
      <c r="L439" s="518" t="s">
        <v>705</v>
      </c>
      <c r="M439" s="264" t="s">
        <v>2587</v>
      </c>
      <c r="N439" s="262" t="s">
        <v>2176</v>
      </c>
      <c r="O439" s="390" t="s">
        <v>246</v>
      </c>
      <c r="P439" s="264" t="str">
        <f t="shared" si="18"/>
        <v>C. Tinta Printer EPSON Tinta Printer Epson Yellow</v>
      </c>
      <c r="Q439" s="264" t="s">
        <v>710</v>
      </c>
      <c r="R439" s="519" t="s">
        <v>119</v>
      </c>
      <c r="S439" s="399">
        <v>4</v>
      </c>
      <c r="T439" s="348" t="s">
        <v>3367</v>
      </c>
      <c r="U439" s="520">
        <v>110000</v>
      </c>
      <c r="V439" s="266">
        <v>440000</v>
      </c>
      <c r="W439" s="521" t="s">
        <v>227</v>
      </c>
      <c r="X439" s="521" t="s">
        <v>3383</v>
      </c>
      <c r="Y439" s="522" t="s">
        <v>2512</v>
      </c>
      <c r="Z439" s="523" t="s">
        <v>541</v>
      </c>
      <c r="AA439" s="521"/>
      <c r="AB439" s="521"/>
      <c r="AC439" s="521"/>
      <c r="AD439" s="521"/>
      <c r="AE439" s="521"/>
      <c r="AF439" s="521"/>
      <c r="AG439" s="264">
        <v>5</v>
      </c>
    </row>
    <row r="440" spans="1:33" s="526" customFormat="1" ht="29">
      <c r="A440" s="513">
        <v>438</v>
      </c>
      <c r="B440" s="514" t="s">
        <v>2885</v>
      </c>
      <c r="C440" s="515" t="s">
        <v>2885</v>
      </c>
      <c r="D440" s="262" t="s">
        <v>814</v>
      </c>
      <c r="E440" s="513">
        <v>439</v>
      </c>
      <c r="F440" s="544" t="s">
        <v>2885</v>
      </c>
      <c r="G440" s="543">
        <v>45413</v>
      </c>
      <c r="H440" s="543">
        <v>45413</v>
      </c>
      <c r="I440" s="543">
        <v>45413</v>
      </c>
      <c r="J440" s="543">
        <v>45413</v>
      </c>
      <c r="K440" s="517">
        <v>45415</v>
      </c>
      <c r="L440" s="518" t="s">
        <v>705</v>
      </c>
      <c r="M440" s="264" t="s">
        <v>2587</v>
      </c>
      <c r="N440" s="262" t="s">
        <v>2176</v>
      </c>
      <c r="O440" s="390" t="s">
        <v>255</v>
      </c>
      <c r="P440" s="264" t="str">
        <f t="shared" si="18"/>
        <v>PAPER CLIP  Paper Clip No 1</v>
      </c>
      <c r="Q440" s="264" t="s">
        <v>710</v>
      </c>
      <c r="R440" s="519" t="s">
        <v>144</v>
      </c>
      <c r="S440" s="399">
        <v>5</v>
      </c>
      <c r="T440" s="348" t="s">
        <v>3362</v>
      </c>
      <c r="U440" s="520">
        <v>5000</v>
      </c>
      <c r="V440" s="266">
        <v>25000</v>
      </c>
      <c r="W440" s="521" t="s">
        <v>227</v>
      </c>
      <c r="X440" s="521" t="s">
        <v>3383</v>
      </c>
      <c r="Y440" s="522" t="s">
        <v>2512</v>
      </c>
      <c r="Z440" s="523" t="s">
        <v>541</v>
      </c>
      <c r="AA440" s="521"/>
      <c r="AB440" s="521"/>
      <c r="AC440" s="521"/>
      <c r="AD440" s="521"/>
      <c r="AE440" s="521"/>
      <c r="AF440" s="521"/>
      <c r="AG440" s="264">
        <v>5</v>
      </c>
    </row>
    <row r="441" spans="1:33" s="526" customFormat="1" ht="29">
      <c r="A441" s="513">
        <v>439</v>
      </c>
      <c r="B441" s="514" t="s">
        <v>2885</v>
      </c>
      <c r="C441" s="515" t="s">
        <v>2885</v>
      </c>
      <c r="D441" s="262" t="s">
        <v>814</v>
      </c>
      <c r="E441" s="513">
        <v>440</v>
      </c>
      <c r="F441" s="544" t="s">
        <v>2885</v>
      </c>
      <c r="G441" s="543">
        <v>45413</v>
      </c>
      <c r="H441" s="543">
        <v>45413</v>
      </c>
      <c r="I441" s="543">
        <v>45413</v>
      </c>
      <c r="J441" s="543">
        <v>45413</v>
      </c>
      <c r="K441" s="517">
        <v>45415</v>
      </c>
      <c r="L441" s="518" t="s">
        <v>705</v>
      </c>
      <c r="M441" s="264" t="s">
        <v>2587</v>
      </c>
      <c r="N441" s="262" t="s">
        <v>2176</v>
      </c>
      <c r="O441" s="390" t="s">
        <v>247</v>
      </c>
      <c r="P441" s="264" t="str">
        <f t="shared" si="18"/>
        <v>Kertas HVS 80 gram Merk : Paper One A4, Ukuran : 8,27" x 11,69", Isi : 500 lembar</v>
      </c>
      <c r="Q441" s="264" t="s">
        <v>710</v>
      </c>
      <c r="R441" s="519" t="s">
        <v>1351</v>
      </c>
      <c r="S441" s="399">
        <v>40</v>
      </c>
      <c r="T441" s="348" t="s">
        <v>3369</v>
      </c>
      <c r="U441" s="520">
        <v>50000</v>
      </c>
      <c r="V441" s="266">
        <v>2000000</v>
      </c>
      <c r="W441" s="521" t="s">
        <v>227</v>
      </c>
      <c r="X441" s="521" t="s">
        <v>3383</v>
      </c>
      <c r="Y441" s="522" t="s">
        <v>2512</v>
      </c>
      <c r="Z441" s="523" t="s">
        <v>541</v>
      </c>
      <c r="AA441" s="521"/>
      <c r="AB441" s="521"/>
      <c r="AC441" s="521"/>
      <c r="AD441" s="521"/>
      <c r="AE441" s="521"/>
      <c r="AF441" s="521"/>
      <c r="AG441" s="264">
        <v>5</v>
      </c>
    </row>
    <row r="442" spans="1:33" s="526" customFormat="1" ht="29">
      <c r="A442" s="513">
        <v>440</v>
      </c>
      <c r="B442" s="514" t="s">
        <v>2885</v>
      </c>
      <c r="C442" s="515" t="s">
        <v>2885</v>
      </c>
      <c r="D442" s="262" t="s">
        <v>814</v>
      </c>
      <c r="E442" s="513">
        <v>441</v>
      </c>
      <c r="F442" s="544" t="s">
        <v>2885</v>
      </c>
      <c r="G442" s="543">
        <v>45413</v>
      </c>
      <c r="H442" s="543">
        <v>45413</v>
      </c>
      <c r="I442" s="543">
        <v>45413</v>
      </c>
      <c r="J442" s="543">
        <v>45413</v>
      </c>
      <c r="K442" s="517">
        <v>45415</v>
      </c>
      <c r="L442" s="518" t="s">
        <v>705</v>
      </c>
      <c r="M442" s="264" t="s">
        <v>2587</v>
      </c>
      <c r="N442" s="262" t="s">
        <v>2176</v>
      </c>
      <c r="O442" s="390" t="s">
        <v>264</v>
      </c>
      <c r="P442" s="264" t="str">
        <f t="shared" si="18"/>
        <v>Stofmap Transparan</v>
      </c>
      <c r="Q442" s="264" t="s">
        <v>710</v>
      </c>
      <c r="R442" s="519" t="s">
        <v>157</v>
      </c>
      <c r="S442" s="399">
        <v>100</v>
      </c>
      <c r="T442" s="348" t="s">
        <v>3363</v>
      </c>
      <c r="U442" s="520">
        <v>5500</v>
      </c>
      <c r="V442" s="266">
        <v>550000</v>
      </c>
      <c r="W442" s="521" t="s">
        <v>227</v>
      </c>
      <c r="X442" s="521" t="s">
        <v>3383</v>
      </c>
      <c r="Y442" s="522" t="s">
        <v>2512</v>
      </c>
      <c r="Z442" s="523" t="s">
        <v>541</v>
      </c>
      <c r="AA442" s="521"/>
      <c r="AB442" s="521"/>
      <c r="AC442" s="521"/>
      <c r="AD442" s="521"/>
      <c r="AE442" s="521"/>
      <c r="AF442" s="521"/>
      <c r="AG442" s="264">
        <v>5</v>
      </c>
    </row>
    <row r="443" spans="1:33" s="526" customFormat="1" ht="29">
      <c r="A443" s="513">
        <v>441</v>
      </c>
      <c r="B443" s="514" t="s">
        <v>2885</v>
      </c>
      <c r="C443" s="515" t="s">
        <v>2885</v>
      </c>
      <c r="D443" s="262" t="s">
        <v>814</v>
      </c>
      <c r="E443" s="513">
        <v>442</v>
      </c>
      <c r="F443" s="544" t="s">
        <v>2885</v>
      </c>
      <c r="G443" s="543">
        <v>45413</v>
      </c>
      <c r="H443" s="543">
        <v>45413</v>
      </c>
      <c r="I443" s="543">
        <v>45413</v>
      </c>
      <c r="J443" s="543">
        <v>45413</v>
      </c>
      <c r="K443" s="517">
        <v>45415</v>
      </c>
      <c r="L443" s="518" t="s">
        <v>705</v>
      </c>
      <c r="M443" s="264" t="s">
        <v>2587</v>
      </c>
      <c r="N443" s="262" t="s">
        <v>2176</v>
      </c>
      <c r="O443" s="390" t="s">
        <v>2247</v>
      </c>
      <c r="P443" s="264" t="str">
        <f t="shared" si="18"/>
        <v>Amplop Panjang Putih Polos Merk : Jaya Ukuran : 11 x 23 cm</v>
      </c>
      <c r="Q443" s="264" t="s">
        <v>710</v>
      </c>
      <c r="R443" s="519" t="s">
        <v>99</v>
      </c>
      <c r="S443" s="399">
        <v>1</v>
      </c>
      <c r="T443" s="348" t="s">
        <v>3362</v>
      </c>
      <c r="U443" s="520">
        <v>48000</v>
      </c>
      <c r="V443" s="266">
        <v>48000</v>
      </c>
      <c r="W443" s="521" t="s">
        <v>227</v>
      </c>
      <c r="X443" s="521" t="s">
        <v>3383</v>
      </c>
      <c r="Y443" s="522" t="s">
        <v>2512</v>
      </c>
      <c r="Z443" s="523" t="s">
        <v>541</v>
      </c>
      <c r="AA443" s="521"/>
      <c r="AB443" s="521"/>
      <c r="AC443" s="521"/>
      <c r="AD443" s="521"/>
      <c r="AE443" s="521"/>
      <c r="AF443" s="521"/>
      <c r="AG443" s="264">
        <v>5</v>
      </c>
    </row>
    <row r="444" spans="1:33" s="526" customFormat="1" ht="29">
      <c r="A444" s="513">
        <v>442</v>
      </c>
      <c r="B444" s="514" t="s">
        <v>2885</v>
      </c>
      <c r="C444" s="515" t="s">
        <v>2885</v>
      </c>
      <c r="D444" s="262" t="s">
        <v>814</v>
      </c>
      <c r="E444" s="513">
        <v>443</v>
      </c>
      <c r="F444" s="544" t="s">
        <v>2885</v>
      </c>
      <c r="G444" s="543">
        <v>45413</v>
      </c>
      <c r="H444" s="543">
        <v>45413</v>
      </c>
      <c r="I444" s="543">
        <v>45413</v>
      </c>
      <c r="J444" s="543">
        <v>45413</v>
      </c>
      <c r="K444" s="517">
        <v>45415</v>
      </c>
      <c r="L444" s="518" t="s">
        <v>705</v>
      </c>
      <c r="M444" s="264" t="s">
        <v>2587</v>
      </c>
      <c r="N444" s="262" t="s">
        <v>2176</v>
      </c>
      <c r="O444" s="390" t="s">
        <v>249</v>
      </c>
      <c r="P444" s="264" t="str">
        <f t="shared" si="18"/>
        <v>Kertas Post-It Warna Warni  Sign Here</v>
      </c>
      <c r="Q444" s="264" t="s">
        <v>710</v>
      </c>
      <c r="R444" s="525" t="s">
        <v>2604</v>
      </c>
      <c r="S444" s="399">
        <v>5</v>
      </c>
      <c r="T444" s="348" t="s">
        <v>3363</v>
      </c>
      <c r="U444" s="520">
        <v>22800</v>
      </c>
      <c r="V444" s="266">
        <v>114000</v>
      </c>
      <c r="W444" s="521" t="s">
        <v>227</v>
      </c>
      <c r="X444" s="521" t="s">
        <v>3383</v>
      </c>
      <c r="Y444" s="522" t="s">
        <v>2512</v>
      </c>
      <c r="Z444" s="523" t="s">
        <v>541</v>
      </c>
      <c r="AA444" s="521"/>
      <c r="AB444" s="521"/>
      <c r="AC444" s="521"/>
      <c r="AD444" s="521"/>
      <c r="AE444" s="521"/>
      <c r="AF444" s="521"/>
      <c r="AG444" s="264">
        <v>5</v>
      </c>
    </row>
    <row r="445" spans="1:33" s="526" customFormat="1" ht="37.5">
      <c r="A445" s="513">
        <v>443</v>
      </c>
      <c r="B445" s="514" t="s">
        <v>2885</v>
      </c>
      <c r="C445" s="515" t="s">
        <v>2885</v>
      </c>
      <c r="D445" s="262" t="s">
        <v>814</v>
      </c>
      <c r="E445" s="513">
        <v>444</v>
      </c>
      <c r="F445" s="544" t="s">
        <v>2885</v>
      </c>
      <c r="G445" s="543">
        <v>45413</v>
      </c>
      <c r="H445" s="543">
        <v>45413</v>
      </c>
      <c r="I445" s="543">
        <v>45413</v>
      </c>
      <c r="J445" s="543">
        <v>45413</v>
      </c>
      <c r="K445" s="517">
        <v>45415</v>
      </c>
      <c r="L445" s="518" t="s">
        <v>705</v>
      </c>
      <c r="M445" s="264" t="s">
        <v>2587</v>
      </c>
      <c r="N445" s="262" t="s">
        <v>2176</v>
      </c>
      <c r="O445" s="390" t="s">
        <v>252</v>
      </c>
      <c r="P445" s="524" t="s">
        <v>2605</v>
      </c>
      <c r="Q445" s="264" t="s">
        <v>710</v>
      </c>
      <c r="R445" s="519" t="s">
        <v>134</v>
      </c>
      <c r="S445" s="399">
        <v>5</v>
      </c>
      <c r="T445" s="348" t="s">
        <v>2436</v>
      </c>
      <c r="U445" s="520">
        <v>10000</v>
      </c>
      <c r="V445" s="266">
        <v>50000</v>
      </c>
      <c r="W445" s="521" t="s">
        <v>227</v>
      </c>
      <c r="X445" s="521" t="s">
        <v>3383</v>
      </c>
      <c r="Y445" s="522" t="s">
        <v>2512</v>
      </c>
      <c r="Z445" s="523" t="s">
        <v>541</v>
      </c>
      <c r="AA445" s="521"/>
      <c r="AB445" s="521"/>
      <c r="AC445" s="521"/>
      <c r="AD445" s="521"/>
      <c r="AE445" s="521"/>
      <c r="AF445" s="521"/>
      <c r="AG445" s="264">
        <v>5</v>
      </c>
    </row>
    <row r="446" spans="1:33" s="526" customFormat="1" ht="29">
      <c r="A446" s="513">
        <v>444</v>
      </c>
      <c r="B446" s="514" t="s">
        <v>2885</v>
      </c>
      <c r="C446" s="515" t="s">
        <v>2885</v>
      </c>
      <c r="D446" s="262" t="s">
        <v>814</v>
      </c>
      <c r="E446" s="513">
        <v>445</v>
      </c>
      <c r="F446" s="544" t="s">
        <v>2885</v>
      </c>
      <c r="G446" s="543">
        <v>45413</v>
      </c>
      <c r="H446" s="543">
        <v>45413</v>
      </c>
      <c r="I446" s="543">
        <v>45413</v>
      </c>
      <c r="J446" s="543">
        <v>45413</v>
      </c>
      <c r="K446" s="517">
        <v>45415</v>
      </c>
      <c r="L446" s="518" t="s">
        <v>705</v>
      </c>
      <c r="M446" s="264" t="s">
        <v>2587</v>
      </c>
      <c r="N446" s="262" t="s">
        <v>2176</v>
      </c>
      <c r="O446" s="390" t="s">
        <v>239</v>
      </c>
      <c r="P446" s="264" t="str">
        <f t="shared" ref="P446:P470" si="19">O446</f>
        <v>Binder Klip  nomor 200</v>
      </c>
      <c r="Q446" s="264" t="s">
        <v>710</v>
      </c>
      <c r="R446" s="519" t="s">
        <v>110</v>
      </c>
      <c r="S446" s="399">
        <v>10</v>
      </c>
      <c r="T446" s="348" t="s">
        <v>3362</v>
      </c>
      <c r="U446" s="520">
        <v>16500</v>
      </c>
      <c r="V446" s="266">
        <v>165000</v>
      </c>
      <c r="W446" s="521" t="s">
        <v>227</v>
      </c>
      <c r="X446" s="521" t="s">
        <v>3383</v>
      </c>
      <c r="Y446" s="522" t="s">
        <v>2512</v>
      </c>
      <c r="Z446" s="523" t="s">
        <v>541</v>
      </c>
      <c r="AA446" s="521"/>
      <c r="AB446" s="521"/>
      <c r="AC446" s="521"/>
      <c r="AD446" s="521"/>
      <c r="AE446" s="521"/>
      <c r="AF446" s="521"/>
      <c r="AG446" s="264">
        <v>5</v>
      </c>
    </row>
    <row r="447" spans="1:33" s="526" customFormat="1" ht="29">
      <c r="A447" s="513">
        <v>445</v>
      </c>
      <c r="B447" s="514" t="s">
        <v>2885</v>
      </c>
      <c r="C447" s="515" t="s">
        <v>2885</v>
      </c>
      <c r="D447" s="262" t="s">
        <v>814</v>
      </c>
      <c r="E447" s="513">
        <v>446</v>
      </c>
      <c r="F447" s="544" t="s">
        <v>2885</v>
      </c>
      <c r="G447" s="543">
        <v>45413</v>
      </c>
      <c r="H447" s="543">
        <v>45413</v>
      </c>
      <c r="I447" s="543">
        <v>45413</v>
      </c>
      <c r="J447" s="543">
        <v>45413</v>
      </c>
      <c r="K447" s="517">
        <v>45415</v>
      </c>
      <c r="L447" s="518" t="s">
        <v>705</v>
      </c>
      <c r="M447" s="264" t="s">
        <v>2587</v>
      </c>
      <c r="N447" s="262" t="s">
        <v>2176</v>
      </c>
      <c r="O447" s="390" t="s">
        <v>2249</v>
      </c>
      <c r="P447" s="264" t="str">
        <f t="shared" si="19"/>
        <v>Baterey Tanggung</v>
      </c>
      <c r="Q447" s="264" t="s">
        <v>710</v>
      </c>
      <c r="R447" s="519" t="s">
        <v>107</v>
      </c>
      <c r="S447" s="399">
        <v>5</v>
      </c>
      <c r="T447" s="348" t="s">
        <v>3366</v>
      </c>
      <c r="U447" s="520">
        <v>20000</v>
      </c>
      <c r="V447" s="266">
        <v>100000</v>
      </c>
      <c r="W447" s="521" t="s">
        <v>227</v>
      </c>
      <c r="X447" s="521" t="s">
        <v>3383</v>
      </c>
      <c r="Y447" s="522" t="s">
        <v>2512</v>
      </c>
      <c r="Z447" s="523" t="s">
        <v>541</v>
      </c>
      <c r="AA447" s="521"/>
      <c r="AB447" s="521"/>
      <c r="AC447" s="521"/>
      <c r="AD447" s="521"/>
      <c r="AE447" s="521"/>
      <c r="AF447" s="521"/>
      <c r="AG447" s="264">
        <v>5</v>
      </c>
    </row>
    <row r="448" spans="1:33" s="526" customFormat="1" ht="29">
      <c r="A448" s="513">
        <v>446</v>
      </c>
      <c r="B448" s="514" t="s">
        <v>2885</v>
      </c>
      <c r="C448" s="515" t="s">
        <v>2885</v>
      </c>
      <c r="D448" s="262" t="s">
        <v>814</v>
      </c>
      <c r="E448" s="513">
        <v>447</v>
      </c>
      <c r="F448" s="544" t="s">
        <v>2885</v>
      </c>
      <c r="G448" s="543">
        <v>45413</v>
      </c>
      <c r="H448" s="543">
        <v>45413</v>
      </c>
      <c r="I448" s="543">
        <v>45413</v>
      </c>
      <c r="J448" s="543">
        <v>45413</v>
      </c>
      <c r="K448" s="517">
        <v>45415</v>
      </c>
      <c r="L448" s="518" t="s">
        <v>705</v>
      </c>
      <c r="M448" s="264" t="s">
        <v>2587</v>
      </c>
      <c r="N448" s="262" t="s">
        <v>2176</v>
      </c>
      <c r="O448" s="390" t="s">
        <v>2250</v>
      </c>
      <c r="P448" s="264" t="str">
        <f t="shared" si="19"/>
        <v>C. Tinta Printer EPSON Toner Epson 664 Black</v>
      </c>
      <c r="Q448" s="264" t="s">
        <v>710</v>
      </c>
      <c r="R448" s="519" t="s">
        <v>120</v>
      </c>
      <c r="S448" s="399">
        <v>6</v>
      </c>
      <c r="T448" s="348" t="s">
        <v>3367</v>
      </c>
      <c r="U448" s="520">
        <v>85000</v>
      </c>
      <c r="V448" s="266">
        <v>510000</v>
      </c>
      <c r="W448" s="521" t="s">
        <v>227</v>
      </c>
      <c r="X448" s="521" t="s">
        <v>3383</v>
      </c>
      <c r="Y448" s="522" t="s">
        <v>2512</v>
      </c>
      <c r="Z448" s="523" t="s">
        <v>541</v>
      </c>
      <c r="AA448" s="521"/>
      <c r="AB448" s="521"/>
      <c r="AC448" s="521"/>
      <c r="AD448" s="521"/>
      <c r="AE448" s="521"/>
      <c r="AF448" s="521"/>
      <c r="AG448" s="264">
        <v>5</v>
      </c>
    </row>
    <row r="449" spans="1:33" s="526" customFormat="1" ht="29">
      <c r="A449" s="513">
        <v>447</v>
      </c>
      <c r="B449" s="514" t="s">
        <v>2885</v>
      </c>
      <c r="C449" s="515" t="s">
        <v>2885</v>
      </c>
      <c r="D449" s="262" t="s">
        <v>814</v>
      </c>
      <c r="E449" s="513">
        <v>448</v>
      </c>
      <c r="F449" s="544" t="s">
        <v>2885</v>
      </c>
      <c r="G449" s="543">
        <v>45413</v>
      </c>
      <c r="H449" s="543">
        <v>45413</v>
      </c>
      <c r="I449" s="543">
        <v>45413</v>
      </c>
      <c r="J449" s="543">
        <v>45413</v>
      </c>
      <c r="K449" s="517">
        <v>45415</v>
      </c>
      <c r="L449" s="518" t="s">
        <v>705</v>
      </c>
      <c r="M449" s="264" t="s">
        <v>2587</v>
      </c>
      <c r="N449" s="262" t="s">
        <v>2176</v>
      </c>
      <c r="O449" s="390" t="s">
        <v>251</v>
      </c>
      <c r="P449" s="264" t="str">
        <f t="shared" si="19"/>
        <v>Kertas Warna Blank Folio, Ukuran : 8,5 x 14",  70 gram</v>
      </c>
      <c r="Q449" s="264" t="s">
        <v>710</v>
      </c>
      <c r="R449" s="519" t="s">
        <v>133</v>
      </c>
      <c r="S449" s="399">
        <v>2</v>
      </c>
      <c r="T449" s="348" t="s">
        <v>3369</v>
      </c>
      <c r="U449" s="520">
        <v>90000</v>
      </c>
      <c r="V449" s="266">
        <v>180000</v>
      </c>
      <c r="W449" s="521" t="s">
        <v>227</v>
      </c>
      <c r="X449" s="521" t="s">
        <v>3383</v>
      </c>
      <c r="Y449" s="522" t="s">
        <v>2512</v>
      </c>
      <c r="Z449" s="523" t="s">
        <v>541</v>
      </c>
      <c r="AA449" s="521"/>
      <c r="AB449" s="521"/>
      <c r="AC449" s="521"/>
      <c r="AD449" s="521"/>
      <c r="AE449" s="521"/>
      <c r="AF449" s="521"/>
      <c r="AG449" s="264">
        <v>5</v>
      </c>
    </row>
    <row r="450" spans="1:33" s="526" customFormat="1" ht="29">
      <c r="A450" s="513">
        <v>448</v>
      </c>
      <c r="B450" s="514" t="s">
        <v>2885</v>
      </c>
      <c r="C450" s="515" t="s">
        <v>2885</v>
      </c>
      <c r="D450" s="262" t="s">
        <v>814</v>
      </c>
      <c r="E450" s="513">
        <v>449</v>
      </c>
      <c r="F450" s="544" t="s">
        <v>2885</v>
      </c>
      <c r="G450" s="543">
        <v>45413</v>
      </c>
      <c r="H450" s="543">
        <v>45413</v>
      </c>
      <c r="I450" s="543">
        <v>45413</v>
      </c>
      <c r="J450" s="543">
        <v>45413</v>
      </c>
      <c r="K450" s="517">
        <v>45415</v>
      </c>
      <c r="L450" s="518" t="s">
        <v>705</v>
      </c>
      <c r="M450" s="264" t="s">
        <v>2587</v>
      </c>
      <c r="N450" s="262" t="s">
        <v>2176</v>
      </c>
      <c r="O450" s="390" t="s">
        <v>260</v>
      </c>
      <c r="P450" s="264" t="str">
        <f t="shared" si="19"/>
        <v>Sampul Plastik</v>
      </c>
      <c r="Q450" s="264" t="s">
        <v>710</v>
      </c>
      <c r="R450" s="519" t="s">
        <v>149</v>
      </c>
      <c r="S450" s="399">
        <v>5</v>
      </c>
      <c r="T450" s="348" t="s">
        <v>3365</v>
      </c>
      <c r="U450" s="520">
        <v>65000</v>
      </c>
      <c r="V450" s="266">
        <v>325000</v>
      </c>
      <c r="W450" s="521" t="s">
        <v>227</v>
      </c>
      <c r="X450" s="521" t="s">
        <v>3383</v>
      </c>
      <c r="Y450" s="522" t="s">
        <v>2512</v>
      </c>
      <c r="Z450" s="523" t="s">
        <v>541</v>
      </c>
      <c r="AA450" s="521"/>
      <c r="AB450" s="521"/>
      <c r="AC450" s="521"/>
      <c r="AD450" s="521"/>
      <c r="AE450" s="521"/>
      <c r="AF450" s="521"/>
      <c r="AG450" s="264">
        <v>5</v>
      </c>
    </row>
    <row r="451" spans="1:33" s="526" customFormat="1" ht="29">
      <c r="A451" s="513">
        <v>449</v>
      </c>
      <c r="B451" s="514" t="s">
        <v>2885</v>
      </c>
      <c r="C451" s="515" t="s">
        <v>2885</v>
      </c>
      <c r="D451" s="262" t="s">
        <v>814</v>
      </c>
      <c r="E451" s="513">
        <v>450</v>
      </c>
      <c r="F451" s="544" t="s">
        <v>2885</v>
      </c>
      <c r="G451" s="543">
        <v>45413</v>
      </c>
      <c r="H451" s="543">
        <v>45413</v>
      </c>
      <c r="I451" s="543">
        <v>45413</v>
      </c>
      <c r="J451" s="543">
        <v>45413</v>
      </c>
      <c r="K451" s="517">
        <v>45415</v>
      </c>
      <c r="L451" s="518" t="s">
        <v>705</v>
      </c>
      <c r="M451" s="264" t="s">
        <v>2587</v>
      </c>
      <c r="N451" s="262" t="s">
        <v>2176</v>
      </c>
      <c r="O451" s="390" t="s">
        <v>2252</v>
      </c>
      <c r="P451" s="264" t="str">
        <f t="shared" si="19"/>
        <v>Box File Merk : Bantex Ukuran : 115x270x325 mm</v>
      </c>
      <c r="Q451" s="264" t="s">
        <v>710</v>
      </c>
      <c r="R451" s="524" t="s">
        <v>2606</v>
      </c>
      <c r="S451" s="399">
        <v>4</v>
      </c>
      <c r="T451" s="348" t="s">
        <v>3363</v>
      </c>
      <c r="U451" s="520">
        <v>59800</v>
      </c>
      <c r="V451" s="266">
        <v>239200</v>
      </c>
      <c r="W451" s="521" t="s">
        <v>227</v>
      </c>
      <c r="X451" s="521" t="s">
        <v>3383</v>
      </c>
      <c r="Y451" s="522" t="s">
        <v>2512</v>
      </c>
      <c r="Z451" s="523" t="s">
        <v>541</v>
      </c>
      <c r="AA451" s="521"/>
      <c r="AB451" s="521"/>
      <c r="AC451" s="521"/>
      <c r="AD451" s="521"/>
      <c r="AE451" s="521"/>
      <c r="AF451" s="521"/>
      <c r="AG451" s="264">
        <v>5</v>
      </c>
    </row>
    <row r="452" spans="1:33" s="526" customFormat="1" ht="29">
      <c r="A452" s="513">
        <v>450</v>
      </c>
      <c r="B452" s="514" t="s">
        <v>2885</v>
      </c>
      <c r="C452" s="515" t="s">
        <v>2885</v>
      </c>
      <c r="D452" s="262" t="s">
        <v>814</v>
      </c>
      <c r="E452" s="513">
        <v>451</v>
      </c>
      <c r="F452" s="544" t="s">
        <v>2885</v>
      </c>
      <c r="G452" s="543">
        <v>45413</v>
      </c>
      <c r="H452" s="543">
        <v>45413</v>
      </c>
      <c r="I452" s="543">
        <v>45413</v>
      </c>
      <c r="J452" s="543">
        <v>45413</v>
      </c>
      <c r="K452" s="517">
        <v>45415</v>
      </c>
      <c r="L452" s="518" t="s">
        <v>705</v>
      </c>
      <c r="M452" s="264" t="s">
        <v>2587</v>
      </c>
      <c r="N452" s="262" t="s">
        <v>2176</v>
      </c>
      <c r="O452" s="390" t="s">
        <v>253</v>
      </c>
      <c r="P452" s="264" t="str">
        <f t="shared" si="19"/>
        <v>Lakban warna Uk 2" Warna Coklat Cofiie</v>
      </c>
      <c r="Q452" s="264" t="s">
        <v>710</v>
      </c>
      <c r="R452" s="519" t="s">
        <v>140</v>
      </c>
      <c r="S452" s="399">
        <v>3</v>
      </c>
      <c r="T452" s="348" t="s">
        <v>3363</v>
      </c>
      <c r="U452" s="520">
        <v>20000</v>
      </c>
      <c r="V452" s="266">
        <v>60000</v>
      </c>
      <c r="W452" s="521" t="s">
        <v>227</v>
      </c>
      <c r="X452" s="521" t="s">
        <v>3383</v>
      </c>
      <c r="Y452" s="522" t="s">
        <v>2512</v>
      </c>
      <c r="Z452" s="523" t="s">
        <v>541</v>
      </c>
      <c r="AA452" s="521"/>
      <c r="AB452" s="521"/>
      <c r="AC452" s="521"/>
      <c r="AD452" s="521"/>
      <c r="AE452" s="521"/>
      <c r="AF452" s="521"/>
      <c r="AG452" s="264">
        <v>5</v>
      </c>
    </row>
    <row r="453" spans="1:33" s="526" customFormat="1" ht="29">
      <c r="A453" s="513">
        <v>451</v>
      </c>
      <c r="B453" s="514" t="s">
        <v>2885</v>
      </c>
      <c r="C453" s="515" t="s">
        <v>2885</v>
      </c>
      <c r="D453" s="262" t="s">
        <v>814</v>
      </c>
      <c r="E453" s="513">
        <v>452</v>
      </c>
      <c r="F453" s="544" t="s">
        <v>2885</v>
      </c>
      <c r="G453" s="543">
        <v>45413</v>
      </c>
      <c r="H453" s="543">
        <v>45413</v>
      </c>
      <c r="I453" s="543">
        <v>45413</v>
      </c>
      <c r="J453" s="543">
        <v>45413</v>
      </c>
      <c r="K453" s="517">
        <v>45415</v>
      </c>
      <c r="L453" s="518" t="s">
        <v>705</v>
      </c>
      <c r="M453" s="264" t="s">
        <v>2587</v>
      </c>
      <c r="N453" s="262" t="s">
        <v>2176</v>
      </c>
      <c r="O453" s="390" t="s">
        <v>2255</v>
      </c>
      <c r="P453" s="264" t="str">
        <f t="shared" si="19"/>
        <v>gunting kertas-ukuran : panjang 21cm x lebar 8cm, stainless steel</v>
      </c>
      <c r="Q453" s="264" t="s">
        <v>710</v>
      </c>
      <c r="R453" s="519" t="s">
        <v>123</v>
      </c>
      <c r="S453" s="399">
        <v>2</v>
      </c>
      <c r="T453" s="348" t="s">
        <v>3363</v>
      </c>
      <c r="U453" s="520">
        <v>20000</v>
      </c>
      <c r="V453" s="266">
        <v>40000</v>
      </c>
      <c r="W453" s="521" t="s">
        <v>227</v>
      </c>
      <c r="X453" s="521" t="s">
        <v>3383</v>
      </c>
      <c r="Y453" s="522" t="s">
        <v>2512</v>
      </c>
      <c r="Z453" s="523" t="s">
        <v>541</v>
      </c>
      <c r="AA453" s="521"/>
      <c r="AB453" s="521"/>
      <c r="AC453" s="521"/>
      <c r="AD453" s="521"/>
      <c r="AE453" s="521"/>
      <c r="AF453" s="521"/>
      <c r="AG453" s="264">
        <v>5</v>
      </c>
    </row>
    <row r="454" spans="1:33" s="526" customFormat="1" ht="29">
      <c r="A454" s="513">
        <v>452</v>
      </c>
      <c r="B454" s="514" t="s">
        <v>2885</v>
      </c>
      <c r="C454" s="515" t="s">
        <v>2885</v>
      </c>
      <c r="D454" s="262" t="s">
        <v>814</v>
      </c>
      <c r="E454" s="513">
        <v>453</v>
      </c>
      <c r="F454" s="544" t="s">
        <v>2885</v>
      </c>
      <c r="G454" s="543">
        <v>45413</v>
      </c>
      <c r="H454" s="543">
        <v>45413</v>
      </c>
      <c r="I454" s="543">
        <v>45413</v>
      </c>
      <c r="J454" s="543">
        <v>45413</v>
      </c>
      <c r="K454" s="517">
        <v>45415</v>
      </c>
      <c r="L454" s="518" t="s">
        <v>705</v>
      </c>
      <c r="M454" s="264" t="s">
        <v>2587</v>
      </c>
      <c r="N454" s="262" t="s">
        <v>2176</v>
      </c>
      <c r="O454" s="390" t="s">
        <v>2256</v>
      </c>
      <c r="P454" s="264" t="str">
        <f t="shared" si="19"/>
        <v>Ballpoint Standard AE7</v>
      </c>
      <c r="Q454" s="264" t="s">
        <v>710</v>
      </c>
      <c r="R454" s="519" t="s">
        <v>103</v>
      </c>
      <c r="S454" s="399">
        <v>2</v>
      </c>
      <c r="T454" s="348" t="s">
        <v>3364</v>
      </c>
      <c r="U454" s="520">
        <v>20000</v>
      </c>
      <c r="V454" s="266">
        <v>40000</v>
      </c>
      <c r="W454" s="521" t="s">
        <v>227</v>
      </c>
      <c r="X454" s="521" t="s">
        <v>3383</v>
      </c>
      <c r="Y454" s="522" t="s">
        <v>2512</v>
      </c>
      <c r="Z454" s="523" t="s">
        <v>541</v>
      </c>
      <c r="AA454" s="521"/>
      <c r="AB454" s="521"/>
      <c r="AC454" s="521"/>
      <c r="AD454" s="521"/>
      <c r="AE454" s="521"/>
      <c r="AF454" s="521"/>
      <c r="AG454" s="264">
        <v>5</v>
      </c>
    </row>
    <row r="455" spans="1:33" s="526" customFormat="1" ht="29">
      <c r="A455" s="513">
        <v>453</v>
      </c>
      <c r="B455" s="514" t="s">
        <v>2885</v>
      </c>
      <c r="C455" s="515" t="s">
        <v>2885</v>
      </c>
      <c r="D455" s="262" t="s">
        <v>814</v>
      </c>
      <c r="E455" s="513">
        <v>454</v>
      </c>
      <c r="F455" s="544" t="s">
        <v>2885</v>
      </c>
      <c r="G455" s="543">
        <v>45413</v>
      </c>
      <c r="H455" s="543">
        <v>45413</v>
      </c>
      <c r="I455" s="543">
        <v>45413</v>
      </c>
      <c r="J455" s="543">
        <v>45413</v>
      </c>
      <c r="K455" s="517">
        <v>45415</v>
      </c>
      <c r="L455" s="518" t="s">
        <v>705</v>
      </c>
      <c r="M455" s="264" t="s">
        <v>2587</v>
      </c>
      <c r="N455" s="262" t="s">
        <v>2176</v>
      </c>
      <c r="O455" s="390" t="s">
        <v>245</v>
      </c>
      <c r="P455" s="264" t="str">
        <f t="shared" si="19"/>
        <v>C. Tinta Printer EPSON Tinta Printer Epson Read</v>
      </c>
      <c r="Q455" s="264" t="s">
        <v>710</v>
      </c>
      <c r="R455" s="528" t="s">
        <v>118</v>
      </c>
      <c r="S455" s="399">
        <v>4</v>
      </c>
      <c r="T455" s="348" t="s">
        <v>3367</v>
      </c>
      <c r="U455" s="520">
        <v>110000</v>
      </c>
      <c r="V455" s="266">
        <v>440000</v>
      </c>
      <c r="W455" s="521" t="s">
        <v>227</v>
      </c>
      <c r="X455" s="521" t="s">
        <v>3383</v>
      </c>
      <c r="Y455" s="522" t="s">
        <v>2512</v>
      </c>
      <c r="Z455" s="523" t="s">
        <v>541</v>
      </c>
      <c r="AA455" s="521"/>
      <c r="AB455" s="521"/>
      <c r="AC455" s="521"/>
      <c r="AD455" s="521"/>
      <c r="AE455" s="521"/>
      <c r="AF455" s="521"/>
      <c r="AG455" s="264">
        <v>5</v>
      </c>
    </row>
    <row r="456" spans="1:33" s="526" customFormat="1" ht="29">
      <c r="A456" s="513">
        <v>454</v>
      </c>
      <c r="B456" s="514" t="s">
        <v>2885</v>
      </c>
      <c r="C456" s="515" t="s">
        <v>2885</v>
      </c>
      <c r="D456" s="262" t="s">
        <v>814</v>
      </c>
      <c r="E456" s="513">
        <v>455</v>
      </c>
      <c r="F456" s="544" t="s">
        <v>2885</v>
      </c>
      <c r="G456" s="543">
        <v>45413</v>
      </c>
      <c r="H456" s="543">
        <v>45413</v>
      </c>
      <c r="I456" s="543">
        <v>45413</v>
      </c>
      <c r="J456" s="543">
        <v>45413</v>
      </c>
      <c r="K456" s="517">
        <v>45415</v>
      </c>
      <c r="L456" s="518" t="s">
        <v>705</v>
      </c>
      <c r="M456" s="264" t="s">
        <v>2587</v>
      </c>
      <c r="N456" s="262" t="s">
        <v>2176</v>
      </c>
      <c r="O456" s="390" t="s">
        <v>263</v>
      </c>
      <c r="P456" s="264" t="str">
        <f t="shared" si="19"/>
        <v>Stofmap Kertas</v>
      </c>
      <c r="Q456" s="264" t="s">
        <v>710</v>
      </c>
      <c r="R456" s="519" t="s">
        <v>156</v>
      </c>
      <c r="S456" s="399">
        <v>1</v>
      </c>
      <c r="T456" s="348" t="s">
        <v>3370</v>
      </c>
      <c r="U456" s="520">
        <v>87500</v>
      </c>
      <c r="V456" s="266">
        <v>87500</v>
      </c>
      <c r="W456" s="521" t="s">
        <v>227</v>
      </c>
      <c r="X456" s="521" t="s">
        <v>3383</v>
      </c>
      <c r="Y456" s="522" t="s">
        <v>2512</v>
      </c>
      <c r="Z456" s="523" t="s">
        <v>541</v>
      </c>
      <c r="AA456" s="521"/>
      <c r="AB456" s="521"/>
      <c r="AC456" s="521"/>
      <c r="AD456" s="521"/>
      <c r="AE456" s="521"/>
      <c r="AF456" s="521"/>
      <c r="AG456" s="264">
        <v>5</v>
      </c>
    </row>
    <row r="457" spans="1:33" s="526" customFormat="1" ht="29">
      <c r="A457" s="513">
        <v>455</v>
      </c>
      <c r="B457" s="514" t="s">
        <v>2885</v>
      </c>
      <c r="C457" s="515" t="s">
        <v>2885</v>
      </c>
      <c r="D457" s="262" t="s">
        <v>814</v>
      </c>
      <c r="E457" s="513">
        <v>456</v>
      </c>
      <c r="F457" s="544" t="s">
        <v>2885</v>
      </c>
      <c r="G457" s="543">
        <v>45413</v>
      </c>
      <c r="H457" s="543">
        <v>45413</v>
      </c>
      <c r="I457" s="543">
        <v>45413</v>
      </c>
      <c r="J457" s="543">
        <v>45413</v>
      </c>
      <c r="K457" s="517">
        <v>45415</v>
      </c>
      <c r="L457" s="518" t="s">
        <v>705</v>
      </c>
      <c r="M457" s="264" t="s">
        <v>2587</v>
      </c>
      <c r="N457" s="262" t="s">
        <v>2176</v>
      </c>
      <c r="O457" s="390" t="s">
        <v>2257</v>
      </c>
      <c r="P457" s="264" t="str">
        <f t="shared" si="19"/>
        <v>lakban hitam-ukuran : lebar 2 inch, panjang 12m, bahan : kain</v>
      </c>
      <c r="Q457" s="264" t="s">
        <v>710</v>
      </c>
      <c r="R457" s="519" t="s">
        <v>137</v>
      </c>
      <c r="S457" s="399">
        <v>4</v>
      </c>
      <c r="T457" s="348" t="s">
        <v>3363</v>
      </c>
      <c r="U457" s="520">
        <v>12500</v>
      </c>
      <c r="V457" s="266">
        <v>50000</v>
      </c>
      <c r="W457" s="521" t="s">
        <v>227</v>
      </c>
      <c r="X457" s="521" t="s">
        <v>3383</v>
      </c>
      <c r="Y457" s="522" t="s">
        <v>2512</v>
      </c>
      <c r="Z457" s="523" t="s">
        <v>541</v>
      </c>
      <c r="AA457" s="521"/>
      <c r="AB457" s="521"/>
      <c r="AC457" s="521"/>
      <c r="AD457" s="521"/>
      <c r="AE457" s="521"/>
      <c r="AF457" s="521"/>
      <c r="AG457" s="264">
        <v>5</v>
      </c>
    </row>
    <row r="458" spans="1:33" s="526" customFormat="1" ht="29">
      <c r="A458" s="513">
        <v>456</v>
      </c>
      <c r="B458" s="514" t="s">
        <v>2885</v>
      </c>
      <c r="C458" s="515" t="s">
        <v>2885</v>
      </c>
      <c r="D458" s="262" t="s">
        <v>814</v>
      </c>
      <c r="E458" s="513">
        <v>457</v>
      </c>
      <c r="F458" s="544" t="s">
        <v>2885</v>
      </c>
      <c r="G458" s="543">
        <v>45413</v>
      </c>
      <c r="H458" s="543">
        <v>45413</v>
      </c>
      <c r="I458" s="543">
        <v>45413</v>
      </c>
      <c r="J458" s="543">
        <v>45413</v>
      </c>
      <c r="K458" s="517">
        <v>45415</v>
      </c>
      <c r="L458" s="518" t="s">
        <v>705</v>
      </c>
      <c r="M458" s="264" t="s">
        <v>2587</v>
      </c>
      <c r="N458" s="262" t="s">
        <v>2176</v>
      </c>
      <c r="O458" s="390" t="s">
        <v>2258</v>
      </c>
      <c r="P458" s="264" t="str">
        <f t="shared" si="19"/>
        <v>Lakban Besar</v>
      </c>
      <c r="Q458" s="264" t="s">
        <v>710</v>
      </c>
      <c r="R458" s="519" t="s">
        <v>2607</v>
      </c>
      <c r="S458" s="399">
        <v>5</v>
      </c>
      <c r="T458" s="348" t="s">
        <v>3363</v>
      </c>
      <c r="U458" s="520">
        <v>25000</v>
      </c>
      <c r="V458" s="266">
        <v>125000</v>
      </c>
      <c r="W458" s="521" t="s">
        <v>227</v>
      </c>
      <c r="X458" s="521" t="s">
        <v>3383</v>
      </c>
      <c r="Y458" s="522" t="s">
        <v>2512</v>
      </c>
      <c r="Z458" s="523" t="s">
        <v>541</v>
      </c>
      <c r="AA458" s="521"/>
      <c r="AB458" s="521"/>
      <c r="AC458" s="521"/>
      <c r="AD458" s="521"/>
      <c r="AE458" s="521"/>
      <c r="AF458" s="521"/>
      <c r="AG458" s="264">
        <v>5</v>
      </c>
    </row>
    <row r="459" spans="1:33" s="526" customFormat="1" ht="29">
      <c r="A459" s="513">
        <v>457</v>
      </c>
      <c r="B459" s="514" t="s">
        <v>2885</v>
      </c>
      <c r="C459" s="515" t="s">
        <v>2885</v>
      </c>
      <c r="D459" s="262" t="s">
        <v>814</v>
      </c>
      <c r="E459" s="513">
        <v>458</v>
      </c>
      <c r="F459" s="544" t="s">
        <v>2885</v>
      </c>
      <c r="G459" s="543">
        <v>45413</v>
      </c>
      <c r="H459" s="543">
        <v>45413</v>
      </c>
      <c r="I459" s="543">
        <v>45413</v>
      </c>
      <c r="J459" s="543">
        <v>45413</v>
      </c>
      <c r="K459" s="517">
        <v>45415</v>
      </c>
      <c r="L459" s="518" t="s">
        <v>705</v>
      </c>
      <c r="M459" s="264" t="s">
        <v>2587</v>
      </c>
      <c r="N459" s="262" t="s">
        <v>2176</v>
      </c>
      <c r="O459" s="390" t="s">
        <v>2260</v>
      </c>
      <c r="P459" s="264" t="str">
        <f t="shared" si="19"/>
        <v>Tinta Printer Canon 740 Hitam-740 Hitam</v>
      </c>
      <c r="Q459" s="264" t="s">
        <v>710</v>
      </c>
      <c r="R459" s="519" t="s">
        <v>159</v>
      </c>
      <c r="S459" s="399">
        <v>8</v>
      </c>
      <c r="T459" s="348" t="s">
        <v>3367</v>
      </c>
      <c r="U459" s="520">
        <v>30000</v>
      </c>
      <c r="V459" s="266">
        <v>240000</v>
      </c>
      <c r="W459" s="521" t="s">
        <v>227</v>
      </c>
      <c r="X459" s="521" t="s">
        <v>3383</v>
      </c>
      <c r="Y459" s="522" t="s">
        <v>2512</v>
      </c>
      <c r="Z459" s="523" t="s">
        <v>541</v>
      </c>
      <c r="AA459" s="521"/>
      <c r="AB459" s="521"/>
      <c r="AC459" s="521"/>
      <c r="AD459" s="521"/>
      <c r="AE459" s="521"/>
      <c r="AF459" s="521"/>
      <c r="AG459" s="264">
        <v>5</v>
      </c>
    </row>
    <row r="460" spans="1:33" s="526" customFormat="1" ht="29">
      <c r="A460" s="513">
        <v>458</v>
      </c>
      <c r="B460" s="514" t="s">
        <v>2885</v>
      </c>
      <c r="C460" s="515" t="s">
        <v>2885</v>
      </c>
      <c r="D460" s="262" t="s">
        <v>814</v>
      </c>
      <c r="E460" s="513">
        <v>459</v>
      </c>
      <c r="F460" s="544" t="s">
        <v>2885</v>
      </c>
      <c r="G460" s="543">
        <v>45413</v>
      </c>
      <c r="H460" s="543">
        <v>45413</v>
      </c>
      <c r="I460" s="543">
        <v>45413</v>
      </c>
      <c r="J460" s="543">
        <v>45413</v>
      </c>
      <c r="K460" s="517">
        <v>45415</v>
      </c>
      <c r="L460" s="518" t="s">
        <v>705</v>
      </c>
      <c r="M460" s="264" t="s">
        <v>2587</v>
      </c>
      <c r="N460" s="262" t="s">
        <v>2176</v>
      </c>
      <c r="O460" s="390" t="s">
        <v>2261</v>
      </c>
      <c r="P460" s="264" t="str">
        <f t="shared" si="19"/>
        <v>Kertas HVS 60 gram Merk : Paper One HVS F4 uk. 8.27"x11.69"</v>
      </c>
      <c r="Q460" s="264" t="s">
        <v>710</v>
      </c>
      <c r="R460" s="519" t="s">
        <v>127</v>
      </c>
      <c r="S460" s="399">
        <v>10</v>
      </c>
      <c r="T460" s="348" t="s">
        <v>3369</v>
      </c>
      <c r="U460" s="520">
        <v>48500</v>
      </c>
      <c r="V460" s="266">
        <v>485000</v>
      </c>
      <c r="W460" s="521" t="s">
        <v>227</v>
      </c>
      <c r="X460" s="521" t="s">
        <v>3383</v>
      </c>
      <c r="Y460" s="522" t="s">
        <v>2512</v>
      </c>
      <c r="Z460" s="523" t="s">
        <v>541</v>
      </c>
      <c r="AA460" s="521"/>
      <c r="AB460" s="521"/>
      <c r="AC460" s="521"/>
      <c r="AD460" s="521"/>
      <c r="AE460" s="521"/>
      <c r="AF460" s="521"/>
      <c r="AG460" s="264">
        <v>5</v>
      </c>
    </row>
    <row r="461" spans="1:33" s="526" customFormat="1" ht="29">
      <c r="A461" s="513">
        <v>459</v>
      </c>
      <c r="B461" s="514" t="s">
        <v>2885</v>
      </c>
      <c r="C461" s="515" t="s">
        <v>2885</v>
      </c>
      <c r="D461" s="262" t="s">
        <v>814</v>
      </c>
      <c r="E461" s="513">
        <v>460</v>
      </c>
      <c r="F461" s="544" t="s">
        <v>2885</v>
      </c>
      <c r="G461" s="543">
        <v>45413</v>
      </c>
      <c r="H461" s="543">
        <v>45413</v>
      </c>
      <c r="I461" s="543">
        <v>45413</v>
      </c>
      <c r="J461" s="543">
        <v>45413</v>
      </c>
      <c r="K461" s="517">
        <v>45415</v>
      </c>
      <c r="L461" s="518" t="s">
        <v>705</v>
      </c>
      <c r="M461" s="264" t="s">
        <v>2587</v>
      </c>
      <c r="N461" s="262" t="s">
        <v>2176</v>
      </c>
      <c r="O461" s="390" t="s">
        <v>242</v>
      </c>
      <c r="P461" s="264" t="str">
        <f t="shared" si="19"/>
        <v>Binder Klip Ordner</v>
      </c>
      <c r="Q461" s="264" t="s">
        <v>710</v>
      </c>
      <c r="R461" s="519" t="s">
        <v>113</v>
      </c>
      <c r="S461" s="399">
        <v>6</v>
      </c>
      <c r="T461" s="348" t="s">
        <v>3363</v>
      </c>
      <c r="U461" s="520">
        <v>49500</v>
      </c>
      <c r="V461" s="266">
        <v>297000</v>
      </c>
      <c r="W461" s="521" t="s">
        <v>227</v>
      </c>
      <c r="X461" s="521" t="s">
        <v>3383</v>
      </c>
      <c r="Y461" s="522" t="s">
        <v>2512</v>
      </c>
      <c r="Z461" s="523" t="s">
        <v>541</v>
      </c>
      <c r="AA461" s="521"/>
      <c r="AB461" s="521"/>
      <c r="AC461" s="521"/>
      <c r="AD461" s="521"/>
      <c r="AE461" s="521"/>
      <c r="AF461" s="521"/>
      <c r="AG461" s="264">
        <v>5</v>
      </c>
    </row>
    <row r="462" spans="1:33" s="526" customFormat="1" ht="29">
      <c r="A462" s="513">
        <v>460</v>
      </c>
      <c r="B462" s="514" t="s">
        <v>2886</v>
      </c>
      <c r="C462" s="515" t="s">
        <v>2886</v>
      </c>
      <c r="D462" s="262" t="s">
        <v>815</v>
      </c>
      <c r="E462" s="513">
        <v>461</v>
      </c>
      <c r="F462" s="544" t="s">
        <v>2886</v>
      </c>
      <c r="G462" s="543">
        <v>45413</v>
      </c>
      <c r="H462" s="543">
        <v>45413</v>
      </c>
      <c r="I462" s="543">
        <v>45413</v>
      </c>
      <c r="J462" s="543">
        <v>45413</v>
      </c>
      <c r="K462" s="517">
        <v>45415</v>
      </c>
      <c r="L462" s="518" t="s">
        <v>533</v>
      </c>
      <c r="M462" s="264" t="s">
        <v>2587</v>
      </c>
      <c r="N462" s="262" t="s">
        <v>2177</v>
      </c>
      <c r="O462" s="390" t="s">
        <v>270</v>
      </c>
      <c r="P462" s="264" t="str">
        <f t="shared" si="19"/>
        <v>Handsoap/Pencuci Tangan</v>
      </c>
      <c r="Q462" s="264" t="s">
        <v>2609</v>
      </c>
      <c r="R462" s="519" t="s">
        <v>548</v>
      </c>
      <c r="S462" s="399">
        <v>5</v>
      </c>
      <c r="T462" s="348" t="s">
        <v>3367</v>
      </c>
      <c r="U462" s="520">
        <v>67000</v>
      </c>
      <c r="V462" s="266">
        <v>335000</v>
      </c>
      <c r="W462" s="521" t="s">
        <v>227</v>
      </c>
      <c r="X462" s="521" t="s">
        <v>3383</v>
      </c>
      <c r="Y462" s="522" t="s">
        <v>2512</v>
      </c>
      <c r="Z462" s="523" t="s">
        <v>541</v>
      </c>
      <c r="AA462" s="521"/>
      <c r="AB462" s="521"/>
      <c r="AC462" s="521"/>
      <c r="AD462" s="521"/>
      <c r="AE462" s="521"/>
      <c r="AF462" s="521"/>
      <c r="AG462" s="264">
        <v>5</v>
      </c>
    </row>
    <row r="463" spans="1:33" s="526" customFormat="1" ht="29">
      <c r="A463" s="513">
        <v>461</v>
      </c>
      <c r="B463" s="514" t="s">
        <v>2886</v>
      </c>
      <c r="C463" s="515" t="s">
        <v>2886</v>
      </c>
      <c r="D463" s="262" t="s">
        <v>815</v>
      </c>
      <c r="E463" s="513">
        <v>462</v>
      </c>
      <c r="F463" s="544" t="s">
        <v>2886</v>
      </c>
      <c r="G463" s="543">
        <v>45413</v>
      </c>
      <c r="H463" s="543">
        <v>45413</v>
      </c>
      <c r="I463" s="543">
        <v>45413</v>
      </c>
      <c r="J463" s="543">
        <v>45413</v>
      </c>
      <c r="K463" s="517">
        <v>45415</v>
      </c>
      <c r="L463" s="518" t="s">
        <v>533</v>
      </c>
      <c r="M463" s="264" t="s">
        <v>2587</v>
      </c>
      <c r="N463" s="262" t="s">
        <v>2177</v>
      </c>
      <c r="O463" s="390" t="s">
        <v>2266</v>
      </c>
      <c r="P463" s="264" t="str">
        <f t="shared" si="19"/>
        <v>Perlengkapan Kebersihan Pembersih Lantai Super Pel Varian 800ml</v>
      </c>
      <c r="Q463" s="264" t="s">
        <v>2609</v>
      </c>
      <c r="R463" s="525" t="s">
        <v>2613</v>
      </c>
      <c r="S463" s="399">
        <v>15</v>
      </c>
      <c r="T463" s="348" t="s">
        <v>3363</v>
      </c>
      <c r="U463" s="520">
        <v>13700</v>
      </c>
      <c r="V463" s="266">
        <v>205500</v>
      </c>
      <c r="W463" s="521" t="s">
        <v>227</v>
      </c>
      <c r="X463" s="521" t="s">
        <v>3383</v>
      </c>
      <c r="Y463" s="522" t="s">
        <v>2512</v>
      </c>
      <c r="Z463" s="523" t="s">
        <v>541</v>
      </c>
      <c r="AA463" s="521"/>
      <c r="AB463" s="521"/>
      <c r="AC463" s="521"/>
      <c r="AD463" s="521"/>
      <c r="AE463" s="521"/>
      <c r="AF463" s="521"/>
      <c r="AG463" s="264">
        <v>5</v>
      </c>
    </row>
    <row r="464" spans="1:33" s="526" customFormat="1" ht="29">
      <c r="A464" s="513">
        <v>462</v>
      </c>
      <c r="B464" s="514" t="s">
        <v>2886</v>
      </c>
      <c r="C464" s="515" t="s">
        <v>2886</v>
      </c>
      <c r="D464" s="262" t="s">
        <v>815</v>
      </c>
      <c r="E464" s="513">
        <v>463</v>
      </c>
      <c r="F464" s="544" t="s">
        <v>2886</v>
      </c>
      <c r="G464" s="543">
        <v>45413</v>
      </c>
      <c r="H464" s="543">
        <v>45413</v>
      </c>
      <c r="I464" s="543">
        <v>45413</v>
      </c>
      <c r="J464" s="543">
        <v>45413</v>
      </c>
      <c r="K464" s="517">
        <v>45415</v>
      </c>
      <c r="L464" s="518" t="s">
        <v>533</v>
      </c>
      <c r="M464" s="264" t="s">
        <v>2587</v>
      </c>
      <c r="N464" s="262" t="s">
        <v>2177</v>
      </c>
      <c r="O464" s="390" t="s">
        <v>271</v>
      </c>
      <c r="P464" s="264" t="str">
        <f t="shared" si="19"/>
        <v>Pengharum Ruangan</v>
      </c>
      <c r="Q464" s="264" t="s">
        <v>2609</v>
      </c>
      <c r="R464" s="519" t="s">
        <v>2615</v>
      </c>
      <c r="S464" s="399">
        <v>10</v>
      </c>
      <c r="T464" s="348" t="s">
        <v>3363</v>
      </c>
      <c r="U464" s="520">
        <v>12100</v>
      </c>
      <c r="V464" s="266">
        <v>121000</v>
      </c>
      <c r="W464" s="521" t="s">
        <v>227</v>
      </c>
      <c r="X464" s="521" t="s">
        <v>3383</v>
      </c>
      <c r="Y464" s="522" t="s">
        <v>2512</v>
      </c>
      <c r="Z464" s="523" t="s">
        <v>541</v>
      </c>
      <c r="AA464" s="521"/>
      <c r="AB464" s="521"/>
      <c r="AC464" s="521"/>
      <c r="AD464" s="521"/>
      <c r="AE464" s="521"/>
      <c r="AF464" s="521"/>
      <c r="AG464" s="264">
        <v>5</v>
      </c>
    </row>
    <row r="465" spans="1:33" s="526" customFormat="1" ht="29">
      <c r="A465" s="513">
        <v>463</v>
      </c>
      <c r="B465" s="514" t="s">
        <v>2886</v>
      </c>
      <c r="C465" s="515" t="s">
        <v>2886</v>
      </c>
      <c r="D465" s="262" t="s">
        <v>815</v>
      </c>
      <c r="E465" s="513">
        <v>464</v>
      </c>
      <c r="F465" s="544" t="s">
        <v>2886</v>
      </c>
      <c r="G465" s="543">
        <v>45413</v>
      </c>
      <c r="H465" s="543">
        <v>45413</v>
      </c>
      <c r="I465" s="543">
        <v>45413</v>
      </c>
      <c r="J465" s="543">
        <v>45413</v>
      </c>
      <c r="K465" s="517">
        <v>45415</v>
      </c>
      <c r="L465" s="518" t="s">
        <v>533</v>
      </c>
      <c r="M465" s="264" t="s">
        <v>2587</v>
      </c>
      <c r="N465" s="262" t="s">
        <v>2177</v>
      </c>
      <c r="O465" s="390" t="s">
        <v>2268</v>
      </c>
      <c r="P465" s="264" t="str">
        <f t="shared" si="19"/>
        <v>Perlengkapan Kebersihan Pembersih Pakaian Sunlight Refil 800ml</v>
      </c>
      <c r="Q465" s="264" t="s">
        <v>2609</v>
      </c>
      <c r="R465" s="525" t="s">
        <v>2616</v>
      </c>
      <c r="S465" s="399">
        <v>3</v>
      </c>
      <c r="T465" s="348" t="s">
        <v>3363</v>
      </c>
      <c r="U465" s="520">
        <v>15000</v>
      </c>
      <c r="V465" s="266">
        <v>45000</v>
      </c>
      <c r="W465" s="521" t="s">
        <v>227</v>
      </c>
      <c r="X465" s="521" t="s">
        <v>3383</v>
      </c>
      <c r="Y465" s="522" t="s">
        <v>2512</v>
      </c>
      <c r="Z465" s="523" t="s">
        <v>541</v>
      </c>
      <c r="AA465" s="521"/>
      <c r="AB465" s="521"/>
      <c r="AC465" s="521"/>
      <c r="AD465" s="521"/>
      <c r="AE465" s="521"/>
      <c r="AF465" s="521"/>
      <c r="AG465" s="264">
        <v>5</v>
      </c>
    </row>
    <row r="466" spans="1:33" s="526" customFormat="1" ht="29">
      <c r="A466" s="513">
        <v>464</v>
      </c>
      <c r="B466" s="514" t="s">
        <v>2886</v>
      </c>
      <c r="C466" s="515" t="s">
        <v>2886</v>
      </c>
      <c r="D466" s="262" t="s">
        <v>815</v>
      </c>
      <c r="E466" s="513">
        <v>465</v>
      </c>
      <c r="F466" s="544" t="s">
        <v>2886</v>
      </c>
      <c r="G466" s="543">
        <v>45413</v>
      </c>
      <c r="H466" s="543">
        <v>45413</v>
      </c>
      <c r="I466" s="543">
        <v>45413</v>
      </c>
      <c r="J466" s="543">
        <v>45413</v>
      </c>
      <c r="K466" s="517">
        <v>45415</v>
      </c>
      <c r="L466" s="518" t="s">
        <v>533</v>
      </c>
      <c r="M466" s="264" t="s">
        <v>2587</v>
      </c>
      <c r="N466" s="262" t="s">
        <v>2177</v>
      </c>
      <c r="O466" s="390" t="s">
        <v>276</v>
      </c>
      <c r="P466" s="264" t="str">
        <f t="shared" si="19"/>
        <v>vixal 500ml</v>
      </c>
      <c r="Q466" s="264" t="s">
        <v>2609</v>
      </c>
      <c r="R466" s="519" t="s">
        <v>2566</v>
      </c>
      <c r="S466" s="399">
        <v>10</v>
      </c>
      <c r="T466" s="348" t="s">
        <v>3367</v>
      </c>
      <c r="U466" s="520">
        <v>30000</v>
      </c>
      <c r="V466" s="266">
        <v>300000</v>
      </c>
      <c r="W466" s="521" t="s">
        <v>227</v>
      </c>
      <c r="X466" s="521" t="s">
        <v>3383</v>
      </c>
      <c r="Y466" s="522" t="s">
        <v>2512</v>
      </c>
      <c r="Z466" s="523" t="s">
        <v>541</v>
      </c>
      <c r="AA466" s="521"/>
      <c r="AB466" s="521"/>
      <c r="AC466" s="521"/>
      <c r="AD466" s="521"/>
      <c r="AE466" s="521"/>
      <c r="AF466" s="521"/>
      <c r="AG466" s="264">
        <v>5</v>
      </c>
    </row>
    <row r="467" spans="1:33" s="526" customFormat="1" ht="43.5">
      <c r="A467" s="513">
        <v>465</v>
      </c>
      <c r="B467" s="514" t="s">
        <v>2886</v>
      </c>
      <c r="C467" s="515" t="s">
        <v>2886</v>
      </c>
      <c r="D467" s="262" t="s">
        <v>815</v>
      </c>
      <c r="E467" s="513">
        <v>466</v>
      </c>
      <c r="F467" s="544" t="s">
        <v>2886</v>
      </c>
      <c r="G467" s="543">
        <v>45413</v>
      </c>
      <c r="H467" s="543">
        <v>45413</v>
      </c>
      <c r="I467" s="543">
        <v>45413</v>
      </c>
      <c r="J467" s="543">
        <v>45413</v>
      </c>
      <c r="K467" s="517">
        <v>45415</v>
      </c>
      <c r="L467" s="518" t="s">
        <v>533</v>
      </c>
      <c r="M467" s="264" t="s">
        <v>2587</v>
      </c>
      <c r="N467" s="262" t="s">
        <v>2177</v>
      </c>
      <c r="O467" s="390" t="s">
        <v>274</v>
      </c>
      <c r="P467" s="264" t="str">
        <f t="shared" si="19"/>
        <v>Spon Cuci</v>
      </c>
      <c r="Q467" s="264" t="s">
        <v>2609</v>
      </c>
      <c r="R467" s="519" t="s">
        <v>2617</v>
      </c>
      <c r="S467" s="399">
        <v>5</v>
      </c>
      <c r="T467" s="348" t="s">
        <v>3363</v>
      </c>
      <c r="U467" s="520">
        <v>12000</v>
      </c>
      <c r="V467" s="266">
        <v>60000</v>
      </c>
      <c r="W467" s="521" t="s">
        <v>227</v>
      </c>
      <c r="X467" s="521" t="s">
        <v>3383</v>
      </c>
      <c r="Y467" s="522" t="s">
        <v>2512</v>
      </c>
      <c r="Z467" s="523" t="s">
        <v>541</v>
      </c>
      <c r="AA467" s="521"/>
      <c r="AB467" s="521"/>
      <c r="AC467" s="521"/>
      <c r="AD467" s="521"/>
      <c r="AE467" s="521"/>
      <c r="AF467" s="521"/>
      <c r="AG467" s="264">
        <v>5</v>
      </c>
    </row>
    <row r="468" spans="1:33" s="526" customFormat="1" ht="29">
      <c r="A468" s="513">
        <v>466</v>
      </c>
      <c r="B468" s="514" t="s">
        <v>2886</v>
      </c>
      <c r="C468" s="515" t="s">
        <v>2886</v>
      </c>
      <c r="D468" s="262" t="s">
        <v>815</v>
      </c>
      <c r="E468" s="513">
        <v>467</v>
      </c>
      <c r="F468" s="544" t="s">
        <v>2886</v>
      </c>
      <c r="G468" s="543">
        <v>45413</v>
      </c>
      <c r="H468" s="543">
        <v>45413</v>
      </c>
      <c r="I468" s="543">
        <v>45413</v>
      </c>
      <c r="J468" s="543">
        <v>45413</v>
      </c>
      <c r="K468" s="517">
        <v>45415</v>
      </c>
      <c r="L468" s="518" t="s">
        <v>533</v>
      </c>
      <c r="M468" s="264" t="s">
        <v>2587</v>
      </c>
      <c r="N468" s="262" t="s">
        <v>2177</v>
      </c>
      <c r="O468" s="390" t="s">
        <v>2269</v>
      </c>
      <c r="P468" s="264" t="str">
        <f t="shared" si="19"/>
        <v>Tisu--</v>
      </c>
      <c r="Q468" s="264" t="s">
        <v>2609</v>
      </c>
      <c r="R468" s="519" t="s">
        <v>537</v>
      </c>
      <c r="S468" s="399">
        <v>12</v>
      </c>
      <c r="T468" s="348" t="s">
        <v>3363</v>
      </c>
      <c r="U468" s="520">
        <v>12500</v>
      </c>
      <c r="V468" s="266">
        <v>150000</v>
      </c>
      <c r="W468" s="521" t="s">
        <v>227</v>
      </c>
      <c r="X468" s="521" t="s">
        <v>3383</v>
      </c>
      <c r="Y468" s="522" t="s">
        <v>2512</v>
      </c>
      <c r="Z468" s="523" t="s">
        <v>541</v>
      </c>
      <c r="AA468" s="521"/>
      <c r="AB468" s="521"/>
      <c r="AC468" s="521"/>
      <c r="AD468" s="521"/>
      <c r="AE468" s="521"/>
      <c r="AF468" s="521"/>
      <c r="AG468" s="264">
        <v>5</v>
      </c>
    </row>
    <row r="469" spans="1:33" s="526" customFormat="1" ht="29">
      <c r="A469" s="513">
        <v>467</v>
      </c>
      <c r="B469" s="514" t="s">
        <v>2886</v>
      </c>
      <c r="C469" s="515" t="s">
        <v>2886</v>
      </c>
      <c r="D469" s="262" t="s">
        <v>815</v>
      </c>
      <c r="E469" s="513">
        <v>468</v>
      </c>
      <c r="F469" s="544" t="s">
        <v>2886</v>
      </c>
      <c r="G469" s="543">
        <v>45413</v>
      </c>
      <c r="H469" s="543">
        <v>45413</v>
      </c>
      <c r="I469" s="543">
        <v>45413</v>
      </c>
      <c r="J469" s="543">
        <v>45413</v>
      </c>
      <c r="K469" s="517">
        <v>45415</v>
      </c>
      <c r="L469" s="518" t="s">
        <v>533</v>
      </c>
      <c r="M469" s="264" t="s">
        <v>2587</v>
      </c>
      <c r="N469" s="262" t="s">
        <v>2177</v>
      </c>
      <c r="O469" s="390" t="s">
        <v>2270</v>
      </c>
      <c r="P469" s="264" t="str">
        <f t="shared" si="19"/>
        <v>Cairan Pembersih Kaca</v>
      </c>
      <c r="Q469" s="264" t="s">
        <v>2609</v>
      </c>
      <c r="R469" s="525" t="s">
        <v>2618</v>
      </c>
      <c r="S469" s="399">
        <v>5</v>
      </c>
      <c r="T469" s="348" t="s">
        <v>3363</v>
      </c>
      <c r="U469" s="520">
        <v>12000</v>
      </c>
      <c r="V469" s="266">
        <v>60000</v>
      </c>
      <c r="W469" s="521" t="s">
        <v>227</v>
      </c>
      <c r="X469" s="521" t="s">
        <v>3383</v>
      </c>
      <c r="Y469" s="522" t="s">
        <v>2512</v>
      </c>
      <c r="Z469" s="523" t="s">
        <v>541</v>
      </c>
      <c r="AA469" s="521"/>
      <c r="AB469" s="521"/>
      <c r="AC469" s="521"/>
      <c r="AD469" s="521"/>
      <c r="AE469" s="521"/>
      <c r="AF469" s="521"/>
      <c r="AG469" s="264">
        <v>5</v>
      </c>
    </row>
    <row r="470" spans="1:33" s="526" customFormat="1" ht="29">
      <c r="A470" s="513">
        <v>468</v>
      </c>
      <c r="B470" s="514" t="s">
        <v>2886</v>
      </c>
      <c r="C470" s="515" t="s">
        <v>2886</v>
      </c>
      <c r="D470" s="262" t="s">
        <v>815</v>
      </c>
      <c r="E470" s="513">
        <v>469</v>
      </c>
      <c r="F470" s="544" t="s">
        <v>2886</v>
      </c>
      <c r="G470" s="543">
        <v>45413</v>
      </c>
      <c r="H470" s="543">
        <v>45413</v>
      </c>
      <c r="I470" s="543">
        <v>45413</v>
      </c>
      <c r="J470" s="543">
        <v>45413</v>
      </c>
      <c r="K470" s="517">
        <v>45415</v>
      </c>
      <c r="L470" s="518" t="s">
        <v>533</v>
      </c>
      <c r="M470" s="264" t="s">
        <v>2587</v>
      </c>
      <c r="N470" s="262" t="s">
        <v>2177</v>
      </c>
      <c r="O470" s="390" t="s">
        <v>2272</v>
      </c>
      <c r="P470" s="264" t="str">
        <f t="shared" si="19"/>
        <v>Hand Sanitizer-Unit</v>
      </c>
      <c r="Q470" s="264" t="s">
        <v>2609</v>
      </c>
      <c r="R470" s="524" t="s">
        <v>2621</v>
      </c>
      <c r="S470" s="399">
        <v>5</v>
      </c>
      <c r="T470" s="348" t="s">
        <v>3371</v>
      </c>
      <c r="U470" s="520">
        <v>70000</v>
      </c>
      <c r="V470" s="266">
        <v>350000</v>
      </c>
      <c r="W470" s="521" t="s">
        <v>227</v>
      </c>
      <c r="X470" s="521" t="s">
        <v>3383</v>
      </c>
      <c r="Y470" s="522" t="s">
        <v>2512</v>
      </c>
      <c r="Z470" s="523" t="s">
        <v>541</v>
      </c>
      <c r="AA470" s="521"/>
      <c r="AB470" s="521"/>
      <c r="AC470" s="521"/>
      <c r="AD470" s="521"/>
      <c r="AE470" s="521"/>
      <c r="AF470" s="521"/>
      <c r="AG470" s="264">
        <v>5</v>
      </c>
    </row>
    <row r="471" spans="1:33" s="526" customFormat="1" ht="37.5">
      <c r="A471" s="513">
        <v>469</v>
      </c>
      <c r="B471" s="514" t="s">
        <v>2887</v>
      </c>
      <c r="C471" s="515" t="s">
        <v>2887</v>
      </c>
      <c r="D471" s="262" t="s">
        <v>816</v>
      </c>
      <c r="E471" s="513">
        <v>470</v>
      </c>
      <c r="F471" s="544" t="s">
        <v>2887</v>
      </c>
      <c r="G471" s="543">
        <v>45414</v>
      </c>
      <c r="H471" s="543">
        <v>45415</v>
      </c>
      <c r="I471" s="543">
        <v>45415</v>
      </c>
      <c r="J471" s="543">
        <v>45415</v>
      </c>
      <c r="K471" s="517">
        <v>45415</v>
      </c>
      <c r="L471" s="518" t="s">
        <v>464</v>
      </c>
      <c r="M471" s="264" t="s">
        <v>2888</v>
      </c>
      <c r="N471" s="262" t="s">
        <v>2205</v>
      </c>
      <c r="O471" s="390" t="s">
        <v>2296</v>
      </c>
      <c r="P471" s="264" t="s">
        <v>2633</v>
      </c>
      <c r="Q471" s="264" t="s">
        <v>280</v>
      </c>
      <c r="R471" s="528" t="s">
        <v>165</v>
      </c>
      <c r="S471" s="399">
        <v>80</v>
      </c>
      <c r="T471" s="348" t="s">
        <v>3362</v>
      </c>
      <c r="U471" s="520">
        <v>15000</v>
      </c>
      <c r="V471" s="266">
        <v>900000</v>
      </c>
      <c r="W471" s="521" t="s">
        <v>10</v>
      </c>
      <c r="X471" s="521" t="s">
        <v>11</v>
      </c>
      <c r="Y471" s="522" t="s">
        <v>2092</v>
      </c>
      <c r="Z471" s="523" t="s">
        <v>2634</v>
      </c>
      <c r="AA471" s="521"/>
      <c r="AB471" s="521"/>
      <c r="AC471" s="521"/>
      <c r="AD471" s="521"/>
      <c r="AE471" s="521"/>
      <c r="AF471" s="521"/>
      <c r="AG471" s="264">
        <v>5</v>
      </c>
    </row>
    <row r="472" spans="1:33" s="526" customFormat="1" ht="37.5">
      <c r="A472" s="513">
        <v>470</v>
      </c>
      <c r="B472" s="514" t="s">
        <v>2889</v>
      </c>
      <c r="C472" s="515" t="s">
        <v>2889</v>
      </c>
      <c r="D472" s="262" t="s">
        <v>817</v>
      </c>
      <c r="E472" s="513">
        <v>471</v>
      </c>
      <c r="F472" s="544" t="s">
        <v>2889</v>
      </c>
      <c r="G472" s="543">
        <v>45414</v>
      </c>
      <c r="H472" s="543">
        <v>45415</v>
      </c>
      <c r="I472" s="543">
        <v>45415</v>
      </c>
      <c r="J472" s="543">
        <v>45415</v>
      </c>
      <c r="K472" s="517">
        <v>45415</v>
      </c>
      <c r="L472" s="518" t="s">
        <v>464</v>
      </c>
      <c r="M472" s="264" t="s">
        <v>2888</v>
      </c>
      <c r="N472" s="262" t="s">
        <v>2205</v>
      </c>
      <c r="O472" s="390" t="s">
        <v>2295</v>
      </c>
      <c r="P472" s="264" t="s">
        <v>467</v>
      </c>
      <c r="Q472" s="264" t="s">
        <v>8</v>
      </c>
      <c r="R472" s="519" t="s">
        <v>2635</v>
      </c>
      <c r="S472" s="399">
        <v>80</v>
      </c>
      <c r="T472" s="348" t="s">
        <v>3362</v>
      </c>
      <c r="U472" s="520">
        <v>40000</v>
      </c>
      <c r="V472" s="266">
        <v>2400000</v>
      </c>
      <c r="W472" s="521" t="s">
        <v>2507</v>
      </c>
      <c r="X472" s="521" t="s">
        <v>2508</v>
      </c>
      <c r="Y472" s="522" t="s">
        <v>2516</v>
      </c>
      <c r="Z472" s="523" t="s">
        <v>2636</v>
      </c>
      <c r="AA472" s="521"/>
      <c r="AB472" s="521"/>
      <c r="AC472" s="521"/>
      <c r="AD472" s="521"/>
      <c r="AE472" s="521"/>
      <c r="AF472" s="521"/>
      <c r="AG472" s="264">
        <v>5</v>
      </c>
    </row>
    <row r="473" spans="1:33" s="526" customFormat="1" ht="29">
      <c r="A473" s="513">
        <v>471</v>
      </c>
      <c r="B473" s="514" t="s">
        <v>2890</v>
      </c>
      <c r="C473" s="515" t="s">
        <v>2890</v>
      </c>
      <c r="D473" s="262" t="s">
        <v>820</v>
      </c>
      <c r="E473" s="513">
        <v>472</v>
      </c>
      <c r="F473" s="544" t="s">
        <v>2890</v>
      </c>
      <c r="G473" s="543">
        <v>45415</v>
      </c>
      <c r="H473" s="543">
        <v>45416</v>
      </c>
      <c r="I473" s="543">
        <v>45416</v>
      </c>
      <c r="J473" s="543">
        <v>45416</v>
      </c>
      <c r="K473" s="517">
        <v>45416</v>
      </c>
      <c r="L473" s="518" t="s">
        <v>2180</v>
      </c>
      <c r="M473" s="264" t="s">
        <v>2643</v>
      </c>
      <c r="N473" s="262" t="s">
        <v>2183</v>
      </c>
      <c r="O473" s="390" t="s">
        <v>2285</v>
      </c>
      <c r="P473" s="264" t="s">
        <v>2442</v>
      </c>
      <c r="Q473" s="264" t="s">
        <v>1545</v>
      </c>
      <c r="R473" s="519" t="s">
        <v>163</v>
      </c>
      <c r="S473" s="399">
        <v>25</v>
      </c>
      <c r="T473" s="348" t="s">
        <v>3372</v>
      </c>
      <c r="U473" s="520">
        <v>50000</v>
      </c>
      <c r="V473" s="266">
        <v>1250000</v>
      </c>
      <c r="W473" s="521" t="s">
        <v>10</v>
      </c>
      <c r="X473" s="521" t="s">
        <v>11</v>
      </c>
      <c r="Y473" s="522" t="s">
        <v>2092</v>
      </c>
      <c r="Z473" s="523" t="s">
        <v>2634</v>
      </c>
      <c r="AA473" s="521"/>
      <c r="AB473" s="521"/>
      <c r="AC473" s="521"/>
      <c r="AD473" s="521"/>
      <c r="AE473" s="521"/>
      <c r="AF473" s="521"/>
      <c r="AG473" s="264">
        <v>5</v>
      </c>
    </row>
    <row r="474" spans="1:33" s="526" customFormat="1" ht="29">
      <c r="A474" s="513">
        <v>472</v>
      </c>
      <c r="B474" s="514" t="s">
        <v>2891</v>
      </c>
      <c r="C474" s="515" t="s">
        <v>2891</v>
      </c>
      <c r="D474" s="262" t="s">
        <v>823</v>
      </c>
      <c r="E474" s="513">
        <v>473</v>
      </c>
      <c r="F474" s="544" t="s">
        <v>2891</v>
      </c>
      <c r="G474" s="543">
        <v>45417</v>
      </c>
      <c r="H474" s="543">
        <v>45418</v>
      </c>
      <c r="I474" s="543">
        <v>45418</v>
      </c>
      <c r="J474" s="543">
        <v>45418</v>
      </c>
      <c r="K474" s="517">
        <v>45418</v>
      </c>
      <c r="L474" s="518" t="s">
        <v>2180</v>
      </c>
      <c r="M474" s="264" t="s">
        <v>2649</v>
      </c>
      <c r="N474" s="262" t="s">
        <v>2199</v>
      </c>
      <c r="O474" s="390" t="s">
        <v>2323</v>
      </c>
      <c r="P474" s="264" t="s">
        <v>2633</v>
      </c>
      <c r="Q474" s="264" t="s">
        <v>280</v>
      </c>
      <c r="R474" s="528" t="s">
        <v>165</v>
      </c>
      <c r="S474" s="399">
        <v>200</v>
      </c>
      <c r="T474" s="348" t="s">
        <v>3362</v>
      </c>
      <c r="U474" s="520">
        <v>15000</v>
      </c>
      <c r="V474" s="266">
        <v>3000000</v>
      </c>
      <c r="W474" s="521" t="s">
        <v>10</v>
      </c>
      <c r="X474" s="521" t="s">
        <v>11</v>
      </c>
      <c r="Y474" s="522" t="s">
        <v>2092</v>
      </c>
      <c r="Z474" s="523" t="s">
        <v>2634</v>
      </c>
      <c r="AA474" s="521"/>
      <c r="AB474" s="521"/>
      <c r="AC474" s="521"/>
      <c r="AD474" s="521"/>
      <c r="AE474" s="521"/>
      <c r="AF474" s="521"/>
      <c r="AG474" s="264">
        <v>5</v>
      </c>
    </row>
    <row r="475" spans="1:33" s="526" customFormat="1" ht="29">
      <c r="A475" s="513">
        <v>473</v>
      </c>
      <c r="B475" s="514" t="s">
        <v>2892</v>
      </c>
      <c r="C475" s="515" t="s">
        <v>2892</v>
      </c>
      <c r="D475" s="262" t="s">
        <v>825</v>
      </c>
      <c r="E475" s="513">
        <v>474</v>
      </c>
      <c r="F475" s="544" t="s">
        <v>2892</v>
      </c>
      <c r="G475" s="543">
        <v>45417</v>
      </c>
      <c r="H475" s="543">
        <v>45418</v>
      </c>
      <c r="I475" s="543">
        <v>45418</v>
      </c>
      <c r="J475" s="543">
        <v>45418</v>
      </c>
      <c r="K475" s="517">
        <v>45418</v>
      </c>
      <c r="L475" s="518" t="s">
        <v>571</v>
      </c>
      <c r="M475" s="264" t="s">
        <v>2649</v>
      </c>
      <c r="N475" s="262" t="s">
        <v>2185</v>
      </c>
      <c r="O475" s="390" t="s">
        <v>2287</v>
      </c>
      <c r="P475" s="264" t="str">
        <f>O475</f>
        <v>Spanduk Uk. 1 x 6 meter-</v>
      </c>
      <c r="Q475" s="264" t="s">
        <v>2650</v>
      </c>
      <c r="R475" s="528" t="s">
        <v>2651</v>
      </c>
      <c r="S475" s="399">
        <v>2</v>
      </c>
      <c r="T475" s="348" t="s">
        <v>3363</v>
      </c>
      <c r="U475" s="520">
        <v>300000</v>
      </c>
      <c r="V475" s="266">
        <v>600000</v>
      </c>
      <c r="W475" s="521" t="s">
        <v>2652</v>
      </c>
      <c r="X475" s="521" t="s">
        <v>2653</v>
      </c>
      <c r="Y475" s="522" t="s">
        <v>2512</v>
      </c>
      <c r="Z475" s="523" t="s">
        <v>541</v>
      </c>
      <c r="AA475" s="521"/>
      <c r="AB475" s="521"/>
      <c r="AC475" s="521"/>
      <c r="AD475" s="521"/>
      <c r="AE475" s="521"/>
      <c r="AF475" s="521"/>
      <c r="AG475" s="264">
        <v>5</v>
      </c>
    </row>
    <row r="476" spans="1:33" s="526" customFormat="1" ht="29">
      <c r="A476" s="513">
        <v>474</v>
      </c>
      <c r="B476" s="514" t="s">
        <v>2893</v>
      </c>
      <c r="C476" s="515" t="s">
        <v>2893</v>
      </c>
      <c r="D476" s="262" t="s">
        <v>826</v>
      </c>
      <c r="E476" s="513">
        <v>475</v>
      </c>
      <c r="F476" s="544" t="s">
        <v>2893</v>
      </c>
      <c r="G476" s="543">
        <v>45431</v>
      </c>
      <c r="H476" s="543">
        <v>45432</v>
      </c>
      <c r="I476" s="543">
        <v>45432</v>
      </c>
      <c r="J476" s="543">
        <v>45432</v>
      </c>
      <c r="K476" s="517">
        <v>45433</v>
      </c>
      <c r="L476" s="518" t="s">
        <v>584</v>
      </c>
      <c r="M476" s="264" t="s">
        <v>2663</v>
      </c>
      <c r="N476" s="262" t="s">
        <v>2186</v>
      </c>
      <c r="O476" s="390" t="s">
        <v>2291</v>
      </c>
      <c r="P476" s="264" t="str">
        <f>O476</f>
        <v>Biaya Rekening Listrik--</v>
      </c>
      <c r="Q476" s="264" t="s">
        <v>2664</v>
      </c>
      <c r="R476" s="519" t="s">
        <v>2665</v>
      </c>
      <c r="S476" s="399">
        <v>1</v>
      </c>
      <c r="T476" s="348" t="s">
        <v>3373</v>
      </c>
      <c r="U476" s="520">
        <v>2000000</v>
      </c>
      <c r="V476" s="266">
        <v>1613730</v>
      </c>
      <c r="W476" s="521" t="s">
        <v>2666</v>
      </c>
      <c r="X476" s="521" t="s">
        <v>2659</v>
      </c>
      <c r="Y476" s="522" t="s">
        <v>2660</v>
      </c>
      <c r="Z476" s="523" t="s">
        <v>2661</v>
      </c>
      <c r="AA476" s="521"/>
      <c r="AB476" s="521"/>
      <c r="AC476" s="521"/>
      <c r="AD476" s="521"/>
      <c r="AE476" s="521"/>
      <c r="AF476" s="521"/>
      <c r="AG476" s="264">
        <v>5</v>
      </c>
    </row>
    <row r="477" spans="1:33" s="526" customFormat="1" ht="29">
      <c r="A477" s="513">
        <v>475</v>
      </c>
      <c r="B477" s="514" t="s">
        <v>2894</v>
      </c>
      <c r="C477" s="515" t="s">
        <v>2894</v>
      </c>
      <c r="D477" s="262" t="s">
        <v>829</v>
      </c>
      <c r="E477" s="513">
        <v>476</v>
      </c>
      <c r="F477" s="544" t="s">
        <v>2894</v>
      </c>
      <c r="G477" s="543">
        <v>45431</v>
      </c>
      <c r="H477" s="543">
        <v>45432</v>
      </c>
      <c r="I477" s="543">
        <v>45432</v>
      </c>
      <c r="J477" s="543">
        <v>45432</v>
      </c>
      <c r="K477" s="517">
        <v>45433</v>
      </c>
      <c r="L477" s="518" t="s">
        <v>590</v>
      </c>
      <c r="M477" s="264" t="s">
        <v>2663</v>
      </c>
      <c r="N477" s="262" t="s">
        <v>2187</v>
      </c>
      <c r="O477" s="390" t="s">
        <v>2292</v>
      </c>
      <c r="P477" s="264" t="str">
        <f>O477</f>
        <v>Biaya Langganan Internet--</v>
      </c>
      <c r="Q477" s="264" t="s">
        <v>2668</v>
      </c>
      <c r="R477" s="519" t="s">
        <v>2669</v>
      </c>
      <c r="S477" s="399">
        <v>1</v>
      </c>
      <c r="T477" s="348" t="s">
        <v>3373</v>
      </c>
      <c r="U477" s="520">
        <v>1500000</v>
      </c>
      <c r="V477" s="266">
        <v>1235850</v>
      </c>
      <c r="W477" s="521" t="s">
        <v>3381</v>
      </c>
      <c r="X477" s="521" t="s">
        <v>2659</v>
      </c>
      <c r="Y477" s="522" t="s">
        <v>2660</v>
      </c>
      <c r="Z477" s="523" t="s">
        <v>2661</v>
      </c>
      <c r="AA477" s="521"/>
      <c r="AB477" s="521"/>
      <c r="AC477" s="521"/>
      <c r="AD477" s="521"/>
      <c r="AE477" s="521"/>
      <c r="AF477" s="521"/>
      <c r="AG477" s="264">
        <v>5</v>
      </c>
    </row>
    <row r="478" spans="1:33" s="526" customFormat="1" ht="29">
      <c r="A478" s="513">
        <v>476</v>
      </c>
      <c r="B478" s="514" t="s">
        <v>2895</v>
      </c>
      <c r="C478" s="515" t="s">
        <v>2895</v>
      </c>
      <c r="D478" s="262" t="s">
        <v>830</v>
      </c>
      <c r="E478" s="513">
        <v>477</v>
      </c>
      <c r="F478" s="544" t="s">
        <v>2895</v>
      </c>
      <c r="G478" s="543">
        <v>45436</v>
      </c>
      <c r="H478" s="543">
        <v>45437</v>
      </c>
      <c r="I478" s="543">
        <v>45437</v>
      </c>
      <c r="J478" s="543">
        <v>45437</v>
      </c>
      <c r="K478" s="517">
        <v>45437</v>
      </c>
      <c r="L478" s="518" t="s">
        <v>571</v>
      </c>
      <c r="M478" s="264" t="s">
        <v>2587</v>
      </c>
      <c r="N478" s="262" t="s">
        <v>2176</v>
      </c>
      <c r="O478" s="390" t="s">
        <v>9</v>
      </c>
      <c r="P478" s="264" t="str">
        <f>O478</f>
        <v>Foto Copy Filio dan Kuarto</v>
      </c>
      <c r="Q478" s="525" t="s">
        <v>2675</v>
      </c>
      <c r="R478" s="525" t="s">
        <v>2676</v>
      </c>
      <c r="S478" s="399">
        <v>4739</v>
      </c>
      <c r="T478" s="348" t="s">
        <v>3368</v>
      </c>
      <c r="U478" s="520">
        <v>350</v>
      </c>
      <c r="V478" s="266">
        <v>5337500</v>
      </c>
      <c r="W478" s="521" t="s">
        <v>227</v>
      </c>
      <c r="X478" s="521" t="s">
        <v>3383</v>
      </c>
      <c r="Y478" s="522" t="s">
        <v>2512</v>
      </c>
      <c r="Z478" s="523" t="s">
        <v>541</v>
      </c>
      <c r="AA478" s="521"/>
      <c r="AB478" s="521"/>
      <c r="AC478" s="521"/>
      <c r="AD478" s="521"/>
      <c r="AE478" s="521"/>
      <c r="AF478" s="521"/>
      <c r="AG478" s="264">
        <v>5</v>
      </c>
    </row>
    <row r="479" spans="1:33" s="526" customFormat="1" ht="29">
      <c r="A479" s="513">
        <v>477</v>
      </c>
      <c r="B479" s="514" t="s">
        <v>2896</v>
      </c>
      <c r="C479" s="515" t="s">
        <v>2896</v>
      </c>
      <c r="D479" s="262" t="s">
        <v>832</v>
      </c>
      <c r="E479" s="513">
        <v>478</v>
      </c>
      <c r="F479" s="544" t="s">
        <v>2896</v>
      </c>
      <c r="G479" s="543">
        <v>45437</v>
      </c>
      <c r="H479" s="543">
        <v>45439</v>
      </c>
      <c r="I479" s="543">
        <v>45439</v>
      </c>
      <c r="J479" s="543">
        <v>45439</v>
      </c>
      <c r="K479" s="517">
        <v>45439</v>
      </c>
      <c r="L479" s="518" t="s">
        <v>2180</v>
      </c>
      <c r="M479" s="264" t="s">
        <v>2638</v>
      </c>
      <c r="N479" s="262" t="s">
        <v>2206</v>
      </c>
      <c r="O479" s="390" t="s">
        <v>2324</v>
      </c>
      <c r="P479" s="264" t="s">
        <v>467</v>
      </c>
      <c r="Q479" s="264" t="s">
        <v>8</v>
      </c>
      <c r="R479" s="519" t="s">
        <v>2635</v>
      </c>
      <c r="S479" s="399">
        <v>120</v>
      </c>
      <c r="T479" s="348" t="s">
        <v>3362</v>
      </c>
      <c r="U479" s="520">
        <v>40000</v>
      </c>
      <c r="V479" s="266">
        <v>4800000</v>
      </c>
      <c r="W479" s="521" t="s">
        <v>2507</v>
      </c>
      <c r="X479" s="521" t="s">
        <v>2508</v>
      </c>
      <c r="Y479" s="522" t="s">
        <v>2516</v>
      </c>
      <c r="Z479" s="523" t="s">
        <v>2636</v>
      </c>
      <c r="AA479" s="521"/>
      <c r="AB479" s="521"/>
      <c r="AC479" s="521"/>
      <c r="AD479" s="521"/>
      <c r="AE479" s="521"/>
      <c r="AF479" s="521"/>
      <c r="AG479" s="264">
        <v>5</v>
      </c>
    </row>
    <row r="480" spans="1:33" s="526" customFormat="1" ht="29">
      <c r="A480" s="513">
        <v>478</v>
      </c>
      <c r="B480" s="514" t="s">
        <v>2897</v>
      </c>
      <c r="C480" s="515" t="s">
        <v>2897</v>
      </c>
      <c r="D480" s="262" t="s">
        <v>835</v>
      </c>
      <c r="E480" s="513">
        <v>479</v>
      </c>
      <c r="F480" s="544" t="s">
        <v>2897</v>
      </c>
      <c r="G480" s="543">
        <v>45437</v>
      </c>
      <c r="H480" s="543">
        <v>45439</v>
      </c>
      <c r="I480" s="543">
        <v>45439</v>
      </c>
      <c r="J480" s="543">
        <v>45439</v>
      </c>
      <c r="K480" s="517">
        <v>45439</v>
      </c>
      <c r="L480" s="518" t="s">
        <v>2180</v>
      </c>
      <c r="M480" s="264" t="s">
        <v>2638</v>
      </c>
      <c r="N480" s="262" t="s">
        <v>2206</v>
      </c>
      <c r="O480" s="390" t="s">
        <v>2325</v>
      </c>
      <c r="P480" s="264" t="s">
        <v>2633</v>
      </c>
      <c r="Q480" s="264" t="s">
        <v>280</v>
      </c>
      <c r="R480" s="528" t="s">
        <v>165</v>
      </c>
      <c r="S480" s="399">
        <v>120</v>
      </c>
      <c r="T480" s="348" t="s">
        <v>3362</v>
      </c>
      <c r="U480" s="520">
        <v>15000</v>
      </c>
      <c r="V480" s="266">
        <v>1800000</v>
      </c>
      <c r="W480" s="521" t="s">
        <v>10</v>
      </c>
      <c r="X480" s="521" t="s">
        <v>11</v>
      </c>
      <c r="Y480" s="522" t="s">
        <v>2092</v>
      </c>
      <c r="Z480" s="523" t="s">
        <v>2634</v>
      </c>
      <c r="AA480" s="521"/>
      <c r="AB480" s="521"/>
      <c r="AC480" s="521"/>
      <c r="AD480" s="521"/>
      <c r="AE480" s="521"/>
      <c r="AF480" s="521"/>
      <c r="AG480" s="264">
        <v>5</v>
      </c>
    </row>
    <row r="481" spans="1:33" s="526" customFormat="1" ht="37.5">
      <c r="A481" s="513">
        <v>479</v>
      </c>
      <c r="B481" s="514" t="s">
        <v>2898</v>
      </c>
      <c r="C481" s="515" t="s">
        <v>2898</v>
      </c>
      <c r="D481" s="262" t="s">
        <v>836</v>
      </c>
      <c r="E481" s="513">
        <v>480</v>
      </c>
      <c r="F481" s="544" t="s">
        <v>2898</v>
      </c>
      <c r="G481" s="516">
        <v>44999</v>
      </c>
      <c r="H481" s="543">
        <v>45440</v>
      </c>
      <c r="I481" s="543">
        <v>45440</v>
      </c>
      <c r="J481" s="543">
        <v>45440</v>
      </c>
      <c r="K481" s="517">
        <v>45440</v>
      </c>
      <c r="L481" s="518" t="s">
        <v>464</v>
      </c>
      <c r="M481" s="264" t="s">
        <v>2638</v>
      </c>
      <c r="N481" s="262" t="s">
        <v>2207</v>
      </c>
      <c r="O481" s="390" t="s">
        <v>2296</v>
      </c>
      <c r="P481" s="264" t="s">
        <v>2633</v>
      </c>
      <c r="Q481" s="264" t="s">
        <v>280</v>
      </c>
      <c r="R481" s="528" t="s">
        <v>165</v>
      </c>
      <c r="S481" s="399">
        <v>80</v>
      </c>
      <c r="T481" s="348" t="s">
        <v>3362</v>
      </c>
      <c r="U481" s="520">
        <v>15000</v>
      </c>
      <c r="V481" s="266">
        <v>2625000</v>
      </c>
      <c r="W481" s="521" t="s">
        <v>10</v>
      </c>
      <c r="X481" s="521" t="s">
        <v>11</v>
      </c>
      <c r="Y481" s="522" t="s">
        <v>2092</v>
      </c>
      <c r="Z481" s="523" t="s">
        <v>2634</v>
      </c>
      <c r="AA481" s="521"/>
      <c r="AB481" s="521"/>
      <c r="AC481" s="521"/>
      <c r="AD481" s="521"/>
      <c r="AE481" s="521"/>
      <c r="AF481" s="521"/>
      <c r="AG481" s="264">
        <v>5</v>
      </c>
    </row>
    <row r="482" spans="1:33" s="526" customFormat="1" ht="37.5">
      <c r="A482" s="513">
        <v>480</v>
      </c>
      <c r="B482" s="514" t="s">
        <v>2899</v>
      </c>
      <c r="C482" s="515" t="s">
        <v>2899</v>
      </c>
      <c r="D482" s="262" t="s">
        <v>837</v>
      </c>
      <c r="E482" s="513">
        <v>481</v>
      </c>
      <c r="F482" s="544" t="s">
        <v>2899</v>
      </c>
      <c r="G482" s="543">
        <v>45439</v>
      </c>
      <c r="H482" s="543">
        <v>45440</v>
      </c>
      <c r="I482" s="543">
        <v>45440</v>
      </c>
      <c r="J482" s="543">
        <v>45440</v>
      </c>
      <c r="K482" s="517">
        <v>45440</v>
      </c>
      <c r="L482" s="518" t="s">
        <v>464</v>
      </c>
      <c r="M482" s="264" t="s">
        <v>2638</v>
      </c>
      <c r="N482" s="262" t="s">
        <v>2207</v>
      </c>
      <c r="O482" s="390" t="s">
        <v>2295</v>
      </c>
      <c r="P482" s="264" t="s">
        <v>467</v>
      </c>
      <c r="Q482" s="264" t="s">
        <v>8</v>
      </c>
      <c r="R482" s="519" t="s">
        <v>2635</v>
      </c>
      <c r="S482" s="399">
        <v>80</v>
      </c>
      <c r="T482" s="348" t="s">
        <v>3362</v>
      </c>
      <c r="U482" s="520">
        <v>40000</v>
      </c>
      <c r="V482" s="266">
        <v>2400000</v>
      </c>
      <c r="W482" s="521" t="s">
        <v>2507</v>
      </c>
      <c r="X482" s="521" t="s">
        <v>2508</v>
      </c>
      <c r="Y482" s="522" t="s">
        <v>2516</v>
      </c>
      <c r="Z482" s="523" t="s">
        <v>2636</v>
      </c>
      <c r="AA482" s="521"/>
      <c r="AB482" s="521"/>
      <c r="AC482" s="521"/>
      <c r="AD482" s="521"/>
      <c r="AE482" s="521"/>
      <c r="AF482" s="521"/>
      <c r="AG482" s="264">
        <v>5</v>
      </c>
    </row>
    <row r="483" spans="1:33" s="526" customFormat="1" ht="29">
      <c r="A483" s="513">
        <v>481</v>
      </c>
      <c r="B483" s="514" t="s">
        <v>2900</v>
      </c>
      <c r="C483" s="515" t="s">
        <v>2900</v>
      </c>
      <c r="D483" s="262" t="s">
        <v>839</v>
      </c>
      <c r="E483" s="513">
        <v>482</v>
      </c>
      <c r="F483" s="544" t="s">
        <v>2900</v>
      </c>
      <c r="G483" s="543">
        <v>45440</v>
      </c>
      <c r="H483" s="543">
        <v>45441</v>
      </c>
      <c r="I483" s="543">
        <v>45441</v>
      </c>
      <c r="J483" s="543">
        <v>45441</v>
      </c>
      <c r="K483" s="517">
        <v>45441</v>
      </c>
      <c r="L483" s="518" t="s">
        <v>611</v>
      </c>
      <c r="M483" s="264" t="s">
        <v>2587</v>
      </c>
      <c r="N483" s="262" t="s">
        <v>2189</v>
      </c>
      <c r="O483" s="390" t="s">
        <v>2294</v>
      </c>
      <c r="P483" s="264" t="str">
        <f t="shared" ref="P483:P497" si="20">O483</f>
        <v>Belanja Jasa Tenaga Operator Komputer--</v>
      </c>
      <c r="Q483" s="264" t="s">
        <v>2672</v>
      </c>
      <c r="R483" s="528" t="s">
        <v>2673</v>
      </c>
      <c r="S483" s="399">
        <v>1</v>
      </c>
      <c r="T483" s="348" t="s">
        <v>3373</v>
      </c>
      <c r="U483" s="520">
        <v>1000000</v>
      </c>
      <c r="V483" s="266">
        <v>1000000</v>
      </c>
      <c r="W483" s="521" t="s">
        <v>2659</v>
      </c>
      <c r="X483" s="521" t="s">
        <v>2659</v>
      </c>
      <c r="Y483" s="522" t="s">
        <v>2660</v>
      </c>
      <c r="Z483" s="523" t="s">
        <v>2661</v>
      </c>
      <c r="AA483" s="521"/>
      <c r="AB483" s="521"/>
      <c r="AC483" s="521"/>
      <c r="AD483" s="521"/>
      <c r="AE483" s="521"/>
      <c r="AF483" s="521"/>
      <c r="AG483" s="264">
        <v>5</v>
      </c>
    </row>
    <row r="484" spans="1:33" s="526" customFormat="1">
      <c r="A484" s="513">
        <v>482</v>
      </c>
      <c r="B484" s="514" t="s">
        <v>2901</v>
      </c>
      <c r="C484" s="515" t="s">
        <v>2901</v>
      </c>
      <c r="D484" s="262" t="s">
        <v>2902</v>
      </c>
      <c r="E484" s="513">
        <v>483</v>
      </c>
      <c r="F484" s="544" t="s">
        <v>2901</v>
      </c>
      <c r="G484" s="543">
        <v>45440</v>
      </c>
      <c r="H484" s="543">
        <v>45441</v>
      </c>
      <c r="I484" s="543">
        <v>45441</v>
      </c>
      <c r="J484" s="543">
        <v>45441</v>
      </c>
      <c r="K484" s="517">
        <v>45441</v>
      </c>
      <c r="L484" s="518" t="s">
        <v>2678</v>
      </c>
      <c r="M484" s="264" t="s">
        <v>2679</v>
      </c>
      <c r="N484" s="262" t="s">
        <v>2680</v>
      </c>
      <c r="O484" s="390" t="s">
        <v>2681</v>
      </c>
      <c r="P484" s="264" t="str">
        <f t="shared" si="20"/>
        <v>Selatieli Nehe</v>
      </c>
      <c r="Q484" s="264" t="s">
        <v>2682</v>
      </c>
      <c r="R484" s="528" t="s">
        <v>2683</v>
      </c>
      <c r="S484" s="399">
        <v>33</v>
      </c>
      <c r="T484" s="348" t="s">
        <v>3374</v>
      </c>
      <c r="U484" s="520">
        <v>75000</v>
      </c>
      <c r="V484" s="266">
        <v>2475000</v>
      </c>
      <c r="W484" s="521" t="s">
        <v>2684</v>
      </c>
      <c r="X484" s="521">
        <v>0</v>
      </c>
      <c r="Y484" s="521"/>
      <c r="Z484" s="523"/>
      <c r="AA484" s="521"/>
      <c r="AB484" s="521"/>
      <c r="AC484" s="521"/>
      <c r="AD484" s="521"/>
      <c r="AE484" s="521"/>
      <c r="AF484" s="521"/>
      <c r="AG484" s="264">
        <v>5</v>
      </c>
    </row>
    <row r="485" spans="1:33" s="526" customFormat="1">
      <c r="A485" s="513">
        <v>483</v>
      </c>
      <c r="B485" s="514" t="s">
        <v>2903</v>
      </c>
      <c r="C485" s="515" t="s">
        <v>2903</v>
      </c>
      <c r="D485" s="262" t="s">
        <v>2904</v>
      </c>
      <c r="E485" s="513">
        <v>484</v>
      </c>
      <c r="F485" s="544" t="s">
        <v>2903</v>
      </c>
      <c r="G485" s="543">
        <v>45440</v>
      </c>
      <c r="H485" s="543">
        <v>45441</v>
      </c>
      <c r="I485" s="543">
        <v>45441</v>
      </c>
      <c r="J485" s="543">
        <v>45441</v>
      </c>
      <c r="K485" s="517">
        <v>45441</v>
      </c>
      <c r="L485" s="518" t="s">
        <v>2678</v>
      </c>
      <c r="M485" s="264" t="s">
        <v>2679</v>
      </c>
      <c r="N485" s="262" t="s">
        <v>2680</v>
      </c>
      <c r="O485" s="390" t="s">
        <v>2686</v>
      </c>
      <c r="P485" s="264" t="str">
        <f t="shared" si="20"/>
        <v>Arifin Metodi Bate'e</v>
      </c>
      <c r="Q485" s="264" t="s">
        <v>2682</v>
      </c>
      <c r="R485" s="528" t="s">
        <v>2683</v>
      </c>
      <c r="S485" s="399">
        <v>34</v>
      </c>
      <c r="T485" s="348" t="s">
        <v>3374</v>
      </c>
      <c r="U485" s="520">
        <v>75000</v>
      </c>
      <c r="V485" s="266">
        <v>2550000</v>
      </c>
      <c r="W485" s="521" t="s">
        <v>2684</v>
      </c>
      <c r="X485" s="521">
        <v>0</v>
      </c>
      <c r="Y485" s="521"/>
      <c r="Z485" s="523"/>
      <c r="AA485" s="521"/>
      <c r="AB485" s="521"/>
      <c r="AC485" s="521"/>
      <c r="AD485" s="521"/>
      <c r="AE485" s="521"/>
      <c r="AF485" s="521"/>
      <c r="AG485" s="264">
        <v>5</v>
      </c>
    </row>
    <row r="486" spans="1:33" s="526" customFormat="1">
      <c r="A486" s="513">
        <v>484</v>
      </c>
      <c r="B486" s="514" t="s">
        <v>2905</v>
      </c>
      <c r="C486" s="515" t="s">
        <v>2905</v>
      </c>
      <c r="D486" s="262" t="s">
        <v>2906</v>
      </c>
      <c r="E486" s="513">
        <v>485</v>
      </c>
      <c r="F486" s="544" t="s">
        <v>2905</v>
      </c>
      <c r="G486" s="543">
        <v>45440</v>
      </c>
      <c r="H486" s="543">
        <v>45441</v>
      </c>
      <c r="I486" s="543">
        <v>45441</v>
      </c>
      <c r="J486" s="543">
        <v>45441</v>
      </c>
      <c r="K486" s="517">
        <v>45441</v>
      </c>
      <c r="L486" s="518" t="s">
        <v>2678</v>
      </c>
      <c r="M486" s="264" t="s">
        <v>2679</v>
      </c>
      <c r="N486" s="262" t="s">
        <v>2680</v>
      </c>
      <c r="O486" s="390" t="s">
        <v>2688</v>
      </c>
      <c r="P486" s="264" t="str">
        <f t="shared" si="20"/>
        <v>Ferdiwati Wau</v>
      </c>
      <c r="Q486" s="264" t="s">
        <v>2682</v>
      </c>
      <c r="R486" s="528" t="s">
        <v>2683</v>
      </c>
      <c r="S486" s="399">
        <v>30</v>
      </c>
      <c r="T486" s="348" t="s">
        <v>3374</v>
      </c>
      <c r="U486" s="520">
        <v>75000</v>
      </c>
      <c r="V486" s="266">
        <v>2250000</v>
      </c>
      <c r="W486" s="521" t="s">
        <v>2684</v>
      </c>
      <c r="X486" s="521">
        <v>0</v>
      </c>
      <c r="Y486" s="521"/>
      <c r="Z486" s="523"/>
      <c r="AA486" s="521"/>
      <c r="AB486" s="521"/>
      <c r="AC486" s="521"/>
      <c r="AD486" s="521"/>
      <c r="AE486" s="521"/>
      <c r="AF486" s="521"/>
      <c r="AG486" s="264">
        <v>5</v>
      </c>
    </row>
    <row r="487" spans="1:33" s="526" customFormat="1">
      <c r="A487" s="513">
        <v>485</v>
      </c>
      <c r="B487" s="514" t="s">
        <v>2907</v>
      </c>
      <c r="C487" s="515" t="s">
        <v>2907</v>
      </c>
      <c r="D487" s="262" t="s">
        <v>2908</v>
      </c>
      <c r="E487" s="513">
        <v>486</v>
      </c>
      <c r="F487" s="544" t="s">
        <v>2907</v>
      </c>
      <c r="G487" s="543">
        <v>45440</v>
      </c>
      <c r="H487" s="543">
        <v>45441</v>
      </c>
      <c r="I487" s="543">
        <v>45441</v>
      </c>
      <c r="J487" s="543">
        <v>45441</v>
      </c>
      <c r="K487" s="517">
        <v>45441</v>
      </c>
      <c r="L487" s="518" t="s">
        <v>2678</v>
      </c>
      <c r="M487" s="264" t="s">
        <v>2679</v>
      </c>
      <c r="N487" s="262" t="s">
        <v>2680</v>
      </c>
      <c r="O487" s="390" t="s">
        <v>2690</v>
      </c>
      <c r="P487" s="264" t="str">
        <f t="shared" si="20"/>
        <v>Noni Alfanita Sarumaha, S.Pd</v>
      </c>
      <c r="Q487" s="264" t="s">
        <v>2682</v>
      </c>
      <c r="R487" s="528" t="s">
        <v>2683</v>
      </c>
      <c r="S487" s="399">
        <v>33</v>
      </c>
      <c r="T487" s="348" t="s">
        <v>3374</v>
      </c>
      <c r="U487" s="520">
        <v>75000</v>
      </c>
      <c r="V487" s="266">
        <v>2475000</v>
      </c>
      <c r="W487" s="521" t="s">
        <v>2684</v>
      </c>
      <c r="X487" s="521">
        <v>0</v>
      </c>
      <c r="Y487" s="521"/>
      <c r="Z487" s="523"/>
      <c r="AA487" s="521"/>
      <c r="AB487" s="521"/>
      <c r="AC487" s="521"/>
      <c r="AD487" s="521"/>
      <c r="AE487" s="521"/>
      <c r="AF487" s="521"/>
      <c r="AG487" s="264">
        <v>5</v>
      </c>
    </row>
    <row r="488" spans="1:33" s="526" customFormat="1">
      <c r="A488" s="513">
        <v>486</v>
      </c>
      <c r="B488" s="514" t="s">
        <v>2909</v>
      </c>
      <c r="C488" s="515" t="s">
        <v>2909</v>
      </c>
      <c r="D488" s="262" t="s">
        <v>2910</v>
      </c>
      <c r="E488" s="513">
        <v>487</v>
      </c>
      <c r="F488" s="544" t="s">
        <v>2909</v>
      </c>
      <c r="G488" s="543">
        <v>45440</v>
      </c>
      <c r="H488" s="543">
        <v>45441</v>
      </c>
      <c r="I488" s="543">
        <v>45441</v>
      </c>
      <c r="J488" s="543">
        <v>45441</v>
      </c>
      <c r="K488" s="517">
        <v>45441</v>
      </c>
      <c r="L488" s="518" t="s">
        <v>2678</v>
      </c>
      <c r="M488" s="264" t="s">
        <v>2679</v>
      </c>
      <c r="N488" s="262" t="s">
        <v>2680</v>
      </c>
      <c r="O488" s="390" t="s">
        <v>2692</v>
      </c>
      <c r="P488" s="264" t="str">
        <f t="shared" si="20"/>
        <v>EMILA HAFO</v>
      </c>
      <c r="Q488" s="264" t="s">
        <v>2682</v>
      </c>
      <c r="R488" s="528" t="s">
        <v>2683</v>
      </c>
      <c r="S488" s="399">
        <v>28</v>
      </c>
      <c r="T488" s="348" t="s">
        <v>3374</v>
      </c>
      <c r="U488" s="520">
        <v>75000</v>
      </c>
      <c r="V488" s="266">
        <v>2100000</v>
      </c>
      <c r="W488" s="521" t="s">
        <v>2684</v>
      </c>
      <c r="X488" s="521">
        <v>0</v>
      </c>
      <c r="Y488" s="521"/>
      <c r="Z488" s="523"/>
      <c r="AA488" s="521"/>
      <c r="AB488" s="521"/>
      <c r="AC488" s="521"/>
      <c r="AD488" s="521"/>
      <c r="AE488" s="521"/>
      <c r="AF488" s="521"/>
      <c r="AG488" s="264">
        <v>5</v>
      </c>
    </row>
    <row r="489" spans="1:33" s="526" customFormat="1">
      <c r="A489" s="513">
        <v>487</v>
      </c>
      <c r="B489" s="514" t="s">
        <v>2911</v>
      </c>
      <c r="C489" s="515" t="s">
        <v>2911</v>
      </c>
      <c r="D489" s="262" t="s">
        <v>2912</v>
      </c>
      <c r="E489" s="513">
        <v>488</v>
      </c>
      <c r="F489" s="544" t="s">
        <v>2911</v>
      </c>
      <c r="G489" s="543">
        <v>45440</v>
      </c>
      <c r="H489" s="543">
        <v>45441</v>
      </c>
      <c r="I489" s="543">
        <v>45441</v>
      </c>
      <c r="J489" s="543">
        <v>45441</v>
      </c>
      <c r="K489" s="517">
        <v>45441</v>
      </c>
      <c r="L489" s="518" t="s">
        <v>2678</v>
      </c>
      <c r="M489" s="264" t="s">
        <v>2679</v>
      </c>
      <c r="N489" s="262" t="s">
        <v>2680</v>
      </c>
      <c r="O489" s="390" t="s">
        <v>2694</v>
      </c>
      <c r="P489" s="264" t="str">
        <f t="shared" si="20"/>
        <v>Asep Nurhidayat</v>
      </c>
      <c r="Q489" s="264" t="s">
        <v>2682</v>
      </c>
      <c r="R489" s="528" t="s">
        <v>2683</v>
      </c>
      <c r="S489" s="399">
        <v>33</v>
      </c>
      <c r="T489" s="348" t="s">
        <v>3374</v>
      </c>
      <c r="U489" s="520">
        <v>75000</v>
      </c>
      <c r="V489" s="266">
        <v>2475000</v>
      </c>
      <c r="W489" s="521" t="s">
        <v>2684</v>
      </c>
      <c r="X489" s="521">
        <v>0</v>
      </c>
      <c r="Y489" s="521"/>
      <c r="Z489" s="523"/>
      <c r="AA489" s="521"/>
      <c r="AB489" s="521"/>
      <c r="AC489" s="521"/>
      <c r="AD489" s="521"/>
      <c r="AE489" s="521"/>
      <c r="AF489" s="521"/>
      <c r="AG489" s="264">
        <v>5</v>
      </c>
    </row>
    <row r="490" spans="1:33" s="526" customFormat="1">
      <c r="A490" s="513">
        <v>488</v>
      </c>
      <c r="B490" s="514" t="s">
        <v>2913</v>
      </c>
      <c r="C490" s="515" t="s">
        <v>2913</v>
      </c>
      <c r="D490" s="262" t="s">
        <v>2914</v>
      </c>
      <c r="E490" s="513">
        <v>489</v>
      </c>
      <c r="F490" s="544" t="s">
        <v>2913</v>
      </c>
      <c r="G490" s="543">
        <v>45440</v>
      </c>
      <c r="H490" s="543">
        <v>45441</v>
      </c>
      <c r="I490" s="543">
        <v>45441</v>
      </c>
      <c r="J490" s="543">
        <v>45441</v>
      </c>
      <c r="K490" s="517">
        <v>45441</v>
      </c>
      <c r="L490" s="518" t="s">
        <v>2696</v>
      </c>
      <c r="M490" s="264" t="s">
        <v>2679</v>
      </c>
      <c r="N490" s="262" t="s">
        <v>2697</v>
      </c>
      <c r="O490" s="390" t="s">
        <v>2698</v>
      </c>
      <c r="P490" s="264" t="str">
        <f t="shared" si="20"/>
        <v>Estera Nehe</v>
      </c>
      <c r="Q490" s="264" t="s">
        <v>2699</v>
      </c>
      <c r="R490" s="528" t="s">
        <v>2700</v>
      </c>
      <c r="S490" s="399">
        <v>1</v>
      </c>
      <c r="T490" s="348" t="s">
        <v>3373</v>
      </c>
      <c r="U490" s="520">
        <v>2000000</v>
      </c>
      <c r="V490" s="266">
        <v>2000000</v>
      </c>
      <c r="W490" s="521" t="s">
        <v>2684</v>
      </c>
      <c r="X490" s="521">
        <v>0</v>
      </c>
      <c r="Y490" s="521"/>
      <c r="Z490" s="523"/>
      <c r="AA490" s="521"/>
      <c r="AB490" s="521"/>
      <c r="AC490" s="521"/>
      <c r="AD490" s="521"/>
      <c r="AE490" s="521"/>
      <c r="AF490" s="521"/>
      <c r="AG490" s="264">
        <v>5</v>
      </c>
    </row>
    <row r="491" spans="1:33" s="526" customFormat="1">
      <c r="A491" s="513">
        <v>489</v>
      </c>
      <c r="B491" s="514" t="s">
        <v>2915</v>
      </c>
      <c r="C491" s="515" t="s">
        <v>2915</v>
      </c>
      <c r="D491" s="262" t="s">
        <v>2916</v>
      </c>
      <c r="E491" s="513">
        <v>490</v>
      </c>
      <c r="F491" s="544" t="s">
        <v>2915</v>
      </c>
      <c r="G491" s="543">
        <v>45440</v>
      </c>
      <c r="H491" s="543">
        <v>45441</v>
      </c>
      <c r="I491" s="543">
        <v>45441</v>
      </c>
      <c r="J491" s="543">
        <v>45441</v>
      </c>
      <c r="K491" s="517">
        <v>45441</v>
      </c>
      <c r="L491" s="518" t="s">
        <v>2696</v>
      </c>
      <c r="M491" s="264" t="s">
        <v>2679</v>
      </c>
      <c r="N491" s="262" t="s">
        <v>2697</v>
      </c>
      <c r="O491" s="390" t="s">
        <v>2702</v>
      </c>
      <c r="P491" s="264" t="str">
        <f t="shared" si="20"/>
        <v>Hatieli Buulolo</v>
      </c>
      <c r="Q491" s="264" t="s">
        <v>2699</v>
      </c>
      <c r="R491" s="528" t="s">
        <v>2700</v>
      </c>
      <c r="S491" s="399">
        <v>1</v>
      </c>
      <c r="T491" s="348" t="s">
        <v>3373</v>
      </c>
      <c r="U491" s="520">
        <v>2000000</v>
      </c>
      <c r="V491" s="266">
        <v>2000000</v>
      </c>
      <c r="W491" s="521" t="s">
        <v>2684</v>
      </c>
      <c r="X491" s="521">
        <v>0</v>
      </c>
      <c r="Y491" s="521"/>
      <c r="Z491" s="523"/>
      <c r="AA491" s="521"/>
      <c r="AB491" s="521"/>
      <c r="AC491" s="521"/>
      <c r="AD491" s="521"/>
      <c r="AE491" s="521"/>
      <c r="AF491" s="521"/>
      <c r="AG491" s="264">
        <v>5</v>
      </c>
    </row>
    <row r="492" spans="1:33" s="526" customFormat="1">
      <c r="A492" s="513">
        <v>490</v>
      </c>
      <c r="B492" s="514" t="s">
        <v>2917</v>
      </c>
      <c r="C492" s="515" t="s">
        <v>2917</v>
      </c>
      <c r="D492" s="262" t="s">
        <v>2918</v>
      </c>
      <c r="E492" s="513">
        <v>491</v>
      </c>
      <c r="F492" s="544" t="s">
        <v>2917</v>
      </c>
      <c r="G492" s="543">
        <v>45440</v>
      </c>
      <c r="H492" s="543">
        <v>45441</v>
      </c>
      <c r="I492" s="543">
        <v>45441</v>
      </c>
      <c r="J492" s="543">
        <v>45441</v>
      </c>
      <c r="K492" s="517">
        <v>45441</v>
      </c>
      <c r="L492" s="518" t="s">
        <v>2696</v>
      </c>
      <c r="M492" s="264" t="s">
        <v>2679</v>
      </c>
      <c r="N492" s="262" t="s">
        <v>2697</v>
      </c>
      <c r="O492" s="390" t="s">
        <v>2704</v>
      </c>
      <c r="P492" s="264" t="str">
        <f t="shared" si="20"/>
        <v>David J. Sitinjak</v>
      </c>
      <c r="Q492" s="264" t="s">
        <v>2699</v>
      </c>
      <c r="R492" s="528" t="s">
        <v>2700</v>
      </c>
      <c r="S492" s="399">
        <v>1</v>
      </c>
      <c r="T492" s="348" t="s">
        <v>3373</v>
      </c>
      <c r="U492" s="520">
        <v>2000000</v>
      </c>
      <c r="V492" s="266">
        <v>2000000</v>
      </c>
      <c r="W492" s="521" t="s">
        <v>2684</v>
      </c>
      <c r="X492" s="521">
        <v>0</v>
      </c>
      <c r="Y492" s="521"/>
      <c r="Z492" s="523"/>
      <c r="AA492" s="521"/>
      <c r="AB492" s="521"/>
      <c r="AC492" s="521"/>
      <c r="AD492" s="521"/>
      <c r="AE492" s="521"/>
      <c r="AF492" s="521"/>
      <c r="AG492" s="264">
        <v>5</v>
      </c>
    </row>
    <row r="493" spans="1:33" s="526" customFormat="1">
      <c r="A493" s="513">
        <v>491</v>
      </c>
      <c r="B493" s="514" t="s">
        <v>2919</v>
      </c>
      <c r="C493" s="515" t="s">
        <v>2919</v>
      </c>
      <c r="D493" s="262" t="s">
        <v>2920</v>
      </c>
      <c r="E493" s="513">
        <v>492</v>
      </c>
      <c r="F493" s="544" t="s">
        <v>2919</v>
      </c>
      <c r="G493" s="543">
        <v>45440</v>
      </c>
      <c r="H493" s="543">
        <v>45441</v>
      </c>
      <c r="I493" s="543">
        <v>45441</v>
      </c>
      <c r="J493" s="543">
        <v>45441</v>
      </c>
      <c r="K493" s="517">
        <v>45441</v>
      </c>
      <c r="L493" s="518" t="s">
        <v>2696</v>
      </c>
      <c r="M493" s="264" t="s">
        <v>2679</v>
      </c>
      <c r="N493" s="262" t="s">
        <v>2697</v>
      </c>
      <c r="O493" s="390" t="s">
        <v>2706</v>
      </c>
      <c r="P493" s="264" t="str">
        <f t="shared" si="20"/>
        <v>Siona Ziraluo</v>
      </c>
      <c r="Q493" s="264" t="s">
        <v>2699</v>
      </c>
      <c r="R493" s="528" t="s">
        <v>2700</v>
      </c>
      <c r="S493" s="399">
        <v>1</v>
      </c>
      <c r="T493" s="348" t="s">
        <v>3373</v>
      </c>
      <c r="U493" s="520">
        <v>2000000</v>
      </c>
      <c r="V493" s="266">
        <v>2000000</v>
      </c>
      <c r="W493" s="521" t="s">
        <v>2684</v>
      </c>
      <c r="X493" s="521">
        <v>0</v>
      </c>
      <c r="Y493" s="521"/>
      <c r="Z493" s="523"/>
      <c r="AA493" s="521"/>
      <c r="AB493" s="521"/>
      <c r="AC493" s="521"/>
      <c r="AD493" s="521"/>
      <c r="AE493" s="521"/>
      <c r="AF493" s="521"/>
      <c r="AG493" s="264">
        <v>5</v>
      </c>
    </row>
    <row r="494" spans="1:33" s="526" customFormat="1">
      <c r="A494" s="513">
        <v>492</v>
      </c>
      <c r="B494" s="514" t="s">
        <v>2921</v>
      </c>
      <c r="C494" s="515" t="s">
        <v>2921</v>
      </c>
      <c r="D494" s="262" t="s">
        <v>2922</v>
      </c>
      <c r="E494" s="513">
        <v>493</v>
      </c>
      <c r="F494" s="544" t="s">
        <v>2921</v>
      </c>
      <c r="G494" s="543">
        <v>45440</v>
      </c>
      <c r="H494" s="543">
        <v>45441</v>
      </c>
      <c r="I494" s="543">
        <v>45441</v>
      </c>
      <c r="J494" s="543">
        <v>45441</v>
      </c>
      <c r="K494" s="517">
        <v>45441</v>
      </c>
      <c r="L494" s="518" t="s">
        <v>2696</v>
      </c>
      <c r="M494" s="264" t="s">
        <v>2679</v>
      </c>
      <c r="N494" s="262" t="s">
        <v>2697</v>
      </c>
      <c r="O494" s="390" t="s">
        <v>2708</v>
      </c>
      <c r="P494" s="264" t="str">
        <f t="shared" si="20"/>
        <v>Merdina Ziraluo</v>
      </c>
      <c r="Q494" s="264" t="s">
        <v>2699</v>
      </c>
      <c r="R494" s="528" t="s">
        <v>2700</v>
      </c>
      <c r="S494" s="399">
        <v>1</v>
      </c>
      <c r="T494" s="348" t="s">
        <v>3373</v>
      </c>
      <c r="U494" s="520">
        <v>2000000</v>
      </c>
      <c r="V494" s="266">
        <v>2000000</v>
      </c>
      <c r="W494" s="521" t="s">
        <v>2684</v>
      </c>
      <c r="X494" s="521">
        <v>0</v>
      </c>
      <c r="Y494" s="521"/>
      <c r="Z494" s="523"/>
      <c r="AA494" s="521"/>
      <c r="AB494" s="521"/>
      <c r="AC494" s="521"/>
      <c r="AD494" s="521"/>
      <c r="AE494" s="521"/>
      <c r="AF494" s="521"/>
      <c r="AG494" s="264">
        <v>5</v>
      </c>
    </row>
    <row r="495" spans="1:33" s="526" customFormat="1">
      <c r="A495" s="513">
        <v>493</v>
      </c>
      <c r="B495" s="514" t="s">
        <v>2923</v>
      </c>
      <c r="C495" s="515" t="s">
        <v>2923</v>
      </c>
      <c r="D495" s="262" t="s">
        <v>2924</v>
      </c>
      <c r="E495" s="513">
        <v>494</v>
      </c>
      <c r="F495" s="544" t="s">
        <v>2923</v>
      </c>
      <c r="G495" s="543">
        <v>45440</v>
      </c>
      <c r="H495" s="543">
        <v>45441</v>
      </c>
      <c r="I495" s="543">
        <v>45441</v>
      </c>
      <c r="J495" s="543">
        <v>45441</v>
      </c>
      <c r="K495" s="517">
        <v>45441</v>
      </c>
      <c r="L495" s="518" t="s">
        <v>2710</v>
      </c>
      <c r="M495" s="264" t="s">
        <v>2679</v>
      </c>
      <c r="N495" s="262" t="s">
        <v>2711</v>
      </c>
      <c r="O495" s="390" t="s">
        <v>2712</v>
      </c>
      <c r="P495" s="264" t="str">
        <f t="shared" si="20"/>
        <v>Fransiskus Lombu</v>
      </c>
      <c r="Q495" s="264" t="s">
        <v>2713</v>
      </c>
      <c r="R495" s="528" t="s">
        <v>2714</v>
      </c>
      <c r="S495" s="399">
        <v>1</v>
      </c>
      <c r="T495" s="348" t="s">
        <v>3373</v>
      </c>
      <c r="U495" s="520">
        <v>1000000</v>
      </c>
      <c r="V495" s="266">
        <v>1000000</v>
      </c>
      <c r="W495" s="521" t="s">
        <v>2715</v>
      </c>
      <c r="X495" s="521">
        <v>0</v>
      </c>
      <c r="Y495" s="521"/>
      <c r="Z495" s="523"/>
      <c r="AA495" s="521"/>
      <c r="AB495" s="521"/>
      <c r="AC495" s="521"/>
      <c r="AD495" s="521"/>
      <c r="AE495" s="521"/>
      <c r="AF495" s="521"/>
      <c r="AG495" s="264">
        <v>5</v>
      </c>
    </row>
    <row r="496" spans="1:33" s="526" customFormat="1" ht="29">
      <c r="A496" s="406">
        <v>494</v>
      </c>
      <c r="B496" s="514" t="s">
        <v>2925</v>
      </c>
      <c r="C496" s="515" t="s">
        <v>2925</v>
      </c>
      <c r="D496" s="352" t="s">
        <v>842</v>
      </c>
      <c r="E496" s="406">
        <v>495</v>
      </c>
      <c r="F496" s="549" t="s">
        <v>2925</v>
      </c>
      <c r="G496" s="563">
        <v>45415</v>
      </c>
      <c r="H496" s="563">
        <v>45416</v>
      </c>
      <c r="I496" s="551">
        <v>45000</v>
      </c>
      <c r="J496" s="551">
        <v>45000</v>
      </c>
      <c r="K496" s="550">
        <v>45442</v>
      </c>
      <c r="L496" s="552" t="s">
        <v>1127</v>
      </c>
      <c r="M496" s="264" t="s">
        <v>2646</v>
      </c>
      <c r="N496" s="352" t="s">
        <v>2192</v>
      </c>
      <c r="O496" s="387" t="s">
        <v>2326</v>
      </c>
      <c r="P496" s="355" t="str">
        <f t="shared" si="20"/>
        <v>lemari-lemari penyimpanan alat</v>
      </c>
      <c r="Q496" s="355" t="s">
        <v>2733</v>
      </c>
      <c r="R496" s="553"/>
      <c r="S496" s="400">
        <v>1</v>
      </c>
      <c r="T496" s="401" t="s">
        <v>3371</v>
      </c>
      <c r="U496" s="450">
        <v>8100000</v>
      </c>
      <c r="V496" s="403">
        <v>8100000</v>
      </c>
      <c r="W496" s="554" t="s">
        <v>2521</v>
      </c>
      <c r="X496" s="554" t="s">
        <v>2721</v>
      </c>
      <c r="Y496" s="555" t="s">
        <v>2722</v>
      </c>
      <c r="Z496" s="556" t="s">
        <v>2723</v>
      </c>
      <c r="AA496" s="521"/>
      <c r="AB496" s="521"/>
      <c r="AC496" s="521"/>
      <c r="AD496" s="521"/>
      <c r="AE496" s="521"/>
      <c r="AF496" s="521"/>
      <c r="AG496" s="264">
        <v>5</v>
      </c>
    </row>
    <row r="497" spans="1:33" s="526" customFormat="1" ht="29">
      <c r="A497" s="513">
        <v>495</v>
      </c>
      <c r="B497" s="514" t="s">
        <v>2926</v>
      </c>
      <c r="C497" s="515" t="s">
        <v>2926</v>
      </c>
      <c r="D497" s="262" t="s">
        <v>844</v>
      </c>
      <c r="E497" s="513">
        <v>496</v>
      </c>
      <c r="F497" s="544" t="s">
        <v>2926</v>
      </c>
      <c r="G497" s="566">
        <v>45415</v>
      </c>
      <c r="H497" s="566">
        <v>45416</v>
      </c>
      <c r="I497" s="516">
        <v>45071</v>
      </c>
      <c r="J497" s="516">
        <v>45071</v>
      </c>
      <c r="K497" s="517">
        <v>45442</v>
      </c>
      <c r="L497" s="518" t="s">
        <v>2204</v>
      </c>
      <c r="M497" s="264" t="s">
        <v>2646</v>
      </c>
      <c r="N497" s="262" t="s">
        <v>2191</v>
      </c>
      <c r="O497" s="390" t="s">
        <v>2327</v>
      </c>
      <c r="P497" s="264" t="str">
        <f t="shared" si="20"/>
        <v>Papan Visual</v>
      </c>
      <c r="Q497" s="537" t="s">
        <v>2733</v>
      </c>
      <c r="R497" s="524" t="s">
        <v>2927</v>
      </c>
      <c r="S497" s="399">
        <v>3</v>
      </c>
      <c r="T497" s="348" t="s">
        <v>3362</v>
      </c>
      <c r="U497" s="520">
        <v>9000000</v>
      </c>
      <c r="V497" s="266">
        <v>27000000</v>
      </c>
      <c r="W497" s="521" t="s">
        <v>12</v>
      </c>
      <c r="X497" s="521" t="s">
        <v>13</v>
      </c>
      <c r="Y497" s="522" t="s">
        <v>2514</v>
      </c>
      <c r="Z497" s="523" t="s">
        <v>541</v>
      </c>
      <c r="AA497" s="521"/>
      <c r="AB497" s="521"/>
      <c r="AC497" s="521"/>
      <c r="AD497" s="521"/>
      <c r="AE497" s="521"/>
      <c r="AF497" s="521"/>
      <c r="AG497" s="264">
        <v>5</v>
      </c>
    </row>
    <row r="498" spans="1:33" s="526" customFormat="1" ht="29">
      <c r="A498" s="513">
        <v>496</v>
      </c>
      <c r="B498" s="514" t="s">
        <v>2928</v>
      </c>
      <c r="C498" s="515" t="s">
        <v>2928</v>
      </c>
      <c r="D498" s="545" t="s">
        <v>848</v>
      </c>
      <c r="E498" s="513">
        <v>497</v>
      </c>
      <c r="F498" s="544" t="s">
        <v>2928</v>
      </c>
      <c r="G498" s="543">
        <v>45441</v>
      </c>
      <c r="H498" s="543">
        <v>45442</v>
      </c>
      <c r="I498" s="543">
        <v>45442</v>
      </c>
      <c r="J498" s="543">
        <v>45442</v>
      </c>
      <c r="K498" s="546">
        <v>45443</v>
      </c>
      <c r="L498" s="518" t="s">
        <v>2180</v>
      </c>
      <c r="M498" s="264" t="s">
        <v>2587</v>
      </c>
      <c r="N498" s="545" t="s">
        <v>1004</v>
      </c>
      <c r="O498" s="547" t="s">
        <v>2297</v>
      </c>
      <c r="P498" s="264" t="s">
        <v>2633</v>
      </c>
      <c r="Q498" s="264" t="s">
        <v>280</v>
      </c>
      <c r="R498" s="528" t="s">
        <v>165</v>
      </c>
      <c r="S498" s="399">
        <v>60</v>
      </c>
      <c r="T498" s="348" t="s">
        <v>3363</v>
      </c>
      <c r="U498" s="520">
        <v>15000</v>
      </c>
      <c r="V498" s="548">
        <v>900000</v>
      </c>
      <c r="W498" s="521" t="s">
        <v>10</v>
      </c>
      <c r="X498" s="521" t="s">
        <v>11</v>
      </c>
      <c r="Y498" s="522" t="s">
        <v>2092</v>
      </c>
      <c r="Z498" s="523" t="s">
        <v>2634</v>
      </c>
      <c r="AA498" s="521"/>
      <c r="AB498" s="521"/>
      <c r="AC498" s="521"/>
      <c r="AD498" s="521"/>
      <c r="AE498" s="521"/>
      <c r="AF498" s="521"/>
      <c r="AG498" s="264">
        <v>5</v>
      </c>
    </row>
    <row r="499" spans="1:33" s="526" customFormat="1" ht="29">
      <c r="A499" s="513">
        <v>497</v>
      </c>
      <c r="B499" s="390"/>
      <c r="C499" s="515" t="s">
        <v>2929</v>
      </c>
      <c r="D499" s="262" t="s">
        <v>850</v>
      </c>
      <c r="E499" s="513">
        <v>498</v>
      </c>
      <c r="F499" s="544" t="s">
        <v>2929</v>
      </c>
      <c r="G499" s="543">
        <v>45444</v>
      </c>
      <c r="H499" s="543">
        <v>45444</v>
      </c>
      <c r="I499" s="543">
        <v>45446</v>
      </c>
      <c r="J499" s="543">
        <v>45446</v>
      </c>
      <c r="K499" s="517">
        <v>45446</v>
      </c>
      <c r="L499" s="518" t="s">
        <v>571</v>
      </c>
      <c r="M499" s="264" t="s">
        <v>2587</v>
      </c>
      <c r="N499" s="262" t="s">
        <v>2176</v>
      </c>
      <c r="O499" s="390" t="s">
        <v>9</v>
      </c>
      <c r="P499" s="264" t="str">
        <f t="shared" ref="P499:P507" si="21">O499</f>
        <v>Foto Copy Filio dan Kuarto</v>
      </c>
      <c r="Q499" s="525" t="s">
        <v>2675</v>
      </c>
      <c r="R499" s="525" t="s">
        <v>2676</v>
      </c>
      <c r="S499" s="399">
        <v>4739</v>
      </c>
      <c r="T499" s="348" t="s">
        <v>3368</v>
      </c>
      <c r="U499" s="520">
        <v>350</v>
      </c>
      <c r="V499" s="266">
        <v>17342500</v>
      </c>
      <c r="W499" s="521" t="s">
        <v>227</v>
      </c>
      <c r="X499" s="521" t="s">
        <v>3383</v>
      </c>
      <c r="Y499" s="522" t="s">
        <v>2512</v>
      </c>
      <c r="Z499" s="523" t="s">
        <v>541</v>
      </c>
    </row>
    <row r="500" spans="1:33" s="526" customFormat="1" ht="29">
      <c r="A500" s="513">
        <v>498</v>
      </c>
      <c r="B500" s="390"/>
      <c r="C500" s="515" t="s">
        <v>2930</v>
      </c>
      <c r="D500" s="262" t="s">
        <v>853</v>
      </c>
      <c r="E500" s="513">
        <v>499</v>
      </c>
      <c r="F500" s="544" t="s">
        <v>2930</v>
      </c>
      <c r="G500" s="543">
        <v>45445</v>
      </c>
      <c r="H500" s="543">
        <v>45446</v>
      </c>
      <c r="I500" s="543">
        <v>45446</v>
      </c>
      <c r="J500" s="543">
        <v>45446</v>
      </c>
      <c r="K500" s="517">
        <v>45446</v>
      </c>
      <c r="L500" s="518" t="s">
        <v>705</v>
      </c>
      <c r="M500" s="264" t="s">
        <v>2587</v>
      </c>
      <c r="N500" s="262" t="s">
        <v>2176</v>
      </c>
      <c r="O500" s="390" t="s">
        <v>238</v>
      </c>
      <c r="P500" s="264" t="str">
        <f t="shared" si="21"/>
        <v>Binder Klip  nomor 111</v>
      </c>
      <c r="Q500" s="264" t="s">
        <v>710</v>
      </c>
      <c r="R500" s="519" t="s">
        <v>109</v>
      </c>
      <c r="S500" s="399">
        <v>5</v>
      </c>
      <c r="T500" s="348" t="s">
        <v>3362</v>
      </c>
      <c r="U500" s="520">
        <v>11000</v>
      </c>
      <c r="V500" s="266">
        <v>55000</v>
      </c>
      <c r="W500" s="521" t="s">
        <v>227</v>
      </c>
      <c r="X500" s="521" t="s">
        <v>3383</v>
      </c>
      <c r="Y500" s="522" t="s">
        <v>2512</v>
      </c>
      <c r="Z500" s="523" t="s">
        <v>541</v>
      </c>
    </row>
    <row r="501" spans="1:33" s="526" customFormat="1" ht="29">
      <c r="A501" s="513">
        <v>499</v>
      </c>
      <c r="B501" s="390"/>
      <c r="C501" s="515" t="s">
        <v>2930</v>
      </c>
      <c r="D501" s="262" t="s">
        <v>853</v>
      </c>
      <c r="E501" s="513">
        <v>500</v>
      </c>
      <c r="F501" s="544" t="s">
        <v>2930</v>
      </c>
      <c r="G501" s="543">
        <v>45445</v>
      </c>
      <c r="H501" s="543">
        <v>45446</v>
      </c>
      <c r="I501" s="543">
        <v>45446</v>
      </c>
      <c r="J501" s="543">
        <v>45446</v>
      </c>
      <c r="K501" s="517">
        <v>45446</v>
      </c>
      <c r="L501" s="518" t="s">
        <v>705</v>
      </c>
      <c r="M501" s="264" t="s">
        <v>2587</v>
      </c>
      <c r="N501" s="262" t="s">
        <v>2176</v>
      </c>
      <c r="O501" s="390" t="s">
        <v>233</v>
      </c>
      <c r="P501" s="264" t="str">
        <f t="shared" si="21"/>
        <v>Ballpoint Drawing Pen 0,1 Snowman</v>
      </c>
      <c r="Q501" s="264" t="s">
        <v>710</v>
      </c>
      <c r="R501" s="525" t="s">
        <v>2590</v>
      </c>
      <c r="S501" s="399">
        <v>1</v>
      </c>
      <c r="T501" s="348" t="s">
        <v>3364</v>
      </c>
      <c r="U501" s="520">
        <v>95000</v>
      </c>
      <c r="V501" s="266">
        <v>95000</v>
      </c>
      <c r="W501" s="521" t="s">
        <v>227</v>
      </c>
      <c r="X501" s="521" t="s">
        <v>3383</v>
      </c>
      <c r="Y501" s="522" t="s">
        <v>2512</v>
      </c>
      <c r="Z501" s="523" t="s">
        <v>541</v>
      </c>
    </row>
    <row r="502" spans="1:33" s="526" customFormat="1" ht="29">
      <c r="A502" s="513">
        <v>500</v>
      </c>
      <c r="B502" s="390"/>
      <c r="C502" s="515" t="s">
        <v>2930</v>
      </c>
      <c r="D502" s="262" t="s">
        <v>853</v>
      </c>
      <c r="E502" s="513">
        <v>501</v>
      </c>
      <c r="F502" s="544" t="s">
        <v>2930</v>
      </c>
      <c r="G502" s="543">
        <v>45445</v>
      </c>
      <c r="H502" s="543">
        <v>45446</v>
      </c>
      <c r="I502" s="543">
        <v>45446</v>
      </c>
      <c r="J502" s="543">
        <v>45446</v>
      </c>
      <c r="K502" s="517">
        <v>45446</v>
      </c>
      <c r="L502" s="518" t="s">
        <v>705</v>
      </c>
      <c r="M502" s="264" t="s">
        <v>2587</v>
      </c>
      <c r="N502" s="262" t="s">
        <v>2176</v>
      </c>
      <c r="O502" s="390" t="s">
        <v>2234</v>
      </c>
      <c r="P502" s="264" t="str">
        <f t="shared" si="21"/>
        <v>Stofmap Transparan tali</v>
      </c>
      <c r="Q502" s="264" t="s">
        <v>710</v>
      </c>
      <c r="R502" s="519" t="s">
        <v>158</v>
      </c>
      <c r="S502" s="399">
        <v>100</v>
      </c>
      <c r="T502" s="348" t="s">
        <v>3363</v>
      </c>
      <c r="U502" s="520">
        <v>5500</v>
      </c>
      <c r="V502" s="266">
        <v>550000</v>
      </c>
      <c r="W502" s="521" t="s">
        <v>227</v>
      </c>
      <c r="X502" s="521" t="s">
        <v>3383</v>
      </c>
      <c r="Y502" s="522" t="s">
        <v>2512</v>
      </c>
      <c r="Z502" s="523" t="s">
        <v>541</v>
      </c>
    </row>
    <row r="503" spans="1:33" s="526" customFormat="1" ht="29">
      <c r="A503" s="513">
        <v>501</v>
      </c>
      <c r="B503" s="390"/>
      <c r="C503" s="515" t="s">
        <v>2930</v>
      </c>
      <c r="D503" s="262" t="s">
        <v>853</v>
      </c>
      <c r="E503" s="513">
        <v>502</v>
      </c>
      <c r="F503" s="544" t="s">
        <v>2930</v>
      </c>
      <c r="G503" s="543">
        <v>45445</v>
      </c>
      <c r="H503" s="543">
        <v>45446</v>
      </c>
      <c r="I503" s="543">
        <v>45446</v>
      </c>
      <c r="J503" s="543">
        <v>45446</v>
      </c>
      <c r="K503" s="517">
        <v>45446</v>
      </c>
      <c r="L503" s="518" t="s">
        <v>705</v>
      </c>
      <c r="M503" s="264" t="s">
        <v>2587</v>
      </c>
      <c r="N503" s="262" t="s">
        <v>2176</v>
      </c>
      <c r="O503" s="390" t="s">
        <v>2235</v>
      </c>
      <c r="P503" s="264" t="str">
        <f t="shared" si="21"/>
        <v>Amplop Coklat Merk : GSU Ukuran Folio polos</v>
      </c>
      <c r="Q503" s="264" t="s">
        <v>710</v>
      </c>
      <c r="R503" s="529" t="s">
        <v>2593</v>
      </c>
      <c r="S503" s="399">
        <v>2</v>
      </c>
      <c r="T503" s="348" t="s">
        <v>3365</v>
      </c>
      <c r="U503" s="520">
        <v>60000</v>
      </c>
      <c r="V503" s="266">
        <v>120000</v>
      </c>
      <c r="W503" s="521" t="s">
        <v>227</v>
      </c>
      <c r="X503" s="521" t="s">
        <v>3383</v>
      </c>
      <c r="Y503" s="522" t="s">
        <v>2512</v>
      </c>
      <c r="Z503" s="523" t="s">
        <v>541</v>
      </c>
    </row>
    <row r="504" spans="1:33" s="526" customFormat="1" ht="29">
      <c r="A504" s="513">
        <v>502</v>
      </c>
      <c r="B504" s="390"/>
      <c r="C504" s="515" t="s">
        <v>2930</v>
      </c>
      <c r="D504" s="262" t="s">
        <v>853</v>
      </c>
      <c r="E504" s="513">
        <v>503</v>
      </c>
      <c r="F504" s="544" t="s">
        <v>2930</v>
      </c>
      <c r="G504" s="543">
        <v>45445</v>
      </c>
      <c r="H504" s="543">
        <v>45446</v>
      </c>
      <c r="I504" s="543">
        <v>45446</v>
      </c>
      <c r="J504" s="543">
        <v>45446</v>
      </c>
      <c r="K504" s="517">
        <v>45446</v>
      </c>
      <c r="L504" s="518" t="s">
        <v>705</v>
      </c>
      <c r="M504" s="264" t="s">
        <v>2587</v>
      </c>
      <c r="N504" s="262" t="s">
        <v>2176</v>
      </c>
      <c r="O504" s="390" t="s">
        <v>2236</v>
      </c>
      <c r="P504" s="264" t="str">
        <f t="shared" si="21"/>
        <v>Stapler HD-10--</v>
      </c>
      <c r="Q504" s="264" t="s">
        <v>710</v>
      </c>
      <c r="R504" s="519" t="s">
        <v>152</v>
      </c>
      <c r="S504" s="399">
        <v>2</v>
      </c>
      <c r="T504" s="348" t="s">
        <v>3363</v>
      </c>
      <c r="U504" s="520">
        <v>20000</v>
      </c>
      <c r="V504" s="266">
        <v>40000</v>
      </c>
      <c r="W504" s="521" t="s">
        <v>227</v>
      </c>
      <c r="X504" s="521" t="s">
        <v>3383</v>
      </c>
      <c r="Y504" s="522" t="s">
        <v>2512</v>
      </c>
      <c r="Z504" s="523" t="s">
        <v>541</v>
      </c>
    </row>
    <row r="505" spans="1:33" s="526" customFormat="1" ht="29">
      <c r="A505" s="513">
        <v>503</v>
      </c>
      <c r="B505" s="390"/>
      <c r="C505" s="515" t="s">
        <v>2930</v>
      </c>
      <c r="D505" s="262" t="s">
        <v>853</v>
      </c>
      <c r="E505" s="513">
        <v>504</v>
      </c>
      <c r="F505" s="544" t="s">
        <v>2930</v>
      </c>
      <c r="G505" s="543">
        <v>45445</v>
      </c>
      <c r="H505" s="543">
        <v>45446</v>
      </c>
      <c r="I505" s="543">
        <v>45446</v>
      </c>
      <c r="J505" s="543">
        <v>45446</v>
      </c>
      <c r="K505" s="517">
        <v>45446</v>
      </c>
      <c r="L505" s="518" t="s">
        <v>705</v>
      </c>
      <c r="M505" s="264" t="s">
        <v>2587</v>
      </c>
      <c r="N505" s="262" t="s">
        <v>2176</v>
      </c>
      <c r="O505" s="390" t="s">
        <v>2237</v>
      </c>
      <c r="P505" s="264" t="str">
        <f t="shared" si="21"/>
        <v>Kertas Lain-Lain Kertas Buffalo</v>
      </c>
      <c r="Q505" s="264" t="s">
        <v>710</v>
      </c>
      <c r="R505" s="519" t="s">
        <v>130</v>
      </c>
      <c r="S505" s="399">
        <v>5</v>
      </c>
      <c r="T505" s="348" t="s">
        <v>3365</v>
      </c>
      <c r="U505" s="520">
        <v>31000</v>
      </c>
      <c r="V505" s="266">
        <v>155000</v>
      </c>
      <c r="W505" s="521" t="s">
        <v>227</v>
      </c>
      <c r="X505" s="521" t="s">
        <v>3383</v>
      </c>
      <c r="Y505" s="522" t="s">
        <v>2512</v>
      </c>
      <c r="Z505" s="523" t="s">
        <v>541</v>
      </c>
    </row>
    <row r="506" spans="1:33" s="526" customFormat="1" ht="29">
      <c r="A506" s="513">
        <v>504</v>
      </c>
      <c r="B506" s="390"/>
      <c r="C506" s="515" t="s">
        <v>2930</v>
      </c>
      <c r="D506" s="262" t="s">
        <v>853</v>
      </c>
      <c r="E506" s="513">
        <v>505</v>
      </c>
      <c r="F506" s="544" t="s">
        <v>2930</v>
      </c>
      <c r="G506" s="543">
        <v>45445</v>
      </c>
      <c r="H506" s="543">
        <v>45446</v>
      </c>
      <c r="I506" s="543">
        <v>45446</v>
      </c>
      <c r="J506" s="543">
        <v>45446</v>
      </c>
      <c r="K506" s="517">
        <v>45446</v>
      </c>
      <c r="L506" s="518" t="s">
        <v>705</v>
      </c>
      <c r="M506" s="264" t="s">
        <v>2587</v>
      </c>
      <c r="N506" s="262" t="s">
        <v>2176</v>
      </c>
      <c r="O506" s="390" t="s">
        <v>236</v>
      </c>
      <c r="P506" s="264" t="str">
        <f t="shared" si="21"/>
        <v>Baterey Kecil</v>
      </c>
      <c r="Q506" s="264" t="s">
        <v>710</v>
      </c>
      <c r="R506" s="519" t="s">
        <v>106</v>
      </c>
      <c r="S506" s="399">
        <v>2</v>
      </c>
      <c r="T506" s="348" t="s">
        <v>3366</v>
      </c>
      <c r="U506" s="520">
        <v>20000</v>
      </c>
      <c r="V506" s="266">
        <v>40000</v>
      </c>
      <c r="W506" s="521" t="s">
        <v>227</v>
      </c>
      <c r="X506" s="521" t="s">
        <v>3383</v>
      </c>
      <c r="Y506" s="522" t="s">
        <v>2512</v>
      </c>
      <c r="Z506" s="523" t="s">
        <v>541</v>
      </c>
    </row>
    <row r="507" spans="1:33" s="526" customFormat="1" ht="29">
      <c r="A507" s="513">
        <v>505</v>
      </c>
      <c r="B507" s="390"/>
      <c r="C507" s="515" t="s">
        <v>2930</v>
      </c>
      <c r="D507" s="262" t="s">
        <v>853</v>
      </c>
      <c r="E507" s="513">
        <v>506</v>
      </c>
      <c r="F507" s="544" t="s">
        <v>2930</v>
      </c>
      <c r="G507" s="543">
        <v>45445</v>
      </c>
      <c r="H507" s="543">
        <v>45446</v>
      </c>
      <c r="I507" s="543">
        <v>45446</v>
      </c>
      <c r="J507" s="543">
        <v>45446</v>
      </c>
      <c r="K507" s="517">
        <v>45446</v>
      </c>
      <c r="L507" s="518" t="s">
        <v>705</v>
      </c>
      <c r="M507" s="264" t="s">
        <v>2587</v>
      </c>
      <c r="N507" s="262" t="s">
        <v>2176</v>
      </c>
      <c r="O507" s="390" t="s">
        <v>2239</v>
      </c>
      <c r="P507" s="264" t="str">
        <f t="shared" si="21"/>
        <v>Tinta Printer Canon 741 Warna-741 Warna</v>
      </c>
      <c r="Q507" s="264" t="s">
        <v>710</v>
      </c>
      <c r="R507" s="519" t="s">
        <v>160</v>
      </c>
      <c r="S507" s="399">
        <v>12</v>
      </c>
      <c r="T507" s="348" t="s">
        <v>3367</v>
      </c>
      <c r="U507" s="520">
        <v>33000</v>
      </c>
      <c r="V507" s="266">
        <v>396000</v>
      </c>
      <c r="W507" s="521" t="s">
        <v>227</v>
      </c>
      <c r="X507" s="521" t="s">
        <v>3383</v>
      </c>
      <c r="Y507" s="522" t="s">
        <v>2512</v>
      </c>
      <c r="Z507" s="523" t="s">
        <v>541</v>
      </c>
    </row>
    <row r="508" spans="1:33" s="526" customFormat="1" ht="37.5">
      <c r="A508" s="513">
        <v>506</v>
      </c>
      <c r="B508" s="390"/>
      <c r="C508" s="515" t="s">
        <v>2930</v>
      </c>
      <c r="D508" s="262" t="s">
        <v>853</v>
      </c>
      <c r="E508" s="513">
        <v>507</v>
      </c>
      <c r="F508" s="544" t="s">
        <v>2930</v>
      </c>
      <c r="G508" s="543">
        <v>45445</v>
      </c>
      <c r="H508" s="543">
        <v>45446</v>
      </c>
      <c r="I508" s="543">
        <v>45446</v>
      </c>
      <c r="J508" s="543">
        <v>45446</v>
      </c>
      <c r="K508" s="517">
        <v>45446</v>
      </c>
      <c r="L508" s="518" t="s">
        <v>705</v>
      </c>
      <c r="M508" s="264" t="s">
        <v>2587</v>
      </c>
      <c r="N508" s="262" t="s">
        <v>2176</v>
      </c>
      <c r="O508" s="390" t="s">
        <v>252</v>
      </c>
      <c r="P508" s="524" t="s">
        <v>2571</v>
      </c>
      <c r="Q508" s="264" t="s">
        <v>710</v>
      </c>
      <c r="R508" s="519" t="s">
        <v>136</v>
      </c>
      <c r="S508" s="399">
        <v>5</v>
      </c>
      <c r="T508" s="348" t="s">
        <v>2436</v>
      </c>
      <c r="U508" s="520">
        <v>15000</v>
      </c>
      <c r="V508" s="266">
        <v>75000</v>
      </c>
      <c r="W508" s="521" t="s">
        <v>227</v>
      </c>
      <c r="X508" s="521" t="s">
        <v>3383</v>
      </c>
      <c r="Y508" s="522" t="s">
        <v>2512</v>
      </c>
      <c r="Z508" s="523" t="s">
        <v>541</v>
      </c>
    </row>
    <row r="509" spans="1:33" s="526" customFormat="1" ht="29">
      <c r="A509" s="513">
        <v>507</v>
      </c>
      <c r="B509" s="390"/>
      <c r="C509" s="515" t="s">
        <v>2930</v>
      </c>
      <c r="D509" s="262" t="s">
        <v>853</v>
      </c>
      <c r="E509" s="513">
        <v>508</v>
      </c>
      <c r="F509" s="544" t="s">
        <v>2930</v>
      </c>
      <c r="G509" s="543">
        <v>45445</v>
      </c>
      <c r="H509" s="543">
        <v>45446</v>
      </c>
      <c r="I509" s="543">
        <v>45446</v>
      </c>
      <c r="J509" s="543">
        <v>45446</v>
      </c>
      <c r="K509" s="517">
        <v>45446</v>
      </c>
      <c r="L509" s="518" t="s">
        <v>705</v>
      </c>
      <c r="M509" s="264" t="s">
        <v>2587</v>
      </c>
      <c r="N509" s="262" t="s">
        <v>2176</v>
      </c>
      <c r="O509" s="390" t="s">
        <v>259</v>
      </c>
      <c r="P509" s="264" t="str">
        <f t="shared" ref="P509:P532" si="22">O509</f>
        <v>Plastik Mika</v>
      </c>
      <c r="Q509" s="264" t="s">
        <v>710</v>
      </c>
      <c r="R509" s="519" t="s">
        <v>148</v>
      </c>
      <c r="S509" s="399">
        <v>5</v>
      </c>
      <c r="T509" s="348" t="s">
        <v>3365</v>
      </c>
      <c r="U509" s="520">
        <v>60000</v>
      </c>
      <c r="V509" s="266">
        <v>300000</v>
      </c>
      <c r="W509" s="521" t="s">
        <v>227</v>
      </c>
      <c r="X509" s="521" t="s">
        <v>3383</v>
      </c>
      <c r="Y509" s="522" t="s">
        <v>2512</v>
      </c>
      <c r="Z509" s="523" t="s">
        <v>541</v>
      </c>
    </row>
    <row r="510" spans="1:33" s="526" customFormat="1" ht="29">
      <c r="A510" s="513">
        <v>508</v>
      </c>
      <c r="B510" s="390"/>
      <c r="C510" s="515" t="s">
        <v>2930</v>
      </c>
      <c r="D510" s="262" t="s">
        <v>853</v>
      </c>
      <c r="E510" s="513">
        <v>509</v>
      </c>
      <c r="F510" s="544" t="s">
        <v>2930</v>
      </c>
      <c r="G510" s="543">
        <v>45445</v>
      </c>
      <c r="H510" s="543">
        <v>45446</v>
      </c>
      <c r="I510" s="543">
        <v>45446</v>
      </c>
      <c r="J510" s="543">
        <v>45446</v>
      </c>
      <c r="K510" s="517">
        <v>45446</v>
      </c>
      <c r="L510" s="518" t="s">
        <v>705</v>
      </c>
      <c r="M510" s="264" t="s">
        <v>2587</v>
      </c>
      <c r="N510" s="262" t="s">
        <v>2176</v>
      </c>
      <c r="O510" s="390" t="s">
        <v>237</v>
      </c>
      <c r="P510" s="264" t="str">
        <f t="shared" si="22"/>
        <v>Binder Klip  nomor 107</v>
      </c>
      <c r="Q510" s="264" t="s">
        <v>710</v>
      </c>
      <c r="R510" s="525" t="s">
        <v>2595</v>
      </c>
      <c r="S510" s="399">
        <v>5</v>
      </c>
      <c r="T510" s="348" t="s">
        <v>3362</v>
      </c>
      <c r="U510" s="520">
        <v>7500</v>
      </c>
      <c r="V510" s="266">
        <v>37500</v>
      </c>
      <c r="W510" s="521" t="s">
        <v>227</v>
      </c>
      <c r="X510" s="521" t="s">
        <v>3383</v>
      </c>
      <c r="Y510" s="522" t="s">
        <v>2512</v>
      </c>
      <c r="Z510" s="523" t="s">
        <v>541</v>
      </c>
    </row>
    <row r="511" spans="1:33" s="526" customFormat="1" ht="29">
      <c r="A511" s="513">
        <v>509</v>
      </c>
      <c r="B511" s="390"/>
      <c r="C511" s="515" t="s">
        <v>2930</v>
      </c>
      <c r="D511" s="262" t="s">
        <v>853</v>
      </c>
      <c r="E511" s="513">
        <v>510</v>
      </c>
      <c r="F511" s="544" t="s">
        <v>2930</v>
      </c>
      <c r="G511" s="543">
        <v>45445</v>
      </c>
      <c r="H511" s="543">
        <v>45446</v>
      </c>
      <c r="I511" s="543">
        <v>45446</v>
      </c>
      <c r="J511" s="543">
        <v>45446</v>
      </c>
      <c r="K511" s="517">
        <v>45446</v>
      </c>
      <c r="L511" s="518" t="s">
        <v>705</v>
      </c>
      <c r="M511" s="264" t="s">
        <v>2587</v>
      </c>
      <c r="N511" s="262" t="s">
        <v>2176</v>
      </c>
      <c r="O511" s="390" t="s">
        <v>228</v>
      </c>
      <c r="P511" s="264" t="str">
        <f t="shared" si="22"/>
        <v>Amplop Coklat Merk : Garda Ukuran Cabinet</v>
      </c>
      <c r="Q511" s="264" t="s">
        <v>710</v>
      </c>
      <c r="R511" s="525" t="s">
        <v>2596</v>
      </c>
      <c r="S511" s="399">
        <v>3</v>
      </c>
      <c r="T511" s="348" t="s">
        <v>3365</v>
      </c>
      <c r="U511" s="520">
        <v>23000</v>
      </c>
      <c r="V511" s="266">
        <v>69000</v>
      </c>
      <c r="W511" s="521" t="s">
        <v>227</v>
      </c>
      <c r="X511" s="521" t="s">
        <v>3383</v>
      </c>
      <c r="Y511" s="522" t="s">
        <v>2512</v>
      </c>
      <c r="Z511" s="523" t="s">
        <v>541</v>
      </c>
    </row>
    <row r="512" spans="1:33" s="526" customFormat="1" ht="29">
      <c r="A512" s="513">
        <v>510</v>
      </c>
      <c r="B512" s="390"/>
      <c r="C512" s="515" t="s">
        <v>2930</v>
      </c>
      <c r="D512" s="262" t="s">
        <v>853</v>
      </c>
      <c r="E512" s="513">
        <v>511</v>
      </c>
      <c r="F512" s="544" t="s">
        <v>2930</v>
      </c>
      <c r="G512" s="543">
        <v>45445</v>
      </c>
      <c r="H512" s="543">
        <v>45446</v>
      </c>
      <c r="I512" s="543">
        <v>45446</v>
      </c>
      <c r="J512" s="543">
        <v>45446</v>
      </c>
      <c r="K512" s="517">
        <v>45446</v>
      </c>
      <c r="L512" s="518" t="s">
        <v>705</v>
      </c>
      <c r="M512" s="264" t="s">
        <v>2587</v>
      </c>
      <c r="N512" s="262" t="s">
        <v>2176</v>
      </c>
      <c r="O512" s="390" t="s">
        <v>248</v>
      </c>
      <c r="P512" s="264" t="str">
        <f t="shared" si="22"/>
        <v>Kertas Label</v>
      </c>
      <c r="Q512" s="264" t="s">
        <v>710</v>
      </c>
      <c r="R512" s="525" t="s">
        <v>2597</v>
      </c>
      <c r="S512" s="399">
        <v>5</v>
      </c>
      <c r="T512" s="348" t="s">
        <v>3368</v>
      </c>
      <c r="U512" s="520">
        <v>25000</v>
      </c>
      <c r="V512" s="266">
        <v>125000</v>
      </c>
      <c r="W512" s="521" t="s">
        <v>227</v>
      </c>
      <c r="X512" s="521" t="s">
        <v>3383</v>
      </c>
      <c r="Y512" s="522" t="s">
        <v>2512</v>
      </c>
      <c r="Z512" s="523" t="s">
        <v>541</v>
      </c>
    </row>
    <row r="513" spans="1:26" s="526" customFormat="1" ht="43.5">
      <c r="A513" s="513">
        <v>511</v>
      </c>
      <c r="B513" s="390"/>
      <c r="C513" s="515" t="s">
        <v>2930</v>
      </c>
      <c r="D513" s="262" t="s">
        <v>853</v>
      </c>
      <c r="E513" s="513">
        <v>512</v>
      </c>
      <c r="F513" s="544" t="s">
        <v>2930</v>
      </c>
      <c r="G513" s="543">
        <v>45445</v>
      </c>
      <c r="H513" s="543">
        <v>45446</v>
      </c>
      <c r="I513" s="543">
        <v>45446</v>
      </c>
      <c r="J513" s="543">
        <v>45446</v>
      </c>
      <c r="K513" s="517">
        <v>45446</v>
      </c>
      <c r="L513" s="518" t="s">
        <v>705</v>
      </c>
      <c r="M513" s="264" t="s">
        <v>2587</v>
      </c>
      <c r="N513" s="262" t="s">
        <v>2176</v>
      </c>
      <c r="O513" s="390" t="s">
        <v>261</v>
      </c>
      <c r="P513" s="264" t="str">
        <f t="shared" si="22"/>
        <v>Spidol Refil Spidol White Board Snowman</v>
      </c>
      <c r="Q513" s="264" t="s">
        <v>710</v>
      </c>
      <c r="R513" s="519" t="s">
        <v>150</v>
      </c>
      <c r="S513" s="399">
        <v>10</v>
      </c>
      <c r="T513" s="348" t="s">
        <v>3363</v>
      </c>
      <c r="U513" s="520">
        <v>20900</v>
      </c>
      <c r="V513" s="266">
        <v>209000</v>
      </c>
      <c r="W513" s="521" t="s">
        <v>227</v>
      </c>
      <c r="X513" s="521" t="s">
        <v>3383</v>
      </c>
      <c r="Y513" s="522" t="s">
        <v>2512</v>
      </c>
      <c r="Z513" s="523" t="s">
        <v>541</v>
      </c>
    </row>
    <row r="514" spans="1:26" s="526" customFormat="1" ht="29">
      <c r="A514" s="513">
        <v>512</v>
      </c>
      <c r="B514" s="390"/>
      <c r="C514" s="515" t="s">
        <v>2930</v>
      </c>
      <c r="D514" s="262" t="s">
        <v>853</v>
      </c>
      <c r="E514" s="513">
        <v>513</v>
      </c>
      <c r="F514" s="544" t="s">
        <v>2930</v>
      </c>
      <c r="G514" s="543">
        <v>45445</v>
      </c>
      <c r="H514" s="543">
        <v>45446</v>
      </c>
      <c r="I514" s="543">
        <v>45446</v>
      </c>
      <c r="J514" s="543">
        <v>45446</v>
      </c>
      <c r="K514" s="517">
        <v>45446</v>
      </c>
      <c r="L514" s="518" t="s">
        <v>705</v>
      </c>
      <c r="M514" s="264" t="s">
        <v>2587</v>
      </c>
      <c r="N514" s="262" t="s">
        <v>2176</v>
      </c>
      <c r="O514" s="390" t="s">
        <v>241</v>
      </c>
      <c r="P514" s="264" t="str">
        <f t="shared" si="22"/>
        <v>Binder Klip Merk : KENKO nomor 105</v>
      </c>
      <c r="Q514" s="264" t="s">
        <v>710</v>
      </c>
      <c r="R514" s="525" t="s">
        <v>2728</v>
      </c>
      <c r="S514" s="399">
        <v>2</v>
      </c>
      <c r="T514" s="348" t="s">
        <v>3362</v>
      </c>
      <c r="U514" s="520">
        <v>5000</v>
      </c>
      <c r="V514" s="266">
        <v>10000</v>
      </c>
      <c r="W514" s="521" t="s">
        <v>227</v>
      </c>
      <c r="X514" s="521" t="s">
        <v>3383</v>
      </c>
      <c r="Y514" s="522" t="s">
        <v>2512</v>
      </c>
      <c r="Z514" s="523" t="s">
        <v>541</v>
      </c>
    </row>
    <row r="515" spans="1:26" s="526" customFormat="1" ht="29">
      <c r="A515" s="513">
        <v>513</v>
      </c>
      <c r="B515" s="390"/>
      <c r="C515" s="515" t="s">
        <v>2930</v>
      </c>
      <c r="D515" s="262" t="s">
        <v>853</v>
      </c>
      <c r="E515" s="513">
        <v>514</v>
      </c>
      <c r="F515" s="544" t="s">
        <v>2930</v>
      </c>
      <c r="G515" s="543">
        <v>45445</v>
      </c>
      <c r="H515" s="543">
        <v>45446</v>
      </c>
      <c r="I515" s="543">
        <v>45446</v>
      </c>
      <c r="J515" s="543">
        <v>45446</v>
      </c>
      <c r="K515" s="517">
        <v>45446</v>
      </c>
      <c r="L515" s="518" t="s">
        <v>705</v>
      </c>
      <c r="M515" s="264" t="s">
        <v>2587</v>
      </c>
      <c r="N515" s="262" t="s">
        <v>2176</v>
      </c>
      <c r="O515" s="390" t="s">
        <v>234</v>
      </c>
      <c r="P515" s="264" t="str">
        <f t="shared" si="22"/>
        <v>Ballpoint Pilot G2</v>
      </c>
      <c r="Q515" s="264" t="s">
        <v>710</v>
      </c>
      <c r="R515" s="519" t="s">
        <v>102</v>
      </c>
      <c r="S515" s="399">
        <v>1</v>
      </c>
      <c r="T515" s="348" t="s">
        <v>3364</v>
      </c>
      <c r="U515" s="520">
        <v>235000</v>
      </c>
      <c r="V515" s="266">
        <v>235000</v>
      </c>
      <c r="W515" s="521" t="s">
        <v>227</v>
      </c>
      <c r="X515" s="521" t="s">
        <v>3383</v>
      </c>
      <c r="Y515" s="522" t="s">
        <v>2512</v>
      </c>
      <c r="Z515" s="523" t="s">
        <v>541</v>
      </c>
    </row>
    <row r="516" spans="1:26" s="526" customFormat="1" ht="29">
      <c r="A516" s="513">
        <v>514</v>
      </c>
      <c r="B516" s="390"/>
      <c r="C516" s="515" t="s">
        <v>2930</v>
      </c>
      <c r="D516" s="262" t="s">
        <v>853</v>
      </c>
      <c r="E516" s="513">
        <v>515</v>
      </c>
      <c r="F516" s="544" t="s">
        <v>2930</v>
      </c>
      <c r="G516" s="543">
        <v>45445</v>
      </c>
      <c r="H516" s="543">
        <v>45446</v>
      </c>
      <c r="I516" s="543">
        <v>45446</v>
      </c>
      <c r="J516" s="543">
        <v>45446</v>
      </c>
      <c r="K516" s="517">
        <v>45446</v>
      </c>
      <c r="L516" s="518" t="s">
        <v>705</v>
      </c>
      <c r="M516" s="264" t="s">
        <v>2587</v>
      </c>
      <c r="N516" s="262" t="s">
        <v>2176</v>
      </c>
      <c r="O516" s="390" t="s">
        <v>243</v>
      </c>
      <c r="P516" s="264" t="str">
        <f t="shared" si="22"/>
        <v>C. Tinta Printer EPSON Tinta Printer Epson Blue</v>
      </c>
      <c r="Q516" s="264" t="s">
        <v>710</v>
      </c>
      <c r="R516" s="519" t="s">
        <v>117</v>
      </c>
      <c r="S516" s="399">
        <v>4</v>
      </c>
      <c r="T516" s="348" t="s">
        <v>3367</v>
      </c>
      <c r="U516" s="520">
        <v>110000</v>
      </c>
      <c r="V516" s="266">
        <v>440000</v>
      </c>
      <c r="W516" s="521" t="s">
        <v>227</v>
      </c>
      <c r="X516" s="521" t="s">
        <v>3383</v>
      </c>
      <c r="Y516" s="522" t="s">
        <v>2512</v>
      </c>
      <c r="Z516" s="523" t="s">
        <v>541</v>
      </c>
    </row>
    <row r="517" spans="1:26" s="526" customFormat="1" ht="29">
      <c r="A517" s="513">
        <v>515</v>
      </c>
      <c r="B517" s="390"/>
      <c r="C517" s="515" t="s">
        <v>2930</v>
      </c>
      <c r="D517" s="262" t="s">
        <v>853</v>
      </c>
      <c r="E517" s="513">
        <v>516</v>
      </c>
      <c r="F517" s="544" t="s">
        <v>2930</v>
      </c>
      <c r="G517" s="543">
        <v>45445</v>
      </c>
      <c r="H517" s="543">
        <v>45446</v>
      </c>
      <c r="I517" s="543">
        <v>45446</v>
      </c>
      <c r="J517" s="543">
        <v>45446</v>
      </c>
      <c r="K517" s="517">
        <v>45446</v>
      </c>
      <c r="L517" s="518" t="s">
        <v>705</v>
      </c>
      <c r="M517" s="264" t="s">
        <v>2587</v>
      </c>
      <c r="N517" s="262" t="s">
        <v>2176</v>
      </c>
      <c r="O517" s="390" t="s">
        <v>254</v>
      </c>
      <c r="P517" s="264" t="str">
        <f t="shared" si="22"/>
        <v>Map Binder</v>
      </c>
      <c r="Q517" s="264" t="s">
        <v>710</v>
      </c>
      <c r="R517" s="519" t="s">
        <v>142</v>
      </c>
      <c r="S517" s="399">
        <v>12</v>
      </c>
      <c r="T517" s="348" t="s">
        <v>3363</v>
      </c>
      <c r="U517" s="520">
        <v>35500</v>
      </c>
      <c r="V517" s="266">
        <v>426000</v>
      </c>
      <c r="W517" s="521" t="s">
        <v>227</v>
      </c>
      <c r="X517" s="521" t="s">
        <v>3383</v>
      </c>
      <c r="Y517" s="522" t="s">
        <v>2512</v>
      </c>
      <c r="Z517" s="523" t="s">
        <v>541</v>
      </c>
    </row>
    <row r="518" spans="1:26" s="526" customFormat="1" ht="29">
      <c r="A518" s="513">
        <v>516</v>
      </c>
      <c r="B518" s="390"/>
      <c r="C518" s="515" t="s">
        <v>2930</v>
      </c>
      <c r="D518" s="262" t="s">
        <v>853</v>
      </c>
      <c r="E518" s="513">
        <v>517</v>
      </c>
      <c r="F518" s="544" t="s">
        <v>2930</v>
      </c>
      <c r="G518" s="543">
        <v>45445</v>
      </c>
      <c r="H518" s="543">
        <v>45446</v>
      </c>
      <c r="I518" s="543">
        <v>45446</v>
      </c>
      <c r="J518" s="543">
        <v>45446</v>
      </c>
      <c r="K518" s="517">
        <v>45446</v>
      </c>
      <c r="L518" s="518" t="s">
        <v>705</v>
      </c>
      <c r="M518" s="264" t="s">
        <v>2587</v>
      </c>
      <c r="N518" s="262" t="s">
        <v>2176</v>
      </c>
      <c r="O518" s="390" t="s">
        <v>2241</v>
      </c>
      <c r="P518" s="264" t="str">
        <f t="shared" si="22"/>
        <v>Stapler Stapler No, 50 MAX</v>
      </c>
      <c r="Q518" s="264" t="s">
        <v>710</v>
      </c>
      <c r="R518" s="519" t="s">
        <v>153</v>
      </c>
      <c r="S518" s="399">
        <v>2</v>
      </c>
      <c r="T518" s="348" t="s">
        <v>3363</v>
      </c>
      <c r="U518" s="520">
        <v>25000</v>
      </c>
      <c r="V518" s="266">
        <v>50000</v>
      </c>
      <c r="W518" s="521" t="s">
        <v>227</v>
      </c>
      <c r="X518" s="521" t="s">
        <v>3383</v>
      </c>
      <c r="Y518" s="522" t="s">
        <v>2512</v>
      </c>
      <c r="Z518" s="523" t="s">
        <v>541</v>
      </c>
    </row>
    <row r="519" spans="1:26" s="526" customFormat="1" ht="29">
      <c r="A519" s="513">
        <v>517</v>
      </c>
      <c r="B519" s="390"/>
      <c r="C519" s="515" t="s">
        <v>2930</v>
      </c>
      <c r="D519" s="262" t="s">
        <v>853</v>
      </c>
      <c r="E519" s="513">
        <v>518</v>
      </c>
      <c r="F519" s="544" t="s">
        <v>2930</v>
      </c>
      <c r="G519" s="543">
        <v>45445</v>
      </c>
      <c r="H519" s="543">
        <v>45446</v>
      </c>
      <c r="I519" s="543">
        <v>45446</v>
      </c>
      <c r="J519" s="543">
        <v>45446</v>
      </c>
      <c r="K519" s="517">
        <v>45446</v>
      </c>
      <c r="L519" s="518" t="s">
        <v>705</v>
      </c>
      <c r="M519" s="264" t="s">
        <v>2587</v>
      </c>
      <c r="N519" s="262" t="s">
        <v>2176</v>
      </c>
      <c r="O519" s="390" t="s">
        <v>230</v>
      </c>
      <c r="P519" s="264" t="str">
        <f t="shared" si="22"/>
        <v>Amplop Coklat Merk : GSU Ukuran : 1/2 folio, bergaris</v>
      </c>
      <c r="Q519" s="264" t="s">
        <v>710</v>
      </c>
      <c r="R519" s="525" t="s">
        <v>2600</v>
      </c>
      <c r="S519" s="399">
        <v>1</v>
      </c>
      <c r="T519" s="348" t="s">
        <v>3365</v>
      </c>
      <c r="U519" s="520">
        <v>45000</v>
      </c>
      <c r="V519" s="266">
        <v>45000</v>
      </c>
      <c r="W519" s="521" t="s">
        <v>227</v>
      </c>
      <c r="X519" s="521" t="s">
        <v>3383</v>
      </c>
      <c r="Y519" s="522" t="s">
        <v>2512</v>
      </c>
      <c r="Z519" s="523" t="s">
        <v>541</v>
      </c>
    </row>
    <row r="520" spans="1:26" s="526" customFormat="1" ht="29">
      <c r="A520" s="513">
        <v>518</v>
      </c>
      <c r="B520" s="390"/>
      <c r="C520" s="515" t="s">
        <v>2930</v>
      </c>
      <c r="D520" s="262" t="s">
        <v>853</v>
      </c>
      <c r="E520" s="513">
        <v>519</v>
      </c>
      <c r="F520" s="544" t="s">
        <v>2930</v>
      </c>
      <c r="G520" s="543">
        <v>45445</v>
      </c>
      <c r="H520" s="543">
        <v>45446</v>
      </c>
      <c r="I520" s="543">
        <v>45446</v>
      </c>
      <c r="J520" s="543">
        <v>45446</v>
      </c>
      <c r="K520" s="517">
        <v>45446</v>
      </c>
      <c r="L520" s="518" t="s">
        <v>705</v>
      </c>
      <c r="M520" s="264" t="s">
        <v>2587</v>
      </c>
      <c r="N520" s="262" t="s">
        <v>2176</v>
      </c>
      <c r="O520" s="390" t="s">
        <v>2242</v>
      </c>
      <c r="P520" s="264" t="str">
        <f t="shared" si="22"/>
        <v>Lakban Hitam--</v>
      </c>
      <c r="Q520" s="264" t="s">
        <v>710</v>
      </c>
      <c r="R520" s="519" t="s">
        <v>137</v>
      </c>
      <c r="S520" s="399">
        <v>5</v>
      </c>
      <c r="T520" s="348" t="s">
        <v>3363</v>
      </c>
      <c r="U520" s="520">
        <v>15500</v>
      </c>
      <c r="V520" s="266">
        <v>77500</v>
      </c>
      <c r="W520" s="521" t="s">
        <v>227</v>
      </c>
      <c r="X520" s="521" t="s">
        <v>3383</v>
      </c>
      <c r="Y520" s="522" t="s">
        <v>2512</v>
      </c>
      <c r="Z520" s="523" t="s">
        <v>541</v>
      </c>
    </row>
    <row r="521" spans="1:26" s="526" customFormat="1" ht="29">
      <c r="A521" s="513">
        <v>519</v>
      </c>
      <c r="B521" s="390"/>
      <c r="C521" s="515" t="s">
        <v>2930</v>
      </c>
      <c r="D521" s="262" t="s">
        <v>853</v>
      </c>
      <c r="E521" s="513">
        <v>520</v>
      </c>
      <c r="F521" s="544" t="s">
        <v>2930</v>
      </c>
      <c r="G521" s="543">
        <v>45445</v>
      </c>
      <c r="H521" s="543">
        <v>45446</v>
      </c>
      <c r="I521" s="543">
        <v>45446</v>
      </c>
      <c r="J521" s="543">
        <v>45446</v>
      </c>
      <c r="K521" s="517">
        <v>45446</v>
      </c>
      <c r="L521" s="518" t="s">
        <v>705</v>
      </c>
      <c r="M521" s="264" t="s">
        <v>2587</v>
      </c>
      <c r="N521" s="262" t="s">
        <v>2176</v>
      </c>
      <c r="O521" s="390" t="s">
        <v>256</v>
      </c>
      <c r="P521" s="264" t="str">
        <f t="shared" si="22"/>
        <v>Paper Clip No 1  Paper Clip No 3</v>
      </c>
      <c r="Q521" s="264" t="s">
        <v>710</v>
      </c>
      <c r="R521" s="519" t="s">
        <v>145</v>
      </c>
      <c r="S521" s="399">
        <v>5</v>
      </c>
      <c r="T521" s="348" t="s">
        <v>3362</v>
      </c>
      <c r="U521" s="520">
        <v>6000</v>
      </c>
      <c r="V521" s="266">
        <v>30000</v>
      </c>
      <c r="W521" s="521" t="s">
        <v>227</v>
      </c>
      <c r="X521" s="521" t="s">
        <v>3383</v>
      </c>
      <c r="Y521" s="522" t="s">
        <v>2512</v>
      </c>
      <c r="Z521" s="523" t="s">
        <v>541</v>
      </c>
    </row>
    <row r="522" spans="1:26" s="526" customFormat="1" ht="29">
      <c r="A522" s="513">
        <v>520</v>
      </c>
      <c r="B522" s="390"/>
      <c r="C522" s="515" t="s">
        <v>2930</v>
      </c>
      <c r="D522" s="262" t="s">
        <v>853</v>
      </c>
      <c r="E522" s="513">
        <v>521</v>
      </c>
      <c r="F522" s="544" t="s">
        <v>2930</v>
      </c>
      <c r="G522" s="543">
        <v>45445</v>
      </c>
      <c r="H522" s="543">
        <v>45446</v>
      </c>
      <c r="I522" s="543">
        <v>45446</v>
      </c>
      <c r="J522" s="543">
        <v>45446</v>
      </c>
      <c r="K522" s="517">
        <v>45446</v>
      </c>
      <c r="L522" s="518" t="s">
        <v>705</v>
      </c>
      <c r="M522" s="264" t="s">
        <v>2587</v>
      </c>
      <c r="N522" s="262" t="s">
        <v>2176</v>
      </c>
      <c r="O522" s="390" t="s">
        <v>2243</v>
      </c>
      <c r="P522" s="264" t="str">
        <f t="shared" si="22"/>
        <v>Lakban Hitam uk 2 " Warna hitam uk. 2 "</v>
      </c>
      <c r="Q522" s="264" t="s">
        <v>710</v>
      </c>
      <c r="R522" s="519" t="s">
        <v>140</v>
      </c>
      <c r="S522" s="399">
        <v>5</v>
      </c>
      <c r="T522" s="348" t="s">
        <v>3363</v>
      </c>
      <c r="U522" s="520">
        <v>25000</v>
      </c>
      <c r="V522" s="266">
        <v>125000</v>
      </c>
      <c r="W522" s="521" t="s">
        <v>227</v>
      </c>
      <c r="X522" s="521" t="s">
        <v>3383</v>
      </c>
      <c r="Y522" s="522" t="s">
        <v>2512</v>
      </c>
      <c r="Z522" s="523" t="s">
        <v>541</v>
      </c>
    </row>
    <row r="523" spans="1:26" s="526" customFormat="1" ht="29">
      <c r="A523" s="513">
        <v>521</v>
      </c>
      <c r="B523" s="390"/>
      <c r="C523" s="515" t="s">
        <v>2930</v>
      </c>
      <c r="D523" s="262" t="s">
        <v>853</v>
      </c>
      <c r="E523" s="513">
        <v>522</v>
      </c>
      <c r="F523" s="544" t="s">
        <v>2930</v>
      </c>
      <c r="G523" s="543">
        <v>45445</v>
      </c>
      <c r="H523" s="543">
        <v>45446</v>
      </c>
      <c r="I523" s="543">
        <v>45446</v>
      </c>
      <c r="J523" s="543">
        <v>45446</v>
      </c>
      <c r="K523" s="517">
        <v>45446</v>
      </c>
      <c r="L523" s="518" t="s">
        <v>705</v>
      </c>
      <c r="M523" s="264" t="s">
        <v>2587</v>
      </c>
      <c r="N523" s="262" t="s">
        <v>2176</v>
      </c>
      <c r="O523" s="390" t="s">
        <v>250</v>
      </c>
      <c r="P523" s="264" t="str">
        <f t="shared" si="22"/>
        <v>Kertas StensiI</v>
      </c>
      <c r="Q523" s="264" t="s">
        <v>710</v>
      </c>
      <c r="R523" s="519" t="s">
        <v>132</v>
      </c>
      <c r="S523" s="399">
        <v>10</v>
      </c>
      <c r="T523" s="348" t="s">
        <v>3365</v>
      </c>
      <c r="U523" s="520">
        <v>50000</v>
      </c>
      <c r="V523" s="266">
        <v>500000</v>
      </c>
      <c r="W523" s="521" t="s">
        <v>227</v>
      </c>
      <c r="X523" s="521" t="s">
        <v>3383</v>
      </c>
      <c r="Y523" s="522" t="s">
        <v>2512</v>
      </c>
      <c r="Z523" s="523" t="s">
        <v>541</v>
      </c>
    </row>
    <row r="524" spans="1:26" s="526" customFormat="1" ht="43.5">
      <c r="A524" s="513">
        <v>522</v>
      </c>
      <c r="B524" s="390"/>
      <c r="C524" s="515" t="s">
        <v>2930</v>
      </c>
      <c r="D524" s="262" t="s">
        <v>853</v>
      </c>
      <c r="E524" s="513">
        <v>523</v>
      </c>
      <c r="F524" s="544" t="s">
        <v>2930</v>
      </c>
      <c r="G524" s="543">
        <v>45445</v>
      </c>
      <c r="H524" s="543">
        <v>45446</v>
      </c>
      <c r="I524" s="543">
        <v>45446</v>
      </c>
      <c r="J524" s="543">
        <v>45446</v>
      </c>
      <c r="K524" s="517">
        <v>45446</v>
      </c>
      <c r="L524" s="518" t="s">
        <v>705</v>
      </c>
      <c r="M524" s="264" t="s">
        <v>2587</v>
      </c>
      <c r="N524" s="262" t="s">
        <v>2176</v>
      </c>
      <c r="O524" s="390" t="s">
        <v>262</v>
      </c>
      <c r="P524" s="264" t="str">
        <f t="shared" si="22"/>
        <v>Spidol White board</v>
      </c>
      <c r="Q524" s="264" t="s">
        <v>710</v>
      </c>
      <c r="R524" s="519" t="s">
        <v>151</v>
      </c>
      <c r="S524" s="399">
        <v>2</v>
      </c>
      <c r="T524" s="348" t="s">
        <v>3364</v>
      </c>
      <c r="U524" s="520">
        <v>120000</v>
      </c>
      <c r="V524" s="266">
        <v>240000</v>
      </c>
      <c r="W524" s="521" t="s">
        <v>227</v>
      </c>
      <c r="X524" s="521" t="s">
        <v>3383</v>
      </c>
      <c r="Y524" s="522" t="s">
        <v>2512</v>
      </c>
      <c r="Z524" s="523" t="s">
        <v>541</v>
      </c>
    </row>
    <row r="525" spans="1:26" s="526" customFormat="1" ht="29">
      <c r="A525" s="513">
        <v>523</v>
      </c>
      <c r="B525" s="390"/>
      <c r="C525" s="515" t="s">
        <v>2930</v>
      </c>
      <c r="D525" s="262" t="s">
        <v>853</v>
      </c>
      <c r="E525" s="513">
        <v>524</v>
      </c>
      <c r="F525" s="544" t="s">
        <v>2930</v>
      </c>
      <c r="G525" s="543">
        <v>45445</v>
      </c>
      <c r="H525" s="543">
        <v>45446</v>
      </c>
      <c r="I525" s="543">
        <v>45446</v>
      </c>
      <c r="J525" s="543">
        <v>45446</v>
      </c>
      <c r="K525" s="517">
        <v>45446</v>
      </c>
      <c r="L525" s="518" t="s">
        <v>705</v>
      </c>
      <c r="M525" s="264" t="s">
        <v>2587</v>
      </c>
      <c r="N525" s="262" t="s">
        <v>2176</v>
      </c>
      <c r="O525" s="390" t="s">
        <v>258</v>
      </c>
      <c r="P525" s="264" t="str">
        <f t="shared" si="22"/>
        <v>Pisau Cutter Kenko L-500</v>
      </c>
      <c r="Q525" s="264" t="s">
        <v>710</v>
      </c>
      <c r="R525" s="525" t="s">
        <v>2601</v>
      </c>
      <c r="S525" s="399">
        <v>2</v>
      </c>
      <c r="T525" s="348" t="s">
        <v>3363</v>
      </c>
      <c r="U525" s="520">
        <v>15000</v>
      </c>
      <c r="V525" s="266">
        <v>30000</v>
      </c>
      <c r="W525" s="521" t="s">
        <v>227</v>
      </c>
      <c r="X525" s="521" t="s">
        <v>3383</v>
      </c>
      <c r="Y525" s="522" t="s">
        <v>2512</v>
      </c>
      <c r="Z525" s="523" t="s">
        <v>541</v>
      </c>
    </row>
    <row r="526" spans="1:26" s="526" customFormat="1" ht="29">
      <c r="A526" s="513">
        <v>524</v>
      </c>
      <c r="B526" s="390"/>
      <c r="C526" s="515" t="s">
        <v>2930</v>
      </c>
      <c r="D526" s="262" t="s">
        <v>853</v>
      </c>
      <c r="E526" s="513">
        <v>525</v>
      </c>
      <c r="F526" s="544" t="s">
        <v>2930</v>
      </c>
      <c r="G526" s="543">
        <v>45445</v>
      </c>
      <c r="H526" s="543">
        <v>45446</v>
      </c>
      <c r="I526" s="543">
        <v>45446</v>
      </c>
      <c r="J526" s="543">
        <v>45446</v>
      </c>
      <c r="K526" s="517">
        <v>45446</v>
      </c>
      <c r="L526" s="518" t="s">
        <v>705</v>
      </c>
      <c r="M526" s="264" t="s">
        <v>2587</v>
      </c>
      <c r="N526" s="262" t="s">
        <v>2176</v>
      </c>
      <c r="O526" s="390" t="s">
        <v>240</v>
      </c>
      <c r="P526" s="264" t="str">
        <f t="shared" si="22"/>
        <v>Binder Klip  nomor 260</v>
      </c>
      <c r="Q526" s="264" t="s">
        <v>710</v>
      </c>
      <c r="R526" s="525" t="s">
        <v>2602</v>
      </c>
      <c r="S526" s="399">
        <v>10</v>
      </c>
      <c r="T526" s="348" t="s">
        <v>3362</v>
      </c>
      <c r="U526" s="520">
        <v>20000</v>
      </c>
      <c r="V526" s="266">
        <v>200000</v>
      </c>
      <c r="W526" s="521" t="s">
        <v>227</v>
      </c>
      <c r="X526" s="521" t="s">
        <v>3383</v>
      </c>
      <c r="Y526" s="522" t="s">
        <v>2512</v>
      </c>
      <c r="Z526" s="523" t="s">
        <v>541</v>
      </c>
    </row>
    <row r="527" spans="1:26" s="526" customFormat="1" ht="29">
      <c r="A527" s="513">
        <v>525</v>
      </c>
      <c r="B527" s="390"/>
      <c r="C527" s="515" t="s">
        <v>2930</v>
      </c>
      <c r="D527" s="262" t="s">
        <v>853</v>
      </c>
      <c r="E527" s="513">
        <v>526</v>
      </c>
      <c r="F527" s="544" t="s">
        <v>2930</v>
      </c>
      <c r="G527" s="543">
        <v>45445</v>
      </c>
      <c r="H527" s="543">
        <v>45446</v>
      </c>
      <c r="I527" s="543">
        <v>45446</v>
      </c>
      <c r="J527" s="543">
        <v>45446</v>
      </c>
      <c r="K527" s="517">
        <v>45446</v>
      </c>
      <c r="L527" s="518" t="s">
        <v>705</v>
      </c>
      <c r="M527" s="264" t="s">
        <v>2587</v>
      </c>
      <c r="N527" s="262" t="s">
        <v>2176</v>
      </c>
      <c r="O527" s="390" t="s">
        <v>246</v>
      </c>
      <c r="P527" s="264" t="str">
        <f t="shared" si="22"/>
        <v>C. Tinta Printer EPSON Tinta Printer Epson Yellow</v>
      </c>
      <c r="Q527" s="264" t="s">
        <v>710</v>
      </c>
      <c r="R527" s="519" t="s">
        <v>119</v>
      </c>
      <c r="S527" s="399">
        <v>4</v>
      </c>
      <c r="T527" s="348" t="s">
        <v>3367</v>
      </c>
      <c r="U527" s="520">
        <v>110000</v>
      </c>
      <c r="V527" s="266">
        <v>440000</v>
      </c>
      <c r="W527" s="521" t="s">
        <v>227</v>
      </c>
      <c r="X527" s="521" t="s">
        <v>3383</v>
      </c>
      <c r="Y527" s="522" t="s">
        <v>2512</v>
      </c>
      <c r="Z527" s="523" t="s">
        <v>541</v>
      </c>
    </row>
    <row r="528" spans="1:26" s="526" customFormat="1" ht="29">
      <c r="A528" s="513">
        <v>526</v>
      </c>
      <c r="B528" s="390"/>
      <c r="C528" s="515" t="s">
        <v>2930</v>
      </c>
      <c r="D528" s="262" t="s">
        <v>853</v>
      </c>
      <c r="E528" s="513">
        <v>527</v>
      </c>
      <c r="F528" s="544" t="s">
        <v>2930</v>
      </c>
      <c r="G528" s="543">
        <v>45445</v>
      </c>
      <c r="H528" s="543">
        <v>45446</v>
      </c>
      <c r="I528" s="543">
        <v>45446</v>
      </c>
      <c r="J528" s="543">
        <v>45446</v>
      </c>
      <c r="K528" s="517">
        <v>45446</v>
      </c>
      <c r="L528" s="518" t="s">
        <v>705</v>
      </c>
      <c r="M528" s="264" t="s">
        <v>2587</v>
      </c>
      <c r="N528" s="262" t="s">
        <v>2176</v>
      </c>
      <c r="O528" s="390" t="s">
        <v>255</v>
      </c>
      <c r="P528" s="264" t="str">
        <f t="shared" si="22"/>
        <v>PAPER CLIP  Paper Clip No 1</v>
      </c>
      <c r="Q528" s="264" t="s">
        <v>710</v>
      </c>
      <c r="R528" s="519" t="s">
        <v>144</v>
      </c>
      <c r="S528" s="399">
        <v>5</v>
      </c>
      <c r="T528" s="348" t="s">
        <v>3362</v>
      </c>
      <c r="U528" s="520">
        <v>5000</v>
      </c>
      <c r="V528" s="266">
        <v>25000</v>
      </c>
      <c r="W528" s="521" t="s">
        <v>227</v>
      </c>
      <c r="X528" s="521" t="s">
        <v>3383</v>
      </c>
      <c r="Y528" s="522" t="s">
        <v>2512</v>
      </c>
      <c r="Z528" s="523" t="s">
        <v>541</v>
      </c>
    </row>
    <row r="529" spans="1:26" s="526" customFormat="1" ht="29">
      <c r="A529" s="513">
        <v>527</v>
      </c>
      <c r="B529" s="390"/>
      <c r="C529" s="515" t="s">
        <v>2930</v>
      </c>
      <c r="D529" s="262" t="s">
        <v>853</v>
      </c>
      <c r="E529" s="513">
        <v>528</v>
      </c>
      <c r="F529" s="544" t="s">
        <v>2930</v>
      </c>
      <c r="G529" s="543">
        <v>45445</v>
      </c>
      <c r="H529" s="543">
        <v>45446</v>
      </c>
      <c r="I529" s="543">
        <v>45446</v>
      </c>
      <c r="J529" s="543">
        <v>45446</v>
      </c>
      <c r="K529" s="517">
        <v>45446</v>
      </c>
      <c r="L529" s="518" t="s">
        <v>705</v>
      </c>
      <c r="M529" s="264" t="s">
        <v>2587</v>
      </c>
      <c r="N529" s="262" t="s">
        <v>2176</v>
      </c>
      <c r="O529" s="390" t="s">
        <v>247</v>
      </c>
      <c r="P529" s="264" t="str">
        <f t="shared" si="22"/>
        <v>Kertas HVS 80 gram Merk : Paper One A4, Ukuran : 8,27" x 11,69", Isi : 500 lembar</v>
      </c>
      <c r="Q529" s="264" t="s">
        <v>710</v>
      </c>
      <c r="R529" s="519" t="s">
        <v>1351</v>
      </c>
      <c r="S529" s="399">
        <v>40</v>
      </c>
      <c r="T529" s="348" t="s">
        <v>3369</v>
      </c>
      <c r="U529" s="520">
        <v>50000</v>
      </c>
      <c r="V529" s="266">
        <v>2000000</v>
      </c>
      <c r="W529" s="521" t="s">
        <v>227</v>
      </c>
      <c r="X529" s="521" t="s">
        <v>3383</v>
      </c>
      <c r="Y529" s="522" t="s">
        <v>2512</v>
      </c>
      <c r="Z529" s="523" t="s">
        <v>541</v>
      </c>
    </row>
    <row r="530" spans="1:26" s="526" customFormat="1" ht="29">
      <c r="A530" s="513">
        <v>528</v>
      </c>
      <c r="B530" s="390"/>
      <c r="C530" s="515" t="s">
        <v>2930</v>
      </c>
      <c r="D530" s="262" t="s">
        <v>853</v>
      </c>
      <c r="E530" s="513">
        <v>529</v>
      </c>
      <c r="F530" s="544" t="s">
        <v>2930</v>
      </c>
      <c r="G530" s="543">
        <v>45445</v>
      </c>
      <c r="H530" s="543">
        <v>45446</v>
      </c>
      <c r="I530" s="543">
        <v>45446</v>
      </c>
      <c r="J530" s="543">
        <v>45446</v>
      </c>
      <c r="K530" s="517">
        <v>45446</v>
      </c>
      <c r="L530" s="518" t="s">
        <v>705</v>
      </c>
      <c r="M530" s="264" t="s">
        <v>2587</v>
      </c>
      <c r="N530" s="262" t="s">
        <v>2176</v>
      </c>
      <c r="O530" s="390" t="s">
        <v>264</v>
      </c>
      <c r="P530" s="264" t="str">
        <f t="shared" si="22"/>
        <v>Stofmap Transparan</v>
      </c>
      <c r="Q530" s="264" t="s">
        <v>710</v>
      </c>
      <c r="R530" s="519" t="s">
        <v>157</v>
      </c>
      <c r="S530" s="399">
        <v>100</v>
      </c>
      <c r="T530" s="348" t="s">
        <v>3363</v>
      </c>
      <c r="U530" s="520">
        <v>5500</v>
      </c>
      <c r="V530" s="266">
        <v>550000</v>
      </c>
      <c r="W530" s="521" t="s">
        <v>227</v>
      </c>
      <c r="X530" s="521" t="s">
        <v>3383</v>
      </c>
      <c r="Y530" s="522" t="s">
        <v>2512</v>
      </c>
      <c r="Z530" s="523" t="s">
        <v>541</v>
      </c>
    </row>
    <row r="531" spans="1:26" s="526" customFormat="1" ht="29">
      <c r="A531" s="513">
        <v>529</v>
      </c>
      <c r="B531" s="390"/>
      <c r="C531" s="515" t="s">
        <v>2930</v>
      </c>
      <c r="D531" s="262" t="s">
        <v>853</v>
      </c>
      <c r="E531" s="513">
        <v>530</v>
      </c>
      <c r="F531" s="544" t="s">
        <v>2930</v>
      </c>
      <c r="G531" s="543">
        <v>45445</v>
      </c>
      <c r="H531" s="543">
        <v>45446</v>
      </c>
      <c r="I531" s="543">
        <v>45446</v>
      </c>
      <c r="J531" s="543">
        <v>45446</v>
      </c>
      <c r="K531" s="517">
        <v>45446</v>
      </c>
      <c r="L531" s="518" t="s">
        <v>705</v>
      </c>
      <c r="M531" s="264" t="s">
        <v>2587</v>
      </c>
      <c r="N531" s="262" t="s">
        <v>2176</v>
      </c>
      <c r="O531" s="390" t="s">
        <v>2247</v>
      </c>
      <c r="P531" s="264" t="str">
        <f t="shared" si="22"/>
        <v>Amplop Panjang Putih Polos Merk : Jaya Ukuran : 11 x 23 cm</v>
      </c>
      <c r="Q531" s="264" t="s">
        <v>710</v>
      </c>
      <c r="R531" s="519" t="s">
        <v>99</v>
      </c>
      <c r="S531" s="399">
        <v>1</v>
      </c>
      <c r="T531" s="348" t="s">
        <v>3362</v>
      </c>
      <c r="U531" s="520">
        <v>48000</v>
      </c>
      <c r="V531" s="266">
        <v>48000</v>
      </c>
      <c r="W531" s="521" t="s">
        <v>227</v>
      </c>
      <c r="X531" s="521" t="s">
        <v>3383</v>
      </c>
      <c r="Y531" s="522" t="s">
        <v>2512</v>
      </c>
      <c r="Z531" s="523" t="s">
        <v>541</v>
      </c>
    </row>
    <row r="532" spans="1:26" s="526" customFormat="1" ht="29">
      <c r="A532" s="513">
        <v>530</v>
      </c>
      <c r="B532" s="390"/>
      <c r="C532" s="515" t="s">
        <v>2930</v>
      </c>
      <c r="D532" s="262" t="s">
        <v>853</v>
      </c>
      <c r="E532" s="513">
        <v>531</v>
      </c>
      <c r="F532" s="544" t="s">
        <v>2930</v>
      </c>
      <c r="G532" s="543">
        <v>45445</v>
      </c>
      <c r="H532" s="543">
        <v>45446</v>
      </c>
      <c r="I532" s="543">
        <v>45446</v>
      </c>
      <c r="J532" s="543">
        <v>45446</v>
      </c>
      <c r="K532" s="517">
        <v>45446</v>
      </c>
      <c r="L532" s="518" t="s">
        <v>705</v>
      </c>
      <c r="M532" s="264" t="s">
        <v>2587</v>
      </c>
      <c r="N532" s="262" t="s">
        <v>2176</v>
      </c>
      <c r="O532" s="390" t="s">
        <v>249</v>
      </c>
      <c r="P532" s="264" t="str">
        <f t="shared" si="22"/>
        <v>Kertas Post-It Warna Warni  Sign Here</v>
      </c>
      <c r="Q532" s="264" t="s">
        <v>710</v>
      </c>
      <c r="R532" s="525" t="s">
        <v>2604</v>
      </c>
      <c r="S532" s="399">
        <v>5</v>
      </c>
      <c r="T532" s="348" t="s">
        <v>3363</v>
      </c>
      <c r="U532" s="520">
        <v>22800</v>
      </c>
      <c r="V532" s="266">
        <v>114000</v>
      </c>
      <c r="W532" s="521" t="s">
        <v>227</v>
      </c>
      <c r="X532" s="521" t="s">
        <v>3383</v>
      </c>
      <c r="Y532" s="522" t="s">
        <v>2512</v>
      </c>
      <c r="Z532" s="523" t="s">
        <v>541</v>
      </c>
    </row>
    <row r="533" spans="1:26" s="526" customFormat="1" ht="37.5">
      <c r="A533" s="513">
        <v>531</v>
      </c>
      <c r="B533" s="390"/>
      <c r="C533" s="515" t="s">
        <v>2930</v>
      </c>
      <c r="D533" s="262" t="s">
        <v>853</v>
      </c>
      <c r="E533" s="513">
        <v>532</v>
      </c>
      <c r="F533" s="544" t="s">
        <v>2930</v>
      </c>
      <c r="G533" s="543">
        <v>45445</v>
      </c>
      <c r="H533" s="543">
        <v>45446</v>
      </c>
      <c r="I533" s="543">
        <v>45446</v>
      </c>
      <c r="J533" s="543">
        <v>45446</v>
      </c>
      <c r="K533" s="517">
        <v>45446</v>
      </c>
      <c r="L533" s="518" t="s">
        <v>705</v>
      </c>
      <c r="M533" s="264" t="s">
        <v>2587</v>
      </c>
      <c r="N533" s="262" t="s">
        <v>2176</v>
      </c>
      <c r="O533" s="390" t="s">
        <v>252</v>
      </c>
      <c r="P533" s="524" t="s">
        <v>2605</v>
      </c>
      <c r="Q533" s="264" t="s">
        <v>710</v>
      </c>
      <c r="R533" s="519" t="s">
        <v>134</v>
      </c>
      <c r="S533" s="399">
        <v>5</v>
      </c>
      <c r="T533" s="348" t="s">
        <v>2436</v>
      </c>
      <c r="U533" s="520">
        <v>10000</v>
      </c>
      <c r="V533" s="266">
        <v>50000</v>
      </c>
      <c r="W533" s="521" t="s">
        <v>227</v>
      </c>
      <c r="X533" s="521" t="s">
        <v>3383</v>
      </c>
      <c r="Y533" s="522" t="s">
        <v>2512</v>
      </c>
      <c r="Z533" s="523" t="s">
        <v>541</v>
      </c>
    </row>
    <row r="534" spans="1:26" s="526" customFormat="1" ht="29">
      <c r="A534" s="513">
        <v>532</v>
      </c>
      <c r="B534" s="390"/>
      <c r="C534" s="515" t="s">
        <v>2930</v>
      </c>
      <c r="D534" s="262" t="s">
        <v>853</v>
      </c>
      <c r="E534" s="513">
        <v>533</v>
      </c>
      <c r="F534" s="544" t="s">
        <v>2930</v>
      </c>
      <c r="G534" s="543">
        <v>45445</v>
      </c>
      <c r="H534" s="543">
        <v>45446</v>
      </c>
      <c r="I534" s="543">
        <v>45446</v>
      </c>
      <c r="J534" s="543">
        <v>45446</v>
      </c>
      <c r="K534" s="517">
        <v>45446</v>
      </c>
      <c r="L534" s="518" t="s">
        <v>705</v>
      </c>
      <c r="M534" s="264" t="s">
        <v>2587</v>
      </c>
      <c r="N534" s="262" t="s">
        <v>2176</v>
      </c>
      <c r="O534" s="390" t="s">
        <v>239</v>
      </c>
      <c r="P534" s="264" t="str">
        <f t="shared" ref="P534:P560" si="23">O534</f>
        <v>Binder Klip  nomor 200</v>
      </c>
      <c r="Q534" s="264" t="s">
        <v>710</v>
      </c>
      <c r="R534" s="519" t="s">
        <v>110</v>
      </c>
      <c r="S534" s="399">
        <v>10</v>
      </c>
      <c r="T534" s="348" t="s">
        <v>3362</v>
      </c>
      <c r="U534" s="520">
        <v>16500</v>
      </c>
      <c r="V534" s="266">
        <v>165000</v>
      </c>
      <c r="W534" s="521" t="s">
        <v>227</v>
      </c>
      <c r="X534" s="521" t="s">
        <v>3383</v>
      </c>
      <c r="Y534" s="522" t="s">
        <v>2512</v>
      </c>
      <c r="Z534" s="523" t="s">
        <v>541</v>
      </c>
    </row>
    <row r="535" spans="1:26" s="526" customFormat="1" ht="29">
      <c r="A535" s="513">
        <v>533</v>
      </c>
      <c r="B535" s="390"/>
      <c r="C535" s="515" t="s">
        <v>2930</v>
      </c>
      <c r="D535" s="262" t="s">
        <v>853</v>
      </c>
      <c r="E535" s="513">
        <v>534</v>
      </c>
      <c r="F535" s="544" t="s">
        <v>2930</v>
      </c>
      <c r="G535" s="543">
        <v>45445</v>
      </c>
      <c r="H535" s="543">
        <v>45446</v>
      </c>
      <c r="I535" s="543">
        <v>45446</v>
      </c>
      <c r="J535" s="543">
        <v>45446</v>
      </c>
      <c r="K535" s="517">
        <v>45446</v>
      </c>
      <c r="L535" s="518" t="s">
        <v>705</v>
      </c>
      <c r="M535" s="264" t="s">
        <v>2587</v>
      </c>
      <c r="N535" s="262" t="s">
        <v>2176</v>
      </c>
      <c r="O535" s="390" t="s">
        <v>2250</v>
      </c>
      <c r="P535" s="264" t="str">
        <f t="shared" si="23"/>
        <v>C. Tinta Printer EPSON Toner Epson 664 Black</v>
      </c>
      <c r="Q535" s="264" t="s">
        <v>710</v>
      </c>
      <c r="R535" s="519" t="s">
        <v>120</v>
      </c>
      <c r="S535" s="399">
        <v>6</v>
      </c>
      <c r="T535" s="348" t="s">
        <v>3367</v>
      </c>
      <c r="U535" s="520">
        <v>85000</v>
      </c>
      <c r="V535" s="266">
        <v>510000</v>
      </c>
      <c r="W535" s="521" t="s">
        <v>227</v>
      </c>
      <c r="X535" s="521" t="s">
        <v>3383</v>
      </c>
      <c r="Y535" s="522" t="s">
        <v>2512</v>
      </c>
      <c r="Z535" s="523" t="s">
        <v>541</v>
      </c>
    </row>
    <row r="536" spans="1:26" s="526" customFormat="1" ht="29">
      <c r="A536" s="513">
        <v>534</v>
      </c>
      <c r="B536" s="390"/>
      <c r="C536" s="515" t="s">
        <v>2930</v>
      </c>
      <c r="D536" s="262" t="s">
        <v>853</v>
      </c>
      <c r="E536" s="513">
        <v>535</v>
      </c>
      <c r="F536" s="544" t="s">
        <v>2930</v>
      </c>
      <c r="G536" s="543">
        <v>45445</v>
      </c>
      <c r="H536" s="543">
        <v>45446</v>
      </c>
      <c r="I536" s="543">
        <v>45446</v>
      </c>
      <c r="J536" s="543">
        <v>45446</v>
      </c>
      <c r="K536" s="517">
        <v>45446</v>
      </c>
      <c r="L536" s="518" t="s">
        <v>705</v>
      </c>
      <c r="M536" s="264" t="s">
        <v>2587</v>
      </c>
      <c r="N536" s="262" t="s">
        <v>2176</v>
      </c>
      <c r="O536" s="390" t="s">
        <v>2251</v>
      </c>
      <c r="P536" s="264" t="str">
        <f t="shared" si="23"/>
        <v>Isi Staples Sedang</v>
      </c>
      <c r="Q536" s="264" t="s">
        <v>710</v>
      </c>
      <c r="R536" s="519" t="s">
        <v>126</v>
      </c>
      <c r="S536" s="399">
        <v>2</v>
      </c>
      <c r="T536" s="348" t="s">
        <v>3362</v>
      </c>
      <c r="U536" s="520">
        <v>40000</v>
      </c>
      <c r="V536" s="266">
        <v>80000</v>
      </c>
      <c r="W536" s="521" t="s">
        <v>227</v>
      </c>
      <c r="X536" s="521" t="s">
        <v>3383</v>
      </c>
      <c r="Y536" s="522" t="s">
        <v>2512</v>
      </c>
      <c r="Z536" s="523" t="s">
        <v>541</v>
      </c>
    </row>
    <row r="537" spans="1:26" s="526" customFormat="1" ht="29">
      <c r="A537" s="513">
        <v>535</v>
      </c>
      <c r="B537" s="390"/>
      <c r="C537" s="515" t="s">
        <v>2930</v>
      </c>
      <c r="D537" s="262" t="s">
        <v>853</v>
      </c>
      <c r="E537" s="513">
        <v>536</v>
      </c>
      <c r="F537" s="544" t="s">
        <v>2930</v>
      </c>
      <c r="G537" s="543">
        <v>45445</v>
      </c>
      <c r="H537" s="543">
        <v>45446</v>
      </c>
      <c r="I537" s="543">
        <v>45446</v>
      </c>
      <c r="J537" s="543">
        <v>45446</v>
      </c>
      <c r="K537" s="517">
        <v>45446</v>
      </c>
      <c r="L537" s="518" t="s">
        <v>705</v>
      </c>
      <c r="M537" s="264" t="s">
        <v>2587</v>
      </c>
      <c r="N537" s="262" t="s">
        <v>2176</v>
      </c>
      <c r="O537" s="390" t="s">
        <v>251</v>
      </c>
      <c r="P537" s="264" t="str">
        <f t="shared" si="23"/>
        <v>Kertas Warna Blank Folio, Ukuran : 8,5 x 14",  70 gram</v>
      </c>
      <c r="Q537" s="264" t="s">
        <v>710</v>
      </c>
      <c r="R537" s="519" t="s">
        <v>133</v>
      </c>
      <c r="S537" s="399">
        <v>2</v>
      </c>
      <c r="T537" s="348" t="s">
        <v>3369</v>
      </c>
      <c r="U537" s="520">
        <v>90000</v>
      </c>
      <c r="V537" s="266">
        <v>180000</v>
      </c>
      <c r="W537" s="521" t="s">
        <v>227</v>
      </c>
      <c r="X537" s="521" t="s">
        <v>3383</v>
      </c>
      <c r="Y537" s="522" t="s">
        <v>2512</v>
      </c>
      <c r="Z537" s="523" t="s">
        <v>541</v>
      </c>
    </row>
    <row r="538" spans="1:26" s="526" customFormat="1" ht="29">
      <c r="A538" s="513">
        <v>536</v>
      </c>
      <c r="B538" s="390"/>
      <c r="C538" s="515" t="s">
        <v>2930</v>
      </c>
      <c r="D538" s="262" t="s">
        <v>853</v>
      </c>
      <c r="E538" s="513">
        <v>537</v>
      </c>
      <c r="F538" s="544" t="s">
        <v>2930</v>
      </c>
      <c r="G538" s="543">
        <v>45445</v>
      </c>
      <c r="H538" s="543">
        <v>45446</v>
      </c>
      <c r="I538" s="543">
        <v>45446</v>
      </c>
      <c r="J538" s="543">
        <v>45446</v>
      </c>
      <c r="K538" s="517">
        <v>45446</v>
      </c>
      <c r="L538" s="518" t="s">
        <v>705</v>
      </c>
      <c r="M538" s="264" t="s">
        <v>2587</v>
      </c>
      <c r="N538" s="262" t="s">
        <v>2176</v>
      </c>
      <c r="O538" s="390" t="s">
        <v>260</v>
      </c>
      <c r="P538" s="264" t="str">
        <f t="shared" si="23"/>
        <v>Sampul Plastik</v>
      </c>
      <c r="Q538" s="264" t="s">
        <v>710</v>
      </c>
      <c r="R538" s="519" t="s">
        <v>149</v>
      </c>
      <c r="S538" s="399">
        <v>5</v>
      </c>
      <c r="T538" s="348" t="s">
        <v>3365</v>
      </c>
      <c r="U538" s="520">
        <v>65000</v>
      </c>
      <c r="V538" s="266">
        <v>325000</v>
      </c>
      <c r="W538" s="521" t="s">
        <v>227</v>
      </c>
      <c r="X538" s="521" t="s">
        <v>3383</v>
      </c>
      <c r="Y538" s="522" t="s">
        <v>2512</v>
      </c>
      <c r="Z538" s="523" t="s">
        <v>541</v>
      </c>
    </row>
    <row r="539" spans="1:26" s="526" customFormat="1" ht="29">
      <c r="A539" s="513">
        <v>537</v>
      </c>
      <c r="B539" s="390"/>
      <c r="C539" s="515" t="s">
        <v>2930</v>
      </c>
      <c r="D539" s="262" t="s">
        <v>853</v>
      </c>
      <c r="E539" s="513">
        <v>538</v>
      </c>
      <c r="F539" s="544" t="s">
        <v>2930</v>
      </c>
      <c r="G539" s="543">
        <v>45445</v>
      </c>
      <c r="H539" s="543">
        <v>45446</v>
      </c>
      <c r="I539" s="543">
        <v>45446</v>
      </c>
      <c r="J539" s="543">
        <v>45446</v>
      </c>
      <c r="K539" s="517">
        <v>45446</v>
      </c>
      <c r="L539" s="518" t="s">
        <v>705</v>
      </c>
      <c r="M539" s="264" t="s">
        <v>2587</v>
      </c>
      <c r="N539" s="262" t="s">
        <v>2176</v>
      </c>
      <c r="O539" s="390" t="s">
        <v>2252</v>
      </c>
      <c r="P539" s="264" t="str">
        <f t="shared" si="23"/>
        <v>Box File Merk : Bantex Ukuran : 115x270x325 mm</v>
      </c>
      <c r="Q539" s="264" t="s">
        <v>710</v>
      </c>
      <c r="R539" s="524" t="s">
        <v>2606</v>
      </c>
      <c r="S539" s="399">
        <v>4</v>
      </c>
      <c r="T539" s="348" t="s">
        <v>3363</v>
      </c>
      <c r="U539" s="520">
        <v>59800</v>
      </c>
      <c r="V539" s="266">
        <v>239200</v>
      </c>
      <c r="W539" s="521" t="s">
        <v>227</v>
      </c>
      <c r="X539" s="521" t="s">
        <v>3383</v>
      </c>
      <c r="Y539" s="522" t="s">
        <v>2512</v>
      </c>
      <c r="Z539" s="523" t="s">
        <v>541</v>
      </c>
    </row>
    <row r="540" spans="1:26" s="526" customFormat="1" ht="29">
      <c r="A540" s="513">
        <v>538</v>
      </c>
      <c r="B540" s="390"/>
      <c r="C540" s="515" t="s">
        <v>2930</v>
      </c>
      <c r="D540" s="262" t="s">
        <v>853</v>
      </c>
      <c r="E540" s="513">
        <v>539</v>
      </c>
      <c r="F540" s="544" t="s">
        <v>2930</v>
      </c>
      <c r="G540" s="543">
        <v>45445</v>
      </c>
      <c r="H540" s="543">
        <v>45446</v>
      </c>
      <c r="I540" s="543">
        <v>45446</v>
      </c>
      <c r="J540" s="543">
        <v>45446</v>
      </c>
      <c r="K540" s="517">
        <v>45446</v>
      </c>
      <c r="L540" s="518" t="s">
        <v>705</v>
      </c>
      <c r="M540" s="264" t="s">
        <v>2587</v>
      </c>
      <c r="N540" s="262" t="s">
        <v>2176</v>
      </c>
      <c r="O540" s="390" t="s">
        <v>253</v>
      </c>
      <c r="P540" s="264" t="str">
        <f t="shared" si="23"/>
        <v>Lakban warna Uk 2" Warna Coklat Cofiie</v>
      </c>
      <c r="Q540" s="264" t="s">
        <v>710</v>
      </c>
      <c r="R540" s="519" t="s">
        <v>140</v>
      </c>
      <c r="S540" s="399">
        <v>3</v>
      </c>
      <c r="T540" s="348" t="s">
        <v>3363</v>
      </c>
      <c r="U540" s="520">
        <v>20000</v>
      </c>
      <c r="V540" s="266">
        <v>60000</v>
      </c>
      <c r="W540" s="521" t="s">
        <v>227</v>
      </c>
      <c r="X540" s="521" t="s">
        <v>3383</v>
      </c>
      <c r="Y540" s="522" t="s">
        <v>2512</v>
      </c>
      <c r="Z540" s="523" t="s">
        <v>541</v>
      </c>
    </row>
    <row r="541" spans="1:26" s="526" customFormat="1" ht="29">
      <c r="A541" s="513">
        <v>539</v>
      </c>
      <c r="B541" s="390"/>
      <c r="C541" s="515" t="s">
        <v>2930</v>
      </c>
      <c r="D541" s="262" t="s">
        <v>853</v>
      </c>
      <c r="E541" s="513">
        <v>540</v>
      </c>
      <c r="F541" s="544" t="s">
        <v>2930</v>
      </c>
      <c r="G541" s="543">
        <v>45445</v>
      </c>
      <c r="H541" s="543">
        <v>45446</v>
      </c>
      <c r="I541" s="543">
        <v>45446</v>
      </c>
      <c r="J541" s="543">
        <v>45446</v>
      </c>
      <c r="K541" s="517">
        <v>45446</v>
      </c>
      <c r="L541" s="518" t="s">
        <v>705</v>
      </c>
      <c r="M541" s="264" t="s">
        <v>2587</v>
      </c>
      <c r="N541" s="262" t="s">
        <v>2176</v>
      </c>
      <c r="O541" s="390" t="s">
        <v>2255</v>
      </c>
      <c r="P541" s="264" t="str">
        <f t="shared" si="23"/>
        <v>gunting kertas-ukuran : panjang 21cm x lebar 8cm, stainless steel</v>
      </c>
      <c r="Q541" s="264" t="s">
        <v>710</v>
      </c>
      <c r="R541" s="519" t="s">
        <v>123</v>
      </c>
      <c r="S541" s="399">
        <v>2</v>
      </c>
      <c r="T541" s="348" t="s">
        <v>3363</v>
      </c>
      <c r="U541" s="520">
        <v>20000</v>
      </c>
      <c r="V541" s="266">
        <v>40000</v>
      </c>
      <c r="W541" s="521" t="s">
        <v>227</v>
      </c>
      <c r="X541" s="521" t="s">
        <v>3383</v>
      </c>
      <c r="Y541" s="522" t="s">
        <v>2512</v>
      </c>
      <c r="Z541" s="523" t="s">
        <v>541</v>
      </c>
    </row>
    <row r="542" spans="1:26" s="526" customFormat="1" ht="29">
      <c r="A542" s="513">
        <v>540</v>
      </c>
      <c r="B542" s="390"/>
      <c r="C542" s="515" t="s">
        <v>2930</v>
      </c>
      <c r="D542" s="262" t="s">
        <v>853</v>
      </c>
      <c r="E542" s="513">
        <v>541</v>
      </c>
      <c r="F542" s="544" t="s">
        <v>2930</v>
      </c>
      <c r="G542" s="543">
        <v>45445</v>
      </c>
      <c r="H542" s="543">
        <v>45446</v>
      </c>
      <c r="I542" s="543">
        <v>45446</v>
      </c>
      <c r="J542" s="543">
        <v>45446</v>
      </c>
      <c r="K542" s="517">
        <v>45446</v>
      </c>
      <c r="L542" s="518" t="s">
        <v>705</v>
      </c>
      <c r="M542" s="264" t="s">
        <v>2587</v>
      </c>
      <c r="N542" s="262" t="s">
        <v>2176</v>
      </c>
      <c r="O542" s="390" t="s">
        <v>257</v>
      </c>
      <c r="P542" s="264" t="str">
        <f t="shared" si="23"/>
        <v>Penghapus White Board</v>
      </c>
      <c r="Q542" s="264" t="s">
        <v>710</v>
      </c>
      <c r="R542" s="519" t="s">
        <v>146</v>
      </c>
      <c r="S542" s="399">
        <v>30</v>
      </c>
      <c r="T542" s="348" t="s">
        <v>3363</v>
      </c>
      <c r="U542" s="520">
        <v>10000</v>
      </c>
      <c r="V542" s="266">
        <v>300000</v>
      </c>
      <c r="W542" s="521" t="s">
        <v>227</v>
      </c>
      <c r="X542" s="521" t="s">
        <v>3383</v>
      </c>
      <c r="Y542" s="522" t="s">
        <v>2512</v>
      </c>
      <c r="Z542" s="523" t="s">
        <v>541</v>
      </c>
    </row>
    <row r="543" spans="1:26" s="526" customFormat="1" ht="29">
      <c r="A543" s="513">
        <v>541</v>
      </c>
      <c r="B543" s="390"/>
      <c r="C543" s="515" t="s">
        <v>2930</v>
      </c>
      <c r="D543" s="262" t="s">
        <v>853</v>
      </c>
      <c r="E543" s="513">
        <v>542</v>
      </c>
      <c r="F543" s="544" t="s">
        <v>2930</v>
      </c>
      <c r="G543" s="543">
        <v>45445</v>
      </c>
      <c r="H543" s="543">
        <v>45446</v>
      </c>
      <c r="I543" s="543">
        <v>45446</v>
      </c>
      <c r="J543" s="543">
        <v>45446</v>
      </c>
      <c r="K543" s="517">
        <v>45446</v>
      </c>
      <c r="L543" s="518" t="s">
        <v>705</v>
      </c>
      <c r="M543" s="264" t="s">
        <v>2587</v>
      </c>
      <c r="N543" s="262" t="s">
        <v>2176</v>
      </c>
      <c r="O543" s="390" t="s">
        <v>2256</v>
      </c>
      <c r="P543" s="264" t="str">
        <f t="shared" si="23"/>
        <v>Ballpoint Standard AE7</v>
      </c>
      <c r="Q543" s="264" t="s">
        <v>710</v>
      </c>
      <c r="R543" s="519" t="s">
        <v>103</v>
      </c>
      <c r="S543" s="399">
        <v>2</v>
      </c>
      <c r="T543" s="348" t="s">
        <v>3364</v>
      </c>
      <c r="U543" s="520">
        <v>20000</v>
      </c>
      <c r="V543" s="266">
        <v>40000</v>
      </c>
      <c r="W543" s="521" t="s">
        <v>227</v>
      </c>
      <c r="X543" s="521" t="s">
        <v>3383</v>
      </c>
      <c r="Y543" s="522" t="s">
        <v>2512</v>
      </c>
      <c r="Z543" s="523" t="s">
        <v>541</v>
      </c>
    </row>
    <row r="544" spans="1:26" s="526" customFormat="1" ht="29">
      <c r="A544" s="513">
        <v>542</v>
      </c>
      <c r="B544" s="390"/>
      <c r="C544" s="515" t="s">
        <v>2930</v>
      </c>
      <c r="D544" s="262" t="s">
        <v>853</v>
      </c>
      <c r="E544" s="513">
        <v>543</v>
      </c>
      <c r="F544" s="544" t="s">
        <v>2930</v>
      </c>
      <c r="G544" s="543">
        <v>45445</v>
      </c>
      <c r="H544" s="543">
        <v>45446</v>
      </c>
      <c r="I544" s="543">
        <v>45446</v>
      </c>
      <c r="J544" s="543">
        <v>45446</v>
      </c>
      <c r="K544" s="517">
        <v>45446</v>
      </c>
      <c r="L544" s="518" t="s">
        <v>705</v>
      </c>
      <c r="M544" s="264" t="s">
        <v>2587</v>
      </c>
      <c r="N544" s="262" t="s">
        <v>2176</v>
      </c>
      <c r="O544" s="390" t="s">
        <v>245</v>
      </c>
      <c r="P544" s="264" t="str">
        <f t="shared" si="23"/>
        <v>C. Tinta Printer EPSON Tinta Printer Epson Read</v>
      </c>
      <c r="Q544" s="264" t="s">
        <v>710</v>
      </c>
      <c r="R544" s="528" t="s">
        <v>118</v>
      </c>
      <c r="S544" s="399">
        <v>4</v>
      </c>
      <c r="T544" s="348" t="s">
        <v>3367</v>
      </c>
      <c r="U544" s="520">
        <v>110000</v>
      </c>
      <c r="V544" s="266">
        <v>440000</v>
      </c>
      <c r="W544" s="521" t="s">
        <v>227</v>
      </c>
      <c r="X544" s="521" t="s">
        <v>3383</v>
      </c>
      <c r="Y544" s="522" t="s">
        <v>2512</v>
      </c>
      <c r="Z544" s="523" t="s">
        <v>541</v>
      </c>
    </row>
    <row r="545" spans="1:26" s="526" customFormat="1" ht="29">
      <c r="A545" s="513">
        <v>543</v>
      </c>
      <c r="B545" s="390"/>
      <c r="C545" s="515" t="s">
        <v>2930</v>
      </c>
      <c r="D545" s="262" t="s">
        <v>853</v>
      </c>
      <c r="E545" s="513">
        <v>544</v>
      </c>
      <c r="F545" s="544" t="s">
        <v>2930</v>
      </c>
      <c r="G545" s="543">
        <v>45445</v>
      </c>
      <c r="H545" s="543">
        <v>45446</v>
      </c>
      <c r="I545" s="543">
        <v>45446</v>
      </c>
      <c r="J545" s="543">
        <v>45446</v>
      </c>
      <c r="K545" s="517">
        <v>45446</v>
      </c>
      <c r="L545" s="518" t="s">
        <v>705</v>
      </c>
      <c r="M545" s="264" t="s">
        <v>2587</v>
      </c>
      <c r="N545" s="262" t="s">
        <v>2176</v>
      </c>
      <c r="O545" s="390" t="s">
        <v>263</v>
      </c>
      <c r="P545" s="264" t="str">
        <f t="shared" si="23"/>
        <v>Stofmap Kertas</v>
      </c>
      <c r="Q545" s="264" t="s">
        <v>710</v>
      </c>
      <c r="R545" s="519" t="s">
        <v>156</v>
      </c>
      <c r="S545" s="399">
        <v>1</v>
      </c>
      <c r="T545" s="348" t="s">
        <v>3370</v>
      </c>
      <c r="U545" s="520">
        <v>87500</v>
      </c>
      <c r="V545" s="266">
        <v>87500</v>
      </c>
      <c r="W545" s="521" t="s">
        <v>227</v>
      </c>
      <c r="X545" s="521" t="s">
        <v>3383</v>
      </c>
      <c r="Y545" s="522" t="s">
        <v>2512</v>
      </c>
      <c r="Z545" s="523" t="s">
        <v>541</v>
      </c>
    </row>
    <row r="546" spans="1:26" s="526" customFormat="1" ht="29">
      <c r="A546" s="513">
        <v>544</v>
      </c>
      <c r="B546" s="390"/>
      <c r="C546" s="515" t="s">
        <v>2930</v>
      </c>
      <c r="D546" s="262" t="s">
        <v>853</v>
      </c>
      <c r="E546" s="513">
        <v>545</v>
      </c>
      <c r="F546" s="544" t="s">
        <v>2930</v>
      </c>
      <c r="G546" s="543">
        <v>45445</v>
      </c>
      <c r="H546" s="543">
        <v>45446</v>
      </c>
      <c r="I546" s="543">
        <v>45446</v>
      </c>
      <c r="J546" s="543">
        <v>45446</v>
      </c>
      <c r="K546" s="517">
        <v>45446</v>
      </c>
      <c r="L546" s="518" t="s">
        <v>705</v>
      </c>
      <c r="M546" s="264" t="s">
        <v>2587</v>
      </c>
      <c r="N546" s="262" t="s">
        <v>2176</v>
      </c>
      <c r="O546" s="390" t="s">
        <v>2257</v>
      </c>
      <c r="P546" s="264" t="str">
        <f t="shared" si="23"/>
        <v>lakban hitam-ukuran : lebar 2 inch, panjang 12m, bahan : kain</v>
      </c>
      <c r="Q546" s="264" t="s">
        <v>710</v>
      </c>
      <c r="R546" s="519" t="s">
        <v>137</v>
      </c>
      <c r="S546" s="399">
        <v>4</v>
      </c>
      <c r="T546" s="348" t="s">
        <v>3363</v>
      </c>
      <c r="U546" s="520">
        <v>12500</v>
      </c>
      <c r="V546" s="266">
        <v>50000</v>
      </c>
      <c r="W546" s="521" t="s">
        <v>227</v>
      </c>
      <c r="X546" s="521" t="s">
        <v>3383</v>
      </c>
      <c r="Y546" s="522" t="s">
        <v>2512</v>
      </c>
      <c r="Z546" s="523" t="s">
        <v>541</v>
      </c>
    </row>
    <row r="547" spans="1:26" s="526" customFormat="1" ht="29">
      <c r="A547" s="513">
        <v>545</v>
      </c>
      <c r="B547" s="390"/>
      <c r="C547" s="515" t="s">
        <v>2930</v>
      </c>
      <c r="D547" s="262" t="s">
        <v>853</v>
      </c>
      <c r="E547" s="513">
        <v>546</v>
      </c>
      <c r="F547" s="544" t="s">
        <v>2930</v>
      </c>
      <c r="G547" s="543">
        <v>45445</v>
      </c>
      <c r="H547" s="543">
        <v>45446</v>
      </c>
      <c r="I547" s="543">
        <v>45446</v>
      </c>
      <c r="J547" s="543">
        <v>45446</v>
      </c>
      <c r="K547" s="517">
        <v>45446</v>
      </c>
      <c r="L547" s="518" t="s">
        <v>705</v>
      </c>
      <c r="M547" s="264" t="s">
        <v>2587</v>
      </c>
      <c r="N547" s="262" t="s">
        <v>2176</v>
      </c>
      <c r="O547" s="390" t="s">
        <v>2258</v>
      </c>
      <c r="P547" s="264" t="str">
        <f t="shared" si="23"/>
        <v>Lakban Besar</v>
      </c>
      <c r="Q547" s="264" t="s">
        <v>710</v>
      </c>
      <c r="R547" s="519" t="s">
        <v>2607</v>
      </c>
      <c r="S547" s="399">
        <v>5</v>
      </c>
      <c r="T547" s="348" t="s">
        <v>3363</v>
      </c>
      <c r="U547" s="520">
        <v>25000</v>
      </c>
      <c r="V547" s="266">
        <v>125000</v>
      </c>
      <c r="W547" s="521" t="s">
        <v>227</v>
      </c>
      <c r="X547" s="521" t="s">
        <v>3383</v>
      </c>
      <c r="Y547" s="522" t="s">
        <v>2512</v>
      </c>
      <c r="Z547" s="523" t="s">
        <v>541</v>
      </c>
    </row>
    <row r="548" spans="1:26" s="526" customFormat="1" ht="29">
      <c r="A548" s="513">
        <v>546</v>
      </c>
      <c r="B548" s="390"/>
      <c r="C548" s="515" t="s">
        <v>2930</v>
      </c>
      <c r="D548" s="262" t="s">
        <v>853</v>
      </c>
      <c r="E548" s="513">
        <v>547</v>
      </c>
      <c r="F548" s="544" t="s">
        <v>2930</v>
      </c>
      <c r="G548" s="543">
        <v>45445</v>
      </c>
      <c r="H548" s="543">
        <v>45446</v>
      </c>
      <c r="I548" s="543">
        <v>45446</v>
      </c>
      <c r="J548" s="543">
        <v>45446</v>
      </c>
      <c r="K548" s="517">
        <v>45446</v>
      </c>
      <c r="L548" s="518" t="s">
        <v>705</v>
      </c>
      <c r="M548" s="264" t="s">
        <v>2587</v>
      </c>
      <c r="N548" s="262" t="s">
        <v>2176</v>
      </c>
      <c r="O548" s="390" t="s">
        <v>2260</v>
      </c>
      <c r="P548" s="264" t="str">
        <f t="shared" si="23"/>
        <v>Tinta Printer Canon 740 Hitam-740 Hitam</v>
      </c>
      <c r="Q548" s="264" t="s">
        <v>710</v>
      </c>
      <c r="R548" s="519" t="s">
        <v>159</v>
      </c>
      <c r="S548" s="399">
        <v>8</v>
      </c>
      <c r="T548" s="348" t="s">
        <v>3367</v>
      </c>
      <c r="U548" s="520">
        <v>30000</v>
      </c>
      <c r="V548" s="266">
        <v>240000</v>
      </c>
      <c r="W548" s="521" t="s">
        <v>227</v>
      </c>
      <c r="X548" s="521" t="s">
        <v>3383</v>
      </c>
      <c r="Y548" s="522" t="s">
        <v>2512</v>
      </c>
      <c r="Z548" s="523" t="s">
        <v>541</v>
      </c>
    </row>
    <row r="549" spans="1:26" s="526" customFormat="1" ht="29">
      <c r="A549" s="513">
        <v>547</v>
      </c>
      <c r="B549" s="390"/>
      <c r="C549" s="515" t="s">
        <v>2930</v>
      </c>
      <c r="D549" s="262" t="s">
        <v>853</v>
      </c>
      <c r="E549" s="513">
        <v>548</v>
      </c>
      <c r="F549" s="544" t="s">
        <v>2930</v>
      </c>
      <c r="G549" s="543">
        <v>45445</v>
      </c>
      <c r="H549" s="543">
        <v>45446</v>
      </c>
      <c r="I549" s="543">
        <v>45446</v>
      </c>
      <c r="J549" s="543">
        <v>45446</v>
      </c>
      <c r="K549" s="517">
        <v>45446</v>
      </c>
      <c r="L549" s="518" t="s">
        <v>705</v>
      </c>
      <c r="M549" s="264" t="s">
        <v>2587</v>
      </c>
      <c r="N549" s="262" t="s">
        <v>2176</v>
      </c>
      <c r="O549" s="390" t="s">
        <v>2261</v>
      </c>
      <c r="P549" s="264" t="str">
        <f t="shared" si="23"/>
        <v>Kertas HVS 60 gram Merk : Paper One HVS F4 uk. 8.27"x11.69"</v>
      </c>
      <c r="Q549" s="264" t="s">
        <v>710</v>
      </c>
      <c r="R549" s="519" t="s">
        <v>127</v>
      </c>
      <c r="S549" s="399">
        <v>10</v>
      </c>
      <c r="T549" s="348" t="s">
        <v>3369</v>
      </c>
      <c r="U549" s="520">
        <v>48500</v>
      </c>
      <c r="V549" s="266">
        <v>485000</v>
      </c>
      <c r="W549" s="521" t="s">
        <v>227</v>
      </c>
      <c r="X549" s="521" t="s">
        <v>3383</v>
      </c>
      <c r="Y549" s="522" t="s">
        <v>2512</v>
      </c>
      <c r="Z549" s="523" t="s">
        <v>541</v>
      </c>
    </row>
    <row r="550" spans="1:26" s="526" customFormat="1" ht="29">
      <c r="A550" s="513">
        <v>548</v>
      </c>
      <c r="B550" s="390"/>
      <c r="C550" s="515" t="s">
        <v>2930</v>
      </c>
      <c r="D550" s="262" t="s">
        <v>853</v>
      </c>
      <c r="E550" s="513">
        <v>549</v>
      </c>
      <c r="F550" s="544" t="s">
        <v>2930</v>
      </c>
      <c r="G550" s="543">
        <v>45445</v>
      </c>
      <c r="H550" s="543">
        <v>45446</v>
      </c>
      <c r="I550" s="543">
        <v>45446</v>
      </c>
      <c r="J550" s="543">
        <v>45446</v>
      </c>
      <c r="K550" s="517">
        <v>45446</v>
      </c>
      <c r="L550" s="518" t="s">
        <v>705</v>
      </c>
      <c r="M550" s="264" t="s">
        <v>2587</v>
      </c>
      <c r="N550" s="262" t="s">
        <v>2176</v>
      </c>
      <c r="O550" s="390" t="s">
        <v>242</v>
      </c>
      <c r="P550" s="264" t="str">
        <f t="shared" si="23"/>
        <v>Binder Klip Ordner</v>
      </c>
      <c r="Q550" s="264" t="s">
        <v>710</v>
      </c>
      <c r="R550" s="519" t="s">
        <v>113</v>
      </c>
      <c r="S550" s="399">
        <v>6</v>
      </c>
      <c r="T550" s="348" t="s">
        <v>3363</v>
      </c>
      <c r="U550" s="520">
        <v>49500</v>
      </c>
      <c r="V550" s="266">
        <v>297000</v>
      </c>
      <c r="W550" s="521" t="s">
        <v>227</v>
      </c>
      <c r="X550" s="521" t="s">
        <v>3383</v>
      </c>
      <c r="Y550" s="522" t="s">
        <v>2512</v>
      </c>
      <c r="Z550" s="523" t="s">
        <v>541</v>
      </c>
    </row>
    <row r="551" spans="1:26" s="526" customFormat="1" ht="29">
      <c r="A551" s="513">
        <v>549</v>
      </c>
      <c r="B551" s="390"/>
      <c r="C551" s="515" t="s">
        <v>2930</v>
      </c>
      <c r="D551" s="262" t="s">
        <v>853</v>
      </c>
      <c r="E551" s="513">
        <v>550</v>
      </c>
      <c r="F551" s="544" t="s">
        <v>2930</v>
      </c>
      <c r="G551" s="543">
        <v>45445</v>
      </c>
      <c r="H551" s="543">
        <v>45446</v>
      </c>
      <c r="I551" s="543">
        <v>45446</v>
      </c>
      <c r="J551" s="543">
        <v>45446</v>
      </c>
      <c r="K551" s="517">
        <v>45446</v>
      </c>
      <c r="L551" s="518" t="s">
        <v>705</v>
      </c>
      <c r="M551" s="264" t="s">
        <v>2587</v>
      </c>
      <c r="N551" s="262" t="s">
        <v>2176</v>
      </c>
      <c r="O551" s="390" t="s">
        <v>2262</v>
      </c>
      <c r="P551" s="264" t="str">
        <f t="shared" si="23"/>
        <v>Isi Staples besar</v>
      </c>
      <c r="Q551" s="264" t="s">
        <v>710</v>
      </c>
      <c r="R551" s="519" t="s">
        <v>125</v>
      </c>
      <c r="S551" s="399">
        <v>2</v>
      </c>
      <c r="T551" s="348" t="s">
        <v>3362</v>
      </c>
      <c r="U551" s="520">
        <v>80000</v>
      </c>
      <c r="V551" s="266">
        <v>160000</v>
      </c>
      <c r="W551" s="521" t="s">
        <v>227</v>
      </c>
      <c r="X551" s="521" t="s">
        <v>3383</v>
      </c>
      <c r="Y551" s="522" t="s">
        <v>2512</v>
      </c>
      <c r="Z551" s="523" t="s">
        <v>541</v>
      </c>
    </row>
    <row r="552" spans="1:26" s="526" customFormat="1" ht="29">
      <c r="A552" s="513">
        <v>550</v>
      </c>
      <c r="B552" s="390"/>
      <c r="C552" s="515" t="s">
        <v>2931</v>
      </c>
      <c r="D552" s="262" t="s">
        <v>855</v>
      </c>
      <c r="E552" s="513">
        <v>551</v>
      </c>
      <c r="F552" s="544" t="s">
        <v>2931</v>
      </c>
      <c r="G552" s="543">
        <v>45445</v>
      </c>
      <c r="H552" s="543">
        <v>45446</v>
      </c>
      <c r="I552" s="543">
        <v>45446</v>
      </c>
      <c r="J552" s="543">
        <v>45446</v>
      </c>
      <c r="K552" s="517">
        <v>45446</v>
      </c>
      <c r="L552" s="518" t="s">
        <v>533</v>
      </c>
      <c r="M552" s="264" t="s">
        <v>2587</v>
      </c>
      <c r="N552" s="262" t="s">
        <v>2177</v>
      </c>
      <c r="O552" s="390" t="s">
        <v>270</v>
      </c>
      <c r="P552" s="264" t="str">
        <f t="shared" si="23"/>
        <v>Handsoap/Pencuci Tangan</v>
      </c>
      <c r="Q552" s="264" t="s">
        <v>2609</v>
      </c>
      <c r="R552" s="519" t="s">
        <v>548</v>
      </c>
      <c r="S552" s="399">
        <v>5</v>
      </c>
      <c r="T552" s="348" t="s">
        <v>3367</v>
      </c>
      <c r="U552" s="520">
        <v>67000</v>
      </c>
      <c r="V552" s="266">
        <v>335000</v>
      </c>
      <c r="W552" s="521" t="s">
        <v>227</v>
      </c>
      <c r="X552" s="521" t="s">
        <v>3383</v>
      </c>
      <c r="Y552" s="522" t="s">
        <v>2512</v>
      </c>
      <c r="Z552" s="523" t="s">
        <v>541</v>
      </c>
    </row>
    <row r="553" spans="1:26" s="526" customFormat="1" ht="29">
      <c r="A553" s="513">
        <v>551</v>
      </c>
      <c r="B553" s="390"/>
      <c r="C553" s="515" t="s">
        <v>2931</v>
      </c>
      <c r="D553" s="262" t="s">
        <v>855</v>
      </c>
      <c r="E553" s="513">
        <v>552</v>
      </c>
      <c r="F553" s="544" t="s">
        <v>2931</v>
      </c>
      <c r="G553" s="543">
        <v>45445</v>
      </c>
      <c r="H553" s="543">
        <v>45446</v>
      </c>
      <c r="I553" s="543">
        <v>45446</v>
      </c>
      <c r="J553" s="543">
        <v>45446</v>
      </c>
      <c r="K553" s="517">
        <v>45446</v>
      </c>
      <c r="L553" s="518" t="s">
        <v>533</v>
      </c>
      <c r="M553" s="264" t="s">
        <v>2587</v>
      </c>
      <c r="N553" s="262" t="s">
        <v>2177</v>
      </c>
      <c r="O553" s="390" t="s">
        <v>2266</v>
      </c>
      <c r="P553" s="264" t="str">
        <f t="shared" si="23"/>
        <v>Perlengkapan Kebersihan Pembersih Lantai Super Pel Varian 800ml</v>
      </c>
      <c r="Q553" s="264" t="s">
        <v>2609</v>
      </c>
      <c r="R553" s="525" t="s">
        <v>2613</v>
      </c>
      <c r="S553" s="399">
        <v>15</v>
      </c>
      <c r="T553" s="348" t="s">
        <v>3363</v>
      </c>
      <c r="U553" s="520">
        <v>13700</v>
      </c>
      <c r="V553" s="266">
        <v>205500</v>
      </c>
      <c r="W553" s="521" t="s">
        <v>227</v>
      </c>
      <c r="X553" s="521" t="s">
        <v>3383</v>
      </c>
      <c r="Y553" s="522" t="s">
        <v>2512</v>
      </c>
      <c r="Z553" s="523" t="s">
        <v>541</v>
      </c>
    </row>
    <row r="554" spans="1:26" s="526" customFormat="1" ht="29">
      <c r="A554" s="513">
        <v>552</v>
      </c>
      <c r="B554" s="390"/>
      <c r="C554" s="515" t="s">
        <v>2931</v>
      </c>
      <c r="D554" s="262" t="s">
        <v>855</v>
      </c>
      <c r="E554" s="513">
        <v>553</v>
      </c>
      <c r="F554" s="544" t="s">
        <v>2931</v>
      </c>
      <c r="G554" s="543">
        <v>45445</v>
      </c>
      <c r="H554" s="543">
        <v>45446</v>
      </c>
      <c r="I554" s="543">
        <v>45446</v>
      </c>
      <c r="J554" s="543">
        <v>45446</v>
      </c>
      <c r="K554" s="517">
        <v>45446</v>
      </c>
      <c r="L554" s="518" t="s">
        <v>533</v>
      </c>
      <c r="M554" s="264" t="s">
        <v>2587</v>
      </c>
      <c r="N554" s="262" t="s">
        <v>2177</v>
      </c>
      <c r="O554" s="390" t="s">
        <v>271</v>
      </c>
      <c r="P554" s="264" t="str">
        <f t="shared" si="23"/>
        <v>Pengharum Ruangan</v>
      </c>
      <c r="Q554" s="264" t="s">
        <v>2609</v>
      </c>
      <c r="R554" s="519" t="s">
        <v>2615</v>
      </c>
      <c r="S554" s="399">
        <v>10</v>
      </c>
      <c r="T554" s="348" t="s">
        <v>3363</v>
      </c>
      <c r="U554" s="520">
        <v>12100</v>
      </c>
      <c r="V554" s="266">
        <v>121000</v>
      </c>
      <c r="W554" s="521" t="s">
        <v>227</v>
      </c>
      <c r="X554" s="521" t="s">
        <v>3383</v>
      </c>
      <c r="Y554" s="522" t="s">
        <v>2512</v>
      </c>
      <c r="Z554" s="523" t="s">
        <v>541</v>
      </c>
    </row>
    <row r="555" spans="1:26" s="526" customFormat="1" ht="29">
      <c r="A555" s="513">
        <v>553</v>
      </c>
      <c r="B555" s="390"/>
      <c r="C555" s="515" t="s">
        <v>2931</v>
      </c>
      <c r="D555" s="262" t="s">
        <v>855</v>
      </c>
      <c r="E555" s="513">
        <v>554</v>
      </c>
      <c r="F555" s="544" t="s">
        <v>2931</v>
      </c>
      <c r="G555" s="543">
        <v>45445</v>
      </c>
      <c r="H555" s="543">
        <v>45446</v>
      </c>
      <c r="I555" s="543">
        <v>45446</v>
      </c>
      <c r="J555" s="543">
        <v>45446</v>
      </c>
      <c r="K555" s="517">
        <v>45446</v>
      </c>
      <c r="L555" s="518" t="s">
        <v>533</v>
      </c>
      <c r="M555" s="264" t="s">
        <v>2587</v>
      </c>
      <c r="N555" s="262" t="s">
        <v>2177</v>
      </c>
      <c r="O555" s="390" t="s">
        <v>2268</v>
      </c>
      <c r="P555" s="264" t="str">
        <f t="shared" si="23"/>
        <v>Perlengkapan Kebersihan Pembersih Pakaian Sunlight Refil 800ml</v>
      </c>
      <c r="Q555" s="264" t="s">
        <v>2609</v>
      </c>
      <c r="R555" s="525" t="s">
        <v>2616</v>
      </c>
      <c r="S555" s="399">
        <v>3</v>
      </c>
      <c r="T555" s="348" t="s">
        <v>3363</v>
      </c>
      <c r="U555" s="520">
        <v>15000</v>
      </c>
      <c r="V555" s="266">
        <v>45000</v>
      </c>
      <c r="W555" s="521" t="s">
        <v>227</v>
      </c>
      <c r="X555" s="521" t="s">
        <v>3383</v>
      </c>
      <c r="Y555" s="522" t="s">
        <v>2512</v>
      </c>
      <c r="Z555" s="523" t="s">
        <v>541</v>
      </c>
    </row>
    <row r="556" spans="1:26" ht="29">
      <c r="A556" s="513">
        <v>554</v>
      </c>
      <c r="B556" s="390"/>
      <c r="C556" s="515" t="s">
        <v>2931</v>
      </c>
      <c r="D556" s="262" t="s">
        <v>855</v>
      </c>
      <c r="E556" s="513">
        <v>555</v>
      </c>
      <c r="F556" s="544" t="s">
        <v>2931</v>
      </c>
      <c r="G556" s="543">
        <v>45445</v>
      </c>
      <c r="H556" s="543">
        <v>45446</v>
      </c>
      <c r="I556" s="543">
        <v>45446</v>
      </c>
      <c r="J556" s="543">
        <v>45446</v>
      </c>
      <c r="K556" s="517">
        <v>45446</v>
      </c>
      <c r="L556" s="518" t="s">
        <v>533</v>
      </c>
      <c r="M556" s="264" t="s">
        <v>2587</v>
      </c>
      <c r="N556" s="262" t="s">
        <v>2177</v>
      </c>
      <c r="O556" s="390" t="s">
        <v>276</v>
      </c>
      <c r="P556" s="264" t="str">
        <f t="shared" si="23"/>
        <v>vixal 500ml</v>
      </c>
      <c r="Q556" s="264" t="s">
        <v>2609</v>
      </c>
      <c r="R556" s="519" t="s">
        <v>2566</v>
      </c>
      <c r="S556" s="399">
        <v>10</v>
      </c>
      <c r="T556" s="348" t="s">
        <v>3367</v>
      </c>
      <c r="U556" s="520">
        <v>30000</v>
      </c>
      <c r="V556" s="266">
        <v>300000</v>
      </c>
      <c r="W556" s="521" t="s">
        <v>227</v>
      </c>
      <c r="X556" s="521" t="s">
        <v>3383</v>
      </c>
      <c r="Y556" s="522" t="s">
        <v>2512</v>
      </c>
      <c r="Z556" s="523" t="s">
        <v>541</v>
      </c>
    </row>
    <row r="557" spans="1:26" ht="43.5">
      <c r="A557" s="513">
        <v>555</v>
      </c>
      <c r="B557" s="390"/>
      <c r="C557" s="515" t="s">
        <v>2931</v>
      </c>
      <c r="D557" s="262" t="s">
        <v>855</v>
      </c>
      <c r="E557" s="513">
        <v>556</v>
      </c>
      <c r="F557" s="544" t="s">
        <v>2931</v>
      </c>
      <c r="G557" s="543">
        <v>45445</v>
      </c>
      <c r="H557" s="543">
        <v>45446</v>
      </c>
      <c r="I557" s="543">
        <v>45446</v>
      </c>
      <c r="J557" s="543">
        <v>45446</v>
      </c>
      <c r="K557" s="517">
        <v>45446</v>
      </c>
      <c r="L557" s="518" t="s">
        <v>533</v>
      </c>
      <c r="M557" s="264" t="s">
        <v>2587</v>
      </c>
      <c r="N557" s="262" t="s">
        <v>2177</v>
      </c>
      <c r="O557" s="390" t="s">
        <v>274</v>
      </c>
      <c r="P557" s="264" t="str">
        <f t="shared" si="23"/>
        <v>Spon Cuci</v>
      </c>
      <c r="Q557" s="264" t="s">
        <v>2609</v>
      </c>
      <c r="R557" s="519" t="s">
        <v>2617</v>
      </c>
      <c r="S557" s="399">
        <v>5</v>
      </c>
      <c r="T557" s="348" t="s">
        <v>3363</v>
      </c>
      <c r="U557" s="520">
        <v>12000</v>
      </c>
      <c r="V557" s="266">
        <v>60000</v>
      </c>
      <c r="W557" s="521" t="s">
        <v>227</v>
      </c>
      <c r="X557" s="521" t="s">
        <v>3383</v>
      </c>
      <c r="Y557" s="522" t="s">
        <v>2512</v>
      </c>
      <c r="Z557" s="523" t="s">
        <v>541</v>
      </c>
    </row>
    <row r="558" spans="1:26" ht="29">
      <c r="A558" s="513">
        <v>556</v>
      </c>
      <c r="B558" s="390"/>
      <c r="C558" s="515" t="s">
        <v>2931</v>
      </c>
      <c r="D558" s="262" t="s">
        <v>855</v>
      </c>
      <c r="E558" s="513">
        <v>557</v>
      </c>
      <c r="F558" s="544" t="s">
        <v>2931</v>
      </c>
      <c r="G558" s="543">
        <v>45445</v>
      </c>
      <c r="H558" s="543">
        <v>45446</v>
      </c>
      <c r="I558" s="543">
        <v>45446</v>
      </c>
      <c r="J558" s="543">
        <v>45446</v>
      </c>
      <c r="K558" s="517">
        <v>45446</v>
      </c>
      <c r="L558" s="518" t="s">
        <v>533</v>
      </c>
      <c r="M558" s="264" t="s">
        <v>2587</v>
      </c>
      <c r="N558" s="262" t="s">
        <v>2177</v>
      </c>
      <c r="O558" s="390" t="s">
        <v>2269</v>
      </c>
      <c r="P558" s="264" t="str">
        <f t="shared" si="23"/>
        <v>Tisu--</v>
      </c>
      <c r="Q558" s="264" t="s">
        <v>2609</v>
      </c>
      <c r="R558" s="519" t="s">
        <v>537</v>
      </c>
      <c r="S558" s="399">
        <v>12</v>
      </c>
      <c r="T558" s="348" t="s">
        <v>3363</v>
      </c>
      <c r="U558" s="520">
        <v>12500</v>
      </c>
      <c r="V558" s="266">
        <v>150000</v>
      </c>
      <c r="W558" s="521" t="s">
        <v>227</v>
      </c>
      <c r="X558" s="521" t="s">
        <v>3383</v>
      </c>
      <c r="Y558" s="522" t="s">
        <v>2512</v>
      </c>
      <c r="Z558" s="523" t="s">
        <v>541</v>
      </c>
    </row>
    <row r="559" spans="1:26" ht="29">
      <c r="A559" s="513">
        <v>557</v>
      </c>
      <c r="B559" s="390"/>
      <c r="C559" s="515" t="s">
        <v>2931</v>
      </c>
      <c r="D559" s="262" t="s">
        <v>855</v>
      </c>
      <c r="E559" s="513">
        <v>558</v>
      </c>
      <c r="F559" s="544" t="s">
        <v>2931</v>
      </c>
      <c r="G559" s="543">
        <v>45445</v>
      </c>
      <c r="H559" s="543">
        <v>45446</v>
      </c>
      <c r="I559" s="543">
        <v>45446</v>
      </c>
      <c r="J559" s="543">
        <v>45446</v>
      </c>
      <c r="K559" s="517">
        <v>45446</v>
      </c>
      <c r="L559" s="518" t="s">
        <v>533</v>
      </c>
      <c r="M559" s="264" t="s">
        <v>2587</v>
      </c>
      <c r="N559" s="262" t="s">
        <v>2177</v>
      </c>
      <c r="O559" s="390" t="s">
        <v>2270</v>
      </c>
      <c r="P559" s="264" t="str">
        <f t="shared" si="23"/>
        <v>Cairan Pembersih Kaca</v>
      </c>
      <c r="Q559" s="264" t="s">
        <v>2609</v>
      </c>
      <c r="R559" s="525" t="s">
        <v>2618</v>
      </c>
      <c r="S559" s="399">
        <v>5</v>
      </c>
      <c r="T559" s="348" t="s">
        <v>3363</v>
      </c>
      <c r="U559" s="520">
        <v>12000</v>
      </c>
      <c r="V559" s="266">
        <v>60000</v>
      </c>
      <c r="W559" s="521" t="s">
        <v>227</v>
      </c>
      <c r="X559" s="521" t="s">
        <v>3383</v>
      </c>
      <c r="Y559" s="522" t="s">
        <v>2512</v>
      </c>
      <c r="Z559" s="523" t="s">
        <v>541</v>
      </c>
    </row>
    <row r="560" spans="1:26" ht="29">
      <c r="A560" s="513">
        <v>558</v>
      </c>
      <c r="B560" s="390"/>
      <c r="C560" s="515" t="s">
        <v>2931</v>
      </c>
      <c r="D560" s="262" t="s">
        <v>855</v>
      </c>
      <c r="E560" s="513">
        <v>559</v>
      </c>
      <c r="F560" s="544" t="s">
        <v>2931</v>
      </c>
      <c r="G560" s="543">
        <v>45445</v>
      </c>
      <c r="H560" s="543">
        <v>45446</v>
      </c>
      <c r="I560" s="543">
        <v>45446</v>
      </c>
      <c r="J560" s="543">
        <v>45446</v>
      </c>
      <c r="K560" s="517">
        <v>45446</v>
      </c>
      <c r="L560" s="518" t="s">
        <v>533</v>
      </c>
      <c r="M560" s="264" t="s">
        <v>2587</v>
      </c>
      <c r="N560" s="262" t="s">
        <v>2177</v>
      </c>
      <c r="O560" s="390" t="s">
        <v>2272</v>
      </c>
      <c r="P560" s="264" t="str">
        <f t="shared" si="23"/>
        <v>Hand Sanitizer-Unit</v>
      </c>
      <c r="Q560" s="264" t="s">
        <v>2609</v>
      </c>
      <c r="R560" s="524" t="s">
        <v>2621</v>
      </c>
      <c r="S560" s="399">
        <v>5</v>
      </c>
      <c r="T560" s="348" t="s">
        <v>3371</v>
      </c>
      <c r="U560" s="520">
        <v>70000</v>
      </c>
      <c r="V560" s="266">
        <v>350000</v>
      </c>
      <c r="W560" s="521" t="s">
        <v>227</v>
      </c>
      <c r="X560" s="521" t="s">
        <v>3383</v>
      </c>
      <c r="Y560" s="522" t="s">
        <v>2512</v>
      </c>
      <c r="Z560" s="523" t="s">
        <v>541</v>
      </c>
    </row>
    <row r="561" spans="1:26" ht="37.5">
      <c r="A561" s="513">
        <v>559</v>
      </c>
      <c r="B561" s="390"/>
      <c r="C561" s="515" t="s">
        <v>2932</v>
      </c>
      <c r="D561" s="262" t="s">
        <v>857</v>
      </c>
      <c r="E561" s="513">
        <v>560</v>
      </c>
      <c r="F561" s="544" t="s">
        <v>2932</v>
      </c>
      <c r="G561" s="543">
        <v>45445</v>
      </c>
      <c r="H561" s="543">
        <v>45446</v>
      </c>
      <c r="I561" s="543">
        <v>45446</v>
      </c>
      <c r="J561" s="543">
        <v>45446</v>
      </c>
      <c r="K561" s="517">
        <v>45446</v>
      </c>
      <c r="L561" s="518" t="s">
        <v>464</v>
      </c>
      <c r="M561" s="264" t="s">
        <v>2638</v>
      </c>
      <c r="N561" s="262" t="s">
        <v>2207</v>
      </c>
      <c r="O561" s="390" t="s">
        <v>2296</v>
      </c>
      <c r="P561" s="264" t="s">
        <v>2633</v>
      </c>
      <c r="Q561" s="264" t="s">
        <v>280</v>
      </c>
      <c r="R561" s="528" t="s">
        <v>165</v>
      </c>
      <c r="S561" s="399">
        <v>80</v>
      </c>
      <c r="T561" s="348" t="s">
        <v>3362</v>
      </c>
      <c r="U561" s="520">
        <v>15000</v>
      </c>
      <c r="V561" s="266">
        <v>2625000</v>
      </c>
      <c r="W561" s="521" t="s">
        <v>10</v>
      </c>
      <c r="X561" s="521" t="s">
        <v>11</v>
      </c>
      <c r="Y561" s="522" t="s">
        <v>2092</v>
      </c>
      <c r="Z561" s="523" t="s">
        <v>2634</v>
      </c>
    </row>
    <row r="562" spans="1:26" ht="37.5">
      <c r="A562" s="513">
        <v>560</v>
      </c>
      <c r="B562" s="390"/>
      <c r="C562" s="515" t="s">
        <v>2933</v>
      </c>
      <c r="D562" s="262" t="s">
        <v>859</v>
      </c>
      <c r="E562" s="513">
        <v>561</v>
      </c>
      <c r="F562" s="544" t="s">
        <v>2933</v>
      </c>
      <c r="G562" s="543">
        <v>45445</v>
      </c>
      <c r="H562" s="543">
        <v>45446</v>
      </c>
      <c r="I562" s="543">
        <v>45446</v>
      </c>
      <c r="J562" s="543">
        <v>45446</v>
      </c>
      <c r="K562" s="517">
        <v>45446</v>
      </c>
      <c r="L562" s="518" t="s">
        <v>464</v>
      </c>
      <c r="M562" s="264" t="s">
        <v>2638</v>
      </c>
      <c r="N562" s="262" t="s">
        <v>2207</v>
      </c>
      <c r="O562" s="390" t="s">
        <v>2295</v>
      </c>
      <c r="P562" s="264" t="s">
        <v>467</v>
      </c>
      <c r="Q562" s="264" t="s">
        <v>8</v>
      </c>
      <c r="R562" s="519" t="s">
        <v>2635</v>
      </c>
      <c r="S562" s="399">
        <v>80</v>
      </c>
      <c r="T562" s="348" t="s">
        <v>3362</v>
      </c>
      <c r="U562" s="520">
        <v>40000</v>
      </c>
      <c r="V562" s="266">
        <v>2400000</v>
      </c>
      <c r="W562" s="521" t="s">
        <v>2507</v>
      </c>
      <c r="X562" s="521" t="s">
        <v>2508</v>
      </c>
      <c r="Y562" s="522" t="s">
        <v>2516</v>
      </c>
      <c r="Z562" s="523" t="s">
        <v>2636</v>
      </c>
    </row>
    <row r="563" spans="1:26" ht="29">
      <c r="A563" s="513">
        <v>561</v>
      </c>
      <c r="B563" s="390"/>
      <c r="C563" s="515" t="s">
        <v>2934</v>
      </c>
      <c r="D563" s="262" t="s">
        <v>861</v>
      </c>
      <c r="E563" s="513">
        <v>562</v>
      </c>
      <c r="F563" s="544" t="s">
        <v>2934</v>
      </c>
      <c r="G563" s="543">
        <v>45445</v>
      </c>
      <c r="H563" s="543">
        <v>45446</v>
      </c>
      <c r="I563" s="543">
        <v>45446</v>
      </c>
      <c r="J563" s="543">
        <v>45446</v>
      </c>
      <c r="K563" s="517">
        <v>45446</v>
      </c>
      <c r="L563" s="518" t="s">
        <v>2180</v>
      </c>
      <c r="M563" s="264" t="s">
        <v>2638</v>
      </c>
      <c r="N563" s="262" t="s">
        <v>2208</v>
      </c>
      <c r="O563" s="390" t="s">
        <v>2328</v>
      </c>
      <c r="P563" s="264" t="s">
        <v>2633</v>
      </c>
      <c r="Q563" s="264" t="s">
        <v>280</v>
      </c>
      <c r="R563" s="528" t="s">
        <v>165</v>
      </c>
      <c r="S563" s="399">
        <v>120</v>
      </c>
      <c r="T563" s="348" t="s">
        <v>3362</v>
      </c>
      <c r="U563" s="520">
        <v>15000</v>
      </c>
      <c r="V563" s="266">
        <v>1800000</v>
      </c>
      <c r="W563" s="521" t="s">
        <v>10</v>
      </c>
      <c r="X563" s="521" t="s">
        <v>11</v>
      </c>
      <c r="Y563" s="522" t="s">
        <v>2092</v>
      </c>
      <c r="Z563" s="523" t="s">
        <v>2634</v>
      </c>
    </row>
    <row r="564" spans="1:26" ht="29">
      <c r="A564" s="513">
        <v>562</v>
      </c>
      <c r="B564" s="390"/>
      <c r="C564" s="515" t="s">
        <v>2935</v>
      </c>
      <c r="D564" s="262" t="s">
        <v>862</v>
      </c>
      <c r="E564" s="513">
        <v>563</v>
      </c>
      <c r="F564" s="544" t="s">
        <v>2935</v>
      </c>
      <c r="G564" s="543">
        <v>45445</v>
      </c>
      <c r="H564" s="543">
        <v>45446</v>
      </c>
      <c r="I564" s="543">
        <v>45446</v>
      </c>
      <c r="J564" s="543">
        <v>45446</v>
      </c>
      <c r="K564" s="517">
        <v>45446</v>
      </c>
      <c r="L564" s="518" t="s">
        <v>2180</v>
      </c>
      <c r="M564" s="264" t="s">
        <v>2638</v>
      </c>
      <c r="N564" s="262" t="s">
        <v>2208</v>
      </c>
      <c r="O564" s="390" t="s">
        <v>2329</v>
      </c>
      <c r="P564" s="264" t="s">
        <v>467</v>
      </c>
      <c r="Q564" s="264" t="s">
        <v>8</v>
      </c>
      <c r="R564" s="519" t="s">
        <v>2635</v>
      </c>
      <c r="S564" s="399">
        <v>120</v>
      </c>
      <c r="T564" s="348" t="s">
        <v>3362</v>
      </c>
      <c r="U564" s="520">
        <v>40000</v>
      </c>
      <c r="V564" s="266">
        <v>4800000</v>
      </c>
      <c r="W564" s="521" t="s">
        <v>2507</v>
      </c>
      <c r="X564" s="521" t="s">
        <v>2508</v>
      </c>
      <c r="Y564" s="522" t="s">
        <v>2516</v>
      </c>
      <c r="Z564" s="523" t="s">
        <v>2636</v>
      </c>
    </row>
    <row r="565" spans="1:26" ht="29">
      <c r="A565" s="513">
        <v>563</v>
      </c>
      <c r="B565" s="390"/>
      <c r="C565" s="515" t="s">
        <v>2936</v>
      </c>
      <c r="D565" s="262" t="s">
        <v>869</v>
      </c>
      <c r="E565" s="513">
        <v>564</v>
      </c>
      <c r="F565" s="544" t="s">
        <v>2936</v>
      </c>
      <c r="G565" s="543">
        <v>45450</v>
      </c>
      <c r="H565" s="543">
        <v>45451</v>
      </c>
      <c r="I565" s="543">
        <v>45451</v>
      </c>
      <c r="J565" s="543">
        <v>45451</v>
      </c>
      <c r="K565" s="517">
        <v>45451</v>
      </c>
      <c r="L565" s="518" t="s">
        <v>2180</v>
      </c>
      <c r="M565" s="264" t="s">
        <v>2587</v>
      </c>
      <c r="N565" s="262" t="s">
        <v>2209</v>
      </c>
      <c r="O565" s="390" t="s">
        <v>2330</v>
      </c>
      <c r="P565" s="264" t="s">
        <v>2633</v>
      </c>
      <c r="Q565" s="264" t="s">
        <v>280</v>
      </c>
      <c r="R565" s="528" t="s">
        <v>165</v>
      </c>
      <c r="S565" s="399">
        <v>70</v>
      </c>
      <c r="T565" s="348" t="s">
        <v>3362</v>
      </c>
      <c r="U565" s="520">
        <v>15000</v>
      </c>
      <c r="V565" s="266">
        <v>1050000</v>
      </c>
      <c r="W565" s="521" t="s">
        <v>10</v>
      </c>
      <c r="X565" s="521" t="s">
        <v>11</v>
      </c>
      <c r="Y565" s="522" t="s">
        <v>2092</v>
      </c>
      <c r="Z565" s="523" t="s">
        <v>2634</v>
      </c>
    </row>
    <row r="566" spans="1:26" ht="29">
      <c r="A566" s="513">
        <v>564</v>
      </c>
      <c r="B566" s="390"/>
      <c r="C566" s="515" t="s">
        <v>2937</v>
      </c>
      <c r="D566" s="262" t="s">
        <v>872</v>
      </c>
      <c r="E566" s="513">
        <v>565</v>
      </c>
      <c r="F566" s="544" t="s">
        <v>2937</v>
      </c>
      <c r="G566" s="543">
        <v>45450</v>
      </c>
      <c r="H566" s="543">
        <v>45451</v>
      </c>
      <c r="I566" s="543">
        <v>45451</v>
      </c>
      <c r="J566" s="543">
        <v>45451</v>
      </c>
      <c r="K566" s="517">
        <v>45451</v>
      </c>
      <c r="L566" s="518" t="s">
        <v>2180</v>
      </c>
      <c r="M566" s="264" t="s">
        <v>2587</v>
      </c>
      <c r="N566" s="262" t="s">
        <v>2209</v>
      </c>
      <c r="O566" s="390" t="s">
        <v>2331</v>
      </c>
      <c r="P566" s="264" t="s">
        <v>467</v>
      </c>
      <c r="Q566" s="264" t="s">
        <v>8</v>
      </c>
      <c r="R566" s="519" t="s">
        <v>2635</v>
      </c>
      <c r="S566" s="399">
        <v>70</v>
      </c>
      <c r="T566" s="348" t="s">
        <v>3362</v>
      </c>
      <c r="U566" s="520">
        <v>40000</v>
      </c>
      <c r="V566" s="266">
        <v>2800000</v>
      </c>
      <c r="W566" s="521" t="s">
        <v>2507</v>
      </c>
      <c r="X566" s="521" t="s">
        <v>2508</v>
      </c>
      <c r="Y566" s="522" t="s">
        <v>2516</v>
      </c>
      <c r="Z566" s="523" t="s">
        <v>2636</v>
      </c>
    </row>
    <row r="567" spans="1:26" ht="29">
      <c r="A567" s="513">
        <v>565</v>
      </c>
      <c r="B567" s="390"/>
      <c r="C567" s="515" t="s">
        <v>2938</v>
      </c>
      <c r="D567" s="262" t="s">
        <v>875</v>
      </c>
      <c r="E567" s="513">
        <v>566</v>
      </c>
      <c r="F567" s="544" t="s">
        <v>2938</v>
      </c>
      <c r="G567" s="543">
        <v>45452</v>
      </c>
      <c r="H567" s="543">
        <v>45453</v>
      </c>
      <c r="I567" s="543">
        <v>45453</v>
      </c>
      <c r="J567" s="543">
        <v>45453</v>
      </c>
      <c r="K567" s="517">
        <v>45453</v>
      </c>
      <c r="L567" s="518" t="s">
        <v>2180</v>
      </c>
      <c r="M567" s="264" t="s">
        <v>2643</v>
      </c>
      <c r="N567" s="262" t="s">
        <v>2183</v>
      </c>
      <c r="O567" s="390" t="s">
        <v>2285</v>
      </c>
      <c r="P567" s="264" t="s">
        <v>2442</v>
      </c>
      <c r="Q567" s="264" t="s">
        <v>1545</v>
      </c>
      <c r="R567" s="519" t="s">
        <v>163</v>
      </c>
      <c r="S567" s="399">
        <v>25</v>
      </c>
      <c r="T567" s="348" t="s">
        <v>3372</v>
      </c>
      <c r="U567" s="520">
        <v>50000</v>
      </c>
      <c r="V567" s="266">
        <v>1250000</v>
      </c>
      <c r="W567" s="521" t="s">
        <v>10</v>
      </c>
      <c r="X567" s="521" t="s">
        <v>11</v>
      </c>
      <c r="Y567" s="522" t="s">
        <v>2092</v>
      </c>
      <c r="Z567" s="523" t="s">
        <v>2634</v>
      </c>
    </row>
    <row r="568" spans="1:26" ht="37.5">
      <c r="A568" s="513">
        <v>566</v>
      </c>
      <c r="B568" s="390"/>
      <c r="C568" s="515" t="s">
        <v>2939</v>
      </c>
      <c r="D568" s="262" t="s">
        <v>876</v>
      </c>
      <c r="E568" s="513">
        <v>567</v>
      </c>
      <c r="F568" s="544" t="s">
        <v>2939</v>
      </c>
      <c r="G568" s="543">
        <v>45454</v>
      </c>
      <c r="H568" s="543">
        <v>45455</v>
      </c>
      <c r="I568" s="543">
        <v>45455</v>
      </c>
      <c r="J568" s="543">
        <v>45455</v>
      </c>
      <c r="K568" s="517">
        <v>45455</v>
      </c>
      <c r="L568" s="518" t="s">
        <v>464</v>
      </c>
      <c r="M568" s="264" t="s">
        <v>2888</v>
      </c>
      <c r="N568" s="262" t="s">
        <v>2205</v>
      </c>
      <c r="O568" s="390" t="s">
        <v>2295</v>
      </c>
      <c r="P568" s="264" t="s">
        <v>467</v>
      </c>
      <c r="Q568" s="264" t="s">
        <v>8</v>
      </c>
      <c r="R568" s="519" t="s">
        <v>2635</v>
      </c>
      <c r="S568" s="399">
        <v>80</v>
      </c>
      <c r="T568" s="348" t="s">
        <v>3362</v>
      </c>
      <c r="U568" s="520">
        <v>40000</v>
      </c>
      <c r="V568" s="266">
        <v>2400000</v>
      </c>
      <c r="W568" s="521" t="s">
        <v>2507</v>
      </c>
      <c r="X568" s="521" t="s">
        <v>2508</v>
      </c>
      <c r="Y568" s="522" t="s">
        <v>2516</v>
      </c>
      <c r="Z568" s="523" t="s">
        <v>2636</v>
      </c>
    </row>
    <row r="569" spans="1:26" ht="37.5">
      <c r="A569" s="513">
        <v>567</v>
      </c>
      <c r="B569" s="390"/>
      <c r="C569" s="515" t="s">
        <v>2940</v>
      </c>
      <c r="D569" s="262" t="s">
        <v>877</v>
      </c>
      <c r="E569" s="513">
        <v>568</v>
      </c>
      <c r="F569" s="544" t="s">
        <v>2940</v>
      </c>
      <c r="G569" s="543">
        <v>45454</v>
      </c>
      <c r="H569" s="543">
        <v>45455</v>
      </c>
      <c r="I569" s="543">
        <v>45455</v>
      </c>
      <c r="J569" s="543">
        <v>45455</v>
      </c>
      <c r="K569" s="517">
        <v>45455</v>
      </c>
      <c r="L569" s="518" t="s">
        <v>464</v>
      </c>
      <c r="M569" s="264" t="s">
        <v>2888</v>
      </c>
      <c r="N569" s="262" t="s">
        <v>2205</v>
      </c>
      <c r="O569" s="390" t="s">
        <v>2296</v>
      </c>
      <c r="P569" s="264" t="s">
        <v>2633</v>
      </c>
      <c r="Q569" s="264" t="s">
        <v>280</v>
      </c>
      <c r="R569" s="528" t="s">
        <v>165</v>
      </c>
      <c r="S569" s="399">
        <v>80</v>
      </c>
      <c r="T569" s="348" t="s">
        <v>3362</v>
      </c>
      <c r="U569" s="520">
        <v>15000</v>
      </c>
      <c r="V569" s="266">
        <v>900000</v>
      </c>
      <c r="W569" s="521" t="s">
        <v>10</v>
      </c>
      <c r="X569" s="521" t="s">
        <v>11</v>
      </c>
      <c r="Y569" s="522" t="s">
        <v>2092</v>
      </c>
      <c r="Z569" s="523" t="s">
        <v>2634</v>
      </c>
    </row>
    <row r="570" spans="1:26" ht="29">
      <c r="A570" s="513">
        <v>568</v>
      </c>
      <c r="B570" s="390"/>
      <c r="C570" s="515" t="s">
        <v>2941</v>
      </c>
      <c r="D570" s="262" t="s">
        <v>878</v>
      </c>
      <c r="E570" s="513">
        <v>569</v>
      </c>
      <c r="F570" s="544" t="s">
        <v>2941</v>
      </c>
      <c r="G570" s="543">
        <v>45457</v>
      </c>
      <c r="H570" s="543">
        <v>45458</v>
      </c>
      <c r="I570" s="543">
        <v>45458</v>
      </c>
      <c r="J570" s="543">
        <v>45458</v>
      </c>
      <c r="K570" s="517">
        <v>45458</v>
      </c>
      <c r="L570" s="518" t="s">
        <v>571</v>
      </c>
      <c r="M570" s="264" t="s">
        <v>2649</v>
      </c>
      <c r="N570" s="262" t="s">
        <v>2185</v>
      </c>
      <c r="O570" s="390" t="s">
        <v>2287</v>
      </c>
      <c r="P570" s="264" t="str">
        <f t="shared" ref="P570:P585" si="24">O570</f>
        <v>Spanduk Uk. 1 x 6 meter-</v>
      </c>
      <c r="Q570" s="264" t="s">
        <v>2650</v>
      </c>
      <c r="R570" s="528" t="s">
        <v>2651</v>
      </c>
      <c r="S570" s="399">
        <v>2</v>
      </c>
      <c r="T570" s="348" t="s">
        <v>3363</v>
      </c>
      <c r="U570" s="520">
        <v>300000</v>
      </c>
      <c r="V570" s="266">
        <v>300000</v>
      </c>
      <c r="W570" s="521" t="s">
        <v>2652</v>
      </c>
      <c r="X570" s="521" t="s">
        <v>2653</v>
      </c>
      <c r="Y570" s="522" t="s">
        <v>2512</v>
      </c>
      <c r="Z570" s="523" t="s">
        <v>541</v>
      </c>
    </row>
    <row r="571" spans="1:26" ht="29">
      <c r="A571" s="513">
        <v>569</v>
      </c>
      <c r="B571" s="390"/>
      <c r="C571" s="515" t="s">
        <v>2942</v>
      </c>
      <c r="D571" s="262" t="s">
        <v>879</v>
      </c>
      <c r="E571" s="513">
        <v>570</v>
      </c>
      <c r="F571" s="544" t="s">
        <v>2942</v>
      </c>
      <c r="G571" s="543">
        <v>45463</v>
      </c>
      <c r="H571" s="543">
        <v>45463</v>
      </c>
      <c r="I571" s="543">
        <v>45463</v>
      </c>
      <c r="J571" s="543">
        <v>45463</v>
      </c>
      <c r="K571" s="517">
        <v>45463</v>
      </c>
      <c r="L571" s="518" t="s">
        <v>584</v>
      </c>
      <c r="M571" s="264" t="s">
        <v>2663</v>
      </c>
      <c r="N571" s="262" t="s">
        <v>2186</v>
      </c>
      <c r="O571" s="390" t="s">
        <v>2291</v>
      </c>
      <c r="P571" s="264" t="str">
        <f t="shared" si="24"/>
        <v>Biaya Rekening Listrik--</v>
      </c>
      <c r="Q571" s="264" t="s">
        <v>2664</v>
      </c>
      <c r="R571" s="519" t="s">
        <v>2665</v>
      </c>
      <c r="S571" s="399">
        <v>1</v>
      </c>
      <c r="T571" s="348" t="s">
        <v>3373</v>
      </c>
      <c r="U571" s="520">
        <v>2000000</v>
      </c>
      <c r="V571" s="266">
        <v>1742920</v>
      </c>
      <c r="W571" s="521" t="s">
        <v>2666</v>
      </c>
      <c r="X571" s="521" t="s">
        <v>2659</v>
      </c>
      <c r="Y571" s="522" t="s">
        <v>2660</v>
      </c>
      <c r="Z571" s="523" t="s">
        <v>2661</v>
      </c>
    </row>
    <row r="572" spans="1:26" ht="29">
      <c r="A572" s="513">
        <v>570</v>
      </c>
      <c r="B572" s="390"/>
      <c r="C572" s="515" t="s">
        <v>2943</v>
      </c>
      <c r="D572" s="262" t="s">
        <v>880</v>
      </c>
      <c r="E572" s="513">
        <v>571</v>
      </c>
      <c r="F572" s="544" t="s">
        <v>2943</v>
      </c>
      <c r="G572" s="543">
        <v>45463</v>
      </c>
      <c r="H572" s="543">
        <v>45463</v>
      </c>
      <c r="I572" s="543">
        <v>45463</v>
      </c>
      <c r="J572" s="543">
        <v>45463</v>
      </c>
      <c r="K572" s="517">
        <v>45463</v>
      </c>
      <c r="L572" s="518" t="s">
        <v>590</v>
      </c>
      <c r="M572" s="264" t="s">
        <v>2663</v>
      </c>
      <c r="N572" s="262" t="s">
        <v>2187</v>
      </c>
      <c r="O572" s="390" t="s">
        <v>2292</v>
      </c>
      <c r="P572" s="264" t="str">
        <f t="shared" si="24"/>
        <v>Biaya Langganan Internet--</v>
      </c>
      <c r="Q572" s="264" t="s">
        <v>2668</v>
      </c>
      <c r="R572" s="519" t="s">
        <v>2669</v>
      </c>
      <c r="S572" s="399">
        <v>1</v>
      </c>
      <c r="T572" s="348" t="s">
        <v>3373</v>
      </c>
      <c r="U572" s="520">
        <v>1500000</v>
      </c>
      <c r="V572" s="266">
        <v>1206850</v>
      </c>
      <c r="W572" s="521" t="s">
        <v>3381</v>
      </c>
      <c r="X572" s="521" t="s">
        <v>2659</v>
      </c>
      <c r="Y572" s="522" t="s">
        <v>2660</v>
      </c>
      <c r="Z572" s="523" t="s">
        <v>2661</v>
      </c>
    </row>
    <row r="573" spans="1:26">
      <c r="A573" s="513">
        <v>571</v>
      </c>
      <c r="B573" s="390"/>
      <c r="C573" s="515" t="s">
        <v>2944</v>
      </c>
      <c r="D573" s="262" t="s">
        <v>2945</v>
      </c>
      <c r="E573" s="513">
        <v>572</v>
      </c>
      <c r="F573" s="544" t="s">
        <v>2944</v>
      </c>
      <c r="G573" s="543">
        <v>45463</v>
      </c>
      <c r="H573" s="543">
        <v>45464</v>
      </c>
      <c r="I573" s="543">
        <v>45464</v>
      </c>
      <c r="J573" s="543">
        <v>45464</v>
      </c>
      <c r="K573" s="517">
        <v>45464</v>
      </c>
      <c r="L573" s="518" t="s">
        <v>2678</v>
      </c>
      <c r="M573" s="264" t="s">
        <v>2679</v>
      </c>
      <c r="N573" s="262" t="s">
        <v>2680</v>
      </c>
      <c r="O573" s="390" t="s">
        <v>2681</v>
      </c>
      <c r="P573" s="264" t="str">
        <f t="shared" si="24"/>
        <v>Selatieli Nehe</v>
      </c>
      <c r="Q573" s="264" t="s">
        <v>2682</v>
      </c>
      <c r="R573" s="528" t="s">
        <v>2683</v>
      </c>
      <c r="S573" s="399">
        <v>33</v>
      </c>
      <c r="T573" s="348" t="s">
        <v>3374</v>
      </c>
      <c r="U573" s="520">
        <v>75000</v>
      </c>
      <c r="V573" s="266">
        <v>2475000</v>
      </c>
      <c r="W573" s="521" t="s">
        <v>2684</v>
      </c>
      <c r="X573" s="264"/>
      <c r="Y573" s="264"/>
      <c r="Z573" s="528"/>
    </row>
    <row r="574" spans="1:26">
      <c r="A574" s="513">
        <v>572</v>
      </c>
      <c r="B574" s="390"/>
      <c r="C574" s="515" t="s">
        <v>2946</v>
      </c>
      <c r="D574" s="262" t="s">
        <v>2947</v>
      </c>
      <c r="E574" s="513">
        <v>573</v>
      </c>
      <c r="F574" s="544" t="s">
        <v>2946</v>
      </c>
      <c r="G574" s="543">
        <v>45463</v>
      </c>
      <c r="H574" s="543">
        <v>45464</v>
      </c>
      <c r="I574" s="543">
        <v>45464</v>
      </c>
      <c r="J574" s="543">
        <v>45464</v>
      </c>
      <c r="K574" s="517">
        <v>45464</v>
      </c>
      <c r="L574" s="518" t="s">
        <v>2678</v>
      </c>
      <c r="M574" s="264" t="s">
        <v>2679</v>
      </c>
      <c r="N574" s="262" t="s">
        <v>2680</v>
      </c>
      <c r="O574" s="390" t="s">
        <v>2686</v>
      </c>
      <c r="P574" s="264" t="str">
        <f t="shared" si="24"/>
        <v>Arifin Metodi Bate'e</v>
      </c>
      <c r="Q574" s="264" t="s">
        <v>2682</v>
      </c>
      <c r="R574" s="528" t="s">
        <v>2683</v>
      </c>
      <c r="S574" s="399">
        <v>34</v>
      </c>
      <c r="T574" s="348" t="s">
        <v>3374</v>
      </c>
      <c r="U574" s="520">
        <v>75000</v>
      </c>
      <c r="V574" s="266">
        <v>2550000</v>
      </c>
      <c r="W574" s="521" t="s">
        <v>2684</v>
      </c>
      <c r="X574" s="264"/>
      <c r="Y574" s="264"/>
      <c r="Z574" s="528"/>
    </row>
    <row r="575" spans="1:26">
      <c r="A575" s="513">
        <v>573</v>
      </c>
      <c r="B575" s="390"/>
      <c r="C575" s="515" t="s">
        <v>2948</v>
      </c>
      <c r="D575" s="262" t="s">
        <v>2949</v>
      </c>
      <c r="E575" s="513">
        <v>574</v>
      </c>
      <c r="F575" s="544" t="s">
        <v>2948</v>
      </c>
      <c r="G575" s="543">
        <v>45463</v>
      </c>
      <c r="H575" s="543">
        <v>45464</v>
      </c>
      <c r="I575" s="543">
        <v>45464</v>
      </c>
      <c r="J575" s="543">
        <v>45464</v>
      </c>
      <c r="K575" s="517">
        <v>45464</v>
      </c>
      <c r="L575" s="518" t="s">
        <v>2678</v>
      </c>
      <c r="M575" s="264" t="s">
        <v>2679</v>
      </c>
      <c r="N575" s="262" t="s">
        <v>2680</v>
      </c>
      <c r="O575" s="390" t="s">
        <v>2688</v>
      </c>
      <c r="P575" s="264" t="str">
        <f t="shared" si="24"/>
        <v>Ferdiwati Wau</v>
      </c>
      <c r="Q575" s="264" t="s">
        <v>2682</v>
      </c>
      <c r="R575" s="528" t="s">
        <v>2683</v>
      </c>
      <c r="S575" s="399">
        <v>30</v>
      </c>
      <c r="T575" s="348" t="s">
        <v>3374</v>
      </c>
      <c r="U575" s="520">
        <v>75000</v>
      </c>
      <c r="V575" s="266">
        <v>2250000</v>
      </c>
      <c r="W575" s="521" t="s">
        <v>2684</v>
      </c>
      <c r="X575" s="264"/>
      <c r="Y575" s="264"/>
      <c r="Z575" s="528"/>
    </row>
    <row r="576" spans="1:26">
      <c r="A576" s="513">
        <v>574</v>
      </c>
      <c r="B576" s="390"/>
      <c r="C576" s="515" t="s">
        <v>2950</v>
      </c>
      <c r="D576" s="262" t="s">
        <v>2951</v>
      </c>
      <c r="E576" s="513">
        <v>575</v>
      </c>
      <c r="F576" s="544" t="s">
        <v>2950</v>
      </c>
      <c r="G576" s="543">
        <v>45463</v>
      </c>
      <c r="H576" s="543">
        <v>45464</v>
      </c>
      <c r="I576" s="543">
        <v>45464</v>
      </c>
      <c r="J576" s="543">
        <v>45464</v>
      </c>
      <c r="K576" s="517">
        <v>45464</v>
      </c>
      <c r="L576" s="518" t="s">
        <v>2678</v>
      </c>
      <c r="M576" s="264" t="s">
        <v>2679</v>
      </c>
      <c r="N576" s="262" t="s">
        <v>2680</v>
      </c>
      <c r="O576" s="390" t="s">
        <v>2690</v>
      </c>
      <c r="P576" s="264" t="str">
        <f t="shared" si="24"/>
        <v>Noni Alfanita Sarumaha, S.Pd</v>
      </c>
      <c r="Q576" s="264" t="s">
        <v>2682</v>
      </c>
      <c r="R576" s="528" t="s">
        <v>2683</v>
      </c>
      <c r="S576" s="399">
        <v>33</v>
      </c>
      <c r="T576" s="348" t="s">
        <v>3374</v>
      </c>
      <c r="U576" s="520">
        <v>75000</v>
      </c>
      <c r="V576" s="266">
        <v>2475000</v>
      </c>
      <c r="W576" s="521" t="s">
        <v>2684</v>
      </c>
      <c r="X576" s="264"/>
      <c r="Y576" s="264"/>
      <c r="Z576" s="528"/>
    </row>
    <row r="577" spans="1:26">
      <c r="A577" s="513">
        <v>575</v>
      </c>
      <c r="B577" s="390"/>
      <c r="C577" s="515" t="s">
        <v>2952</v>
      </c>
      <c r="D577" s="262" t="s">
        <v>2953</v>
      </c>
      <c r="E577" s="513">
        <v>576</v>
      </c>
      <c r="F577" s="544" t="s">
        <v>2952</v>
      </c>
      <c r="G577" s="543">
        <v>45463</v>
      </c>
      <c r="H577" s="543">
        <v>45464</v>
      </c>
      <c r="I577" s="543">
        <v>45464</v>
      </c>
      <c r="J577" s="543">
        <v>45464</v>
      </c>
      <c r="K577" s="517">
        <v>45464</v>
      </c>
      <c r="L577" s="518" t="s">
        <v>2678</v>
      </c>
      <c r="M577" s="264" t="s">
        <v>2679</v>
      </c>
      <c r="N577" s="262" t="s">
        <v>2680</v>
      </c>
      <c r="O577" s="390" t="s">
        <v>2692</v>
      </c>
      <c r="P577" s="264" t="str">
        <f t="shared" si="24"/>
        <v>EMILA HAFO</v>
      </c>
      <c r="Q577" s="264" t="s">
        <v>2682</v>
      </c>
      <c r="R577" s="528" t="s">
        <v>2683</v>
      </c>
      <c r="S577" s="399">
        <v>28</v>
      </c>
      <c r="T577" s="348" t="s">
        <v>3374</v>
      </c>
      <c r="U577" s="520">
        <v>75000</v>
      </c>
      <c r="V577" s="266">
        <v>2100000</v>
      </c>
      <c r="W577" s="521" t="s">
        <v>2684</v>
      </c>
      <c r="X577" s="264"/>
      <c r="Y577" s="264"/>
      <c r="Z577" s="528"/>
    </row>
    <row r="578" spans="1:26">
      <c r="A578" s="513">
        <v>576</v>
      </c>
      <c r="B578" s="390"/>
      <c r="C578" s="515" t="s">
        <v>2954</v>
      </c>
      <c r="D578" s="262" t="s">
        <v>2955</v>
      </c>
      <c r="E578" s="513">
        <v>577</v>
      </c>
      <c r="F578" s="544" t="s">
        <v>2954</v>
      </c>
      <c r="G578" s="543">
        <v>45463</v>
      </c>
      <c r="H578" s="543">
        <v>45464</v>
      </c>
      <c r="I578" s="543">
        <v>45464</v>
      </c>
      <c r="J578" s="543">
        <v>45464</v>
      </c>
      <c r="K578" s="517">
        <v>45464</v>
      </c>
      <c r="L578" s="518" t="s">
        <v>2678</v>
      </c>
      <c r="M578" s="264" t="s">
        <v>2679</v>
      </c>
      <c r="N578" s="262" t="s">
        <v>2680</v>
      </c>
      <c r="O578" s="390" t="s">
        <v>2694</v>
      </c>
      <c r="P578" s="264" t="str">
        <f t="shared" si="24"/>
        <v>Asep Nurhidayat</v>
      </c>
      <c r="Q578" s="264" t="s">
        <v>2682</v>
      </c>
      <c r="R578" s="528" t="s">
        <v>2683</v>
      </c>
      <c r="S578" s="399">
        <v>33</v>
      </c>
      <c r="T578" s="348" t="s">
        <v>3374</v>
      </c>
      <c r="U578" s="520">
        <v>75000</v>
      </c>
      <c r="V578" s="266">
        <v>2475000</v>
      </c>
      <c r="W578" s="521" t="s">
        <v>2684</v>
      </c>
      <c r="X578" s="264"/>
      <c r="Y578" s="264"/>
      <c r="Z578" s="528"/>
    </row>
    <row r="579" spans="1:26">
      <c r="A579" s="513">
        <v>577</v>
      </c>
      <c r="B579" s="390"/>
      <c r="C579" s="515" t="s">
        <v>2956</v>
      </c>
      <c r="D579" s="262" t="s">
        <v>2957</v>
      </c>
      <c r="E579" s="513">
        <v>578</v>
      </c>
      <c r="F579" s="544" t="s">
        <v>2956</v>
      </c>
      <c r="G579" s="543">
        <v>45463</v>
      </c>
      <c r="H579" s="543">
        <v>45464</v>
      </c>
      <c r="I579" s="543">
        <v>45464</v>
      </c>
      <c r="J579" s="543">
        <v>45464</v>
      </c>
      <c r="K579" s="517">
        <v>45464</v>
      </c>
      <c r="L579" s="518" t="s">
        <v>2696</v>
      </c>
      <c r="M579" s="264" t="s">
        <v>2679</v>
      </c>
      <c r="N579" s="262" t="s">
        <v>2697</v>
      </c>
      <c r="O579" s="390" t="s">
        <v>2698</v>
      </c>
      <c r="P579" s="264" t="str">
        <f t="shared" si="24"/>
        <v>Estera Nehe</v>
      </c>
      <c r="Q579" s="264" t="s">
        <v>2699</v>
      </c>
      <c r="R579" s="528" t="s">
        <v>2700</v>
      </c>
      <c r="S579" s="399">
        <v>1</v>
      </c>
      <c r="T579" s="348" t="s">
        <v>3373</v>
      </c>
      <c r="U579" s="520">
        <v>2000000</v>
      </c>
      <c r="V579" s="266">
        <v>2000000</v>
      </c>
      <c r="W579" s="521" t="s">
        <v>2684</v>
      </c>
      <c r="X579" s="264"/>
      <c r="Y579" s="264"/>
      <c r="Z579" s="528"/>
    </row>
    <row r="580" spans="1:26">
      <c r="A580" s="513">
        <v>578</v>
      </c>
      <c r="B580" s="390"/>
      <c r="C580" s="515" t="s">
        <v>2958</v>
      </c>
      <c r="D580" s="262" t="s">
        <v>2959</v>
      </c>
      <c r="E580" s="513">
        <v>579</v>
      </c>
      <c r="F580" s="544" t="s">
        <v>2958</v>
      </c>
      <c r="G580" s="543">
        <v>45463</v>
      </c>
      <c r="H580" s="543">
        <v>45464</v>
      </c>
      <c r="I580" s="543">
        <v>45464</v>
      </c>
      <c r="J580" s="543">
        <v>45464</v>
      </c>
      <c r="K580" s="517">
        <v>45464</v>
      </c>
      <c r="L580" s="518" t="s">
        <v>2696</v>
      </c>
      <c r="M580" s="264" t="s">
        <v>2679</v>
      </c>
      <c r="N580" s="262" t="s">
        <v>2697</v>
      </c>
      <c r="O580" s="390" t="s">
        <v>2702</v>
      </c>
      <c r="P580" s="264" t="str">
        <f t="shared" si="24"/>
        <v>Hatieli Buulolo</v>
      </c>
      <c r="Q580" s="264" t="s">
        <v>2699</v>
      </c>
      <c r="R580" s="528" t="s">
        <v>2700</v>
      </c>
      <c r="S580" s="399">
        <v>1</v>
      </c>
      <c r="T580" s="348" t="s">
        <v>3373</v>
      </c>
      <c r="U580" s="520">
        <v>2000000</v>
      </c>
      <c r="V580" s="266">
        <v>2000000</v>
      </c>
      <c r="W580" s="521" t="s">
        <v>2684</v>
      </c>
      <c r="X580" s="264"/>
      <c r="Y580" s="264"/>
      <c r="Z580" s="528"/>
    </row>
    <row r="581" spans="1:26">
      <c r="A581" s="513">
        <v>579</v>
      </c>
      <c r="B581" s="390"/>
      <c r="C581" s="515" t="s">
        <v>2960</v>
      </c>
      <c r="D581" s="262" t="s">
        <v>2961</v>
      </c>
      <c r="E581" s="513">
        <v>580</v>
      </c>
      <c r="F581" s="544" t="s">
        <v>2960</v>
      </c>
      <c r="G581" s="543">
        <v>45463</v>
      </c>
      <c r="H581" s="543">
        <v>45464</v>
      </c>
      <c r="I581" s="543">
        <v>45464</v>
      </c>
      <c r="J581" s="543">
        <v>45464</v>
      </c>
      <c r="K581" s="517">
        <v>45464</v>
      </c>
      <c r="L581" s="518" t="s">
        <v>2696</v>
      </c>
      <c r="M581" s="264" t="s">
        <v>2679</v>
      </c>
      <c r="N581" s="262" t="s">
        <v>2697</v>
      </c>
      <c r="O581" s="390" t="s">
        <v>2704</v>
      </c>
      <c r="P581" s="264" t="str">
        <f t="shared" si="24"/>
        <v>David J. Sitinjak</v>
      </c>
      <c r="Q581" s="264" t="s">
        <v>2699</v>
      </c>
      <c r="R581" s="528" t="s">
        <v>2700</v>
      </c>
      <c r="S581" s="399">
        <v>1</v>
      </c>
      <c r="T581" s="348" t="s">
        <v>3373</v>
      </c>
      <c r="U581" s="520">
        <v>2000000</v>
      </c>
      <c r="V581" s="266">
        <v>2000000</v>
      </c>
      <c r="W581" s="521" t="s">
        <v>2684</v>
      </c>
      <c r="X581" s="264"/>
      <c r="Y581" s="264"/>
      <c r="Z581" s="528"/>
    </row>
    <row r="582" spans="1:26">
      <c r="A582" s="513">
        <v>580</v>
      </c>
      <c r="B582" s="390"/>
      <c r="C582" s="515" t="s">
        <v>2962</v>
      </c>
      <c r="D582" s="262" t="s">
        <v>2963</v>
      </c>
      <c r="E582" s="513">
        <v>581</v>
      </c>
      <c r="F582" s="544" t="s">
        <v>2962</v>
      </c>
      <c r="G582" s="543">
        <v>45463</v>
      </c>
      <c r="H582" s="543">
        <v>45464</v>
      </c>
      <c r="I582" s="543">
        <v>45464</v>
      </c>
      <c r="J582" s="543">
        <v>45464</v>
      </c>
      <c r="K582" s="517">
        <v>45464</v>
      </c>
      <c r="L582" s="518" t="s">
        <v>2696</v>
      </c>
      <c r="M582" s="264" t="s">
        <v>2679</v>
      </c>
      <c r="N582" s="262" t="s">
        <v>2697</v>
      </c>
      <c r="O582" s="390" t="s">
        <v>2706</v>
      </c>
      <c r="P582" s="264" t="str">
        <f t="shared" si="24"/>
        <v>Siona Ziraluo</v>
      </c>
      <c r="Q582" s="264" t="s">
        <v>2699</v>
      </c>
      <c r="R582" s="528" t="s">
        <v>2700</v>
      </c>
      <c r="S582" s="399">
        <v>1</v>
      </c>
      <c r="T582" s="348" t="s">
        <v>3373</v>
      </c>
      <c r="U582" s="520">
        <v>2000000</v>
      </c>
      <c r="V582" s="266">
        <v>2000000</v>
      </c>
      <c r="W582" s="521" t="s">
        <v>2684</v>
      </c>
      <c r="X582" s="264"/>
      <c r="Y582" s="264"/>
      <c r="Z582" s="528"/>
    </row>
    <row r="583" spans="1:26">
      <c r="A583" s="513">
        <v>581</v>
      </c>
      <c r="B583" s="390"/>
      <c r="C583" s="515" t="s">
        <v>2964</v>
      </c>
      <c r="D583" s="262" t="s">
        <v>2965</v>
      </c>
      <c r="E583" s="513">
        <v>582</v>
      </c>
      <c r="F583" s="544" t="s">
        <v>2964</v>
      </c>
      <c r="G583" s="543">
        <v>45463</v>
      </c>
      <c r="H583" s="543">
        <v>45464</v>
      </c>
      <c r="I583" s="543">
        <v>45464</v>
      </c>
      <c r="J583" s="543">
        <v>45464</v>
      </c>
      <c r="K583" s="517">
        <v>45464</v>
      </c>
      <c r="L583" s="518" t="s">
        <v>2696</v>
      </c>
      <c r="M583" s="264" t="s">
        <v>2679</v>
      </c>
      <c r="N583" s="262" t="s">
        <v>2697</v>
      </c>
      <c r="O583" s="390" t="s">
        <v>2708</v>
      </c>
      <c r="P583" s="264" t="str">
        <f t="shared" si="24"/>
        <v>Merdina Ziraluo</v>
      </c>
      <c r="Q583" s="264" t="s">
        <v>2699</v>
      </c>
      <c r="R583" s="528" t="s">
        <v>2700</v>
      </c>
      <c r="S583" s="399">
        <v>1</v>
      </c>
      <c r="T583" s="348" t="s">
        <v>3373</v>
      </c>
      <c r="U583" s="520">
        <v>2000000</v>
      </c>
      <c r="V583" s="266">
        <v>2000000</v>
      </c>
      <c r="W583" s="521" t="s">
        <v>2684</v>
      </c>
      <c r="X583" s="264"/>
      <c r="Y583" s="264"/>
      <c r="Z583" s="528"/>
    </row>
    <row r="584" spans="1:26">
      <c r="A584" s="513">
        <v>582</v>
      </c>
      <c r="B584" s="390"/>
      <c r="C584" s="515" t="s">
        <v>2966</v>
      </c>
      <c r="D584" s="262" t="s">
        <v>908</v>
      </c>
      <c r="E584" s="513">
        <v>583</v>
      </c>
      <c r="F584" s="544" t="s">
        <v>2966</v>
      </c>
      <c r="G584" s="543">
        <v>45463</v>
      </c>
      <c r="H584" s="543">
        <v>45464</v>
      </c>
      <c r="I584" s="543">
        <v>45464</v>
      </c>
      <c r="J584" s="543">
        <v>45464</v>
      </c>
      <c r="K584" s="517">
        <v>45464</v>
      </c>
      <c r="L584" s="518" t="s">
        <v>2710</v>
      </c>
      <c r="M584" s="264" t="s">
        <v>2679</v>
      </c>
      <c r="N584" s="262" t="s">
        <v>2711</v>
      </c>
      <c r="O584" s="390" t="s">
        <v>2712</v>
      </c>
      <c r="P584" s="264" t="str">
        <f t="shared" si="24"/>
        <v>Fransiskus Lombu</v>
      </c>
      <c r="Q584" s="264" t="s">
        <v>2713</v>
      </c>
      <c r="R584" s="528" t="s">
        <v>2714</v>
      </c>
      <c r="S584" s="399">
        <v>1</v>
      </c>
      <c r="T584" s="348" t="s">
        <v>3373</v>
      </c>
      <c r="U584" s="520">
        <v>1000000</v>
      </c>
      <c r="V584" s="266">
        <v>1000000</v>
      </c>
      <c r="W584" s="521" t="s">
        <v>2715</v>
      </c>
      <c r="X584" s="264"/>
      <c r="Y584" s="264"/>
      <c r="Z584" s="528"/>
    </row>
    <row r="585" spans="1:26" ht="29">
      <c r="A585" s="513">
        <v>583</v>
      </c>
      <c r="B585" s="390"/>
      <c r="C585" s="515" t="s">
        <v>2967</v>
      </c>
      <c r="D585" s="262" t="s">
        <v>915</v>
      </c>
      <c r="E585" s="513">
        <v>584</v>
      </c>
      <c r="F585" s="544" t="s">
        <v>2967</v>
      </c>
      <c r="G585" s="543">
        <v>45463</v>
      </c>
      <c r="H585" s="543">
        <v>45464</v>
      </c>
      <c r="I585" s="543">
        <v>45464</v>
      </c>
      <c r="J585" s="543">
        <v>45464</v>
      </c>
      <c r="K585" s="517">
        <v>45464</v>
      </c>
      <c r="L585" s="518" t="s">
        <v>611</v>
      </c>
      <c r="M585" s="264" t="s">
        <v>2587</v>
      </c>
      <c r="N585" s="262" t="s">
        <v>2189</v>
      </c>
      <c r="O585" s="390" t="s">
        <v>2294</v>
      </c>
      <c r="P585" s="264" t="str">
        <f t="shared" si="24"/>
        <v>Belanja Jasa Tenaga Operator Komputer--</v>
      </c>
      <c r="Q585" s="264" t="s">
        <v>2672</v>
      </c>
      <c r="R585" s="528" t="s">
        <v>2673</v>
      </c>
      <c r="S585" s="399">
        <v>1</v>
      </c>
      <c r="T585" s="348" t="s">
        <v>3373</v>
      </c>
      <c r="U585" s="520">
        <v>1000000</v>
      </c>
      <c r="V585" s="266">
        <v>1000000</v>
      </c>
      <c r="W585" s="521" t="s">
        <v>2659</v>
      </c>
      <c r="X585" s="521" t="s">
        <v>2659</v>
      </c>
      <c r="Y585" s="522" t="s">
        <v>2660</v>
      </c>
      <c r="Z585" s="523" t="s">
        <v>2661</v>
      </c>
    </row>
    <row r="586" spans="1:26" ht="29">
      <c r="A586" s="513">
        <v>584</v>
      </c>
      <c r="B586" s="547"/>
      <c r="C586" s="515" t="s">
        <v>2968</v>
      </c>
      <c r="D586" s="545" t="s">
        <v>927</v>
      </c>
      <c r="E586" s="513">
        <v>585</v>
      </c>
      <c r="F586" s="544" t="s">
        <v>2968</v>
      </c>
      <c r="G586" s="543">
        <v>45463</v>
      </c>
      <c r="H586" s="543">
        <v>45463</v>
      </c>
      <c r="I586" s="543">
        <v>45464</v>
      </c>
      <c r="J586" s="543">
        <v>45464</v>
      </c>
      <c r="K586" s="546">
        <v>45464</v>
      </c>
      <c r="L586" s="518" t="s">
        <v>2180</v>
      </c>
      <c r="M586" s="264" t="s">
        <v>2587</v>
      </c>
      <c r="N586" s="545" t="s">
        <v>1004</v>
      </c>
      <c r="O586" s="547" t="s">
        <v>2297</v>
      </c>
      <c r="P586" s="264" t="s">
        <v>2633</v>
      </c>
      <c r="Q586" s="264" t="s">
        <v>280</v>
      </c>
      <c r="R586" s="528" t="s">
        <v>165</v>
      </c>
      <c r="S586" s="399">
        <v>60</v>
      </c>
      <c r="T586" s="348" t="s">
        <v>3363</v>
      </c>
      <c r="U586" s="520">
        <v>15000</v>
      </c>
      <c r="V586" s="548">
        <v>900000</v>
      </c>
      <c r="W586" s="521" t="s">
        <v>10</v>
      </c>
      <c r="X586" s="521" t="s">
        <v>11</v>
      </c>
      <c r="Y586" s="522" t="s">
        <v>2092</v>
      </c>
      <c r="Z586" s="523" t="s">
        <v>2634</v>
      </c>
    </row>
    <row r="587" spans="1:26">
      <c r="A587" s="513">
        <v>585</v>
      </c>
      <c r="B587" s="567"/>
      <c r="C587" s="515" t="s">
        <v>2969</v>
      </c>
      <c r="D587" s="568" t="s">
        <v>2970</v>
      </c>
      <c r="E587" s="513">
        <v>586</v>
      </c>
      <c r="F587" s="544" t="s">
        <v>2969</v>
      </c>
      <c r="G587" s="543">
        <v>45499</v>
      </c>
      <c r="H587" s="360">
        <v>45500</v>
      </c>
      <c r="I587" s="360">
        <v>45500</v>
      </c>
      <c r="J587" s="360">
        <v>45500</v>
      </c>
      <c r="K587" s="569">
        <v>45525</v>
      </c>
      <c r="L587" s="518" t="s">
        <v>2211</v>
      </c>
      <c r="M587" s="264" t="s">
        <v>2679</v>
      </c>
      <c r="N587" s="568" t="s">
        <v>2210</v>
      </c>
      <c r="O587" s="567" t="s">
        <v>2971</v>
      </c>
      <c r="P587" s="264" t="str">
        <f>O587</f>
        <v>Estera Nehe</v>
      </c>
      <c r="Q587" s="264" t="s">
        <v>2699</v>
      </c>
      <c r="R587" s="528" t="s">
        <v>2700</v>
      </c>
      <c r="S587" s="399">
        <v>1</v>
      </c>
      <c r="T587" s="348" t="s">
        <v>3373</v>
      </c>
      <c r="U587" s="520">
        <v>2000000</v>
      </c>
      <c r="V587" s="570">
        <v>2000000</v>
      </c>
      <c r="W587" s="521" t="s">
        <v>2684</v>
      </c>
      <c r="X587" s="264"/>
      <c r="Y587" s="264"/>
      <c r="Z587" s="528"/>
    </row>
    <row r="588" spans="1:26">
      <c r="A588" s="513">
        <v>586</v>
      </c>
      <c r="B588" s="567"/>
      <c r="C588" s="515" t="s">
        <v>2972</v>
      </c>
      <c r="D588" s="568" t="s">
        <v>2973</v>
      </c>
      <c r="E588" s="513">
        <v>587</v>
      </c>
      <c r="F588" s="544" t="s">
        <v>2972</v>
      </c>
      <c r="G588" s="543">
        <v>45499</v>
      </c>
      <c r="H588" s="360">
        <v>45500</v>
      </c>
      <c r="I588" s="360">
        <v>45500</v>
      </c>
      <c r="J588" s="360">
        <v>45500</v>
      </c>
      <c r="K588" s="569">
        <v>45525</v>
      </c>
      <c r="L588" s="518" t="s">
        <v>2211</v>
      </c>
      <c r="M588" s="264" t="s">
        <v>2679</v>
      </c>
      <c r="N588" s="568" t="s">
        <v>2210</v>
      </c>
      <c r="O588" s="567" t="s">
        <v>2974</v>
      </c>
      <c r="P588" s="264" t="str">
        <f>O588</f>
        <v>Hatieli Buulolo</v>
      </c>
      <c r="Q588" s="264" t="s">
        <v>2699</v>
      </c>
      <c r="R588" s="528" t="s">
        <v>2700</v>
      </c>
      <c r="S588" s="399">
        <v>1</v>
      </c>
      <c r="T588" s="348" t="s">
        <v>3373</v>
      </c>
      <c r="U588" s="520">
        <v>2000000</v>
      </c>
      <c r="V588" s="570">
        <v>2000000</v>
      </c>
      <c r="W588" s="521" t="s">
        <v>2684</v>
      </c>
      <c r="X588" s="264"/>
      <c r="Y588" s="264"/>
      <c r="Z588" s="528"/>
    </row>
    <row r="589" spans="1:26">
      <c r="A589" s="513">
        <v>587</v>
      </c>
      <c r="B589" s="567"/>
      <c r="C589" s="515" t="s">
        <v>2975</v>
      </c>
      <c r="D589" s="568" t="s">
        <v>2976</v>
      </c>
      <c r="E589" s="513">
        <v>588</v>
      </c>
      <c r="F589" s="544" t="s">
        <v>2975</v>
      </c>
      <c r="G589" s="543">
        <v>45499</v>
      </c>
      <c r="H589" s="360">
        <v>45500</v>
      </c>
      <c r="I589" s="360">
        <v>45500</v>
      </c>
      <c r="J589" s="360">
        <v>45500</v>
      </c>
      <c r="K589" s="569">
        <v>45525</v>
      </c>
      <c r="L589" s="518" t="s">
        <v>2211</v>
      </c>
      <c r="M589" s="264" t="s">
        <v>2679</v>
      </c>
      <c r="N589" s="568" t="s">
        <v>2210</v>
      </c>
      <c r="O589" s="567" t="s">
        <v>2977</v>
      </c>
      <c r="P589" s="264" t="str">
        <f>O589</f>
        <v>David J. Sitinjak</v>
      </c>
      <c r="Q589" s="264" t="s">
        <v>2699</v>
      </c>
      <c r="R589" s="528" t="s">
        <v>2700</v>
      </c>
      <c r="S589" s="399">
        <v>1</v>
      </c>
      <c r="T589" s="348" t="s">
        <v>3373</v>
      </c>
      <c r="U589" s="520">
        <v>2000000</v>
      </c>
      <c r="V589" s="570">
        <v>2000000</v>
      </c>
      <c r="W589" s="521" t="s">
        <v>2684</v>
      </c>
      <c r="X589" s="264"/>
      <c r="Y589" s="264"/>
      <c r="Z589" s="528"/>
    </row>
    <row r="590" spans="1:26">
      <c r="A590" s="513">
        <v>588</v>
      </c>
      <c r="B590" s="567"/>
      <c r="C590" s="515" t="s">
        <v>2978</v>
      </c>
      <c r="D590" s="568" t="s">
        <v>2979</v>
      </c>
      <c r="E590" s="513">
        <v>589</v>
      </c>
      <c r="F590" s="544" t="s">
        <v>2978</v>
      </c>
      <c r="G590" s="543">
        <v>45499</v>
      </c>
      <c r="H590" s="360">
        <v>45500</v>
      </c>
      <c r="I590" s="360">
        <v>45500</v>
      </c>
      <c r="J590" s="360">
        <v>45500</v>
      </c>
      <c r="K590" s="569">
        <v>45525</v>
      </c>
      <c r="L590" s="518" t="s">
        <v>2211</v>
      </c>
      <c r="M590" s="264" t="s">
        <v>2679</v>
      </c>
      <c r="N590" s="568" t="s">
        <v>2210</v>
      </c>
      <c r="O590" s="567" t="s">
        <v>2980</v>
      </c>
      <c r="P590" s="264" t="str">
        <f>O590</f>
        <v>Siona Ziraluo</v>
      </c>
      <c r="Q590" s="264" t="s">
        <v>2699</v>
      </c>
      <c r="R590" s="528" t="s">
        <v>2700</v>
      </c>
      <c r="S590" s="399">
        <v>1</v>
      </c>
      <c r="T590" s="348" t="s">
        <v>3373</v>
      </c>
      <c r="U590" s="520">
        <v>2000000</v>
      </c>
      <c r="V590" s="570">
        <v>2000000</v>
      </c>
      <c r="W590" s="521" t="s">
        <v>2684</v>
      </c>
      <c r="X590" s="264"/>
      <c r="Y590" s="264"/>
      <c r="Z590" s="528"/>
    </row>
    <row r="591" spans="1:26">
      <c r="A591" s="513">
        <v>589</v>
      </c>
      <c r="B591" s="567"/>
      <c r="C591" s="515" t="s">
        <v>2981</v>
      </c>
      <c r="D591" s="568" t="s">
        <v>2982</v>
      </c>
      <c r="E591" s="513">
        <v>590</v>
      </c>
      <c r="F591" s="544" t="s">
        <v>2981</v>
      </c>
      <c r="G591" s="543">
        <v>45499</v>
      </c>
      <c r="H591" s="360">
        <v>45500</v>
      </c>
      <c r="I591" s="360">
        <v>45500</v>
      </c>
      <c r="J591" s="360">
        <v>45500</v>
      </c>
      <c r="K591" s="569">
        <v>45525</v>
      </c>
      <c r="L591" s="518" t="s">
        <v>2211</v>
      </c>
      <c r="M591" s="264" t="s">
        <v>2679</v>
      </c>
      <c r="N591" s="568" t="s">
        <v>2210</v>
      </c>
      <c r="O591" s="567" t="s">
        <v>2983</v>
      </c>
      <c r="P591" s="264" t="str">
        <f>O591</f>
        <v>Merdina Ziraluo</v>
      </c>
      <c r="Q591" s="264" t="s">
        <v>2699</v>
      </c>
      <c r="R591" s="528" t="s">
        <v>2700</v>
      </c>
      <c r="S591" s="399">
        <v>1</v>
      </c>
      <c r="T591" s="348" t="s">
        <v>3373</v>
      </c>
      <c r="U591" s="520">
        <v>2000000</v>
      </c>
      <c r="V591" s="570">
        <v>2000000</v>
      </c>
      <c r="W591" s="521" t="s">
        <v>2684</v>
      </c>
      <c r="X591" s="264"/>
      <c r="Y591" s="264"/>
      <c r="Z591" s="528"/>
    </row>
    <row r="592" spans="1:26" ht="29">
      <c r="A592" s="513">
        <v>590</v>
      </c>
      <c r="B592" s="567"/>
      <c r="C592" s="515" t="s">
        <v>2984</v>
      </c>
      <c r="D592" s="568" t="s">
        <v>2134</v>
      </c>
      <c r="E592" s="513">
        <v>591</v>
      </c>
      <c r="F592" s="544" t="s">
        <v>2984</v>
      </c>
      <c r="G592" s="360">
        <v>45480</v>
      </c>
      <c r="H592" s="360">
        <v>45481</v>
      </c>
      <c r="I592" s="360">
        <v>45481</v>
      </c>
      <c r="J592" s="360">
        <v>45481</v>
      </c>
      <c r="K592" s="569">
        <v>45525</v>
      </c>
      <c r="L592" s="518" t="s">
        <v>2217</v>
      </c>
      <c r="M592" s="264" t="s">
        <v>2587</v>
      </c>
      <c r="N592" s="568" t="s">
        <v>2216</v>
      </c>
      <c r="O592" s="567" t="s">
        <v>2332</v>
      </c>
      <c r="P592" s="264" t="s">
        <v>2985</v>
      </c>
      <c r="Q592" s="264" t="s">
        <v>1545</v>
      </c>
      <c r="R592" s="528" t="s">
        <v>2986</v>
      </c>
      <c r="S592" s="399">
        <v>3</v>
      </c>
      <c r="T592" s="348" t="s">
        <v>3372</v>
      </c>
      <c r="U592" s="520">
        <v>65000</v>
      </c>
      <c r="V592" s="570">
        <v>195000</v>
      </c>
      <c r="W592" s="521" t="s">
        <v>10</v>
      </c>
      <c r="X592" s="521" t="s">
        <v>11</v>
      </c>
      <c r="Y592" s="522" t="s">
        <v>2092</v>
      </c>
      <c r="Z592" s="523" t="s">
        <v>2634</v>
      </c>
    </row>
    <row r="593" spans="1:26" ht="29">
      <c r="A593" s="513">
        <v>591</v>
      </c>
      <c r="B593" s="567"/>
      <c r="C593" s="515" t="s">
        <v>2984</v>
      </c>
      <c r="D593" s="568" t="s">
        <v>2135</v>
      </c>
      <c r="E593" s="513">
        <v>592</v>
      </c>
      <c r="F593" s="544" t="s">
        <v>2984</v>
      </c>
      <c r="G593" s="360">
        <v>45480</v>
      </c>
      <c r="H593" s="360">
        <v>45481</v>
      </c>
      <c r="I593" s="360">
        <v>45481</v>
      </c>
      <c r="J593" s="360">
        <v>45481</v>
      </c>
      <c r="K593" s="569">
        <v>45525</v>
      </c>
      <c r="L593" s="518" t="s">
        <v>2217</v>
      </c>
      <c r="M593" s="264" t="s">
        <v>2587</v>
      </c>
      <c r="N593" s="568" t="s">
        <v>2216</v>
      </c>
      <c r="O593" s="567" t="s">
        <v>2333</v>
      </c>
      <c r="P593" s="264" t="s">
        <v>2633</v>
      </c>
      <c r="Q593" s="264" t="s">
        <v>280</v>
      </c>
      <c r="R593" s="528" t="s">
        <v>165</v>
      </c>
      <c r="S593" s="399">
        <v>56</v>
      </c>
      <c r="T593" s="348" t="s">
        <v>3362</v>
      </c>
      <c r="U593" s="520">
        <v>15000</v>
      </c>
      <c r="V593" s="570">
        <v>840000</v>
      </c>
      <c r="W593" s="521" t="s">
        <v>10</v>
      </c>
      <c r="X593" s="521" t="s">
        <v>11</v>
      </c>
      <c r="Y593" s="522" t="s">
        <v>2092</v>
      </c>
      <c r="Z593" s="523" t="s">
        <v>2634</v>
      </c>
    </row>
    <row r="594" spans="1:26" ht="29">
      <c r="A594" s="513">
        <v>592</v>
      </c>
      <c r="B594" s="567"/>
      <c r="C594" s="515" t="s">
        <v>2987</v>
      </c>
      <c r="D594" s="568" t="s">
        <v>2136</v>
      </c>
      <c r="E594" s="513">
        <v>593</v>
      </c>
      <c r="F594" s="544" t="s">
        <v>2987</v>
      </c>
      <c r="G594" s="360">
        <v>45480</v>
      </c>
      <c r="H594" s="360">
        <v>45481</v>
      </c>
      <c r="I594" s="360">
        <v>45481</v>
      </c>
      <c r="J594" s="360">
        <v>45481</v>
      </c>
      <c r="K594" s="569">
        <v>45525</v>
      </c>
      <c r="L594" s="518" t="s">
        <v>2217</v>
      </c>
      <c r="M594" s="264" t="s">
        <v>2587</v>
      </c>
      <c r="N594" s="568" t="s">
        <v>2216</v>
      </c>
      <c r="O594" s="567" t="s">
        <v>2334</v>
      </c>
      <c r="P594" s="264" t="s">
        <v>467</v>
      </c>
      <c r="Q594" s="264" t="s">
        <v>8</v>
      </c>
      <c r="R594" s="519" t="s">
        <v>2635</v>
      </c>
      <c r="S594" s="399">
        <v>30</v>
      </c>
      <c r="T594" s="348" t="s">
        <v>3365</v>
      </c>
      <c r="U594" s="520">
        <v>35000</v>
      </c>
      <c r="V594" s="570">
        <v>1050000</v>
      </c>
      <c r="W594" s="521" t="s">
        <v>2507</v>
      </c>
      <c r="X594" s="521" t="s">
        <v>2508</v>
      </c>
      <c r="Y594" s="522" t="s">
        <v>2516</v>
      </c>
      <c r="Z594" s="523" t="s">
        <v>2636</v>
      </c>
    </row>
    <row r="595" spans="1:26" ht="37.5">
      <c r="A595" s="513">
        <v>593</v>
      </c>
      <c r="B595" s="567"/>
      <c r="C595" s="515" t="s">
        <v>2988</v>
      </c>
      <c r="D595" s="568" t="s">
        <v>2137</v>
      </c>
      <c r="E595" s="513">
        <v>594</v>
      </c>
      <c r="F595" s="544" t="s">
        <v>2988</v>
      </c>
      <c r="G595" s="360">
        <v>45484</v>
      </c>
      <c r="H595" s="360">
        <v>45485</v>
      </c>
      <c r="I595" s="360">
        <v>45485</v>
      </c>
      <c r="J595" s="360">
        <v>45485</v>
      </c>
      <c r="K595" s="569">
        <v>45525</v>
      </c>
      <c r="L595" s="518" t="s">
        <v>2217</v>
      </c>
      <c r="M595" s="264" t="s">
        <v>2637</v>
      </c>
      <c r="N595" s="568" t="s">
        <v>2218</v>
      </c>
      <c r="O595" s="567" t="s">
        <v>2335</v>
      </c>
      <c r="P595" s="264" t="s">
        <v>2633</v>
      </c>
      <c r="Q595" s="264" t="s">
        <v>280</v>
      </c>
      <c r="R595" s="528" t="s">
        <v>165</v>
      </c>
      <c r="S595" s="399">
        <v>120</v>
      </c>
      <c r="T595" s="348" t="s">
        <v>3362</v>
      </c>
      <c r="U595" s="520">
        <v>15000</v>
      </c>
      <c r="V595" s="570">
        <v>1800000</v>
      </c>
      <c r="W595" s="521" t="s">
        <v>10</v>
      </c>
      <c r="X595" s="521" t="s">
        <v>11</v>
      </c>
      <c r="Y595" s="522" t="s">
        <v>2092</v>
      </c>
      <c r="Z595" s="523" t="s">
        <v>2634</v>
      </c>
    </row>
    <row r="596" spans="1:26" ht="37.5">
      <c r="A596" s="513">
        <v>594</v>
      </c>
      <c r="B596" s="567"/>
      <c r="C596" s="515" t="s">
        <v>2989</v>
      </c>
      <c r="D596" s="568" t="s">
        <v>2138</v>
      </c>
      <c r="E596" s="513">
        <v>595</v>
      </c>
      <c r="F596" s="544" t="s">
        <v>2989</v>
      </c>
      <c r="G596" s="360">
        <v>45484</v>
      </c>
      <c r="H596" s="360">
        <v>45485</v>
      </c>
      <c r="I596" s="360">
        <v>45485</v>
      </c>
      <c r="J596" s="360">
        <v>45485</v>
      </c>
      <c r="K596" s="569">
        <v>45525</v>
      </c>
      <c r="L596" s="518" t="s">
        <v>2217</v>
      </c>
      <c r="M596" s="264" t="s">
        <v>2637</v>
      </c>
      <c r="N596" s="568" t="s">
        <v>2218</v>
      </c>
      <c r="O596" s="567" t="s">
        <v>2336</v>
      </c>
      <c r="P596" s="264" t="s">
        <v>467</v>
      </c>
      <c r="Q596" s="264" t="s">
        <v>8</v>
      </c>
      <c r="R596" s="519" t="s">
        <v>2635</v>
      </c>
      <c r="S596" s="399">
        <v>60</v>
      </c>
      <c r="T596" s="348" t="s">
        <v>3362</v>
      </c>
      <c r="U596" s="520">
        <v>40000</v>
      </c>
      <c r="V596" s="570">
        <v>2400000</v>
      </c>
      <c r="W596" s="521" t="s">
        <v>2507</v>
      </c>
      <c r="X596" s="521" t="s">
        <v>2508</v>
      </c>
      <c r="Y596" s="522" t="s">
        <v>2516</v>
      </c>
      <c r="Z596" s="523" t="s">
        <v>2636</v>
      </c>
    </row>
    <row r="597" spans="1:26" ht="29">
      <c r="A597" s="513">
        <v>595</v>
      </c>
      <c r="B597" s="567"/>
      <c r="C597" s="515" t="s">
        <v>2990</v>
      </c>
      <c r="D597" s="568" t="s">
        <v>2139</v>
      </c>
      <c r="E597" s="513">
        <v>596</v>
      </c>
      <c r="F597" s="544" t="s">
        <v>2990</v>
      </c>
      <c r="G597" s="360">
        <v>45485</v>
      </c>
      <c r="H597" s="360">
        <v>45486</v>
      </c>
      <c r="I597" s="360">
        <v>45486</v>
      </c>
      <c r="J597" s="360">
        <v>45486</v>
      </c>
      <c r="K597" s="569">
        <v>45525</v>
      </c>
      <c r="L597" s="518" t="s">
        <v>2213</v>
      </c>
      <c r="M597" s="264" t="s">
        <v>2587</v>
      </c>
      <c r="N597" s="568" t="s">
        <v>2212</v>
      </c>
      <c r="O597" s="567" t="s">
        <v>2337</v>
      </c>
      <c r="P597" s="264" t="str">
        <f t="shared" ref="P597:P628" si="25">O597</f>
        <v>Kertas Lain-Lain Kertas Buffalo</v>
      </c>
      <c r="Q597" s="264" t="s">
        <v>710</v>
      </c>
      <c r="R597" s="519" t="s">
        <v>130</v>
      </c>
      <c r="S597" s="399">
        <v>5</v>
      </c>
      <c r="T597" s="348" t="s">
        <v>3365</v>
      </c>
      <c r="U597" s="520">
        <v>31000</v>
      </c>
      <c r="V597" s="570">
        <v>155000</v>
      </c>
      <c r="W597" s="521" t="s">
        <v>227</v>
      </c>
      <c r="X597" s="521" t="s">
        <v>3383</v>
      </c>
      <c r="Y597" s="522" t="s">
        <v>2512</v>
      </c>
      <c r="Z597" s="523" t="s">
        <v>541</v>
      </c>
    </row>
    <row r="598" spans="1:26" ht="29">
      <c r="A598" s="513">
        <v>596</v>
      </c>
      <c r="B598" s="567"/>
      <c r="C598" s="515" t="s">
        <v>2990</v>
      </c>
      <c r="D598" s="568" t="s">
        <v>2139</v>
      </c>
      <c r="E598" s="513">
        <v>597</v>
      </c>
      <c r="F598" s="544" t="s">
        <v>2990</v>
      </c>
      <c r="G598" s="360">
        <v>45485</v>
      </c>
      <c r="H598" s="360">
        <v>45486</v>
      </c>
      <c r="I598" s="360">
        <v>45486</v>
      </c>
      <c r="J598" s="360">
        <v>45486</v>
      </c>
      <c r="K598" s="569">
        <v>45525</v>
      </c>
      <c r="L598" s="518" t="s">
        <v>2213</v>
      </c>
      <c r="M598" s="264" t="s">
        <v>2587</v>
      </c>
      <c r="N598" s="568" t="s">
        <v>2212</v>
      </c>
      <c r="O598" s="567" t="s">
        <v>2338</v>
      </c>
      <c r="P598" s="264" t="str">
        <f t="shared" si="25"/>
        <v>Plastik Mika</v>
      </c>
      <c r="Q598" s="264" t="s">
        <v>710</v>
      </c>
      <c r="R598" s="519" t="s">
        <v>148</v>
      </c>
      <c r="S598" s="399">
        <v>5</v>
      </c>
      <c r="T598" s="348" t="s">
        <v>3365</v>
      </c>
      <c r="U598" s="520">
        <v>60000</v>
      </c>
      <c r="V598" s="570">
        <v>300000</v>
      </c>
      <c r="W598" s="521" t="s">
        <v>227</v>
      </c>
      <c r="X598" s="521" t="s">
        <v>3383</v>
      </c>
      <c r="Y598" s="522" t="s">
        <v>2512</v>
      </c>
      <c r="Z598" s="523" t="s">
        <v>541</v>
      </c>
    </row>
    <row r="599" spans="1:26" ht="29">
      <c r="A599" s="513">
        <v>597</v>
      </c>
      <c r="B599" s="567"/>
      <c r="C599" s="515" t="s">
        <v>2990</v>
      </c>
      <c r="D599" s="568" t="s">
        <v>2139</v>
      </c>
      <c r="E599" s="513">
        <v>598</v>
      </c>
      <c r="F599" s="544" t="s">
        <v>2990</v>
      </c>
      <c r="G599" s="360">
        <v>45485</v>
      </c>
      <c r="H599" s="360">
        <v>45486</v>
      </c>
      <c r="I599" s="360">
        <v>45486</v>
      </c>
      <c r="J599" s="360">
        <v>45486</v>
      </c>
      <c r="K599" s="569">
        <v>45525</v>
      </c>
      <c r="L599" s="518" t="s">
        <v>2213</v>
      </c>
      <c r="M599" s="264" t="s">
        <v>2587</v>
      </c>
      <c r="N599" s="568" t="s">
        <v>2212</v>
      </c>
      <c r="O599" s="567" t="s">
        <v>2339</v>
      </c>
      <c r="P599" s="264" t="str">
        <f t="shared" si="25"/>
        <v>Kertas StensiI</v>
      </c>
      <c r="Q599" s="264" t="s">
        <v>710</v>
      </c>
      <c r="R599" s="519" t="s">
        <v>132</v>
      </c>
      <c r="S599" s="399">
        <v>10</v>
      </c>
      <c r="T599" s="348" t="s">
        <v>3365</v>
      </c>
      <c r="U599" s="520">
        <v>50000</v>
      </c>
      <c r="V599" s="570">
        <v>500000</v>
      </c>
      <c r="W599" s="521" t="s">
        <v>227</v>
      </c>
      <c r="X599" s="521" t="s">
        <v>3383</v>
      </c>
      <c r="Y599" s="522" t="s">
        <v>2512</v>
      </c>
      <c r="Z599" s="523" t="s">
        <v>541</v>
      </c>
    </row>
    <row r="600" spans="1:26" ht="29">
      <c r="A600" s="513">
        <v>598</v>
      </c>
      <c r="B600" s="567"/>
      <c r="C600" s="515" t="s">
        <v>2990</v>
      </c>
      <c r="D600" s="568" t="s">
        <v>2139</v>
      </c>
      <c r="E600" s="513">
        <v>599</v>
      </c>
      <c r="F600" s="544" t="s">
        <v>2990</v>
      </c>
      <c r="G600" s="360">
        <v>45485</v>
      </c>
      <c r="H600" s="360">
        <v>45486</v>
      </c>
      <c r="I600" s="360">
        <v>45486</v>
      </c>
      <c r="J600" s="360">
        <v>45486</v>
      </c>
      <c r="K600" s="569">
        <v>45525</v>
      </c>
      <c r="L600" s="518" t="s">
        <v>2213</v>
      </c>
      <c r="M600" s="264" t="s">
        <v>2587</v>
      </c>
      <c r="N600" s="568" t="s">
        <v>2212</v>
      </c>
      <c r="O600" s="567" t="s">
        <v>2340</v>
      </c>
      <c r="P600" s="264" t="str">
        <f t="shared" si="25"/>
        <v>Kertas Post-It Warna Warni  Sign Here</v>
      </c>
      <c r="Q600" s="264" t="s">
        <v>710</v>
      </c>
      <c r="R600" s="525" t="s">
        <v>2604</v>
      </c>
      <c r="S600" s="399">
        <v>5</v>
      </c>
      <c r="T600" s="348" t="s">
        <v>3363</v>
      </c>
      <c r="U600" s="520">
        <v>22800</v>
      </c>
      <c r="V600" s="570">
        <v>114000</v>
      </c>
      <c r="W600" s="521" t="s">
        <v>227</v>
      </c>
      <c r="X600" s="521" t="s">
        <v>3383</v>
      </c>
      <c r="Y600" s="522" t="s">
        <v>2512</v>
      </c>
      <c r="Z600" s="523" t="s">
        <v>541</v>
      </c>
    </row>
    <row r="601" spans="1:26" ht="29">
      <c r="A601" s="513">
        <v>599</v>
      </c>
      <c r="B601" s="567"/>
      <c r="C601" s="515" t="s">
        <v>2990</v>
      </c>
      <c r="D601" s="568" t="s">
        <v>2139</v>
      </c>
      <c r="E601" s="513">
        <v>600</v>
      </c>
      <c r="F601" s="544" t="s">
        <v>2990</v>
      </c>
      <c r="G601" s="360">
        <v>45485</v>
      </c>
      <c r="H601" s="360">
        <v>45486</v>
      </c>
      <c r="I601" s="360">
        <v>45486</v>
      </c>
      <c r="J601" s="360">
        <v>45486</v>
      </c>
      <c r="K601" s="569">
        <v>45525</v>
      </c>
      <c r="L601" s="518" t="s">
        <v>2213</v>
      </c>
      <c r="M601" s="264" t="s">
        <v>2587</v>
      </c>
      <c r="N601" s="568" t="s">
        <v>2212</v>
      </c>
      <c r="O601" s="567" t="s">
        <v>2341</v>
      </c>
      <c r="P601" s="264" t="str">
        <f t="shared" si="25"/>
        <v>Kertas Warna Blank Folio, Ukuran : 8,5 x 14",  70 gram</v>
      </c>
      <c r="Q601" s="264" t="s">
        <v>710</v>
      </c>
      <c r="R601" s="519" t="s">
        <v>133</v>
      </c>
      <c r="S601" s="399">
        <v>2</v>
      </c>
      <c r="T601" s="348" t="s">
        <v>3369</v>
      </c>
      <c r="U601" s="520">
        <v>90000</v>
      </c>
      <c r="V601" s="570">
        <v>180000</v>
      </c>
      <c r="W601" s="521" t="s">
        <v>227</v>
      </c>
      <c r="X601" s="521" t="s">
        <v>3383</v>
      </c>
      <c r="Y601" s="522" t="s">
        <v>2512</v>
      </c>
      <c r="Z601" s="523" t="s">
        <v>541</v>
      </c>
    </row>
    <row r="602" spans="1:26" ht="29">
      <c r="A602" s="513">
        <v>600</v>
      </c>
      <c r="B602" s="567"/>
      <c r="C602" s="515" t="s">
        <v>2990</v>
      </c>
      <c r="D602" s="568" t="s">
        <v>2139</v>
      </c>
      <c r="E602" s="513">
        <v>601</v>
      </c>
      <c r="F602" s="544" t="s">
        <v>2990</v>
      </c>
      <c r="G602" s="360">
        <v>45485</v>
      </c>
      <c r="H602" s="360">
        <v>45486</v>
      </c>
      <c r="I602" s="360">
        <v>45486</v>
      </c>
      <c r="J602" s="360">
        <v>45486</v>
      </c>
      <c r="K602" s="569">
        <v>45525</v>
      </c>
      <c r="L602" s="518" t="s">
        <v>2213</v>
      </c>
      <c r="M602" s="264" t="s">
        <v>2587</v>
      </c>
      <c r="N602" s="568" t="s">
        <v>2212</v>
      </c>
      <c r="O602" s="567" t="s">
        <v>2342</v>
      </c>
      <c r="P602" s="264" t="str">
        <f t="shared" si="25"/>
        <v>Kertas HVS 60 gram Merk : Paper One HVS F4 uk. 8.27"x11.69"</v>
      </c>
      <c r="Q602" s="264" t="s">
        <v>710</v>
      </c>
      <c r="R602" s="519" t="s">
        <v>127</v>
      </c>
      <c r="S602" s="399">
        <v>10</v>
      </c>
      <c r="T602" s="348" t="s">
        <v>3369</v>
      </c>
      <c r="U602" s="520">
        <v>48500</v>
      </c>
      <c r="V602" s="570">
        <v>485000</v>
      </c>
      <c r="W602" s="521" t="s">
        <v>227</v>
      </c>
      <c r="X602" s="521" t="s">
        <v>3383</v>
      </c>
      <c r="Y602" s="522" t="s">
        <v>2512</v>
      </c>
      <c r="Z602" s="523" t="s">
        <v>541</v>
      </c>
    </row>
    <row r="603" spans="1:26" ht="29">
      <c r="A603" s="513">
        <v>601</v>
      </c>
      <c r="B603" s="567"/>
      <c r="C603" s="515" t="s">
        <v>2990</v>
      </c>
      <c r="D603" s="568" t="s">
        <v>2140</v>
      </c>
      <c r="E603" s="513">
        <v>602</v>
      </c>
      <c r="F603" s="544" t="s">
        <v>2990</v>
      </c>
      <c r="G603" s="360">
        <v>45485</v>
      </c>
      <c r="H603" s="360">
        <v>45486</v>
      </c>
      <c r="I603" s="360">
        <v>45486</v>
      </c>
      <c r="J603" s="360">
        <v>45486</v>
      </c>
      <c r="K603" s="569">
        <v>45525</v>
      </c>
      <c r="L603" s="518" t="s">
        <v>2219</v>
      </c>
      <c r="M603" s="264" t="s">
        <v>2587</v>
      </c>
      <c r="N603" s="568" t="s">
        <v>2212</v>
      </c>
      <c r="O603" s="567" t="s">
        <v>2430</v>
      </c>
      <c r="P603" s="264" t="str">
        <f t="shared" si="25"/>
        <v>Foto Copy Filio dan Kuarto</v>
      </c>
      <c r="Q603" s="525" t="s">
        <v>2675</v>
      </c>
      <c r="R603" s="525" t="s">
        <v>2676</v>
      </c>
      <c r="S603" s="399">
        <v>4739</v>
      </c>
      <c r="T603" s="348" t="s">
        <v>3368</v>
      </c>
      <c r="U603" s="520">
        <v>350</v>
      </c>
      <c r="V603" s="570">
        <v>1575000</v>
      </c>
      <c r="W603" s="521" t="s">
        <v>227</v>
      </c>
      <c r="X603" s="521" t="s">
        <v>3383</v>
      </c>
      <c r="Y603" s="522" t="s">
        <v>2512</v>
      </c>
      <c r="Z603" s="523" t="s">
        <v>541</v>
      </c>
    </row>
    <row r="604" spans="1:26" ht="29">
      <c r="A604" s="513">
        <v>602</v>
      </c>
      <c r="B604" s="567"/>
      <c r="C604" s="515" t="s">
        <v>2990</v>
      </c>
      <c r="D604" s="568" t="s">
        <v>2141</v>
      </c>
      <c r="E604" s="513">
        <v>603</v>
      </c>
      <c r="F604" s="544" t="s">
        <v>2990</v>
      </c>
      <c r="G604" s="360">
        <v>45485</v>
      </c>
      <c r="H604" s="360">
        <v>45486</v>
      </c>
      <c r="I604" s="360">
        <v>45486</v>
      </c>
      <c r="J604" s="360">
        <v>45486</v>
      </c>
      <c r="K604" s="569">
        <v>45525</v>
      </c>
      <c r="L604" s="518" t="s">
        <v>2215</v>
      </c>
      <c r="M604" s="264" t="s">
        <v>2587</v>
      </c>
      <c r="N604" s="568" t="s">
        <v>2214</v>
      </c>
      <c r="O604" s="567" t="s">
        <v>2343</v>
      </c>
      <c r="P604" s="264" t="str">
        <f t="shared" si="25"/>
        <v>Handsoap/Pencuci Tangan</v>
      </c>
      <c r="Q604" s="264" t="s">
        <v>2609</v>
      </c>
      <c r="R604" s="519" t="s">
        <v>548</v>
      </c>
      <c r="S604" s="399">
        <v>5</v>
      </c>
      <c r="T604" s="348" t="s">
        <v>3367</v>
      </c>
      <c r="U604" s="520">
        <v>67000</v>
      </c>
      <c r="V604" s="570">
        <v>335000</v>
      </c>
      <c r="W604" s="521" t="s">
        <v>227</v>
      </c>
      <c r="X604" s="521" t="s">
        <v>3383</v>
      </c>
      <c r="Y604" s="522" t="s">
        <v>2512</v>
      </c>
      <c r="Z604" s="523" t="s">
        <v>541</v>
      </c>
    </row>
    <row r="605" spans="1:26" ht="29">
      <c r="A605" s="513">
        <v>603</v>
      </c>
      <c r="B605" s="567"/>
      <c r="C605" s="515" t="s">
        <v>2990</v>
      </c>
      <c r="D605" s="568" t="s">
        <v>2141</v>
      </c>
      <c r="E605" s="513">
        <v>604</v>
      </c>
      <c r="F605" s="544" t="s">
        <v>2990</v>
      </c>
      <c r="G605" s="360">
        <v>45485</v>
      </c>
      <c r="H605" s="360">
        <v>45486</v>
      </c>
      <c r="I605" s="360">
        <v>45486</v>
      </c>
      <c r="J605" s="360">
        <v>45486</v>
      </c>
      <c r="K605" s="569">
        <v>45525</v>
      </c>
      <c r="L605" s="518" t="s">
        <v>2215</v>
      </c>
      <c r="M605" s="264" t="s">
        <v>2587</v>
      </c>
      <c r="N605" s="568" t="s">
        <v>2214</v>
      </c>
      <c r="O605" s="567" t="s">
        <v>2344</v>
      </c>
      <c r="P605" s="264" t="str">
        <f t="shared" si="25"/>
        <v>Perlengkapan Kebersihan Pembersih Lantai Super Pel Varian 800ml</v>
      </c>
      <c r="Q605" s="264" t="s">
        <v>2609</v>
      </c>
      <c r="R605" s="525" t="s">
        <v>2613</v>
      </c>
      <c r="S605" s="399">
        <v>15</v>
      </c>
      <c r="T605" s="348" t="s">
        <v>3363</v>
      </c>
      <c r="U605" s="520">
        <v>13700</v>
      </c>
      <c r="V605" s="570">
        <v>205500</v>
      </c>
      <c r="W605" s="521" t="s">
        <v>227</v>
      </c>
      <c r="X605" s="521" t="s">
        <v>3383</v>
      </c>
      <c r="Y605" s="522" t="s">
        <v>2512</v>
      </c>
      <c r="Z605" s="523" t="s">
        <v>541</v>
      </c>
    </row>
    <row r="606" spans="1:26" ht="29">
      <c r="A606" s="513">
        <v>604</v>
      </c>
      <c r="B606" s="567"/>
      <c r="C606" s="515" t="s">
        <v>2990</v>
      </c>
      <c r="D606" s="568" t="s">
        <v>2141</v>
      </c>
      <c r="E606" s="513">
        <v>605</v>
      </c>
      <c r="F606" s="544" t="s">
        <v>2990</v>
      </c>
      <c r="G606" s="360">
        <v>45485</v>
      </c>
      <c r="H606" s="360">
        <v>45486</v>
      </c>
      <c r="I606" s="360">
        <v>45486</v>
      </c>
      <c r="J606" s="360">
        <v>45486</v>
      </c>
      <c r="K606" s="569">
        <v>45525</v>
      </c>
      <c r="L606" s="518" t="s">
        <v>2215</v>
      </c>
      <c r="M606" s="264" t="s">
        <v>2587</v>
      </c>
      <c r="N606" s="568" t="s">
        <v>2214</v>
      </c>
      <c r="O606" s="567" t="s">
        <v>2345</v>
      </c>
      <c r="P606" s="264" t="str">
        <f t="shared" si="25"/>
        <v>Pengharum Ruangan</v>
      </c>
      <c r="Q606" s="264" t="s">
        <v>2609</v>
      </c>
      <c r="R606" s="519" t="s">
        <v>2615</v>
      </c>
      <c r="S606" s="399">
        <v>10</v>
      </c>
      <c r="T606" s="348" t="s">
        <v>3363</v>
      </c>
      <c r="U606" s="520">
        <v>12100</v>
      </c>
      <c r="V606" s="570">
        <v>121000</v>
      </c>
      <c r="W606" s="521" t="s">
        <v>227</v>
      </c>
      <c r="X606" s="521" t="s">
        <v>3383</v>
      </c>
      <c r="Y606" s="522" t="s">
        <v>2512</v>
      </c>
      <c r="Z606" s="523" t="s">
        <v>541</v>
      </c>
    </row>
    <row r="607" spans="1:26" ht="29">
      <c r="A607" s="513">
        <v>605</v>
      </c>
      <c r="B607" s="567"/>
      <c r="C607" s="515" t="s">
        <v>2990</v>
      </c>
      <c r="D607" s="568" t="s">
        <v>2141</v>
      </c>
      <c r="E607" s="513">
        <v>606</v>
      </c>
      <c r="F607" s="544" t="s">
        <v>2990</v>
      </c>
      <c r="G607" s="360">
        <v>45485</v>
      </c>
      <c r="H607" s="360">
        <v>45486</v>
      </c>
      <c r="I607" s="360">
        <v>45486</v>
      </c>
      <c r="J607" s="360">
        <v>45486</v>
      </c>
      <c r="K607" s="569">
        <v>45525</v>
      </c>
      <c r="L607" s="518" t="s">
        <v>2215</v>
      </c>
      <c r="M607" s="264" t="s">
        <v>2587</v>
      </c>
      <c r="N607" s="568" t="s">
        <v>2214</v>
      </c>
      <c r="O607" s="567" t="s">
        <v>2346</v>
      </c>
      <c r="P607" s="264" t="str">
        <f t="shared" si="25"/>
        <v>Perlengkapan Kebersihan Pembersih Pakaian Sunlight Refil 800ml</v>
      </c>
      <c r="Q607" s="264" t="s">
        <v>2609</v>
      </c>
      <c r="R607" s="525" t="s">
        <v>2616</v>
      </c>
      <c r="S607" s="399">
        <v>3</v>
      </c>
      <c r="T607" s="348" t="s">
        <v>3363</v>
      </c>
      <c r="U607" s="520">
        <v>15000</v>
      </c>
      <c r="V607" s="570">
        <v>45000</v>
      </c>
      <c r="W607" s="521" t="s">
        <v>227</v>
      </c>
      <c r="X607" s="521" t="s">
        <v>3383</v>
      </c>
      <c r="Y607" s="522" t="s">
        <v>2512</v>
      </c>
      <c r="Z607" s="523" t="s">
        <v>541</v>
      </c>
    </row>
    <row r="608" spans="1:26" ht="29">
      <c r="A608" s="513">
        <v>606</v>
      </c>
      <c r="B608" s="567"/>
      <c r="C608" s="515" t="s">
        <v>2990</v>
      </c>
      <c r="D608" s="568" t="s">
        <v>2141</v>
      </c>
      <c r="E608" s="513">
        <v>607</v>
      </c>
      <c r="F608" s="544" t="s">
        <v>2990</v>
      </c>
      <c r="G608" s="360">
        <v>45485</v>
      </c>
      <c r="H608" s="360">
        <v>45486</v>
      </c>
      <c r="I608" s="360">
        <v>45486</v>
      </c>
      <c r="J608" s="360">
        <v>45486</v>
      </c>
      <c r="K608" s="569">
        <v>45525</v>
      </c>
      <c r="L608" s="518" t="s">
        <v>2215</v>
      </c>
      <c r="M608" s="264" t="s">
        <v>2587</v>
      </c>
      <c r="N608" s="568" t="s">
        <v>2214</v>
      </c>
      <c r="O608" s="567" t="s">
        <v>2347</v>
      </c>
      <c r="P608" s="264" t="str">
        <f t="shared" si="25"/>
        <v>vixal 500ml</v>
      </c>
      <c r="Q608" s="264" t="s">
        <v>2609</v>
      </c>
      <c r="R608" s="519" t="s">
        <v>2566</v>
      </c>
      <c r="S608" s="399">
        <v>10</v>
      </c>
      <c r="T608" s="348" t="s">
        <v>3367</v>
      </c>
      <c r="U608" s="520">
        <v>30000</v>
      </c>
      <c r="V608" s="570">
        <v>300000</v>
      </c>
      <c r="W608" s="521" t="s">
        <v>227</v>
      </c>
      <c r="X608" s="521" t="s">
        <v>3383</v>
      </c>
      <c r="Y608" s="522" t="s">
        <v>2512</v>
      </c>
      <c r="Z608" s="523" t="s">
        <v>541</v>
      </c>
    </row>
    <row r="609" spans="1:26" ht="43.5">
      <c r="A609" s="513">
        <v>607</v>
      </c>
      <c r="B609" s="567"/>
      <c r="C609" s="515" t="s">
        <v>2990</v>
      </c>
      <c r="D609" s="568" t="s">
        <v>2141</v>
      </c>
      <c r="E609" s="513">
        <v>608</v>
      </c>
      <c r="F609" s="544" t="s">
        <v>2990</v>
      </c>
      <c r="G609" s="360">
        <v>45485</v>
      </c>
      <c r="H609" s="360">
        <v>45486</v>
      </c>
      <c r="I609" s="360">
        <v>45486</v>
      </c>
      <c r="J609" s="360">
        <v>45486</v>
      </c>
      <c r="K609" s="569">
        <v>45525</v>
      </c>
      <c r="L609" s="518" t="s">
        <v>2215</v>
      </c>
      <c r="M609" s="264" t="s">
        <v>2587</v>
      </c>
      <c r="N609" s="568" t="s">
        <v>2214</v>
      </c>
      <c r="O609" s="567" t="s">
        <v>2348</v>
      </c>
      <c r="P609" s="264" t="str">
        <f t="shared" si="25"/>
        <v>Spon Cuci</v>
      </c>
      <c r="Q609" s="264" t="s">
        <v>2609</v>
      </c>
      <c r="R609" s="519" t="s">
        <v>2617</v>
      </c>
      <c r="S609" s="399">
        <v>5</v>
      </c>
      <c r="T609" s="348" t="s">
        <v>3363</v>
      </c>
      <c r="U609" s="520">
        <v>12000</v>
      </c>
      <c r="V609" s="570">
        <v>60000</v>
      </c>
      <c r="W609" s="521" t="s">
        <v>227</v>
      </c>
      <c r="X609" s="521" t="s">
        <v>3383</v>
      </c>
      <c r="Y609" s="522" t="s">
        <v>2512</v>
      </c>
      <c r="Z609" s="523" t="s">
        <v>541</v>
      </c>
    </row>
    <row r="610" spans="1:26" ht="29">
      <c r="A610" s="513">
        <v>608</v>
      </c>
      <c r="B610" s="567"/>
      <c r="C610" s="515" t="s">
        <v>2990</v>
      </c>
      <c r="D610" s="568" t="s">
        <v>2141</v>
      </c>
      <c r="E610" s="513">
        <v>609</v>
      </c>
      <c r="F610" s="544" t="s">
        <v>2990</v>
      </c>
      <c r="G610" s="360">
        <v>45485</v>
      </c>
      <c r="H610" s="360">
        <v>45486</v>
      </c>
      <c r="I610" s="360">
        <v>45486</v>
      </c>
      <c r="J610" s="360">
        <v>45486</v>
      </c>
      <c r="K610" s="569">
        <v>45525</v>
      </c>
      <c r="L610" s="518" t="s">
        <v>2215</v>
      </c>
      <c r="M610" s="264" t="s">
        <v>2587</v>
      </c>
      <c r="N610" s="568" t="s">
        <v>2214</v>
      </c>
      <c r="O610" s="567" t="s">
        <v>2349</v>
      </c>
      <c r="P610" s="264" t="str">
        <f t="shared" si="25"/>
        <v>Tisu--</v>
      </c>
      <c r="Q610" s="264" t="s">
        <v>2609</v>
      </c>
      <c r="R610" s="519" t="s">
        <v>537</v>
      </c>
      <c r="S610" s="399">
        <v>12</v>
      </c>
      <c r="T610" s="348" t="s">
        <v>3363</v>
      </c>
      <c r="U610" s="520">
        <v>12500</v>
      </c>
      <c r="V610" s="570">
        <v>150000</v>
      </c>
      <c r="W610" s="521" t="s">
        <v>227</v>
      </c>
      <c r="X610" s="521" t="s">
        <v>3383</v>
      </c>
      <c r="Y610" s="522" t="s">
        <v>2512</v>
      </c>
      <c r="Z610" s="523" t="s">
        <v>541</v>
      </c>
    </row>
    <row r="611" spans="1:26" ht="29">
      <c r="A611" s="513">
        <v>609</v>
      </c>
      <c r="B611" s="567"/>
      <c r="C611" s="515" t="s">
        <v>2990</v>
      </c>
      <c r="D611" s="568" t="s">
        <v>2141</v>
      </c>
      <c r="E611" s="513">
        <v>610</v>
      </c>
      <c r="F611" s="544" t="s">
        <v>2990</v>
      </c>
      <c r="G611" s="360">
        <v>45485</v>
      </c>
      <c r="H611" s="360">
        <v>45486</v>
      </c>
      <c r="I611" s="360">
        <v>45486</v>
      </c>
      <c r="J611" s="360">
        <v>45486</v>
      </c>
      <c r="K611" s="569">
        <v>45525</v>
      </c>
      <c r="L611" s="518" t="s">
        <v>2215</v>
      </c>
      <c r="M611" s="264" t="s">
        <v>2587</v>
      </c>
      <c r="N611" s="568" t="s">
        <v>2214</v>
      </c>
      <c r="O611" s="567" t="s">
        <v>2350</v>
      </c>
      <c r="P611" s="264" t="str">
        <f t="shared" si="25"/>
        <v>Cairan Pembersih Kaca</v>
      </c>
      <c r="Q611" s="264" t="s">
        <v>2609</v>
      </c>
      <c r="R611" s="525" t="s">
        <v>2618</v>
      </c>
      <c r="S611" s="399">
        <v>5</v>
      </c>
      <c r="T611" s="348" t="s">
        <v>3363</v>
      </c>
      <c r="U611" s="520">
        <v>12000</v>
      </c>
      <c r="V611" s="570">
        <v>60000</v>
      </c>
      <c r="W611" s="521" t="s">
        <v>227</v>
      </c>
      <c r="X611" s="521" t="s">
        <v>3383</v>
      </c>
      <c r="Y611" s="522" t="s">
        <v>2512</v>
      </c>
      <c r="Z611" s="523" t="s">
        <v>541</v>
      </c>
    </row>
    <row r="612" spans="1:26" ht="29">
      <c r="A612" s="513">
        <v>610</v>
      </c>
      <c r="B612" s="567"/>
      <c r="C612" s="515" t="s">
        <v>2990</v>
      </c>
      <c r="D612" s="568" t="s">
        <v>2141</v>
      </c>
      <c r="E612" s="513">
        <v>611</v>
      </c>
      <c r="F612" s="544" t="s">
        <v>2990</v>
      </c>
      <c r="G612" s="360">
        <v>45485</v>
      </c>
      <c r="H612" s="360">
        <v>45486</v>
      </c>
      <c r="I612" s="360">
        <v>45486</v>
      </c>
      <c r="J612" s="360">
        <v>45486</v>
      </c>
      <c r="K612" s="569">
        <v>45525</v>
      </c>
      <c r="L612" s="518" t="s">
        <v>2215</v>
      </c>
      <c r="M612" s="264" t="s">
        <v>2587</v>
      </c>
      <c r="N612" s="568" t="s">
        <v>2214</v>
      </c>
      <c r="O612" s="567" t="s">
        <v>2351</v>
      </c>
      <c r="P612" s="264" t="str">
        <f t="shared" si="25"/>
        <v>Hand Sanitizer-Unit</v>
      </c>
      <c r="Q612" s="264" t="s">
        <v>2609</v>
      </c>
      <c r="R612" s="524" t="s">
        <v>2621</v>
      </c>
      <c r="S612" s="399">
        <v>5</v>
      </c>
      <c r="T612" s="348" t="s">
        <v>3371</v>
      </c>
      <c r="U612" s="520">
        <v>70000</v>
      </c>
      <c r="V612" s="570">
        <v>350000</v>
      </c>
      <c r="W612" s="521" t="s">
        <v>227</v>
      </c>
      <c r="X612" s="521" t="s">
        <v>3383</v>
      </c>
      <c r="Y612" s="522" t="s">
        <v>2512</v>
      </c>
      <c r="Z612" s="523" t="s">
        <v>541</v>
      </c>
    </row>
    <row r="613" spans="1:26" ht="29">
      <c r="A613" s="513">
        <v>611</v>
      </c>
      <c r="B613" s="567"/>
      <c r="C613" s="515" t="s">
        <v>2990</v>
      </c>
      <c r="D613" s="568" t="s">
        <v>2142</v>
      </c>
      <c r="E613" s="513">
        <v>612</v>
      </c>
      <c r="F613" s="544" t="s">
        <v>2990</v>
      </c>
      <c r="G613" s="360">
        <v>45486</v>
      </c>
      <c r="H613" s="360">
        <v>45488</v>
      </c>
      <c r="I613" s="360">
        <v>45488</v>
      </c>
      <c r="J613" s="360">
        <v>45488</v>
      </c>
      <c r="K613" s="569">
        <v>45525</v>
      </c>
      <c r="L613" s="518" t="s">
        <v>2219</v>
      </c>
      <c r="M613" s="264" t="s">
        <v>2649</v>
      </c>
      <c r="N613" s="568" t="s">
        <v>2220</v>
      </c>
      <c r="O613" s="567" t="s">
        <v>2352</v>
      </c>
      <c r="P613" s="264" t="str">
        <f t="shared" si="25"/>
        <v>Spanduk Uk. 1 x 6 meter-</v>
      </c>
      <c r="Q613" s="264" t="s">
        <v>2650</v>
      </c>
      <c r="R613" s="528" t="s">
        <v>2651</v>
      </c>
      <c r="S613" s="399">
        <v>2</v>
      </c>
      <c r="T613" s="348" t="s">
        <v>3363</v>
      </c>
      <c r="U613" s="520">
        <v>300000</v>
      </c>
      <c r="V613" s="570">
        <v>300000</v>
      </c>
      <c r="W613" s="521" t="s">
        <v>227</v>
      </c>
      <c r="X613" s="521" t="s">
        <v>3383</v>
      </c>
      <c r="Y613" s="522" t="s">
        <v>2512</v>
      </c>
      <c r="Z613" s="523" t="s">
        <v>541</v>
      </c>
    </row>
    <row r="614" spans="1:26" ht="29">
      <c r="A614" s="513">
        <v>612</v>
      </c>
      <c r="B614" s="567"/>
      <c r="C614" s="515" t="s">
        <v>2990</v>
      </c>
      <c r="D614" s="568" t="s">
        <v>2143</v>
      </c>
      <c r="E614" s="513">
        <v>613</v>
      </c>
      <c r="F614" s="544" t="s">
        <v>2990</v>
      </c>
      <c r="G614" s="360">
        <v>45486</v>
      </c>
      <c r="H614" s="360">
        <v>45488</v>
      </c>
      <c r="I614" s="360">
        <v>45488</v>
      </c>
      <c r="J614" s="360">
        <v>45488</v>
      </c>
      <c r="K614" s="569">
        <v>45525</v>
      </c>
      <c r="L614" s="518" t="s">
        <v>2213</v>
      </c>
      <c r="M614" s="264" t="s">
        <v>2587</v>
      </c>
      <c r="N614" s="568" t="s">
        <v>2212</v>
      </c>
      <c r="O614" s="567" t="s">
        <v>2353</v>
      </c>
      <c r="P614" s="264" t="str">
        <f t="shared" si="25"/>
        <v>Binder Klip  nomor 111</v>
      </c>
      <c r="Q614" s="264" t="s">
        <v>710</v>
      </c>
      <c r="R614" s="519" t="s">
        <v>109</v>
      </c>
      <c r="S614" s="399">
        <v>5</v>
      </c>
      <c r="T614" s="348" t="s">
        <v>3362</v>
      </c>
      <c r="U614" s="520">
        <v>11000</v>
      </c>
      <c r="V614" s="570">
        <v>55000</v>
      </c>
      <c r="W614" s="521" t="s">
        <v>227</v>
      </c>
      <c r="X614" s="521" t="s">
        <v>3383</v>
      </c>
      <c r="Y614" s="522" t="s">
        <v>2512</v>
      </c>
      <c r="Z614" s="523" t="s">
        <v>541</v>
      </c>
    </row>
    <row r="615" spans="1:26" ht="29">
      <c r="A615" s="513">
        <v>613</v>
      </c>
      <c r="B615" s="567"/>
      <c r="C615" s="515" t="s">
        <v>2990</v>
      </c>
      <c r="D615" s="568" t="s">
        <v>2143</v>
      </c>
      <c r="E615" s="513">
        <v>614</v>
      </c>
      <c r="F615" s="544" t="s">
        <v>2990</v>
      </c>
      <c r="G615" s="360">
        <v>45486</v>
      </c>
      <c r="H615" s="360">
        <v>45488</v>
      </c>
      <c r="I615" s="360">
        <v>45488</v>
      </c>
      <c r="J615" s="360">
        <v>45488</v>
      </c>
      <c r="K615" s="569">
        <v>45525</v>
      </c>
      <c r="L615" s="518" t="s">
        <v>2213</v>
      </c>
      <c r="M615" s="264" t="s">
        <v>2587</v>
      </c>
      <c r="N615" s="568" t="s">
        <v>2212</v>
      </c>
      <c r="O615" s="567" t="s">
        <v>2354</v>
      </c>
      <c r="P615" s="264" t="str">
        <f t="shared" si="25"/>
        <v>Ballpoint Drawing Pen 0,1 Snowman</v>
      </c>
      <c r="Q615" s="264" t="s">
        <v>710</v>
      </c>
      <c r="R615" s="525" t="s">
        <v>2590</v>
      </c>
      <c r="S615" s="399">
        <v>1</v>
      </c>
      <c r="T615" s="348" t="s">
        <v>3364</v>
      </c>
      <c r="U615" s="520">
        <v>95000</v>
      </c>
      <c r="V615" s="570">
        <v>95000</v>
      </c>
      <c r="W615" s="521" t="s">
        <v>227</v>
      </c>
      <c r="X615" s="521" t="s">
        <v>3383</v>
      </c>
      <c r="Y615" s="522" t="s">
        <v>2512</v>
      </c>
      <c r="Z615" s="523" t="s">
        <v>541</v>
      </c>
    </row>
    <row r="616" spans="1:26" ht="29">
      <c r="A616" s="513">
        <v>614</v>
      </c>
      <c r="B616" s="567"/>
      <c r="C616" s="515" t="s">
        <v>2990</v>
      </c>
      <c r="D616" s="568" t="s">
        <v>2143</v>
      </c>
      <c r="E616" s="513">
        <v>615</v>
      </c>
      <c r="F616" s="544" t="s">
        <v>2990</v>
      </c>
      <c r="G616" s="360">
        <v>45486</v>
      </c>
      <c r="H616" s="360">
        <v>45488</v>
      </c>
      <c r="I616" s="360">
        <v>45488</v>
      </c>
      <c r="J616" s="360">
        <v>45488</v>
      </c>
      <c r="K616" s="569">
        <v>45525</v>
      </c>
      <c r="L616" s="518" t="s">
        <v>2213</v>
      </c>
      <c r="M616" s="264" t="s">
        <v>2587</v>
      </c>
      <c r="N616" s="568" t="s">
        <v>2212</v>
      </c>
      <c r="O616" s="567" t="s">
        <v>2355</v>
      </c>
      <c r="P616" s="264" t="str">
        <f t="shared" si="25"/>
        <v>Stofmap Transparan tali</v>
      </c>
      <c r="Q616" s="264" t="s">
        <v>710</v>
      </c>
      <c r="R616" s="519" t="s">
        <v>158</v>
      </c>
      <c r="S616" s="399">
        <v>100</v>
      </c>
      <c r="T616" s="348" t="s">
        <v>3363</v>
      </c>
      <c r="U616" s="520">
        <v>5500</v>
      </c>
      <c r="V616" s="570">
        <v>550000</v>
      </c>
      <c r="W616" s="521" t="s">
        <v>227</v>
      </c>
      <c r="X616" s="521" t="s">
        <v>3383</v>
      </c>
      <c r="Y616" s="522" t="s">
        <v>2512</v>
      </c>
      <c r="Z616" s="523" t="s">
        <v>541</v>
      </c>
    </row>
    <row r="617" spans="1:26" ht="29">
      <c r="A617" s="513">
        <v>615</v>
      </c>
      <c r="B617" s="567"/>
      <c r="C617" s="515" t="s">
        <v>2990</v>
      </c>
      <c r="D617" s="568" t="s">
        <v>2143</v>
      </c>
      <c r="E617" s="513">
        <v>616</v>
      </c>
      <c r="F617" s="544" t="s">
        <v>2990</v>
      </c>
      <c r="G617" s="360">
        <v>45486</v>
      </c>
      <c r="H617" s="360">
        <v>45488</v>
      </c>
      <c r="I617" s="360">
        <v>45488</v>
      </c>
      <c r="J617" s="360">
        <v>45488</v>
      </c>
      <c r="K617" s="569">
        <v>45525</v>
      </c>
      <c r="L617" s="518" t="s">
        <v>2213</v>
      </c>
      <c r="M617" s="264" t="s">
        <v>2587</v>
      </c>
      <c r="N617" s="568" t="s">
        <v>2212</v>
      </c>
      <c r="O617" s="567" t="s">
        <v>2356</v>
      </c>
      <c r="P617" s="264" t="str">
        <f t="shared" si="25"/>
        <v>Amplop Coklat Merk : GSU Ukuran Folio polos</v>
      </c>
      <c r="Q617" s="264" t="s">
        <v>710</v>
      </c>
      <c r="R617" s="529" t="s">
        <v>2593</v>
      </c>
      <c r="S617" s="399">
        <v>2</v>
      </c>
      <c r="T617" s="348" t="s">
        <v>3365</v>
      </c>
      <c r="U617" s="520">
        <v>60000</v>
      </c>
      <c r="V617" s="570">
        <v>120000</v>
      </c>
      <c r="W617" s="521" t="s">
        <v>227</v>
      </c>
      <c r="X617" s="521" t="s">
        <v>3383</v>
      </c>
      <c r="Y617" s="522" t="s">
        <v>2512</v>
      </c>
      <c r="Z617" s="523" t="s">
        <v>541</v>
      </c>
    </row>
    <row r="618" spans="1:26" ht="29">
      <c r="A618" s="513">
        <v>616</v>
      </c>
      <c r="B618" s="567"/>
      <c r="C618" s="515" t="s">
        <v>2990</v>
      </c>
      <c r="D618" s="568" t="s">
        <v>2143</v>
      </c>
      <c r="E618" s="513">
        <v>617</v>
      </c>
      <c r="F618" s="544" t="s">
        <v>2990</v>
      </c>
      <c r="G618" s="360">
        <v>45486</v>
      </c>
      <c r="H618" s="360">
        <v>45488</v>
      </c>
      <c r="I618" s="360">
        <v>45488</v>
      </c>
      <c r="J618" s="360">
        <v>45488</v>
      </c>
      <c r="K618" s="569">
        <v>45525</v>
      </c>
      <c r="L618" s="518" t="s">
        <v>2213</v>
      </c>
      <c r="M618" s="264" t="s">
        <v>2587</v>
      </c>
      <c r="N618" s="568" t="s">
        <v>2212</v>
      </c>
      <c r="O618" s="567" t="s">
        <v>2357</v>
      </c>
      <c r="P618" s="264" t="str">
        <f t="shared" si="25"/>
        <v>Binder Klip  nomor 107</v>
      </c>
      <c r="Q618" s="264" t="s">
        <v>710</v>
      </c>
      <c r="R618" s="525" t="s">
        <v>2595</v>
      </c>
      <c r="S618" s="399">
        <v>5</v>
      </c>
      <c r="T618" s="348" t="s">
        <v>3362</v>
      </c>
      <c r="U618" s="520">
        <v>7500</v>
      </c>
      <c r="V618" s="570">
        <v>37500</v>
      </c>
      <c r="W618" s="521" t="s">
        <v>227</v>
      </c>
      <c r="X618" s="521" t="s">
        <v>3383</v>
      </c>
      <c r="Y618" s="522" t="s">
        <v>2512</v>
      </c>
      <c r="Z618" s="523" t="s">
        <v>541</v>
      </c>
    </row>
    <row r="619" spans="1:26" ht="29">
      <c r="A619" s="513">
        <v>617</v>
      </c>
      <c r="B619" s="567"/>
      <c r="C619" s="515" t="s">
        <v>2990</v>
      </c>
      <c r="D619" s="568" t="s">
        <v>2143</v>
      </c>
      <c r="E619" s="513">
        <v>618</v>
      </c>
      <c r="F619" s="544" t="s">
        <v>2990</v>
      </c>
      <c r="G619" s="360">
        <v>45486</v>
      </c>
      <c r="H619" s="360">
        <v>45488</v>
      </c>
      <c r="I619" s="360">
        <v>45488</v>
      </c>
      <c r="J619" s="360">
        <v>45488</v>
      </c>
      <c r="K619" s="569">
        <v>45525</v>
      </c>
      <c r="L619" s="518" t="s">
        <v>2213</v>
      </c>
      <c r="M619" s="264" t="s">
        <v>2587</v>
      </c>
      <c r="N619" s="568" t="s">
        <v>2212</v>
      </c>
      <c r="O619" s="567" t="s">
        <v>2358</v>
      </c>
      <c r="P619" s="264" t="str">
        <f t="shared" si="25"/>
        <v>Amplop Coklat Merk : Garda Ukuran Cabinet</v>
      </c>
      <c r="Q619" s="264" t="s">
        <v>710</v>
      </c>
      <c r="R619" s="525" t="s">
        <v>2596</v>
      </c>
      <c r="S619" s="399">
        <v>3</v>
      </c>
      <c r="T619" s="348" t="s">
        <v>3365</v>
      </c>
      <c r="U619" s="520">
        <v>23000</v>
      </c>
      <c r="V619" s="570">
        <v>69000</v>
      </c>
      <c r="W619" s="521" t="s">
        <v>227</v>
      </c>
      <c r="X619" s="521" t="s">
        <v>3383</v>
      </c>
      <c r="Y619" s="522" t="s">
        <v>2512</v>
      </c>
      <c r="Z619" s="523" t="s">
        <v>541</v>
      </c>
    </row>
    <row r="620" spans="1:26" ht="29">
      <c r="A620" s="513">
        <v>618</v>
      </c>
      <c r="B620" s="567"/>
      <c r="C620" s="515" t="s">
        <v>2990</v>
      </c>
      <c r="D620" s="568" t="s">
        <v>2143</v>
      </c>
      <c r="E620" s="513">
        <v>619</v>
      </c>
      <c r="F620" s="544" t="s">
        <v>2990</v>
      </c>
      <c r="G620" s="360">
        <v>45486</v>
      </c>
      <c r="H620" s="360">
        <v>45488</v>
      </c>
      <c r="I620" s="360">
        <v>45488</v>
      </c>
      <c r="J620" s="360">
        <v>45488</v>
      </c>
      <c r="K620" s="569">
        <v>45525</v>
      </c>
      <c r="L620" s="518" t="s">
        <v>2213</v>
      </c>
      <c r="M620" s="264" t="s">
        <v>2587</v>
      </c>
      <c r="N620" s="568" t="s">
        <v>2212</v>
      </c>
      <c r="O620" s="567" t="s">
        <v>2359</v>
      </c>
      <c r="P620" s="264" t="str">
        <f t="shared" si="25"/>
        <v>Kertas Label</v>
      </c>
      <c r="Q620" s="264" t="s">
        <v>710</v>
      </c>
      <c r="R620" s="525" t="s">
        <v>2597</v>
      </c>
      <c r="S620" s="399">
        <v>5</v>
      </c>
      <c r="T620" s="348" t="s">
        <v>3368</v>
      </c>
      <c r="U620" s="520">
        <v>25000</v>
      </c>
      <c r="V620" s="570">
        <v>125000</v>
      </c>
      <c r="W620" s="521" t="s">
        <v>227</v>
      </c>
      <c r="X620" s="521" t="s">
        <v>3383</v>
      </c>
      <c r="Y620" s="522" t="s">
        <v>2512</v>
      </c>
      <c r="Z620" s="523" t="s">
        <v>541</v>
      </c>
    </row>
    <row r="621" spans="1:26" ht="29">
      <c r="A621" s="513">
        <v>619</v>
      </c>
      <c r="B621" s="567"/>
      <c r="C621" s="515" t="s">
        <v>2990</v>
      </c>
      <c r="D621" s="568" t="s">
        <v>2143</v>
      </c>
      <c r="E621" s="513">
        <v>620</v>
      </c>
      <c r="F621" s="544" t="s">
        <v>2990</v>
      </c>
      <c r="G621" s="360">
        <v>45486</v>
      </c>
      <c r="H621" s="360">
        <v>45488</v>
      </c>
      <c r="I621" s="360">
        <v>45488</v>
      </c>
      <c r="J621" s="360">
        <v>45488</v>
      </c>
      <c r="K621" s="569">
        <v>45525</v>
      </c>
      <c r="L621" s="518" t="s">
        <v>2213</v>
      </c>
      <c r="M621" s="264" t="s">
        <v>2587</v>
      </c>
      <c r="N621" s="568" t="s">
        <v>2212</v>
      </c>
      <c r="O621" s="567" t="s">
        <v>2360</v>
      </c>
      <c r="P621" s="264" t="str">
        <f t="shared" si="25"/>
        <v>Binder Klip Merk : KENKO nomor 105</v>
      </c>
      <c r="Q621" s="264" t="s">
        <v>710</v>
      </c>
      <c r="R621" s="525" t="s">
        <v>2728</v>
      </c>
      <c r="S621" s="399">
        <v>2</v>
      </c>
      <c r="T621" s="348" t="s">
        <v>3362</v>
      </c>
      <c r="U621" s="520">
        <v>5000</v>
      </c>
      <c r="V621" s="570">
        <v>10000</v>
      </c>
      <c r="W621" s="521" t="s">
        <v>227</v>
      </c>
      <c r="X621" s="521" t="s">
        <v>3383</v>
      </c>
      <c r="Y621" s="522" t="s">
        <v>2512</v>
      </c>
      <c r="Z621" s="523" t="s">
        <v>541</v>
      </c>
    </row>
    <row r="622" spans="1:26" ht="29">
      <c r="A622" s="513">
        <v>620</v>
      </c>
      <c r="B622" s="567"/>
      <c r="C622" s="515" t="s">
        <v>2990</v>
      </c>
      <c r="D622" s="568" t="s">
        <v>2143</v>
      </c>
      <c r="E622" s="513">
        <v>621</v>
      </c>
      <c r="F622" s="544" t="s">
        <v>2990</v>
      </c>
      <c r="G622" s="360">
        <v>45486</v>
      </c>
      <c r="H622" s="360">
        <v>45488</v>
      </c>
      <c r="I622" s="360">
        <v>45488</v>
      </c>
      <c r="J622" s="360">
        <v>45488</v>
      </c>
      <c r="K622" s="569">
        <v>45525</v>
      </c>
      <c r="L622" s="518" t="s">
        <v>2213</v>
      </c>
      <c r="M622" s="264" t="s">
        <v>2587</v>
      </c>
      <c r="N622" s="568" t="s">
        <v>2212</v>
      </c>
      <c r="O622" s="567" t="s">
        <v>2361</v>
      </c>
      <c r="P622" s="264" t="str">
        <f t="shared" si="25"/>
        <v>Ballpoint Pilot G2</v>
      </c>
      <c r="Q622" s="264" t="s">
        <v>710</v>
      </c>
      <c r="R622" s="519" t="s">
        <v>102</v>
      </c>
      <c r="S622" s="399">
        <v>1</v>
      </c>
      <c r="T622" s="348" t="s">
        <v>3364</v>
      </c>
      <c r="U622" s="520">
        <v>235000</v>
      </c>
      <c r="V622" s="570">
        <v>235000</v>
      </c>
      <c r="W622" s="521" t="s">
        <v>227</v>
      </c>
      <c r="X622" s="521" t="s">
        <v>3383</v>
      </c>
      <c r="Y622" s="522" t="s">
        <v>2512</v>
      </c>
      <c r="Z622" s="523" t="s">
        <v>541</v>
      </c>
    </row>
    <row r="623" spans="1:26" ht="43.5">
      <c r="A623" s="513">
        <v>621</v>
      </c>
      <c r="B623" s="567"/>
      <c r="C623" s="515" t="s">
        <v>2990</v>
      </c>
      <c r="D623" s="568" t="s">
        <v>2143</v>
      </c>
      <c r="E623" s="513">
        <v>622</v>
      </c>
      <c r="F623" s="544" t="s">
        <v>2990</v>
      </c>
      <c r="G623" s="360">
        <v>45486</v>
      </c>
      <c r="H623" s="360">
        <v>45488</v>
      </c>
      <c r="I623" s="360">
        <v>45488</v>
      </c>
      <c r="J623" s="360">
        <v>45488</v>
      </c>
      <c r="K623" s="569">
        <v>45525</v>
      </c>
      <c r="L623" s="518" t="s">
        <v>2213</v>
      </c>
      <c r="M623" s="264" t="s">
        <v>2587</v>
      </c>
      <c r="N623" s="568" t="s">
        <v>2212</v>
      </c>
      <c r="O623" s="567" t="s">
        <v>2362</v>
      </c>
      <c r="P623" s="264" t="str">
        <f t="shared" si="25"/>
        <v>Ballpoint Boldiner Standar</v>
      </c>
      <c r="Q623" s="264" t="s">
        <v>710</v>
      </c>
      <c r="R623" s="519" t="s">
        <v>100</v>
      </c>
      <c r="S623" s="399">
        <v>2</v>
      </c>
      <c r="T623" s="348" t="s">
        <v>3364</v>
      </c>
      <c r="U623" s="520">
        <v>225000</v>
      </c>
      <c r="V623" s="570">
        <v>450000</v>
      </c>
      <c r="W623" s="521" t="s">
        <v>227</v>
      </c>
      <c r="X623" s="521" t="s">
        <v>3383</v>
      </c>
      <c r="Y623" s="522" t="s">
        <v>2512</v>
      </c>
      <c r="Z623" s="523" t="s">
        <v>541</v>
      </c>
    </row>
    <row r="624" spans="1:26" ht="29">
      <c r="A624" s="513">
        <v>622</v>
      </c>
      <c r="B624" s="567"/>
      <c r="C624" s="515" t="s">
        <v>2990</v>
      </c>
      <c r="D624" s="568" t="s">
        <v>2143</v>
      </c>
      <c r="E624" s="513">
        <v>623</v>
      </c>
      <c r="F624" s="544" t="s">
        <v>2990</v>
      </c>
      <c r="G624" s="360">
        <v>45486</v>
      </c>
      <c r="H624" s="360">
        <v>45488</v>
      </c>
      <c r="I624" s="360">
        <v>45488</v>
      </c>
      <c r="J624" s="360">
        <v>45488</v>
      </c>
      <c r="K624" s="569">
        <v>45525</v>
      </c>
      <c r="L624" s="518" t="s">
        <v>2213</v>
      </c>
      <c r="M624" s="264" t="s">
        <v>2587</v>
      </c>
      <c r="N624" s="568" t="s">
        <v>2212</v>
      </c>
      <c r="O624" s="567" t="s">
        <v>2363</v>
      </c>
      <c r="P624" s="264" t="str">
        <f t="shared" si="25"/>
        <v>Map Binder</v>
      </c>
      <c r="Q624" s="264" t="s">
        <v>710</v>
      </c>
      <c r="R624" s="519" t="s">
        <v>142</v>
      </c>
      <c r="S624" s="399">
        <v>12</v>
      </c>
      <c r="T624" s="348" t="s">
        <v>3363</v>
      </c>
      <c r="U624" s="520">
        <v>35500</v>
      </c>
      <c r="V624" s="570">
        <v>426000</v>
      </c>
      <c r="W624" s="521" t="s">
        <v>227</v>
      </c>
      <c r="X624" s="521" t="s">
        <v>3383</v>
      </c>
      <c r="Y624" s="522" t="s">
        <v>2512</v>
      </c>
      <c r="Z624" s="523" t="s">
        <v>541</v>
      </c>
    </row>
    <row r="625" spans="1:26" ht="29">
      <c r="A625" s="513">
        <v>623</v>
      </c>
      <c r="B625" s="567"/>
      <c r="C625" s="515" t="s">
        <v>2990</v>
      </c>
      <c r="D625" s="568" t="s">
        <v>2143</v>
      </c>
      <c r="E625" s="513">
        <v>624</v>
      </c>
      <c r="F625" s="544" t="s">
        <v>2990</v>
      </c>
      <c r="G625" s="360">
        <v>45486</v>
      </c>
      <c r="H625" s="360">
        <v>45488</v>
      </c>
      <c r="I625" s="360">
        <v>45488</v>
      </c>
      <c r="J625" s="360">
        <v>45488</v>
      </c>
      <c r="K625" s="569">
        <v>45525</v>
      </c>
      <c r="L625" s="518" t="s">
        <v>2213</v>
      </c>
      <c r="M625" s="264" t="s">
        <v>2587</v>
      </c>
      <c r="N625" s="568" t="s">
        <v>2212</v>
      </c>
      <c r="O625" s="567" t="s">
        <v>2364</v>
      </c>
      <c r="P625" s="264" t="str">
        <f t="shared" si="25"/>
        <v>Amplop Coklat Merk : GSU Ukuran : 1/2 folio, bergaris</v>
      </c>
      <c r="Q625" s="264" t="s">
        <v>710</v>
      </c>
      <c r="R625" s="525" t="s">
        <v>2600</v>
      </c>
      <c r="S625" s="399">
        <v>1</v>
      </c>
      <c r="T625" s="348" t="s">
        <v>3365</v>
      </c>
      <c r="U625" s="520">
        <v>45000</v>
      </c>
      <c r="V625" s="570">
        <v>45000</v>
      </c>
      <c r="W625" s="521" t="s">
        <v>227</v>
      </c>
      <c r="X625" s="521" t="s">
        <v>3383</v>
      </c>
      <c r="Y625" s="522" t="s">
        <v>2512</v>
      </c>
      <c r="Z625" s="523" t="s">
        <v>541</v>
      </c>
    </row>
    <row r="626" spans="1:26" ht="29">
      <c r="A626" s="513">
        <v>624</v>
      </c>
      <c r="B626" s="567"/>
      <c r="C626" s="515" t="s">
        <v>2990</v>
      </c>
      <c r="D626" s="568" t="s">
        <v>2143</v>
      </c>
      <c r="E626" s="513">
        <v>625</v>
      </c>
      <c r="F626" s="544" t="s">
        <v>2990</v>
      </c>
      <c r="G626" s="360">
        <v>45486</v>
      </c>
      <c r="H626" s="360">
        <v>45488</v>
      </c>
      <c r="I626" s="360">
        <v>45488</v>
      </c>
      <c r="J626" s="360">
        <v>45488</v>
      </c>
      <c r="K626" s="569">
        <v>45525</v>
      </c>
      <c r="L626" s="518" t="s">
        <v>2213</v>
      </c>
      <c r="M626" s="264" t="s">
        <v>2587</v>
      </c>
      <c r="N626" s="568" t="s">
        <v>2212</v>
      </c>
      <c r="O626" s="567" t="s">
        <v>2365</v>
      </c>
      <c r="P626" s="264" t="str">
        <f t="shared" si="25"/>
        <v>Binder Klip  nomor 260</v>
      </c>
      <c r="Q626" s="264" t="s">
        <v>710</v>
      </c>
      <c r="R626" s="525" t="s">
        <v>2602</v>
      </c>
      <c r="S626" s="399">
        <v>10</v>
      </c>
      <c r="T626" s="348" t="s">
        <v>3362</v>
      </c>
      <c r="U626" s="520">
        <v>20000</v>
      </c>
      <c r="V626" s="570">
        <v>200000</v>
      </c>
      <c r="W626" s="521" t="s">
        <v>227</v>
      </c>
      <c r="X626" s="521" t="s">
        <v>3383</v>
      </c>
      <c r="Y626" s="522" t="s">
        <v>2512</v>
      </c>
      <c r="Z626" s="523" t="s">
        <v>541</v>
      </c>
    </row>
    <row r="627" spans="1:26" ht="29">
      <c r="A627" s="513">
        <v>625</v>
      </c>
      <c r="B627" s="567"/>
      <c r="C627" s="515" t="s">
        <v>2990</v>
      </c>
      <c r="D627" s="568" t="s">
        <v>2143</v>
      </c>
      <c r="E627" s="513">
        <v>626</v>
      </c>
      <c r="F627" s="544" t="s">
        <v>2990</v>
      </c>
      <c r="G627" s="360">
        <v>45486</v>
      </c>
      <c r="H627" s="360">
        <v>45488</v>
      </c>
      <c r="I627" s="360">
        <v>45488</v>
      </c>
      <c r="J627" s="360">
        <v>45488</v>
      </c>
      <c r="K627" s="569">
        <v>45525</v>
      </c>
      <c r="L627" s="518" t="s">
        <v>2213</v>
      </c>
      <c r="M627" s="264" t="s">
        <v>2587</v>
      </c>
      <c r="N627" s="568" t="s">
        <v>2212</v>
      </c>
      <c r="O627" s="567" t="s">
        <v>2366</v>
      </c>
      <c r="P627" s="264" t="str">
        <f t="shared" si="25"/>
        <v>Stofmap Transparan</v>
      </c>
      <c r="Q627" s="264" t="s">
        <v>710</v>
      </c>
      <c r="R627" s="519" t="s">
        <v>157</v>
      </c>
      <c r="S627" s="399">
        <v>100</v>
      </c>
      <c r="T627" s="348" t="s">
        <v>3363</v>
      </c>
      <c r="U627" s="520">
        <v>5500</v>
      </c>
      <c r="V627" s="570">
        <v>550000</v>
      </c>
      <c r="W627" s="521" t="s">
        <v>227</v>
      </c>
      <c r="X627" s="521" t="s">
        <v>3383</v>
      </c>
      <c r="Y627" s="522" t="s">
        <v>2512</v>
      </c>
      <c r="Z627" s="523" t="s">
        <v>541</v>
      </c>
    </row>
    <row r="628" spans="1:26" ht="29">
      <c r="A628" s="513">
        <v>626</v>
      </c>
      <c r="B628" s="567"/>
      <c r="C628" s="515" t="s">
        <v>2990</v>
      </c>
      <c r="D628" s="568" t="s">
        <v>2143</v>
      </c>
      <c r="E628" s="513">
        <v>627</v>
      </c>
      <c r="F628" s="544" t="s">
        <v>2990</v>
      </c>
      <c r="G628" s="360">
        <v>45486</v>
      </c>
      <c r="H628" s="360">
        <v>45488</v>
      </c>
      <c r="I628" s="360">
        <v>45488</v>
      </c>
      <c r="J628" s="360">
        <v>45488</v>
      </c>
      <c r="K628" s="569">
        <v>45525</v>
      </c>
      <c r="L628" s="518" t="s">
        <v>2213</v>
      </c>
      <c r="M628" s="264" t="s">
        <v>2587</v>
      </c>
      <c r="N628" s="568" t="s">
        <v>2212</v>
      </c>
      <c r="O628" s="567" t="s">
        <v>2367</v>
      </c>
      <c r="P628" s="264" t="str">
        <f t="shared" si="25"/>
        <v>Amplop Panjang Putih Polos Merk : Jaya Ukuran : 11 x 23 cm</v>
      </c>
      <c r="Q628" s="264" t="s">
        <v>710</v>
      </c>
      <c r="R628" s="519" t="s">
        <v>99</v>
      </c>
      <c r="S628" s="399">
        <v>1</v>
      </c>
      <c r="T628" s="348" t="s">
        <v>3362</v>
      </c>
      <c r="U628" s="520">
        <v>48000</v>
      </c>
      <c r="V628" s="570">
        <v>48000</v>
      </c>
      <c r="W628" s="521" t="s">
        <v>227</v>
      </c>
      <c r="X628" s="521" t="s">
        <v>3383</v>
      </c>
      <c r="Y628" s="522" t="s">
        <v>2512</v>
      </c>
      <c r="Z628" s="523" t="s">
        <v>541</v>
      </c>
    </row>
    <row r="629" spans="1:26" ht="29">
      <c r="A629" s="513">
        <v>627</v>
      </c>
      <c r="B629" s="567"/>
      <c r="C629" s="515" t="s">
        <v>2990</v>
      </c>
      <c r="D629" s="568" t="s">
        <v>2143</v>
      </c>
      <c r="E629" s="513">
        <v>628</v>
      </c>
      <c r="F629" s="544" t="s">
        <v>2990</v>
      </c>
      <c r="G629" s="360">
        <v>45486</v>
      </c>
      <c r="H629" s="360">
        <v>45488</v>
      </c>
      <c r="I629" s="360">
        <v>45488</v>
      </c>
      <c r="J629" s="360">
        <v>45488</v>
      </c>
      <c r="K629" s="569">
        <v>45525</v>
      </c>
      <c r="L629" s="518" t="s">
        <v>2213</v>
      </c>
      <c r="M629" s="264" t="s">
        <v>2587</v>
      </c>
      <c r="N629" s="568" t="s">
        <v>2212</v>
      </c>
      <c r="O629" s="567" t="s">
        <v>2368</v>
      </c>
      <c r="P629" s="264" t="str">
        <f t="shared" ref="P629:P648" si="26">O629</f>
        <v>Binder Klip  nomor 200</v>
      </c>
      <c r="Q629" s="264" t="s">
        <v>710</v>
      </c>
      <c r="R629" s="519" t="s">
        <v>110</v>
      </c>
      <c r="S629" s="399">
        <v>10</v>
      </c>
      <c r="T629" s="348" t="s">
        <v>3362</v>
      </c>
      <c r="U629" s="520">
        <v>16500</v>
      </c>
      <c r="V629" s="570">
        <v>165000</v>
      </c>
      <c r="W629" s="521" t="s">
        <v>227</v>
      </c>
      <c r="X629" s="521" t="s">
        <v>3383</v>
      </c>
      <c r="Y629" s="522" t="s">
        <v>2512</v>
      </c>
      <c r="Z629" s="523" t="s">
        <v>541</v>
      </c>
    </row>
    <row r="630" spans="1:26" ht="29">
      <c r="A630" s="513">
        <v>628</v>
      </c>
      <c r="B630" s="567"/>
      <c r="C630" s="515" t="s">
        <v>2990</v>
      </c>
      <c r="D630" s="568" t="s">
        <v>2143</v>
      </c>
      <c r="E630" s="513">
        <v>629</v>
      </c>
      <c r="F630" s="544" t="s">
        <v>2990</v>
      </c>
      <c r="G630" s="360">
        <v>45486</v>
      </c>
      <c r="H630" s="360">
        <v>45488</v>
      </c>
      <c r="I630" s="360">
        <v>45488</v>
      </c>
      <c r="J630" s="360">
        <v>45488</v>
      </c>
      <c r="K630" s="569">
        <v>45525</v>
      </c>
      <c r="L630" s="518" t="s">
        <v>2213</v>
      </c>
      <c r="M630" s="264" t="s">
        <v>2587</v>
      </c>
      <c r="N630" s="568" t="s">
        <v>2212</v>
      </c>
      <c r="O630" s="567" t="s">
        <v>2369</v>
      </c>
      <c r="P630" s="264" t="str">
        <f t="shared" si="26"/>
        <v>Sampul Plastik</v>
      </c>
      <c r="Q630" s="264" t="s">
        <v>710</v>
      </c>
      <c r="R630" s="519" t="s">
        <v>149</v>
      </c>
      <c r="S630" s="399">
        <v>5</v>
      </c>
      <c r="T630" s="348" t="s">
        <v>3365</v>
      </c>
      <c r="U630" s="520">
        <v>65000</v>
      </c>
      <c r="V630" s="570">
        <v>325000</v>
      </c>
      <c r="W630" s="521" t="s">
        <v>227</v>
      </c>
      <c r="X630" s="521" t="s">
        <v>3383</v>
      </c>
      <c r="Y630" s="522" t="s">
        <v>2512</v>
      </c>
      <c r="Z630" s="523" t="s">
        <v>541</v>
      </c>
    </row>
    <row r="631" spans="1:26" ht="29">
      <c r="A631" s="513">
        <v>629</v>
      </c>
      <c r="B631" s="567"/>
      <c r="C631" s="515" t="s">
        <v>2990</v>
      </c>
      <c r="D631" s="568" t="s">
        <v>2143</v>
      </c>
      <c r="E631" s="513">
        <v>630</v>
      </c>
      <c r="F631" s="544" t="s">
        <v>2990</v>
      </c>
      <c r="G631" s="360">
        <v>45486</v>
      </c>
      <c r="H631" s="360">
        <v>45488</v>
      </c>
      <c r="I631" s="360">
        <v>45488</v>
      </c>
      <c r="J631" s="360">
        <v>45488</v>
      </c>
      <c r="K631" s="569">
        <v>45525</v>
      </c>
      <c r="L631" s="518" t="s">
        <v>2213</v>
      </c>
      <c r="M631" s="264" t="s">
        <v>2587</v>
      </c>
      <c r="N631" s="568" t="s">
        <v>2212</v>
      </c>
      <c r="O631" s="567" t="s">
        <v>2370</v>
      </c>
      <c r="P631" s="264" t="str">
        <f t="shared" si="26"/>
        <v>Box File Merk : Bantex Ukuran : 115x270x325 mm</v>
      </c>
      <c r="Q631" s="264" t="s">
        <v>710</v>
      </c>
      <c r="R631" s="524" t="s">
        <v>2606</v>
      </c>
      <c r="S631" s="399">
        <v>4</v>
      </c>
      <c r="T631" s="348" t="s">
        <v>3363</v>
      </c>
      <c r="U631" s="520">
        <v>59800</v>
      </c>
      <c r="V631" s="570">
        <v>239200</v>
      </c>
      <c r="W631" s="521" t="s">
        <v>227</v>
      </c>
      <c r="X631" s="521" t="s">
        <v>3383</v>
      </c>
      <c r="Y631" s="522" t="s">
        <v>2512</v>
      </c>
      <c r="Z631" s="523" t="s">
        <v>541</v>
      </c>
    </row>
    <row r="632" spans="1:26" ht="29">
      <c r="A632" s="513">
        <v>630</v>
      </c>
      <c r="B632" s="567"/>
      <c r="C632" s="515" t="s">
        <v>2990</v>
      </c>
      <c r="D632" s="568" t="s">
        <v>2143</v>
      </c>
      <c r="E632" s="513">
        <v>631</v>
      </c>
      <c r="F632" s="544" t="s">
        <v>2990</v>
      </c>
      <c r="G632" s="360">
        <v>45486</v>
      </c>
      <c r="H632" s="360">
        <v>45488</v>
      </c>
      <c r="I632" s="360">
        <v>45488</v>
      </c>
      <c r="J632" s="360">
        <v>45488</v>
      </c>
      <c r="K632" s="569">
        <v>45525</v>
      </c>
      <c r="L632" s="518" t="s">
        <v>2213</v>
      </c>
      <c r="M632" s="264" t="s">
        <v>2587</v>
      </c>
      <c r="N632" s="568" t="s">
        <v>2212</v>
      </c>
      <c r="O632" s="567" t="s">
        <v>2371</v>
      </c>
      <c r="P632" s="264" t="str">
        <f t="shared" si="26"/>
        <v>Ballpoint Standard AE7</v>
      </c>
      <c r="Q632" s="264" t="s">
        <v>710</v>
      </c>
      <c r="R632" s="519" t="s">
        <v>103</v>
      </c>
      <c r="S632" s="399">
        <v>2</v>
      </c>
      <c r="T632" s="348" t="s">
        <v>3364</v>
      </c>
      <c r="U632" s="520">
        <v>20000</v>
      </c>
      <c r="V632" s="570">
        <v>40000</v>
      </c>
      <c r="W632" s="521" t="s">
        <v>227</v>
      </c>
      <c r="X632" s="521" t="s">
        <v>3383</v>
      </c>
      <c r="Y632" s="522" t="s">
        <v>2512</v>
      </c>
      <c r="Z632" s="523" t="s">
        <v>541</v>
      </c>
    </row>
    <row r="633" spans="1:26" ht="29">
      <c r="A633" s="513">
        <v>631</v>
      </c>
      <c r="B633" s="567"/>
      <c r="C633" s="515" t="s">
        <v>2990</v>
      </c>
      <c r="D633" s="568" t="s">
        <v>2143</v>
      </c>
      <c r="E633" s="513">
        <v>632</v>
      </c>
      <c r="F633" s="544" t="s">
        <v>2990</v>
      </c>
      <c r="G633" s="360">
        <v>45486</v>
      </c>
      <c r="H633" s="360">
        <v>45488</v>
      </c>
      <c r="I633" s="360">
        <v>45488</v>
      </c>
      <c r="J633" s="360">
        <v>45488</v>
      </c>
      <c r="K633" s="569">
        <v>45525</v>
      </c>
      <c r="L633" s="518" t="s">
        <v>2213</v>
      </c>
      <c r="M633" s="264" t="s">
        <v>2587</v>
      </c>
      <c r="N633" s="568" t="s">
        <v>2212</v>
      </c>
      <c r="O633" s="567" t="s">
        <v>2372</v>
      </c>
      <c r="P633" s="264" t="str">
        <f t="shared" si="26"/>
        <v>Stofmap Kertas</v>
      </c>
      <c r="Q633" s="264" t="s">
        <v>710</v>
      </c>
      <c r="R633" s="519" t="s">
        <v>156</v>
      </c>
      <c r="S633" s="399">
        <v>1</v>
      </c>
      <c r="T633" s="348" t="s">
        <v>3370</v>
      </c>
      <c r="U633" s="520">
        <v>87500</v>
      </c>
      <c r="V633" s="570">
        <v>87500</v>
      </c>
      <c r="W633" s="521" t="s">
        <v>227</v>
      </c>
      <c r="X633" s="521" t="s">
        <v>3383</v>
      </c>
      <c r="Y633" s="522" t="s">
        <v>2512</v>
      </c>
      <c r="Z633" s="523" t="s">
        <v>541</v>
      </c>
    </row>
    <row r="634" spans="1:26" ht="29">
      <c r="A634" s="513">
        <v>632</v>
      </c>
      <c r="B634" s="567"/>
      <c r="C634" s="515" t="s">
        <v>2990</v>
      </c>
      <c r="D634" s="568" t="s">
        <v>2143</v>
      </c>
      <c r="E634" s="513">
        <v>633</v>
      </c>
      <c r="F634" s="544" t="s">
        <v>2990</v>
      </c>
      <c r="G634" s="360">
        <v>45486</v>
      </c>
      <c r="H634" s="360">
        <v>45488</v>
      </c>
      <c r="I634" s="360">
        <v>45488</v>
      </c>
      <c r="J634" s="360">
        <v>45488</v>
      </c>
      <c r="K634" s="569">
        <v>45525</v>
      </c>
      <c r="L634" s="518" t="s">
        <v>2213</v>
      </c>
      <c r="M634" s="264" t="s">
        <v>2587</v>
      </c>
      <c r="N634" s="568" t="s">
        <v>2212</v>
      </c>
      <c r="O634" s="567" t="s">
        <v>2373</v>
      </c>
      <c r="P634" s="264" t="str">
        <f t="shared" si="26"/>
        <v>Binder Klip Ordner</v>
      </c>
      <c r="Q634" s="264" t="s">
        <v>710</v>
      </c>
      <c r="R634" s="519" t="s">
        <v>113</v>
      </c>
      <c r="S634" s="399">
        <v>6</v>
      </c>
      <c r="T634" s="348" t="s">
        <v>3363</v>
      </c>
      <c r="U634" s="520">
        <v>49500</v>
      </c>
      <c r="V634" s="570">
        <v>297000</v>
      </c>
      <c r="W634" s="521" t="s">
        <v>227</v>
      </c>
      <c r="X634" s="521" t="s">
        <v>3383</v>
      </c>
      <c r="Y634" s="522" t="s">
        <v>2512</v>
      </c>
      <c r="Z634" s="523" t="s">
        <v>541</v>
      </c>
    </row>
    <row r="635" spans="1:26" ht="29">
      <c r="A635" s="513">
        <v>633</v>
      </c>
      <c r="B635" s="567"/>
      <c r="C635" s="515" t="s">
        <v>2990</v>
      </c>
      <c r="D635" s="568" t="s">
        <v>2144</v>
      </c>
      <c r="E635" s="513">
        <v>634</v>
      </c>
      <c r="F635" s="544" t="s">
        <v>2990</v>
      </c>
      <c r="G635" s="360">
        <v>45486</v>
      </c>
      <c r="H635" s="360">
        <v>45488</v>
      </c>
      <c r="I635" s="360">
        <v>45488</v>
      </c>
      <c r="J635" s="360">
        <v>45488</v>
      </c>
      <c r="K635" s="569">
        <v>45525</v>
      </c>
      <c r="L635" s="518" t="s">
        <v>2213</v>
      </c>
      <c r="M635" s="264" t="s">
        <v>2587</v>
      </c>
      <c r="N635" s="568" t="s">
        <v>2212</v>
      </c>
      <c r="O635" s="567" t="s">
        <v>2374</v>
      </c>
      <c r="P635" s="264" t="str">
        <f t="shared" si="26"/>
        <v>Tinta Printer Canon 741 Warna-741 Warna</v>
      </c>
      <c r="Q635" s="264" t="s">
        <v>710</v>
      </c>
      <c r="R635" s="519" t="s">
        <v>160</v>
      </c>
      <c r="S635" s="399">
        <v>12</v>
      </c>
      <c r="T635" s="348" t="s">
        <v>3367</v>
      </c>
      <c r="U635" s="520">
        <v>33000</v>
      </c>
      <c r="V635" s="570">
        <v>396000</v>
      </c>
      <c r="W635" s="521" t="s">
        <v>227</v>
      </c>
      <c r="X635" s="521" t="s">
        <v>3383</v>
      </c>
      <c r="Y635" s="522" t="s">
        <v>2512</v>
      </c>
      <c r="Z635" s="523" t="s">
        <v>541</v>
      </c>
    </row>
    <row r="636" spans="1:26" ht="29">
      <c r="A636" s="513">
        <v>634</v>
      </c>
      <c r="B636" s="567"/>
      <c r="C636" s="515" t="s">
        <v>2990</v>
      </c>
      <c r="D636" s="568" t="s">
        <v>2144</v>
      </c>
      <c r="E636" s="513">
        <v>635</v>
      </c>
      <c r="F636" s="544" t="s">
        <v>2990</v>
      </c>
      <c r="G636" s="360">
        <v>45486</v>
      </c>
      <c r="H636" s="360">
        <v>45488</v>
      </c>
      <c r="I636" s="360">
        <v>45488</v>
      </c>
      <c r="J636" s="360">
        <v>45488</v>
      </c>
      <c r="K636" s="569">
        <v>45525</v>
      </c>
      <c r="L636" s="518" t="s">
        <v>2213</v>
      </c>
      <c r="M636" s="264" t="s">
        <v>2587</v>
      </c>
      <c r="N636" s="568" t="s">
        <v>2212</v>
      </c>
      <c r="O636" s="567" t="s">
        <v>2375</v>
      </c>
      <c r="P636" s="264" t="str">
        <f t="shared" si="26"/>
        <v>Tinta Printer Canon 740 Hitam-740 Hitam</v>
      </c>
      <c r="Q636" s="264" t="s">
        <v>710</v>
      </c>
      <c r="R636" s="519" t="s">
        <v>159</v>
      </c>
      <c r="S636" s="399">
        <v>8</v>
      </c>
      <c r="T636" s="348" t="s">
        <v>3367</v>
      </c>
      <c r="U636" s="520">
        <v>30000</v>
      </c>
      <c r="V636" s="570">
        <v>240000</v>
      </c>
      <c r="W636" s="521" t="s">
        <v>227</v>
      </c>
      <c r="X636" s="521" t="s">
        <v>3383</v>
      </c>
      <c r="Y636" s="522" t="s">
        <v>2512</v>
      </c>
      <c r="Z636" s="523" t="s">
        <v>541</v>
      </c>
    </row>
    <row r="637" spans="1:26" ht="29">
      <c r="A637" s="513">
        <v>635</v>
      </c>
      <c r="B637" s="567"/>
      <c r="C637" s="515" t="s">
        <v>2990</v>
      </c>
      <c r="D637" s="568" t="s">
        <v>2145</v>
      </c>
      <c r="E637" s="513">
        <v>636</v>
      </c>
      <c r="F637" s="544" t="s">
        <v>2990</v>
      </c>
      <c r="G637" s="360">
        <v>45486</v>
      </c>
      <c r="H637" s="360">
        <v>45488</v>
      </c>
      <c r="I637" s="360">
        <v>45488</v>
      </c>
      <c r="J637" s="360">
        <v>45488</v>
      </c>
      <c r="K637" s="569">
        <v>45525</v>
      </c>
      <c r="L637" s="518" t="s">
        <v>2213</v>
      </c>
      <c r="M637" s="264" t="s">
        <v>2587</v>
      </c>
      <c r="N637" s="568" t="s">
        <v>2212</v>
      </c>
      <c r="O637" s="567" t="s">
        <v>2376</v>
      </c>
      <c r="P637" s="264" t="str">
        <f t="shared" si="26"/>
        <v>C. Tinta Printer EPSON Tinta Printer Epson Blue</v>
      </c>
      <c r="Q637" s="264" t="s">
        <v>710</v>
      </c>
      <c r="R637" s="519" t="s">
        <v>117</v>
      </c>
      <c r="S637" s="399">
        <v>4</v>
      </c>
      <c r="T637" s="348" t="s">
        <v>3367</v>
      </c>
      <c r="U637" s="520">
        <v>110000</v>
      </c>
      <c r="V637" s="570">
        <v>440000</v>
      </c>
      <c r="W637" s="521" t="s">
        <v>227</v>
      </c>
      <c r="X637" s="521" t="s">
        <v>3383</v>
      </c>
      <c r="Y637" s="522" t="s">
        <v>2512</v>
      </c>
      <c r="Z637" s="523" t="s">
        <v>541</v>
      </c>
    </row>
    <row r="638" spans="1:26" ht="29">
      <c r="A638" s="513">
        <v>636</v>
      </c>
      <c r="B638" s="567"/>
      <c r="C638" s="515" t="s">
        <v>2990</v>
      </c>
      <c r="D638" s="568" t="s">
        <v>2145</v>
      </c>
      <c r="E638" s="513">
        <v>637</v>
      </c>
      <c r="F638" s="544" t="s">
        <v>2990</v>
      </c>
      <c r="G638" s="360">
        <v>45486</v>
      </c>
      <c r="H638" s="360">
        <v>45488</v>
      </c>
      <c r="I638" s="360">
        <v>45488</v>
      </c>
      <c r="J638" s="360">
        <v>45488</v>
      </c>
      <c r="K638" s="569">
        <v>45525</v>
      </c>
      <c r="L638" s="518" t="s">
        <v>2213</v>
      </c>
      <c r="M638" s="264" t="s">
        <v>2587</v>
      </c>
      <c r="N638" s="568" t="s">
        <v>2212</v>
      </c>
      <c r="O638" s="567" t="s">
        <v>2377</v>
      </c>
      <c r="P638" s="264" t="str">
        <f t="shared" si="26"/>
        <v>C. Tinta Printer EPSON Tinta Printer Epson Yellow</v>
      </c>
      <c r="Q638" s="264" t="s">
        <v>710</v>
      </c>
      <c r="R638" s="519" t="s">
        <v>119</v>
      </c>
      <c r="S638" s="399">
        <v>4</v>
      </c>
      <c r="T638" s="348" t="s">
        <v>3367</v>
      </c>
      <c r="U638" s="520">
        <v>110000</v>
      </c>
      <c r="V638" s="570">
        <v>440000</v>
      </c>
      <c r="W638" s="521" t="s">
        <v>227</v>
      </c>
      <c r="X638" s="521" t="s">
        <v>3383</v>
      </c>
      <c r="Y638" s="522" t="s">
        <v>2512</v>
      </c>
      <c r="Z638" s="523" t="s">
        <v>541</v>
      </c>
    </row>
    <row r="639" spans="1:26" ht="29">
      <c r="A639" s="513">
        <v>637</v>
      </c>
      <c r="B639" s="567"/>
      <c r="C639" s="515" t="s">
        <v>2990</v>
      </c>
      <c r="D639" s="568" t="s">
        <v>2145</v>
      </c>
      <c r="E639" s="513">
        <v>638</v>
      </c>
      <c r="F639" s="544" t="s">
        <v>2990</v>
      </c>
      <c r="G639" s="360">
        <v>45486</v>
      </c>
      <c r="H639" s="360">
        <v>45488</v>
      </c>
      <c r="I639" s="360">
        <v>45488</v>
      </c>
      <c r="J639" s="360">
        <v>45488</v>
      </c>
      <c r="K639" s="569">
        <v>45525</v>
      </c>
      <c r="L639" s="518" t="s">
        <v>2213</v>
      </c>
      <c r="M639" s="264" t="s">
        <v>2587</v>
      </c>
      <c r="N639" s="568" t="s">
        <v>2212</v>
      </c>
      <c r="O639" s="567" t="s">
        <v>2378</v>
      </c>
      <c r="P639" s="264" t="str">
        <f t="shared" si="26"/>
        <v>C. Tinta Printer EPSON Toner Epson 664 Black</v>
      </c>
      <c r="Q639" s="264" t="s">
        <v>710</v>
      </c>
      <c r="R639" s="519" t="s">
        <v>120</v>
      </c>
      <c r="S639" s="399">
        <v>6</v>
      </c>
      <c r="T639" s="348" t="s">
        <v>3367</v>
      </c>
      <c r="U639" s="520">
        <v>85000</v>
      </c>
      <c r="V639" s="570">
        <v>510000</v>
      </c>
      <c r="W639" s="521" t="s">
        <v>227</v>
      </c>
      <c r="X639" s="521" t="s">
        <v>3383</v>
      </c>
      <c r="Y639" s="522" t="s">
        <v>2512</v>
      </c>
      <c r="Z639" s="523" t="s">
        <v>541</v>
      </c>
    </row>
    <row r="640" spans="1:26" ht="29">
      <c r="A640" s="513">
        <v>638</v>
      </c>
      <c r="B640" s="567"/>
      <c r="C640" s="515" t="s">
        <v>2990</v>
      </c>
      <c r="D640" s="568" t="s">
        <v>2145</v>
      </c>
      <c r="E640" s="513">
        <v>639</v>
      </c>
      <c r="F640" s="544" t="s">
        <v>2990</v>
      </c>
      <c r="G640" s="360">
        <v>45486</v>
      </c>
      <c r="H640" s="360">
        <v>45488</v>
      </c>
      <c r="I640" s="360">
        <v>45488</v>
      </c>
      <c r="J640" s="360">
        <v>45488</v>
      </c>
      <c r="K640" s="569">
        <v>45525</v>
      </c>
      <c r="L640" s="518" t="s">
        <v>2213</v>
      </c>
      <c r="M640" s="264" t="s">
        <v>2587</v>
      </c>
      <c r="N640" s="568" t="s">
        <v>2212</v>
      </c>
      <c r="O640" s="567" t="s">
        <v>2379</v>
      </c>
      <c r="P640" s="264" t="str">
        <f t="shared" si="26"/>
        <v>C. Tinta Printer EPSON Tinta Printer Epson Read</v>
      </c>
      <c r="Q640" s="264" t="s">
        <v>710</v>
      </c>
      <c r="R640" s="528" t="s">
        <v>118</v>
      </c>
      <c r="S640" s="399">
        <v>4</v>
      </c>
      <c r="T640" s="348" t="s">
        <v>3367</v>
      </c>
      <c r="U640" s="520">
        <v>110000</v>
      </c>
      <c r="V640" s="570">
        <v>440000</v>
      </c>
      <c r="W640" s="521" t="s">
        <v>227</v>
      </c>
      <c r="X640" s="521" t="s">
        <v>3383</v>
      </c>
      <c r="Y640" s="522" t="s">
        <v>2512</v>
      </c>
      <c r="Z640" s="523" t="s">
        <v>541</v>
      </c>
    </row>
    <row r="641" spans="1:26" ht="29">
      <c r="A641" s="513">
        <v>639</v>
      </c>
      <c r="B641" s="567"/>
      <c r="C641" s="515" t="s">
        <v>2990</v>
      </c>
      <c r="D641" s="568" t="s">
        <v>2146</v>
      </c>
      <c r="E641" s="513">
        <v>640</v>
      </c>
      <c r="F641" s="544" t="s">
        <v>2990</v>
      </c>
      <c r="G641" s="360">
        <v>45486</v>
      </c>
      <c r="H641" s="360">
        <v>45488</v>
      </c>
      <c r="I641" s="360">
        <v>45488</v>
      </c>
      <c r="J641" s="360">
        <v>45488</v>
      </c>
      <c r="K641" s="569">
        <v>45525</v>
      </c>
      <c r="L641" s="518" t="s">
        <v>2213</v>
      </c>
      <c r="M641" s="264" t="s">
        <v>2587</v>
      </c>
      <c r="N641" s="568" t="s">
        <v>2212</v>
      </c>
      <c r="O641" s="567" t="s">
        <v>2380</v>
      </c>
      <c r="P641" s="264" t="str">
        <f t="shared" si="26"/>
        <v>canon catridge 741-catridge 741</v>
      </c>
      <c r="Q641" s="264" t="s">
        <v>710</v>
      </c>
      <c r="R641" s="519" t="s">
        <v>121</v>
      </c>
      <c r="S641" s="399">
        <v>4</v>
      </c>
      <c r="T641" s="348" t="s">
        <v>3363</v>
      </c>
      <c r="U641" s="520">
        <v>425000</v>
      </c>
      <c r="V641" s="570">
        <v>1700000</v>
      </c>
      <c r="W641" s="521" t="s">
        <v>227</v>
      </c>
      <c r="X641" s="521" t="s">
        <v>3383</v>
      </c>
      <c r="Y641" s="522" t="s">
        <v>2512</v>
      </c>
      <c r="Z641" s="523" t="s">
        <v>541</v>
      </c>
    </row>
    <row r="642" spans="1:26" ht="29">
      <c r="A642" s="513">
        <v>640</v>
      </c>
      <c r="B642" s="567"/>
      <c r="C642" s="515" t="s">
        <v>2991</v>
      </c>
      <c r="D642" s="568" t="s">
        <v>2147</v>
      </c>
      <c r="E642" s="513">
        <v>641</v>
      </c>
      <c r="F642" s="544" t="s">
        <v>2991</v>
      </c>
      <c r="G642" s="360">
        <v>45486</v>
      </c>
      <c r="H642" s="360">
        <v>45488</v>
      </c>
      <c r="I642" s="360">
        <v>45488</v>
      </c>
      <c r="J642" s="360">
        <v>45488</v>
      </c>
      <c r="K642" s="569">
        <v>45525</v>
      </c>
      <c r="L642" s="518" t="s">
        <v>2215</v>
      </c>
      <c r="M642" s="264" t="s">
        <v>2587</v>
      </c>
      <c r="N642" s="568" t="s">
        <v>2214</v>
      </c>
      <c r="O642" s="567" t="s">
        <v>2381</v>
      </c>
      <c r="P642" s="264" t="str">
        <f t="shared" si="26"/>
        <v>Kain Lap  Bahan : Katun bermotif kotak-kotak</v>
      </c>
      <c r="Q642" s="264" t="s">
        <v>2609</v>
      </c>
      <c r="R642" s="525" t="s">
        <v>2611</v>
      </c>
      <c r="S642" s="399">
        <v>10</v>
      </c>
      <c r="T642" s="348" t="s">
        <v>3364</v>
      </c>
      <c r="U642" s="520">
        <v>75000</v>
      </c>
      <c r="V642" s="570">
        <v>750000</v>
      </c>
      <c r="W642" s="521" t="s">
        <v>227</v>
      </c>
      <c r="X642" s="521" t="s">
        <v>3383</v>
      </c>
      <c r="Y642" s="522" t="s">
        <v>2512</v>
      </c>
      <c r="Z642" s="523" t="s">
        <v>541</v>
      </c>
    </row>
    <row r="643" spans="1:26" ht="29">
      <c r="A643" s="513">
        <v>641</v>
      </c>
      <c r="B643" s="567"/>
      <c r="C643" s="515" t="s">
        <v>2991</v>
      </c>
      <c r="D643" s="568" t="s">
        <v>2147</v>
      </c>
      <c r="E643" s="513">
        <v>642</v>
      </c>
      <c r="F643" s="544" t="s">
        <v>2991</v>
      </c>
      <c r="G643" s="360">
        <v>45486</v>
      </c>
      <c r="H643" s="360">
        <v>45488</v>
      </c>
      <c r="I643" s="360">
        <v>45488</v>
      </c>
      <c r="J643" s="360">
        <v>45488</v>
      </c>
      <c r="K643" s="569">
        <v>45525</v>
      </c>
      <c r="L643" s="518" t="s">
        <v>2215</v>
      </c>
      <c r="M643" s="264" t="s">
        <v>2587</v>
      </c>
      <c r="N643" s="568" t="s">
        <v>2214</v>
      </c>
      <c r="O643" s="567" t="s">
        <v>2382</v>
      </c>
      <c r="P643" s="264" t="str">
        <f t="shared" si="26"/>
        <v>Serok Sampah--</v>
      </c>
      <c r="Q643" s="264" t="s">
        <v>2609</v>
      </c>
      <c r="R643" s="525" t="s">
        <v>545</v>
      </c>
      <c r="S643" s="399">
        <v>15</v>
      </c>
      <c r="T643" s="348" t="s">
        <v>3363</v>
      </c>
      <c r="U643" s="520">
        <v>25000</v>
      </c>
      <c r="V643" s="570">
        <v>375000</v>
      </c>
      <c r="W643" s="521" t="s">
        <v>227</v>
      </c>
      <c r="X643" s="521" t="s">
        <v>3383</v>
      </c>
      <c r="Y643" s="522" t="s">
        <v>2512</v>
      </c>
      <c r="Z643" s="523" t="s">
        <v>541</v>
      </c>
    </row>
    <row r="644" spans="1:26" ht="58">
      <c r="A644" s="513">
        <v>642</v>
      </c>
      <c r="B644" s="567"/>
      <c r="C644" s="515" t="s">
        <v>2991</v>
      </c>
      <c r="D644" s="568" t="s">
        <v>2147</v>
      </c>
      <c r="E644" s="513">
        <v>643</v>
      </c>
      <c r="F644" s="544" t="s">
        <v>2991</v>
      </c>
      <c r="G644" s="360">
        <v>45486</v>
      </c>
      <c r="H644" s="360">
        <v>45488</v>
      </c>
      <c r="I644" s="360">
        <v>45488</v>
      </c>
      <c r="J644" s="360">
        <v>45488</v>
      </c>
      <c r="K644" s="569">
        <v>45525</v>
      </c>
      <c r="L644" s="518" t="s">
        <v>2215</v>
      </c>
      <c r="M644" s="264" t="s">
        <v>2587</v>
      </c>
      <c r="N644" s="568" t="s">
        <v>2214</v>
      </c>
      <c r="O644" s="567" t="s">
        <v>2383</v>
      </c>
      <c r="P644" s="264" t="str">
        <f t="shared" si="26"/>
        <v>Alat Pel lantai besar</v>
      </c>
      <c r="Q644" s="264" t="s">
        <v>2609</v>
      </c>
      <c r="R644" s="519" t="s">
        <v>558</v>
      </c>
      <c r="S644" s="399">
        <v>5</v>
      </c>
      <c r="T644" s="348" t="s">
        <v>3363</v>
      </c>
      <c r="U644" s="520">
        <v>169000</v>
      </c>
      <c r="V644" s="570">
        <v>845000</v>
      </c>
      <c r="W644" s="521" t="s">
        <v>227</v>
      </c>
      <c r="X644" s="521" t="s">
        <v>3383</v>
      </c>
      <c r="Y644" s="522" t="s">
        <v>2512</v>
      </c>
      <c r="Z644" s="523" t="s">
        <v>541</v>
      </c>
    </row>
    <row r="645" spans="1:26" ht="29">
      <c r="A645" s="513">
        <v>643</v>
      </c>
      <c r="B645" s="567"/>
      <c r="C645" s="515" t="s">
        <v>2991</v>
      </c>
      <c r="D645" s="568" t="s">
        <v>2147</v>
      </c>
      <c r="E645" s="513">
        <v>644</v>
      </c>
      <c r="F645" s="544" t="s">
        <v>2991</v>
      </c>
      <c r="G645" s="360">
        <v>45486</v>
      </c>
      <c r="H645" s="360">
        <v>45488</v>
      </c>
      <c r="I645" s="360">
        <v>45488</v>
      </c>
      <c r="J645" s="360">
        <v>45488</v>
      </c>
      <c r="K645" s="569">
        <v>45525</v>
      </c>
      <c r="L645" s="518" t="s">
        <v>2215</v>
      </c>
      <c r="M645" s="264" t="s">
        <v>2587</v>
      </c>
      <c r="N645" s="568" t="s">
        <v>2214</v>
      </c>
      <c r="O645" s="567" t="s">
        <v>2384</v>
      </c>
      <c r="P645" s="264" t="str">
        <f t="shared" si="26"/>
        <v>Serok Air Besar--</v>
      </c>
      <c r="Q645" s="264" t="s">
        <v>2609</v>
      </c>
      <c r="R645" s="525" t="s">
        <v>2614</v>
      </c>
      <c r="S645" s="399">
        <v>5</v>
      </c>
      <c r="T645" s="348" t="s">
        <v>3363</v>
      </c>
      <c r="U645" s="520">
        <v>40000</v>
      </c>
      <c r="V645" s="570">
        <v>200000</v>
      </c>
      <c r="W645" s="521" t="s">
        <v>227</v>
      </c>
      <c r="X645" s="521" t="s">
        <v>3383</v>
      </c>
      <c r="Y645" s="522" t="s">
        <v>2512</v>
      </c>
      <c r="Z645" s="523" t="s">
        <v>541</v>
      </c>
    </row>
    <row r="646" spans="1:26" ht="29">
      <c r="A646" s="513">
        <v>644</v>
      </c>
      <c r="B646" s="567"/>
      <c r="C646" s="515" t="s">
        <v>2991</v>
      </c>
      <c r="D646" s="568" t="s">
        <v>2147</v>
      </c>
      <c r="E646" s="513">
        <v>645</v>
      </c>
      <c r="F646" s="544" t="s">
        <v>2991</v>
      </c>
      <c r="G646" s="360">
        <v>45486</v>
      </c>
      <c r="H646" s="360">
        <v>45488</v>
      </c>
      <c r="I646" s="360">
        <v>45488</v>
      </c>
      <c r="J646" s="360">
        <v>45488</v>
      </c>
      <c r="K646" s="569">
        <v>45525</v>
      </c>
      <c r="L646" s="518" t="s">
        <v>2215</v>
      </c>
      <c r="M646" s="264" t="s">
        <v>2587</v>
      </c>
      <c r="N646" s="568" t="s">
        <v>2214</v>
      </c>
      <c r="O646" s="567" t="s">
        <v>2385</v>
      </c>
      <c r="P646" s="264" t="str">
        <f t="shared" si="26"/>
        <v>Tempat sampah</v>
      </c>
      <c r="Q646" s="264" t="s">
        <v>2609</v>
      </c>
      <c r="R646" s="519" t="s">
        <v>560</v>
      </c>
      <c r="S646" s="399">
        <v>35</v>
      </c>
      <c r="T646" s="348" t="s">
        <v>3363</v>
      </c>
      <c r="U646" s="520">
        <v>20000</v>
      </c>
      <c r="V646" s="570">
        <v>700000</v>
      </c>
      <c r="W646" s="521" t="s">
        <v>227</v>
      </c>
      <c r="X646" s="521" t="s">
        <v>3383</v>
      </c>
      <c r="Y646" s="522" t="s">
        <v>2512</v>
      </c>
      <c r="Z646" s="523" t="s">
        <v>541</v>
      </c>
    </row>
    <row r="647" spans="1:26" ht="29">
      <c r="A647" s="513">
        <v>645</v>
      </c>
      <c r="B647" s="567"/>
      <c r="C647" s="515" t="s">
        <v>2991</v>
      </c>
      <c r="D647" s="568" t="s">
        <v>2147</v>
      </c>
      <c r="E647" s="513">
        <v>646</v>
      </c>
      <c r="F647" s="544" t="s">
        <v>2991</v>
      </c>
      <c r="G647" s="360">
        <v>45486</v>
      </c>
      <c r="H647" s="360">
        <v>45488</v>
      </c>
      <c r="I647" s="360">
        <v>45488</v>
      </c>
      <c r="J647" s="360">
        <v>45488</v>
      </c>
      <c r="K647" s="569">
        <v>45525</v>
      </c>
      <c r="L647" s="518" t="s">
        <v>2215</v>
      </c>
      <c r="M647" s="264" t="s">
        <v>2587</v>
      </c>
      <c r="N647" s="568" t="s">
        <v>2214</v>
      </c>
      <c r="O647" s="567" t="s">
        <v>2386</v>
      </c>
      <c r="P647" s="264" t="str">
        <f t="shared" si="26"/>
        <v>Alat Pel</v>
      </c>
      <c r="Q647" s="264" t="s">
        <v>2609</v>
      </c>
      <c r="R647" s="525" t="s">
        <v>2619</v>
      </c>
      <c r="S647" s="399">
        <v>25</v>
      </c>
      <c r="T647" s="348" t="s">
        <v>3363</v>
      </c>
      <c r="U647" s="520">
        <v>35000</v>
      </c>
      <c r="V647" s="570">
        <v>875000</v>
      </c>
      <c r="W647" s="521" t="s">
        <v>227</v>
      </c>
      <c r="X647" s="521" t="s">
        <v>3383</v>
      </c>
      <c r="Y647" s="522" t="s">
        <v>2512</v>
      </c>
      <c r="Z647" s="523" t="s">
        <v>541</v>
      </c>
    </row>
    <row r="648" spans="1:26" ht="29">
      <c r="A648" s="513">
        <v>646</v>
      </c>
      <c r="B648" s="567"/>
      <c r="C648" s="515" t="s">
        <v>2992</v>
      </c>
      <c r="D648" s="568" t="s">
        <v>2148</v>
      </c>
      <c r="E648" s="513">
        <v>647</v>
      </c>
      <c r="F648" s="544" t="s">
        <v>2992</v>
      </c>
      <c r="G648" s="360">
        <v>45488</v>
      </c>
      <c r="H648" s="360">
        <v>45490</v>
      </c>
      <c r="I648" s="360">
        <v>45490</v>
      </c>
      <c r="J648" s="360">
        <v>45490</v>
      </c>
      <c r="K648" s="569">
        <v>45525</v>
      </c>
      <c r="L648" s="518" t="s">
        <v>2213</v>
      </c>
      <c r="M648" s="264" t="s">
        <v>2587</v>
      </c>
      <c r="N648" s="568" t="s">
        <v>2212</v>
      </c>
      <c r="O648" s="567" t="s">
        <v>2387</v>
      </c>
      <c r="P648" s="264" t="str">
        <f t="shared" si="26"/>
        <v>Kertas HVS 80 gram Merk : Paper One A4, Ukuran : 8,27" x 11,69", Isi : 500 lembar</v>
      </c>
      <c r="Q648" s="264" t="s">
        <v>710</v>
      </c>
      <c r="R648" s="519" t="s">
        <v>1351</v>
      </c>
      <c r="S648" s="399">
        <v>40</v>
      </c>
      <c r="T648" s="348" t="s">
        <v>3369</v>
      </c>
      <c r="U648" s="520">
        <v>50000</v>
      </c>
      <c r="V648" s="570">
        <v>2000000</v>
      </c>
      <c r="W648" s="521" t="s">
        <v>227</v>
      </c>
      <c r="X648" s="521" t="s">
        <v>3383</v>
      </c>
      <c r="Y648" s="522" t="s">
        <v>2512</v>
      </c>
      <c r="Z648" s="523" t="s">
        <v>541</v>
      </c>
    </row>
    <row r="649" spans="1:26" ht="29">
      <c r="A649" s="513">
        <v>647</v>
      </c>
      <c r="B649" s="567"/>
      <c r="C649" s="515" t="s">
        <v>2993</v>
      </c>
      <c r="D649" s="568" t="s">
        <v>2149</v>
      </c>
      <c r="E649" s="513">
        <v>648</v>
      </c>
      <c r="F649" s="544" t="s">
        <v>2993</v>
      </c>
      <c r="G649" s="360">
        <v>45492</v>
      </c>
      <c r="H649" s="360">
        <v>45493</v>
      </c>
      <c r="I649" s="360">
        <v>45493</v>
      </c>
      <c r="J649" s="360">
        <v>45493</v>
      </c>
      <c r="K649" s="569">
        <v>45525</v>
      </c>
      <c r="L649" s="518" t="s">
        <v>2217</v>
      </c>
      <c r="M649" s="264" t="s">
        <v>2640</v>
      </c>
      <c r="N649" s="568" t="s">
        <v>2221</v>
      </c>
      <c r="O649" s="567" t="s">
        <v>2388</v>
      </c>
      <c r="P649" s="264" t="s">
        <v>2633</v>
      </c>
      <c r="Q649" s="264" t="s">
        <v>280</v>
      </c>
      <c r="R649" s="528" t="s">
        <v>165</v>
      </c>
      <c r="S649" s="399">
        <v>60</v>
      </c>
      <c r="T649" s="348" t="s">
        <v>3362</v>
      </c>
      <c r="U649" s="520">
        <v>15000</v>
      </c>
      <c r="V649" s="570">
        <v>900000</v>
      </c>
      <c r="W649" s="521" t="s">
        <v>10</v>
      </c>
      <c r="X649" s="521" t="s">
        <v>11</v>
      </c>
      <c r="Y649" s="522" t="s">
        <v>2092</v>
      </c>
      <c r="Z649" s="523" t="s">
        <v>2634</v>
      </c>
    </row>
    <row r="650" spans="1:26" ht="29">
      <c r="A650" s="513">
        <v>648</v>
      </c>
      <c r="B650" s="567"/>
      <c r="C650" s="515" t="s">
        <v>2994</v>
      </c>
      <c r="D650" s="568" t="s">
        <v>2150</v>
      </c>
      <c r="E650" s="513">
        <v>649</v>
      </c>
      <c r="F650" s="544" t="s">
        <v>2994</v>
      </c>
      <c r="G650" s="360">
        <v>45492</v>
      </c>
      <c r="H650" s="360">
        <v>45493</v>
      </c>
      <c r="I650" s="360">
        <v>45493</v>
      </c>
      <c r="J650" s="360">
        <v>45493</v>
      </c>
      <c r="K650" s="569">
        <v>45525</v>
      </c>
      <c r="L650" s="518" t="s">
        <v>2217</v>
      </c>
      <c r="M650" s="264" t="s">
        <v>2640</v>
      </c>
      <c r="N650" s="568" t="s">
        <v>2221</v>
      </c>
      <c r="O650" s="567" t="s">
        <v>2389</v>
      </c>
      <c r="P650" s="264" t="s">
        <v>467</v>
      </c>
      <c r="Q650" s="264" t="s">
        <v>8</v>
      </c>
      <c r="R650" s="519" t="s">
        <v>2635</v>
      </c>
      <c r="S650" s="399">
        <v>60</v>
      </c>
      <c r="T650" s="348" t="s">
        <v>3362</v>
      </c>
      <c r="U650" s="520">
        <v>40000</v>
      </c>
      <c r="V650" s="570">
        <v>2400000</v>
      </c>
      <c r="W650" s="521" t="s">
        <v>2507</v>
      </c>
      <c r="X650" s="521" t="s">
        <v>2508</v>
      </c>
      <c r="Y650" s="522" t="s">
        <v>2516</v>
      </c>
      <c r="Z650" s="523" t="s">
        <v>2636</v>
      </c>
    </row>
    <row r="651" spans="1:26" ht="43.5">
      <c r="A651" s="513">
        <v>649</v>
      </c>
      <c r="B651" s="567"/>
      <c r="C651" s="515" t="s">
        <v>2995</v>
      </c>
      <c r="D651" s="568" t="s">
        <v>2151</v>
      </c>
      <c r="E651" s="513">
        <v>650</v>
      </c>
      <c r="F651" s="544" t="s">
        <v>2995</v>
      </c>
      <c r="G651" s="360">
        <v>45492</v>
      </c>
      <c r="H651" s="360">
        <v>45493</v>
      </c>
      <c r="I651" s="360">
        <v>45493</v>
      </c>
      <c r="J651" s="360">
        <v>45493</v>
      </c>
      <c r="K651" s="569">
        <v>45525</v>
      </c>
      <c r="L651" s="518" t="s">
        <v>2215</v>
      </c>
      <c r="M651" s="264" t="s">
        <v>2587</v>
      </c>
      <c r="N651" s="568" t="s">
        <v>2214</v>
      </c>
      <c r="O651" s="567" t="s">
        <v>2390</v>
      </c>
      <c r="P651" s="264" t="str">
        <f t="shared" ref="P651:P664" si="27">O651</f>
        <v>Gayung</v>
      </c>
      <c r="Q651" s="264" t="s">
        <v>2609</v>
      </c>
      <c r="R651" s="519" t="s">
        <v>2610</v>
      </c>
      <c r="S651" s="399">
        <v>20</v>
      </c>
      <c r="T651" s="348" t="s">
        <v>3363</v>
      </c>
      <c r="U651" s="520">
        <v>15000</v>
      </c>
      <c r="V651" s="570">
        <v>300000</v>
      </c>
      <c r="W651" s="521" t="s">
        <v>227</v>
      </c>
      <c r="X651" s="521" t="s">
        <v>3383</v>
      </c>
      <c r="Y651" s="522" t="s">
        <v>2512</v>
      </c>
      <c r="Z651" s="523" t="s">
        <v>541</v>
      </c>
    </row>
    <row r="652" spans="1:26" ht="43.5">
      <c r="A652" s="513">
        <v>650</v>
      </c>
      <c r="B652" s="567"/>
      <c r="C652" s="515" t="s">
        <v>2995</v>
      </c>
      <c r="D652" s="568" t="s">
        <v>2151</v>
      </c>
      <c r="E652" s="513">
        <v>651</v>
      </c>
      <c r="F652" s="544" t="s">
        <v>2995</v>
      </c>
      <c r="G652" s="360">
        <v>45492</v>
      </c>
      <c r="H652" s="360">
        <v>45493</v>
      </c>
      <c r="I652" s="360">
        <v>45493</v>
      </c>
      <c r="J652" s="360">
        <v>45493</v>
      </c>
      <c r="K652" s="569">
        <v>45525</v>
      </c>
      <c r="L652" s="518" t="s">
        <v>2215</v>
      </c>
      <c r="M652" s="264" t="s">
        <v>2587</v>
      </c>
      <c r="N652" s="568" t="s">
        <v>2214</v>
      </c>
      <c r="O652" s="567" t="s">
        <v>2391</v>
      </c>
      <c r="P652" s="264" t="str">
        <f t="shared" si="27"/>
        <v>Sapu</v>
      </c>
      <c r="Q652" s="264" t="s">
        <v>2609</v>
      </c>
      <c r="R652" s="519" t="s">
        <v>2612</v>
      </c>
      <c r="S652" s="399">
        <v>60</v>
      </c>
      <c r="T652" s="348" t="s">
        <v>3363</v>
      </c>
      <c r="U652" s="520">
        <v>65000</v>
      </c>
      <c r="V652" s="570">
        <v>3900000</v>
      </c>
      <c r="W652" s="521" t="s">
        <v>227</v>
      </c>
      <c r="X652" s="521" t="s">
        <v>3383</v>
      </c>
      <c r="Y652" s="522" t="s">
        <v>2512</v>
      </c>
      <c r="Z652" s="523" t="s">
        <v>541</v>
      </c>
    </row>
    <row r="653" spans="1:26" ht="29">
      <c r="A653" s="513">
        <v>651</v>
      </c>
      <c r="B653" s="567"/>
      <c r="C653" s="515" t="s">
        <v>2995</v>
      </c>
      <c r="D653" s="568" t="s">
        <v>2151</v>
      </c>
      <c r="E653" s="513">
        <v>652</v>
      </c>
      <c r="F653" s="544" t="s">
        <v>2995</v>
      </c>
      <c r="G653" s="360">
        <v>45492</v>
      </c>
      <c r="H653" s="360">
        <v>45493</v>
      </c>
      <c r="I653" s="360">
        <v>45493</v>
      </c>
      <c r="J653" s="360">
        <v>45493</v>
      </c>
      <c r="K653" s="569">
        <v>45525</v>
      </c>
      <c r="L653" s="518" t="s">
        <v>2215</v>
      </c>
      <c r="M653" s="264" t="s">
        <v>2587</v>
      </c>
      <c r="N653" s="568" t="s">
        <v>2214</v>
      </c>
      <c r="O653" s="567" t="s">
        <v>2392</v>
      </c>
      <c r="P653" s="264" t="str">
        <f t="shared" si="27"/>
        <v>Sikat Pembersih</v>
      </c>
      <c r="Q653" s="264" t="s">
        <v>2609</v>
      </c>
      <c r="R653" s="525" t="s">
        <v>2620</v>
      </c>
      <c r="S653" s="399">
        <v>15</v>
      </c>
      <c r="T653" s="348" t="s">
        <v>3363</v>
      </c>
      <c r="U653" s="520">
        <v>60000</v>
      </c>
      <c r="V653" s="570">
        <v>900000</v>
      </c>
      <c r="W653" s="521" t="s">
        <v>227</v>
      </c>
      <c r="X653" s="521" t="s">
        <v>3383</v>
      </c>
      <c r="Y653" s="522" t="s">
        <v>2512</v>
      </c>
      <c r="Z653" s="523" t="s">
        <v>541</v>
      </c>
    </row>
    <row r="654" spans="1:26" ht="29">
      <c r="A654" s="513">
        <v>652</v>
      </c>
      <c r="B654" s="567"/>
      <c r="C654" s="515" t="s">
        <v>2995</v>
      </c>
      <c r="D654" s="568" t="s">
        <v>2151</v>
      </c>
      <c r="E654" s="513">
        <v>653</v>
      </c>
      <c r="F654" s="544" t="s">
        <v>2995</v>
      </c>
      <c r="G654" s="360">
        <v>45492</v>
      </c>
      <c r="H654" s="360">
        <v>45495</v>
      </c>
      <c r="I654" s="360">
        <v>45495</v>
      </c>
      <c r="J654" s="360">
        <v>45495</v>
      </c>
      <c r="K654" s="569">
        <v>45525</v>
      </c>
      <c r="L654" s="518" t="s">
        <v>2215</v>
      </c>
      <c r="M654" s="264" t="s">
        <v>2587</v>
      </c>
      <c r="N654" s="568" t="s">
        <v>2214</v>
      </c>
      <c r="O654" s="567" t="s">
        <v>2393</v>
      </c>
      <c r="P654" s="264" t="str">
        <f t="shared" si="27"/>
        <v>Sapu Lidi</v>
      </c>
      <c r="Q654" s="264" t="s">
        <v>2609</v>
      </c>
      <c r="R654" s="519" t="s">
        <v>556</v>
      </c>
      <c r="S654" s="399">
        <v>15</v>
      </c>
      <c r="T654" s="348" t="s">
        <v>3363</v>
      </c>
      <c r="U654" s="520">
        <v>25000</v>
      </c>
      <c r="V654" s="570">
        <v>375000</v>
      </c>
      <c r="W654" s="521" t="s">
        <v>227</v>
      </c>
      <c r="X654" s="521" t="s">
        <v>3383</v>
      </c>
      <c r="Y654" s="522" t="s">
        <v>2512</v>
      </c>
      <c r="Z654" s="523" t="s">
        <v>541</v>
      </c>
    </row>
    <row r="655" spans="1:26" ht="29">
      <c r="A655" s="513">
        <v>653</v>
      </c>
      <c r="B655" s="567"/>
      <c r="C655" s="515" t="s">
        <v>2995</v>
      </c>
      <c r="D655" s="568" t="s">
        <v>2151</v>
      </c>
      <c r="E655" s="513">
        <v>654</v>
      </c>
      <c r="F655" s="544" t="s">
        <v>2995</v>
      </c>
      <c r="G655" s="360">
        <v>45492</v>
      </c>
      <c r="H655" s="360">
        <v>45495</v>
      </c>
      <c r="I655" s="360">
        <v>45495</v>
      </c>
      <c r="J655" s="360">
        <v>45495</v>
      </c>
      <c r="K655" s="569">
        <v>45525</v>
      </c>
      <c r="L655" s="518" t="s">
        <v>2215</v>
      </c>
      <c r="M655" s="264" t="s">
        <v>2587</v>
      </c>
      <c r="N655" s="568" t="s">
        <v>2214</v>
      </c>
      <c r="O655" s="567" t="s">
        <v>2394</v>
      </c>
      <c r="P655" s="264" t="str">
        <f t="shared" si="27"/>
        <v>Sikat WC Type : Gagang Panjang</v>
      </c>
      <c r="Q655" s="264" t="s">
        <v>2609</v>
      </c>
      <c r="R655" s="519" t="s">
        <v>2622</v>
      </c>
      <c r="S655" s="399">
        <v>15</v>
      </c>
      <c r="T655" s="348" t="s">
        <v>3363</v>
      </c>
      <c r="U655" s="520">
        <v>34000</v>
      </c>
      <c r="V655" s="570">
        <v>510000</v>
      </c>
      <c r="W655" s="521" t="s">
        <v>227</v>
      </c>
      <c r="X655" s="521" t="s">
        <v>3383</v>
      </c>
      <c r="Y655" s="522" t="s">
        <v>2512</v>
      </c>
      <c r="Z655" s="523" t="s">
        <v>541</v>
      </c>
    </row>
    <row r="656" spans="1:26" ht="29">
      <c r="A656" s="513">
        <v>654</v>
      </c>
      <c r="B656" s="567"/>
      <c r="C656" s="515" t="s">
        <v>2996</v>
      </c>
      <c r="D656" s="568" t="s">
        <v>2152</v>
      </c>
      <c r="E656" s="513">
        <v>655</v>
      </c>
      <c r="F656" s="544" t="s">
        <v>2996</v>
      </c>
      <c r="G656" s="360">
        <v>45493</v>
      </c>
      <c r="H656" s="360">
        <v>45493</v>
      </c>
      <c r="I656" s="360">
        <v>45493</v>
      </c>
      <c r="J656" s="360">
        <v>45493</v>
      </c>
      <c r="K656" s="569">
        <v>45525</v>
      </c>
      <c r="L656" s="518" t="s">
        <v>2225</v>
      </c>
      <c r="M656" s="264" t="s">
        <v>2663</v>
      </c>
      <c r="N656" s="568" t="s">
        <v>2224</v>
      </c>
      <c r="O656" s="567" t="s">
        <v>2395</v>
      </c>
      <c r="P656" s="264" t="str">
        <f t="shared" si="27"/>
        <v>Biaya Rekening Listrik--</v>
      </c>
      <c r="Q656" s="264" t="s">
        <v>2664</v>
      </c>
      <c r="R656" s="519" t="s">
        <v>2665</v>
      </c>
      <c r="S656" s="399">
        <v>1</v>
      </c>
      <c r="T656" s="348" t="s">
        <v>3373</v>
      </c>
      <c r="U656" s="520">
        <v>2000000</v>
      </c>
      <c r="V656" s="570">
        <v>1819600</v>
      </c>
      <c r="W656" s="521" t="s">
        <v>2666</v>
      </c>
      <c r="X656" s="521" t="s">
        <v>2659</v>
      </c>
      <c r="Y656" s="522" t="s">
        <v>2660</v>
      </c>
      <c r="Z656" s="523" t="s">
        <v>2661</v>
      </c>
    </row>
    <row r="657" spans="1:26" ht="29">
      <c r="A657" s="513">
        <v>655</v>
      </c>
      <c r="B657" s="567"/>
      <c r="C657" s="515" t="s">
        <v>2997</v>
      </c>
      <c r="D657" s="568" t="s">
        <v>2153</v>
      </c>
      <c r="E657" s="513">
        <v>656</v>
      </c>
      <c r="F657" s="544" t="s">
        <v>2997</v>
      </c>
      <c r="G657" s="360">
        <v>45493</v>
      </c>
      <c r="H657" s="360">
        <v>45493</v>
      </c>
      <c r="I657" s="360">
        <v>45493</v>
      </c>
      <c r="J657" s="360">
        <v>45493</v>
      </c>
      <c r="K657" s="569">
        <v>45525</v>
      </c>
      <c r="L657" s="518" t="s">
        <v>2227</v>
      </c>
      <c r="M657" s="264" t="s">
        <v>2663</v>
      </c>
      <c r="N657" s="568" t="s">
        <v>2226</v>
      </c>
      <c r="O657" s="567" t="s">
        <v>2396</v>
      </c>
      <c r="P657" s="264" t="str">
        <f t="shared" si="27"/>
        <v>Biaya Langganan Internet--</v>
      </c>
      <c r="Q657" s="264" t="s">
        <v>2668</v>
      </c>
      <c r="R657" s="519" t="s">
        <v>2669</v>
      </c>
      <c r="S657" s="399">
        <v>1</v>
      </c>
      <c r="T657" s="348" t="s">
        <v>3373</v>
      </c>
      <c r="U657" s="520">
        <v>1500000</v>
      </c>
      <c r="V657" s="570">
        <v>1179100</v>
      </c>
      <c r="W657" s="521" t="s">
        <v>3381</v>
      </c>
      <c r="X657" s="521" t="s">
        <v>2659</v>
      </c>
      <c r="Y657" s="522" t="s">
        <v>2512</v>
      </c>
      <c r="Z657" s="523" t="s">
        <v>541</v>
      </c>
    </row>
    <row r="658" spans="1:26" ht="43.5">
      <c r="A658" s="513">
        <v>656</v>
      </c>
      <c r="B658" s="567"/>
      <c r="C658" s="515" t="s">
        <v>2998</v>
      </c>
      <c r="D658" s="568" t="s">
        <v>2154</v>
      </c>
      <c r="E658" s="513">
        <v>657</v>
      </c>
      <c r="F658" s="544" t="s">
        <v>2998</v>
      </c>
      <c r="G658" s="360">
        <v>45496</v>
      </c>
      <c r="H658" s="360">
        <v>45497</v>
      </c>
      <c r="I658" s="360">
        <v>45497</v>
      </c>
      <c r="J658" s="360">
        <v>45497</v>
      </c>
      <c r="K658" s="569">
        <v>45525</v>
      </c>
      <c r="L658" s="518" t="s">
        <v>2213</v>
      </c>
      <c r="M658" s="264" t="s">
        <v>2587</v>
      </c>
      <c r="N658" s="568" t="s">
        <v>2212</v>
      </c>
      <c r="O658" s="567" t="s">
        <v>2397</v>
      </c>
      <c r="P658" s="264" t="str">
        <f t="shared" si="27"/>
        <v>Catridge Printer Epson T 014--</v>
      </c>
      <c r="Q658" s="264" t="s">
        <v>710</v>
      </c>
      <c r="R658" s="519" t="s">
        <v>122</v>
      </c>
      <c r="S658" s="399">
        <v>4</v>
      </c>
      <c r="T658" s="348" t="s">
        <v>3367</v>
      </c>
      <c r="U658" s="520">
        <v>310000</v>
      </c>
      <c r="V658" s="570">
        <v>1240000</v>
      </c>
      <c r="W658" s="521" t="s">
        <v>227</v>
      </c>
      <c r="X658" s="521" t="s">
        <v>3383</v>
      </c>
      <c r="Y658" s="522" t="s">
        <v>2512</v>
      </c>
      <c r="Z658" s="523" t="s">
        <v>541</v>
      </c>
    </row>
    <row r="659" spans="1:26" ht="29">
      <c r="A659" s="513">
        <v>657</v>
      </c>
      <c r="B659" s="567"/>
      <c r="C659" s="515" t="s">
        <v>2998</v>
      </c>
      <c r="D659" s="568" t="s">
        <v>2155</v>
      </c>
      <c r="E659" s="513">
        <v>658</v>
      </c>
      <c r="F659" s="544" t="s">
        <v>2998</v>
      </c>
      <c r="G659" s="360">
        <v>45497</v>
      </c>
      <c r="H659" s="360">
        <v>45498</v>
      </c>
      <c r="I659" s="360">
        <v>45498</v>
      </c>
      <c r="J659" s="360">
        <v>45498</v>
      </c>
      <c r="K659" s="569">
        <v>45525</v>
      </c>
      <c r="L659" s="518" t="s">
        <v>2213</v>
      </c>
      <c r="M659" s="264" t="s">
        <v>2587</v>
      </c>
      <c r="N659" s="568" t="s">
        <v>2212</v>
      </c>
      <c r="O659" s="567" t="s">
        <v>2398</v>
      </c>
      <c r="P659" s="264" t="str">
        <f t="shared" si="27"/>
        <v>Materai 10.000</v>
      </c>
      <c r="Q659" s="264" t="s">
        <v>710</v>
      </c>
      <c r="R659" s="519" t="s">
        <v>2603</v>
      </c>
      <c r="S659" s="399">
        <v>100</v>
      </c>
      <c r="T659" s="348" t="s">
        <v>3363</v>
      </c>
      <c r="U659" s="520">
        <v>12000</v>
      </c>
      <c r="V659" s="570">
        <v>1200000</v>
      </c>
      <c r="W659" s="521" t="s">
        <v>227</v>
      </c>
      <c r="X659" s="521" t="s">
        <v>3383</v>
      </c>
      <c r="Y659" s="522" t="s">
        <v>2512</v>
      </c>
      <c r="Z659" s="523" t="s">
        <v>541</v>
      </c>
    </row>
    <row r="660" spans="1:26" ht="29">
      <c r="A660" s="513">
        <v>658</v>
      </c>
      <c r="B660" s="567"/>
      <c r="C660" s="515" t="s">
        <v>2998</v>
      </c>
      <c r="D660" s="568" t="s">
        <v>2156</v>
      </c>
      <c r="E660" s="513">
        <v>659</v>
      </c>
      <c r="F660" s="544" t="s">
        <v>2998</v>
      </c>
      <c r="G660" s="360">
        <v>45498</v>
      </c>
      <c r="H660" s="360">
        <v>45499</v>
      </c>
      <c r="I660" s="360">
        <v>45499</v>
      </c>
      <c r="J660" s="360">
        <v>45499</v>
      </c>
      <c r="K660" s="569">
        <v>45525</v>
      </c>
      <c r="L660" s="518" t="s">
        <v>2213</v>
      </c>
      <c r="M660" s="264" t="s">
        <v>2587</v>
      </c>
      <c r="N660" s="568" t="s">
        <v>2212</v>
      </c>
      <c r="O660" s="567" t="s">
        <v>2399</v>
      </c>
      <c r="P660" s="264" t="str">
        <f t="shared" si="27"/>
        <v>hardisk</v>
      </c>
      <c r="Q660" s="264" t="s">
        <v>710</v>
      </c>
      <c r="R660" s="527" t="s">
        <v>2591</v>
      </c>
      <c r="S660" s="399">
        <v>1</v>
      </c>
      <c r="T660" s="348" t="s">
        <v>3363</v>
      </c>
      <c r="U660" s="520">
        <v>2200000</v>
      </c>
      <c r="V660" s="570">
        <v>2200000</v>
      </c>
      <c r="W660" s="521" t="s">
        <v>227</v>
      </c>
      <c r="X660" s="521" t="s">
        <v>3383</v>
      </c>
      <c r="Y660" s="522" t="s">
        <v>2512</v>
      </c>
      <c r="Z660" s="523" t="s">
        <v>541</v>
      </c>
    </row>
    <row r="661" spans="1:26" ht="29">
      <c r="A661" s="513">
        <v>659</v>
      </c>
      <c r="B661" s="567"/>
      <c r="C661" s="515" t="s">
        <v>2998</v>
      </c>
      <c r="D661" s="568" t="s">
        <v>2156</v>
      </c>
      <c r="E661" s="513">
        <v>660</v>
      </c>
      <c r="F661" s="544" t="s">
        <v>2998</v>
      </c>
      <c r="G661" s="360">
        <v>45498</v>
      </c>
      <c r="H661" s="360">
        <v>45499</v>
      </c>
      <c r="I661" s="360">
        <v>45499</v>
      </c>
      <c r="J661" s="360">
        <v>45499</v>
      </c>
      <c r="K661" s="569">
        <v>45525</v>
      </c>
      <c r="L661" s="518" t="s">
        <v>2213</v>
      </c>
      <c r="M661" s="264" t="s">
        <v>2587</v>
      </c>
      <c r="N661" s="568" t="s">
        <v>2212</v>
      </c>
      <c r="O661" s="567" t="s">
        <v>2400</v>
      </c>
      <c r="P661" s="264" t="str">
        <f t="shared" si="27"/>
        <v>Stempel Cap</v>
      </c>
      <c r="Q661" s="264" t="s">
        <v>710</v>
      </c>
      <c r="R661" s="528" t="s">
        <v>2592</v>
      </c>
      <c r="S661" s="399">
        <v>3</v>
      </c>
      <c r="T661" s="348" t="s">
        <v>3363</v>
      </c>
      <c r="U661" s="520">
        <v>120000</v>
      </c>
      <c r="V661" s="570">
        <v>360000</v>
      </c>
      <c r="W661" s="521" t="s">
        <v>227</v>
      </c>
      <c r="X661" s="521" t="s">
        <v>3383</v>
      </c>
      <c r="Y661" s="522" t="s">
        <v>2512</v>
      </c>
      <c r="Z661" s="523" t="s">
        <v>541</v>
      </c>
    </row>
    <row r="662" spans="1:26" ht="29">
      <c r="A662" s="513">
        <v>660</v>
      </c>
      <c r="B662" s="567"/>
      <c r="C662" s="515" t="s">
        <v>2998</v>
      </c>
      <c r="D662" s="568" t="s">
        <v>2156</v>
      </c>
      <c r="E662" s="513">
        <v>661</v>
      </c>
      <c r="F662" s="544" t="s">
        <v>2998</v>
      </c>
      <c r="G662" s="360">
        <v>45498</v>
      </c>
      <c r="H662" s="360">
        <v>45499</v>
      </c>
      <c r="I662" s="360">
        <v>45499</v>
      </c>
      <c r="J662" s="360">
        <v>45499</v>
      </c>
      <c r="K662" s="569">
        <v>45525</v>
      </c>
      <c r="L662" s="518" t="s">
        <v>2213</v>
      </c>
      <c r="M662" s="264" t="s">
        <v>2587</v>
      </c>
      <c r="N662" s="568" t="s">
        <v>2212</v>
      </c>
      <c r="O662" s="567" t="s">
        <v>2401</v>
      </c>
      <c r="P662" s="264" t="str">
        <f t="shared" si="27"/>
        <v>Stapler HD-10--</v>
      </c>
      <c r="Q662" s="264" t="s">
        <v>710</v>
      </c>
      <c r="R662" s="519" t="s">
        <v>152</v>
      </c>
      <c r="S662" s="399">
        <v>2</v>
      </c>
      <c r="T662" s="348" t="s">
        <v>3363</v>
      </c>
      <c r="U662" s="520">
        <v>20000</v>
      </c>
      <c r="V662" s="570">
        <v>40000</v>
      </c>
      <c r="W662" s="521" t="s">
        <v>227</v>
      </c>
      <c r="X662" s="521" t="s">
        <v>3383</v>
      </c>
      <c r="Y662" s="522" t="s">
        <v>2512</v>
      </c>
      <c r="Z662" s="523" t="s">
        <v>541</v>
      </c>
    </row>
    <row r="663" spans="1:26" ht="29">
      <c r="A663" s="513">
        <v>661</v>
      </c>
      <c r="B663" s="567"/>
      <c r="C663" s="515" t="s">
        <v>2998</v>
      </c>
      <c r="D663" s="568" t="s">
        <v>2156</v>
      </c>
      <c r="E663" s="513">
        <v>662</v>
      </c>
      <c r="F663" s="544" t="s">
        <v>2998</v>
      </c>
      <c r="G663" s="360">
        <v>45498</v>
      </c>
      <c r="H663" s="360">
        <v>45499</v>
      </c>
      <c r="I663" s="360">
        <v>45499</v>
      </c>
      <c r="J663" s="360">
        <v>45499</v>
      </c>
      <c r="K663" s="569">
        <v>45525</v>
      </c>
      <c r="L663" s="518" t="s">
        <v>2213</v>
      </c>
      <c r="M663" s="264" t="s">
        <v>2587</v>
      </c>
      <c r="N663" s="568" t="s">
        <v>2212</v>
      </c>
      <c r="O663" s="567" t="s">
        <v>2402</v>
      </c>
      <c r="P663" s="264" t="str">
        <f t="shared" si="27"/>
        <v>Bantalan Cap Kecil</v>
      </c>
      <c r="Q663" s="264" t="s">
        <v>710</v>
      </c>
      <c r="R663" s="519" t="s">
        <v>105</v>
      </c>
      <c r="S663" s="399">
        <v>5</v>
      </c>
      <c r="T663" s="348" t="s">
        <v>3363</v>
      </c>
      <c r="U663" s="520">
        <v>10000</v>
      </c>
      <c r="V663" s="570">
        <v>50000</v>
      </c>
      <c r="W663" s="521" t="s">
        <v>227</v>
      </c>
      <c r="X663" s="521" t="s">
        <v>3383</v>
      </c>
      <c r="Y663" s="522" t="s">
        <v>2512</v>
      </c>
      <c r="Z663" s="523" t="s">
        <v>541</v>
      </c>
    </row>
    <row r="664" spans="1:26" ht="29">
      <c r="A664" s="513">
        <v>662</v>
      </c>
      <c r="B664" s="567"/>
      <c r="C664" s="515" t="s">
        <v>2998</v>
      </c>
      <c r="D664" s="568" t="s">
        <v>2156</v>
      </c>
      <c r="E664" s="513">
        <v>663</v>
      </c>
      <c r="F664" s="544" t="s">
        <v>2998</v>
      </c>
      <c r="G664" s="360">
        <v>45498</v>
      </c>
      <c r="H664" s="360">
        <v>45499</v>
      </c>
      <c r="I664" s="360">
        <v>45499</v>
      </c>
      <c r="J664" s="360">
        <v>45499</v>
      </c>
      <c r="K664" s="569">
        <v>45525</v>
      </c>
      <c r="L664" s="518" t="s">
        <v>2213</v>
      </c>
      <c r="M664" s="264" t="s">
        <v>2587</v>
      </c>
      <c r="N664" s="568" t="s">
        <v>2212</v>
      </c>
      <c r="O664" s="567" t="s">
        <v>2403</v>
      </c>
      <c r="P664" s="264" t="str">
        <f t="shared" si="27"/>
        <v>Baterey Kecil</v>
      </c>
      <c r="Q664" s="264" t="s">
        <v>710</v>
      </c>
      <c r="R664" s="519" t="s">
        <v>106</v>
      </c>
      <c r="S664" s="399">
        <v>2</v>
      </c>
      <c r="T664" s="348" t="s">
        <v>3366</v>
      </c>
      <c r="U664" s="520">
        <v>20000</v>
      </c>
      <c r="V664" s="570">
        <v>40000</v>
      </c>
      <c r="W664" s="521" t="s">
        <v>227</v>
      </c>
      <c r="X664" s="521" t="s">
        <v>3383</v>
      </c>
      <c r="Y664" s="522" t="s">
        <v>2512</v>
      </c>
      <c r="Z664" s="523" t="s">
        <v>541</v>
      </c>
    </row>
    <row r="665" spans="1:26" ht="37.5">
      <c r="A665" s="513">
        <v>663</v>
      </c>
      <c r="B665" s="567"/>
      <c r="C665" s="515" t="s">
        <v>2998</v>
      </c>
      <c r="D665" s="568" t="s">
        <v>2156</v>
      </c>
      <c r="E665" s="513">
        <v>664</v>
      </c>
      <c r="F665" s="544" t="s">
        <v>2998</v>
      </c>
      <c r="G665" s="360">
        <v>45498</v>
      </c>
      <c r="H665" s="360">
        <v>45499</v>
      </c>
      <c r="I665" s="360">
        <v>45499</v>
      </c>
      <c r="J665" s="360">
        <v>45499</v>
      </c>
      <c r="K665" s="569">
        <v>45525</v>
      </c>
      <c r="L665" s="518" t="s">
        <v>2213</v>
      </c>
      <c r="M665" s="264" t="s">
        <v>2587</v>
      </c>
      <c r="N665" s="568" t="s">
        <v>2212</v>
      </c>
      <c r="O665" s="567" t="s">
        <v>2999</v>
      </c>
      <c r="P665" s="524" t="s">
        <v>2571</v>
      </c>
      <c r="Q665" s="264" t="s">
        <v>710</v>
      </c>
      <c r="R665" s="519" t="s">
        <v>136</v>
      </c>
      <c r="S665" s="399">
        <v>5</v>
      </c>
      <c r="T665" s="348" t="s">
        <v>2436</v>
      </c>
      <c r="U665" s="520">
        <v>15000</v>
      </c>
      <c r="V665" s="570">
        <v>75000</v>
      </c>
      <c r="W665" s="521" t="s">
        <v>227</v>
      </c>
      <c r="X665" s="521" t="s">
        <v>3383</v>
      </c>
      <c r="Y665" s="522" t="s">
        <v>2512</v>
      </c>
      <c r="Z665" s="523" t="s">
        <v>541</v>
      </c>
    </row>
    <row r="666" spans="1:26" ht="43.5">
      <c r="A666" s="513">
        <v>664</v>
      </c>
      <c r="B666" s="567"/>
      <c r="C666" s="515" t="s">
        <v>2998</v>
      </c>
      <c r="D666" s="568" t="s">
        <v>2156</v>
      </c>
      <c r="E666" s="513">
        <v>665</v>
      </c>
      <c r="F666" s="544" t="s">
        <v>2998</v>
      </c>
      <c r="G666" s="360">
        <v>45498</v>
      </c>
      <c r="H666" s="360">
        <v>45499</v>
      </c>
      <c r="I666" s="360">
        <v>45499</v>
      </c>
      <c r="J666" s="360">
        <v>45499</v>
      </c>
      <c r="K666" s="569">
        <v>45525</v>
      </c>
      <c r="L666" s="518" t="s">
        <v>2213</v>
      </c>
      <c r="M666" s="264" t="s">
        <v>2587</v>
      </c>
      <c r="N666" s="568" t="s">
        <v>2212</v>
      </c>
      <c r="O666" s="567" t="s">
        <v>2404</v>
      </c>
      <c r="P666" s="264" t="str">
        <f t="shared" ref="P666:P678" si="28">O666</f>
        <v>Bantalan Cap Besar</v>
      </c>
      <c r="Q666" s="264" t="s">
        <v>710</v>
      </c>
      <c r="R666" s="519" t="s">
        <v>104</v>
      </c>
      <c r="S666" s="399">
        <v>5</v>
      </c>
      <c r="T666" s="348" t="s">
        <v>3363</v>
      </c>
      <c r="U666" s="520">
        <v>15000</v>
      </c>
      <c r="V666" s="570">
        <v>75000</v>
      </c>
      <c r="W666" s="521" t="s">
        <v>227</v>
      </c>
      <c r="X666" s="521" t="s">
        <v>3383</v>
      </c>
      <c r="Y666" s="522" t="s">
        <v>2512</v>
      </c>
      <c r="Z666" s="523" t="s">
        <v>541</v>
      </c>
    </row>
    <row r="667" spans="1:26" ht="43.5">
      <c r="A667" s="513">
        <v>665</v>
      </c>
      <c r="B667" s="567"/>
      <c r="C667" s="515" t="s">
        <v>2998</v>
      </c>
      <c r="D667" s="568" t="s">
        <v>2156</v>
      </c>
      <c r="E667" s="513">
        <v>666</v>
      </c>
      <c r="F667" s="544" t="s">
        <v>2998</v>
      </c>
      <c r="G667" s="360">
        <v>45498</v>
      </c>
      <c r="H667" s="360">
        <v>45499</v>
      </c>
      <c r="I667" s="360">
        <v>45499</v>
      </c>
      <c r="J667" s="360">
        <v>45499</v>
      </c>
      <c r="K667" s="569">
        <v>45525</v>
      </c>
      <c r="L667" s="518" t="s">
        <v>2213</v>
      </c>
      <c r="M667" s="264" t="s">
        <v>2587</v>
      </c>
      <c r="N667" s="568" t="s">
        <v>2212</v>
      </c>
      <c r="O667" s="567" t="s">
        <v>2405</v>
      </c>
      <c r="P667" s="264" t="str">
        <f t="shared" si="28"/>
        <v>Spidol Refil Spidol White Board Snowman</v>
      </c>
      <c r="Q667" s="264" t="s">
        <v>710</v>
      </c>
      <c r="R667" s="519" t="s">
        <v>150</v>
      </c>
      <c r="S667" s="399">
        <v>10</v>
      </c>
      <c r="T667" s="348" t="s">
        <v>3363</v>
      </c>
      <c r="U667" s="520">
        <v>20900</v>
      </c>
      <c r="V667" s="570">
        <v>209000</v>
      </c>
      <c r="W667" s="521" t="s">
        <v>227</v>
      </c>
      <c r="X667" s="521" t="s">
        <v>3383</v>
      </c>
      <c r="Y667" s="522" t="s">
        <v>2512</v>
      </c>
      <c r="Z667" s="523" t="s">
        <v>541</v>
      </c>
    </row>
    <row r="668" spans="1:26" ht="29">
      <c r="A668" s="513">
        <v>666</v>
      </c>
      <c r="B668" s="567"/>
      <c r="C668" s="515" t="s">
        <v>2998</v>
      </c>
      <c r="D668" s="568" t="s">
        <v>2156</v>
      </c>
      <c r="E668" s="513">
        <v>667</v>
      </c>
      <c r="F668" s="544" t="s">
        <v>2998</v>
      </c>
      <c r="G668" s="360">
        <v>45498</v>
      </c>
      <c r="H668" s="360">
        <v>45499</v>
      </c>
      <c r="I668" s="360">
        <v>45499</v>
      </c>
      <c r="J668" s="360">
        <v>45499</v>
      </c>
      <c r="K668" s="569">
        <v>45525</v>
      </c>
      <c r="L668" s="518" t="s">
        <v>2213</v>
      </c>
      <c r="M668" s="264" t="s">
        <v>2587</v>
      </c>
      <c r="N668" s="568" t="s">
        <v>2212</v>
      </c>
      <c r="O668" s="567" t="s">
        <v>2406</v>
      </c>
      <c r="P668" s="264" t="str">
        <f t="shared" si="28"/>
        <v>Stempel Manual</v>
      </c>
      <c r="Q668" s="264" t="s">
        <v>710</v>
      </c>
      <c r="R668" s="525" t="s">
        <v>2599</v>
      </c>
      <c r="S668" s="399">
        <v>5</v>
      </c>
      <c r="T668" s="348" t="s">
        <v>3363</v>
      </c>
      <c r="U668" s="520">
        <v>100000</v>
      </c>
      <c r="V668" s="570">
        <v>500000</v>
      </c>
      <c r="W668" s="521" t="s">
        <v>227</v>
      </c>
      <c r="X668" s="521" t="s">
        <v>3383</v>
      </c>
      <c r="Y668" s="522" t="s">
        <v>2512</v>
      </c>
      <c r="Z668" s="523" t="s">
        <v>541</v>
      </c>
    </row>
    <row r="669" spans="1:26" ht="29">
      <c r="A669" s="513">
        <v>667</v>
      </c>
      <c r="B669" s="567"/>
      <c r="C669" s="515" t="s">
        <v>2998</v>
      </c>
      <c r="D669" s="568" t="s">
        <v>2156</v>
      </c>
      <c r="E669" s="513">
        <v>668</v>
      </c>
      <c r="F669" s="544" t="s">
        <v>2998</v>
      </c>
      <c r="G669" s="360">
        <v>45498</v>
      </c>
      <c r="H669" s="360">
        <v>45499</v>
      </c>
      <c r="I669" s="360">
        <v>45499</v>
      </c>
      <c r="J669" s="360">
        <v>45499</v>
      </c>
      <c r="K669" s="569">
        <v>45525</v>
      </c>
      <c r="L669" s="518" t="s">
        <v>2213</v>
      </c>
      <c r="M669" s="264" t="s">
        <v>2587</v>
      </c>
      <c r="N669" s="568" t="s">
        <v>2212</v>
      </c>
      <c r="O669" s="567" t="s">
        <v>2407</v>
      </c>
      <c r="P669" s="264" t="str">
        <f t="shared" si="28"/>
        <v>Stapler Stapler No, 50 MAX</v>
      </c>
      <c r="Q669" s="264" t="s">
        <v>710</v>
      </c>
      <c r="R669" s="519" t="s">
        <v>153</v>
      </c>
      <c r="S669" s="399">
        <v>2</v>
      </c>
      <c r="T669" s="348" t="s">
        <v>3363</v>
      </c>
      <c r="U669" s="520">
        <v>25000</v>
      </c>
      <c r="V669" s="570">
        <v>50000</v>
      </c>
      <c r="W669" s="521" t="s">
        <v>227</v>
      </c>
      <c r="X669" s="521" t="s">
        <v>3383</v>
      </c>
      <c r="Y669" s="522" t="s">
        <v>2512</v>
      </c>
      <c r="Z669" s="523" t="s">
        <v>541</v>
      </c>
    </row>
    <row r="670" spans="1:26" ht="29">
      <c r="A670" s="513">
        <v>668</v>
      </c>
      <c r="B670" s="567"/>
      <c r="C670" s="515" t="s">
        <v>2998</v>
      </c>
      <c r="D670" s="568" t="s">
        <v>2156</v>
      </c>
      <c r="E670" s="513">
        <v>669</v>
      </c>
      <c r="F670" s="544" t="s">
        <v>2998</v>
      </c>
      <c r="G670" s="360">
        <v>45498</v>
      </c>
      <c r="H670" s="360">
        <v>45499</v>
      </c>
      <c r="I670" s="360">
        <v>45499</v>
      </c>
      <c r="J670" s="360">
        <v>45499</v>
      </c>
      <c r="K670" s="569">
        <v>45525</v>
      </c>
      <c r="L670" s="518" t="s">
        <v>2213</v>
      </c>
      <c r="M670" s="264" t="s">
        <v>2587</v>
      </c>
      <c r="N670" s="568" t="s">
        <v>2212</v>
      </c>
      <c r="O670" s="567" t="s">
        <v>2408</v>
      </c>
      <c r="P670" s="264" t="str">
        <f t="shared" si="28"/>
        <v>Lakban Hitam--</v>
      </c>
      <c r="Q670" s="264" t="s">
        <v>710</v>
      </c>
      <c r="R670" s="519" t="s">
        <v>137</v>
      </c>
      <c r="S670" s="399">
        <v>5</v>
      </c>
      <c r="T670" s="348" t="s">
        <v>3363</v>
      </c>
      <c r="U670" s="520">
        <v>15500</v>
      </c>
      <c r="V670" s="570">
        <v>77500</v>
      </c>
      <c r="W670" s="521" t="s">
        <v>227</v>
      </c>
      <c r="X670" s="521" t="s">
        <v>3383</v>
      </c>
      <c r="Y670" s="522" t="s">
        <v>2512</v>
      </c>
      <c r="Z670" s="523" t="s">
        <v>541</v>
      </c>
    </row>
    <row r="671" spans="1:26" ht="29">
      <c r="A671" s="513">
        <v>669</v>
      </c>
      <c r="B671" s="567"/>
      <c r="C671" s="515" t="s">
        <v>2998</v>
      </c>
      <c r="D671" s="568" t="s">
        <v>2156</v>
      </c>
      <c r="E671" s="513">
        <v>670</v>
      </c>
      <c r="F671" s="544" t="s">
        <v>2998</v>
      </c>
      <c r="G671" s="360">
        <v>45498</v>
      </c>
      <c r="H671" s="360">
        <v>45499</v>
      </c>
      <c r="I671" s="360">
        <v>45499</v>
      </c>
      <c r="J671" s="360">
        <v>45499</v>
      </c>
      <c r="K671" s="569">
        <v>45525</v>
      </c>
      <c r="L671" s="518" t="s">
        <v>2213</v>
      </c>
      <c r="M671" s="264" t="s">
        <v>2587</v>
      </c>
      <c r="N671" s="568" t="s">
        <v>2212</v>
      </c>
      <c r="O671" s="567" t="s">
        <v>2409</v>
      </c>
      <c r="P671" s="264" t="str">
        <f t="shared" si="28"/>
        <v>Paper Clip No 1  Paper Clip No 3</v>
      </c>
      <c r="Q671" s="264" t="s">
        <v>710</v>
      </c>
      <c r="R671" s="519" t="s">
        <v>145</v>
      </c>
      <c r="S671" s="399">
        <v>5</v>
      </c>
      <c r="T671" s="348" t="s">
        <v>3362</v>
      </c>
      <c r="U671" s="520">
        <v>6000</v>
      </c>
      <c r="V671" s="570">
        <v>30000</v>
      </c>
      <c r="W671" s="521" t="s">
        <v>227</v>
      </c>
      <c r="X671" s="521" t="s">
        <v>3383</v>
      </c>
      <c r="Y671" s="522" t="s">
        <v>2512</v>
      </c>
      <c r="Z671" s="523" t="s">
        <v>541</v>
      </c>
    </row>
    <row r="672" spans="1:26" ht="29">
      <c r="A672" s="513">
        <v>670</v>
      </c>
      <c r="B672" s="567"/>
      <c r="C672" s="515" t="s">
        <v>2998</v>
      </c>
      <c r="D672" s="568" t="s">
        <v>2156</v>
      </c>
      <c r="E672" s="513">
        <v>671</v>
      </c>
      <c r="F672" s="544" t="s">
        <v>2998</v>
      </c>
      <c r="G672" s="360">
        <v>45498</v>
      </c>
      <c r="H672" s="360">
        <v>45499</v>
      </c>
      <c r="I672" s="360">
        <v>45499</v>
      </c>
      <c r="J672" s="360">
        <v>45499</v>
      </c>
      <c r="K672" s="569">
        <v>45525</v>
      </c>
      <c r="L672" s="518" t="s">
        <v>2213</v>
      </c>
      <c r="M672" s="264" t="s">
        <v>2587</v>
      </c>
      <c r="N672" s="568" t="s">
        <v>2212</v>
      </c>
      <c r="O672" s="567" t="s">
        <v>2410</v>
      </c>
      <c r="P672" s="264" t="str">
        <f t="shared" si="28"/>
        <v>Lakban Hitam uk 2 " Warna hitam uk. 2 "</v>
      </c>
      <c r="Q672" s="264" t="s">
        <v>710</v>
      </c>
      <c r="R672" s="519" t="s">
        <v>140</v>
      </c>
      <c r="S672" s="399">
        <v>5</v>
      </c>
      <c r="T672" s="348" t="s">
        <v>3363</v>
      </c>
      <c r="U672" s="520">
        <v>25000</v>
      </c>
      <c r="V672" s="570">
        <v>125000</v>
      </c>
      <c r="W672" s="521" t="s">
        <v>227</v>
      </c>
      <c r="X672" s="521" t="s">
        <v>3383</v>
      </c>
      <c r="Y672" s="522" t="s">
        <v>2512</v>
      </c>
      <c r="Z672" s="523" t="s">
        <v>541</v>
      </c>
    </row>
    <row r="673" spans="1:26" ht="43.5">
      <c r="A673" s="513">
        <v>671</v>
      </c>
      <c r="B673" s="567"/>
      <c r="C673" s="515" t="s">
        <v>2998</v>
      </c>
      <c r="D673" s="568" t="s">
        <v>2156</v>
      </c>
      <c r="E673" s="513">
        <v>672</v>
      </c>
      <c r="F673" s="544" t="s">
        <v>2998</v>
      </c>
      <c r="G673" s="360">
        <v>45498</v>
      </c>
      <c r="H673" s="360">
        <v>45499</v>
      </c>
      <c r="I673" s="360">
        <v>45499</v>
      </c>
      <c r="J673" s="360">
        <v>45499</v>
      </c>
      <c r="K673" s="569">
        <v>45525</v>
      </c>
      <c r="L673" s="518" t="s">
        <v>2213</v>
      </c>
      <c r="M673" s="264" t="s">
        <v>2587</v>
      </c>
      <c r="N673" s="568" t="s">
        <v>2212</v>
      </c>
      <c r="O673" s="567" t="s">
        <v>2411</v>
      </c>
      <c r="P673" s="264" t="str">
        <f t="shared" si="28"/>
        <v>Spidol White board</v>
      </c>
      <c r="Q673" s="264" t="s">
        <v>710</v>
      </c>
      <c r="R673" s="519" t="s">
        <v>151</v>
      </c>
      <c r="S673" s="399">
        <v>2</v>
      </c>
      <c r="T673" s="348" t="s">
        <v>3364</v>
      </c>
      <c r="U673" s="520">
        <v>120000</v>
      </c>
      <c r="V673" s="570">
        <v>240000</v>
      </c>
      <c r="W673" s="521" t="s">
        <v>227</v>
      </c>
      <c r="X673" s="521" t="s">
        <v>3383</v>
      </c>
      <c r="Y673" s="522" t="s">
        <v>2512</v>
      </c>
      <c r="Z673" s="523" t="s">
        <v>541</v>
      </c>
    </row>
    <row r="674" spans="1:26" ht="29">
      <c r="A674" s="513">
        <v>672</v>
      </c>
      <c r="B674" s="567"/>
      <c r="C674" s="515" t="s">
        <v>2998</v>
      </c>
      <c r="D674" s="568" t="s">
        <v>2156</v>
      </c>
      <c r="E674" s="513">
        <v>673</v>
      </c>
      <c r="F674" s="544" t="s">
        <v>2998</v>
      </c>
      <c r="G674" s="360">
        <v>45498</v>
      </c>
      <c r="H674" s="360">
        <v>45499</v>
      </c>
      <c r="I674" s="360">
        <v>45499</v>
      </c>
      <c r="J674" s="360">
        <v>45499</v>
      </c>
      <c r="K674" s="569">
        <v>45525</v>
      </c>
      <c r="L674" s="518" t="s">
        <v>2213</v>
      </c>
      <c r="M674" s="264" t="s">
        <v>2587</v>
      </c>
      <c r="N674" s="568" t="s">
        <v>2212</v>
      </c>
      <c r="O674" s="567" t="s">
        <v>2412</v>
      </c>
      <c r="P674" s="264" t="str">
        <f t="shared" si="28"/>
        <v>Pisau Cutter Kenko L-500</v>
      </c>
      <c r="Q674" s="264" t="s">
        <v>710</v>
      </c>
      <c r="R674" s="525" t="s">
        <v>2601</v>
      </c>
      <c r="S674" s="399">
        <v>2</v>
      </c>
      <c r="T674" s="348" t="s">
        <v>3363</v>
      </c>
      <c r="U674" s="520">
        <v>15000</v>
      </c>
      <c r="V674" s="570">
        <v>30000</v>
      </c>
      <c r="W674" s="521" t="s">
        <v>227</v>
      </c>
      <c r="X674" s="521" t="s">
        <v>3383</v>
      </c>
      <c r="Y674" s="522" t="s">
        <v>2512</v>
      </c>
      <c r="Z674" s="523" t="s">
        <v>541</v>
      </c>
    </row>
    <row r="675" spans="1:26" ht="29">
      <c r="A675" s="513">
        <v>673</v>
      </c>
      <c r="B675" s="567"/>
      <c r="C675" s="515" t="s">
        <v>2998</v>
      </c>
      <c r="D675" s="568" t="s">
        <v>2156</v>
      </c>
      <c r="E675" s="513">
        <v>674</v>
      </c>
      <c r="F675" s="544" t="s">
        <v>2998</v>
      </c>
      <c r="G675" s="360">
        <v>45498</v>
      </c>
      <c r="H675" s="360">
        <v>45499</v>
      </c>
      <c r="I675" s="360">
        <v>45499</v>
      </c>
      <c r="J675" s="360">
        <v>45499</v>
      </c>
      <c r="K675" s="569">
        <v>45525</v>
      </c>
      <c r="L675" s="518" t="s">
        <v>2213</v>
      </c>
      <c r="M675" s="264" t="s">
        <v>2587</v>
      </c>
      <c r="N675" s="568" t="s">
        <v>2212</v>
      </c>
      <c r="O675" s="567" t="s">
        <v>2413</v>
      </c>
      <c r="P675" s="264" t="str">
        <f t="shared" si="28"/>
        <v>Lem Fox isi 500 gram--</v>
      </c>
      <c r="Q675" s="264" t="s">
        <v>710</v>
      </c>
      <c r="R675" s="519" t="s">
        <v>141</v>
      </c>
      <c r="S675" s="399">
        <v>2</v>
      </c>
      <c r="T675" s="348" t="s">
        <v>3363</v>
      </c>
      <c r="U675" s="520">
        <v>35400</v>
      </c>
      <c r="V675" s="570">
        <v>70800</v>
      </c>
      <c r="W675" s="521" t="s">
        <v>227</v>
      </c>
      <c r="X675" s="521" t="s">
        <v>3383</v>
      </c>
      <c r="Y675" s="522" t="s">
        <v>2512</v>
      </c>
      <c r="Z675" s="523" t="s">
        <v>541</v>
      </c>
    </row>
    <row r="676" spans="1:26" ht="29">
      <c r="A676" s="513">
        <v>674</v>
      </c>
      <c r="B676" s="567"/>
      <c r="C676" s="515" t="s">
        <v>2998</v>
      </c>
      <c r="D676" s="568" t="s">
        <v>2156</v>
      </c>
      <c r="E676" s="513">
        <v>675</v>
      </c>
      <c r="F676" s="544" t="s">
        <v>2998</v>
      </c>
      <c r="G676" s="360">
        <v>45498</v>
      </c>
      <c r="H676" s="360">
        <v>45499</v>
      </c>
      <c r="I676" s="360">
        <v>45499</v>
      </c>
      <c r="J676" s="360">
        <v>45499</v>
      </c>
      <c r="K676" s="569">
        <v>45525</v>
      </c>
      <c r="L676" s="518" t="s">
        <v>2213</v>
      </c>
      <c r="M676" s="264" t="s">
        <v>2587</v>
      </c>
      <c r="N676" s="568" t="s">
        <v>2212</v>
      </c>
      <c r="O676" s="567" t="s">
        <v>2414</v>
      </c>
      <c r="P676" s="264" t="str">
        <f t="shared" si="28"/>
        <v>Buku Ekspedisi 100</v>
      </c>
      <c r="Q676" s="264" t="s">
        <v>710</v>
      </c>
      <c r="R676" s="519" t="s">
        <v>115</v>
      </c>
      <c r="S676" s="399">
        <v>6</v>
      </c>
      <c r="T676" s="348" t="s">
        <v>3363</v>
      </c>
      <c r="U676" s="520">
        <v>15000</v>
      </c>
      <c r="V676" s="570">
        <v>90000</v>
      </c>
      <c r="W676" s="521" t="s">
        <v>227</v>
      </c>
      <c r="X676" s="521" t="s">
        <v>3383</v>
      </c>
      <c r="Y676" s="522" t="s">
        <v>2512</v>
      </c>
      <c r="Z676" s="523" t="s">
        <v>541</v>
      </c>
    </row>
    <row r="677" spans="1:26" ht="29">
      <c r="A677" s="513">
        <v>675</v>
      </c>
      <c r="B677" s="567"/>
      <c r="C677" s="515" t="s">
        <v>2998</v>
      </c>
      <c r="D677" s="568" t="s">
        <v>2156</v>
      </c>
      <c r="E677" s="513">
        <v>676</v>
      </c>
      <c r="F677" s="544" t="s">
        <v>2998</v>
      </c>
      <c r="G677" s="360">
        <v>45498</v>
      </c>
      <c r="H677" s="360">
        <v>45499</v>
      </c>
      <c r="I677" s="360">
        <v>45499</v>
      </c>
      <c r="J677" s="360">
        <v>45499</v>
      </c>
      <c r="K677" s="569">
        <v>45525</v>
      </c>
      <c r="L677" s="518" t="s">
        <v>2213</v>
      </c>
      <c r="M677" s="264" t="s">
        <v>2587</v>
      </c>
      <c r="N677" s="568" t="s">
        <v>2212</v>
      </c>
      <c r="O677" s="567" t="s">
        <v>2415</v>
      </c>
      <c r="P677" s="264" t="str">
        <f t="shared" si="28"/>
        <v>PAPER CLIP  Paper Clip No 1</v>
      </c>
      <c r="Q677" s="264" t="s">
        <v>710</v>
      </c>
      <c r="R677" s="519" t="s">
        <v>144</v>
      </c>
      <c r="S677" s="399">
        <v>5</v>
      </c>
      <c r="T677" s="348" t="s">
        <v>3362</v>
      </c>
      <c r="U677" s="520">
        <v>5000</v>
      </c>
      <c r="V677" s="570">
        <v>25000</v>
      </c>
      <c r="W677" s="521" t="s">
        <v>227</v>
      </c>
      <c r="X677" s="521" t="s">
        <v>3383</v>
      </c>
      <c r="Y677" s="522" t="s">
        <v>2512</v>
      </c>
      <c r="Z677" s="523" t="s">
        <v>541</v>
      </c>
    </row>
    <row r="678" spans="1:26" ht="29">
      <c r="A678" s="513">
        <v>676</v>
      </c>
      <c r="B678" s="567"/>
      <c r="C678" s="515" t="s">
        <v>2998</v>
      </c>
      <c r="D678" s="568" t="s">
        <v>2156</v>
      </c>
      <c r="E678" s="513">
        <v>677</v>
      </c>
      <c r="F678" s="544" t="s">
        <v>2998</v>
      </c>
      <c r="G678" s="360">
        <v>45498</v>
      </c>
      <c r="H678" s="360">
        <v>45499</v>
      </c>
      <c r="I678" s="360">
        <v>45499</v>
      </c>
      <c r="J678" s="360">
        <v>45499</v>
      </c>
      <c r="K678" s="569">
        <v>45525</v>
      </c>
      <c r="L678" s="518" t="s">
        <v>2213</v>
      </c>
      <c r="M678" s="264" t="s">
        <v>2587</v>
      </c>
      <c r="N678" s="568" t="s">
        <v>2212</v>
      </c>
      <c r="O678" s="567" t="s">
        <v>2416</v>
      </c>
      <c r="P678" s="264" t="str">
        <f t="shared" si="28"/>
        <v>Tinta Stempel</v>
      </c>
      <c r="Q678" s="264" t="s">
        <v>710</v>
      </c>
      <c r="R678" s="519" t="s">
        <v>161</v>
      </c>
      <c r="S678" s="399">
        <v>5</v>
      </c>
      <c r="T678" s="348" t="s">
        <v>3367</v>
      </c>
      <c r="U678" s="520">
        <v>20000</v>
      </c>
      <c r="V678" s="570">
        <v>100000</v>
      </c>
      <c r="W678" s="521" t="s">
        <v>227</v>
      </c>
      <c r="X678" s="521" t="s">
        <v>3383</v>
      </c>
      <c r="Y678" s="522" t="s">
        <v>2512</v>
      </c>
      <c r="Z678" s="523" t="s">
        <v>541</v>
      </c>
    </row>
    <row r="679" spans="1:26" ht="37.5">
      <c r="A679" s="513">
        <v>677</v>
      </c>
      <c r="B679" s="567"/>
      <c r="C679" s="515" t="s">
        <v>2998</v>
      </c>
      <c r="D679" s="568" t="s">
        <v>2156</v>
      </c>
      <c r="E679" s="513">
        <v>678</v>
      </c>
      <c r="F679" s="544" t="s">
        <v>2998</v>
      </c>
      <c r="G679" s="360">
        <v>45498</v>
      </c>
      <c r="H679" s="360">
        <v>45499</v>
      </c>
      <c r="I679" s="360">
        <v>45499</v>
      </c>
      <c r="J679" s="360">
        <v>45499</v>
      </c>
      <c r="K679" s="569">
        <v>45525</v>
      </c>
      <c r="L679" s="518" t="s">
        <v>2213</v>
      </c>
      <c r="M679" s="264" t="s">
        <v>2587</v>
      </c>
      <c r="N679" s="568" t="s">
        <v>2212</v>
      </c>
      <c r="O679" s="567" t="s">
        <v>2999</v>
      </c>
      <c r="P679" s="524" t="s">
        <v>2605</v>
      </c>
      <c r="Q679" s="264" t="s">
        <v>710</v>
      </c>
      <c r="R679" s="519" t="s">
        <v>134</v>
      </c>
      <c r="S679" s="399">
        <v>5</v>
      </c>
      <c r="T679" s="348" t="s">
        <v>2436</v>
      </c>
      <c r="U679" s="520">
        <v>10000</v>
      </c>
      <c r="V679" s="570">
        <v>50000</v>
      </c>
      <c r="W679" s="521" t="s">
        <v>227</v>
      </c>
      <c r="X679" s="521" t="s">
        <v>3383</v>
      </c>
      <c r="Y679" s="522" t="s">
        <v>2512</v>
      </c>
      <c r="Z679" s="523" t="s">
        <v>541</v>
      </c>
    </row>
    <row r="680" spans="1:26" ht="29">
      <c r="A680" s="513">
        <v>678</v>
      </c>
      <c r="B680" s="567"/>
      <c r="C680" s="515" t="s">
        <v>2998</v>
      </c>
      <c r="D680" s="568" t="s">
        <v>2156</v>
      </c>
      <c r="E680" s="513">
        <v>679</v>
      </c>
      <c r="F680" s="544" t="s">
        <v>2998</v>
      </c>
      <c r="G680" s="360">
        <v>45498</v>
      </c>
      <c r="H680" s="360">
        <v>45499</v>
      </c>
      <c r="I680" s="360">
        <v>45499</v>
      </c>
      <c r="J680" s="360">
        <v>45499</v>
      </c>
      <c r="K680" s="569">
        <v>45525</v>
      </c>
      <c r="L680" s="518" t="s">
        <v>2213</v>
      </c>
      <c r="M680" s="264" t="s">
        <v>2587</v>
      </c>
      <c r="N680" s="568" t="s">
        <v>2212</v>
      </c>
      <c r="O680" s="567" t="s">
        <v>2417</v>
      </c>
      <c r="P680" s="264" t="str">
        <f t="shared" ref="P680:P686" si="29">O680</f>
        <v>Baterey Tanggung</v>
      </c>
      <c r="Q680" s="264" t="s">
        <v>710</v>
      </c>
      <c r="R680" s="519" t="s">
        <v>107</v>
      </c>
      <c r="S680" s="399">
        <v>5</v>
      </c>
      <c r="T680" s="348" t="s">
        <v>3366</v>
      </c>
      <c r="U680" s="520">
        <v>20000</v>
      </c>
      <c r="V680" s="570">
        <v>100000</v>
      </c>
      <c r="W680" s="521" t="s">
        <v>227</v>
      </c>
      <c r="X680" s="521" t="s">
        <v>3383</v>
      </c>
      <c r="Y680" s="522" t="s">
        <v>2512</v>
      </c>
      <c r="Z680" s="523" t="s">
        <v>541</v>
      </c>
    </row>
    <row r="681" spans="1:26" ht="29">
      <c r="A681" s="513">
        <v>679</v>
      </c>
      <c r="B681" s="567"/>
      <c r="C681" s="515" t="s">
        <v>2998</v>
      </c>
      <c r="D681" s="568" t="s">
        <v>2156</v>
      </c>
      <c r="E681" s="513">
        <v>680</v>
      </c>
      <c r="F681" s="544" t="s">
        <v>2998</v>
      </c>
      <c r="G681" s="360">
        <v>45498</v>
      </c>
      <c r="H681" s="360">
        <v>45499</v>
      </c>
      <c r="I681" s="360">
        <v>45499</v>
      </c>
      <c r="J681" s="360">
        <v>45499</v>
      </c>
      <c r="K681" s="569">
        <v>45525</v>
      </c>
      <c r="L681" s="518" t="s">
        <v>2213</v>
      </c>
      <c r="M681" s="264" t="s">
        <v>2587</v>
      </c>
      <c r="N681" s="568" t="s">
        <v>2212</v>
      </c>
      <c r="O681" s="567" t="s">
        <v>2418</v>
      </c>
      <c r="P681" s="264" t="str">
        <f t="shared" si="29"/>
        <v>USB FLASH DISK USB/Flash Disk 4GB</v>
      </c>
      <c r="Q681" s="264" t="s">
        <v>710</v>
      </c>
      <c r="R681" s="519" t="s">
        <v>162</v>
      </c>
      <c r="S681" s="399">
        <v>1</v>
      </c>
      <c r="T681" s="348" t="s">
        <v>3363</v>
      </c>
      <c r="U681" s="520">
        <v>80000</v>
      </c>
      <c r="V681" s="570">
        <v>80000</v>
      </c>
      <c r="W681" s="521" t="s">
        <v>227</v>
      </c>
      <c r="X681" s="521" t="s">
        <v>3383</v>
      </c>
      <c r="Y681" s="522" t="s">
        <v>2512</v>
      </c>
      <c r="Z681" s="523" t="s">
        <v>541</v>
      </c>
    </row>
    <row r="682" spans="1:26" ht="29">
      <c r="A682" s="513">
        <v>680</v>
      </c>
      <c r="B682" s="567"/>
      <c r="C682" s="515" t="s">
        <v>2998</v>
      </c>
      <c r="D682" s="568" t="s">
        <v>2156</v>
      </c>
      <c r="E682" s="513">
        <v>681</v>
      </c>
      <c r="F682" s="544" t="s">
        <v>2998</v>
      </c>
      <c r="G682" s="360">
        <v>45498</v>
      </c>
      <c r="H682" s="360">
        <v>45499</v>
      </c>
      <c r="I682" s="360">
        <v>45499</v>
      </c>
      <c r="J682" s="360">
        <v>45499</v>
      </c>
      <c r="K682" s="569">
        <v>45525</v>
      </c>
      <c r="L682" s="518" t="s">
        <v>2213</v>
      </c>
      <c r="M682" s="264" t="s">
        <v>2587</v>
      </c>
      <c r="N682" s="568" t="s">
        <v>2212</v>
      </c>
      <c r="O682" s="567" t="s">
        <v>2419</v>
      </c>
      <c r="P682" s="264" t="str">
        <f t="shared" si="29"/>
        <v>Lakban warna Uk 2" Warna Coklat Cofiie</v>
      </c>
      <c r="Q682" s="264" t="s">
        <v>710</v>
      </c>
      <c r="R682" s="519" t="s">
        <v>140</v>
      </c>
      <c r="S682" s="399">
        <v>3</v>
      </c>
      <c r="T682" s="348" t="s">
        <v>3363</v>
      </c>
      <c r="U682" s="520">
        <v>20000</v>
      </c>
      <c r="V682" s="570">
        <v>60000</v>
      </c>
      <c r="W682" s="521" t="s">
        <v>227</v>
      </c>
      <c r="X682" s="521" t="s">
        <v>3383</v>
      </c>
      <c r="Y682" s="522" t="s">
        <v>2512</v>
      </c>
      <c r="Z682" s="523" t="s">
        <v>541</v>
      </c>
    </row>
    <row r="683" spans="1:26" ht="29">
      <c r="A683" s="513">
        <v>681</v>
      </c>
      <c r="B683" s="567"/>
      <c r="C683" s="515" t="s">
        <v>2998</v>
      </c>
      <c r="D683" s="568" t="s">
        <v>2156</v>
      </c>
      <c r="E683" s="513">
        <v>682</v>
      </c>
      <c r="F683" s="544" t="s">
        <v>2998</v>
      </c>
      <c r="G683" s="360">
        <v>45498</v>
      </c>
      <c r="H683" s="360">
        <v>45499</v>
      </c>
      <c r="I683" s="360">
        <v>45499</v>
      </c>
      <c r="J683" s="360">
        <v>45499</v>
      </c>
      <c r="K683" s="569">
        <v>45525</v>
      </c>
      <c r="L683" s="518" t="s">
        <v>2213</v>
      </c>
      <c r="M683" s="264" t="s">
        <v>2587</v>
      </c>
      <c r="N683" s="568" t="s">
        <v>2212</v>
      </c>
      <c r="O683" s="567" t="s">
        <v>2420</v>
      </c>
      <c r="P683" s="264" t="str">
        <f t="shared" si="29"/>
        <v>gunting kertas-ukuran : panjang 21cm x lebar 8cm, stainless steel</v>
      </c>
      <c r="Q683" s="264" t="s">
        <v>710</v>
      </c>
      <c r="R683" s="519" t="s">
        <v>123</v>
      </c>
      <c r="S683" s="399">
        <v>2</v>
      </c>
      <c r="T683" s="348" t="s">
        <v>3363</v>
      </c>
      <c r="U683" s="520">
        <v>20000</v>
      </c>
      <c r="V683" s="570">
        <v>40000</v>
      </c>
      <c r="W683" s="521" t="s">
        <v>227</v>
      </c>
      <c r="X683" s="521" t="s">
        <v>3383</v>
      </c>
      <c r="Y683" s="522" t="s">
        <v>2512</v>
      </c>
      <c r="Z683" s="523" t="s">
        <v>541</v>
      </c>
    </row>
    <row r="684" spans="1:26" ht="29">
      <c r="A684" s="513">
        <v>682</v>
      </c>
      <c r="B684" s="567"/>
      <c r="C684" s="515" t="s">
        <v>2998</v>
      </c>
      <c r="D684" s="568" t="s">
        <v>2156</v>
      </c>
      <c r="E684" s="513">
        <v>683</v>
      </c>
      <c r="F684" s="544" t="s">
        <v>2998</v>
      </c>
      <c r="G684" s="360">
        <v>45498</v>
      </c>
      <c r="H684" s="360">
        <v>45499</v>
      </c>
      <c r="I684" s="360">
        <v>45499</v>
      </c>
      <c r="J684" s="360">
        <v>45499</v>
      </c>
      <c r="K684" s="569">
        <v>45525</v>
      </c>
      <c r="L684" s="518" t="s">
        <v>2213</v>
      </c>
      <c r="M684" s="264" t="s">
        <v>2587</v>
      </c>
      <c r="N684" s="568" t="s">
        <v>2212</v>
      </c>
      <c r="O684" s="567" t="s">
        <v>2421</v>
      </c>
      <c r="P684" s="264" t="str">
        <f t="shared" si="29"/>
        <v>lakban hitam-ukuran : lebar 2 inch, panjang 12m, bahan : kain</v>
      </c>
      <c r="Q684" s="264" t="s">
        <v>710</v>
      </c>
      <c r="R684" s="519" t="s">
        <v>137</v>
      </c>
      <c r="S684" s="399">
        <v>4</v>
      </c>
      <c r="T684" s="348" t="s">
        <v>3363</v>
      </c>
      <c r="U684" s="520">
        <v>12500</v>
      </c>
      <c r="V684" s="570">
        <v>50000</v>
      </c>
      <c r="W684" s="521" t="s">
        <v>227</v>
      </c>
      <c r="X684" s="521" t="s">
        <v>3383</v>
      </c>
      <c r="Y684" s="522" t="s">
        <v>2512</v>
      </c>
      <c r="Z684" s="523" t="s">
        <v>541</v>
      </c>
    </row>
    <row r="685" spans="1:26" ht="29">
      <c r="A685" s="513">
        <v>683</v>
      </c>
      <c r="B685" s="567"/>
      <c r="C685" s="515" t="s">
        <v>2998</v>
      </c>
      <c r="D685" s="568" t="s">
        <v>2156</v>
      </c>
      <c r="E685" s="513">
        <v>684</v>
      </c>
      <c r="F685" s="544" t="s">
        <v>2998</v>
      </c>
      <c r="G685" s="360">
        <v>45498</v>
      </c>
      <c r="H685" s="360">
        <v>45499</v>
      </c>
      <c r="I685" s="360">
        <v>45499</v>
      </c>
      <c r="J685" s="360">
        <v>45499</v>
      </c>
      <c r="K685" s="569">
        <v>45525</v>
      </c>
      <c r="L685" s="518" t="s">
        <v>2213</v>
      </c>
      <c r="M685" s="264" t="s">
        <v>2587</v>
      </c>
      <c r="N685" s="568" t="s">
        <v>2212</v>
      </c>
      <c r="O685" s="567" t="s">
        <v>2422</v>
      </c>
      <c r="P685" s="264" t="str">
        <f t="shared" si="29"/>
        <v>Lakban Besar</v>
      </c>
      <c r="Q685" s="264" t="s">
        <v>710</v>
      </c>
      <c r="R685" s="519" t="s">
        <v>2607</v>
      </c>
      <c r="S685" s="399">
        <v>5</v>
      </c>
      <c r="T685" s="348" t="s">
        <v>3363</v>
      </c>
      <c r="U685" s="520">
        <v>25000</v>
      </c>
      <c r="V685" s="570">
        <v>125000</v>
      </c>
      <c r="W685" s="521" t="s">
        <v>227</v>
      </c>
      <c r="X685" s="521" t="s">
        <v>3383</v>
      </c>
      <c r="Y685" s="522" t="s">
        <v>2512</v>
      </c>
      <c r="Z685" s="523" t="s">
        <v>541</v>
      </c>
    </row>
    <row r="686" spans="1:26" ht="29">
      <c r="A686" s="513">
        <v>684</v>
      </c>
      <c r="B686" s="567"/>
      <c r="C686" s="515" t="s">
        <v>2998</v>
      </c>
      <c r="D686" s="568" t="s">
        <v>2156</v>
      </c>
      <c r="E686" s="513">
        <v>685</v>
      </c>
      <c r="F686" s="544" t="s">
        <v>2998</v>
      </c>
      <c r="G686" s="360">
        <v>45498</v>
      </c>
      <c r="H686" s="360">
        <v>45499</v>
      </c>
      <c r="I686" s="360">
        <v>45499</v>
      </c>
      <c r="J686" s="360">
        <v>45499</v>
      </c>
      <c r="K686" s="569">
        <v>45525</v>
      </c>
      <c r="L686" s="518" t="s">
        <v>2213</v>
      </c>
      <c r="M686" s="264" t="s">
        <v>2587</v>
      </c>
      <c r="N686" s="568" t="s">
        <v>2212</v>
      </c>
      <c r="O686" s="567" t="s">
        <v>2423</v>
      </c>
      <c r="P686" s="264" t="str">
        <f t="shared" si="29"/>
        <v>Buku Induk/Inventaris 35 cm x 50 cm</v>
      </c>
      <c r="Q686" s="264" t="s">
        <v>710</v>
      </c>
      <c r="R686" s="519" t="s">
        <v>116</v>
      </c>
      <c r="S686" s="399">
        <v>2</v>
      </c>
      <c r="T686" s="348" t="s">
        <v>3363</v>
      </c>
      <c r="U686" s="520">
        <v>50000</v>
      </c>
      <c r="V686" s="570">
        <v>100000</v>
      </c>
      <c r="W686" s="521" t="s">
        <v>227</v>
      </c>
      <c r="X686" s="521" t="s">
        <v>3383</v>
      </c>
      <c r="Y686" s="522" t="s">
        <v>2512</v>
      </c>
      <c r="Z686" s="523" t="s">
        <v>541</v>
      </c>
    </row>
    <row r="687" spans="1:26" ht="29">
      <c r="A687" s="513">
        <v>685</v>
      </c>
      <c r="B687" s="567"/>
      <c r="C687" s="515" t="s">
        <v>3000</v>
      </c>
      <c r="D687" s="568" t="s">
        <v>2157</v>
      </c>
      <c r="E687" s="513">
        <v>686</v>
      </c>
      <c r="F687" s="544" t="s">
        <v>3000</v>
      </c>
      <c r="G687" s="360">
        <v>45499</v>
      </c>
      <c r="H687" s="360">
        <v>45500</v>
      </c>
      <c r="I687" s="360">
        <v>45500</v>
      </c>
      <c r="J687" s="360">
        <v>45500</v>
      </c>
      <c r="K687" s="569">
        <v>45525</v>
      </c>
      <c r="L687" s="518" t="s">
        <v>2217</v>
      </c>
      <c r="M687" s="264" t="s">
        <v>2643</v>
      </c>
      <c r="N687" s="568" t="s">
        <v>2223</v>
      </c>
      <c r="O687" s="567" t="s">
        <v>2424</v>
      </c>
      <c r="P687" s="264" t="s">
        <v>2442</v>
      </c>
      <c r="Q687" s="264" t="s">
        <v>1545</v>
      </c>
      <c r="R687" s="519" t="s">
        <v>163</v>
      </c>
      <c r="S687" s="399">
        <v>25</v>
      </c>
      <c r="T687" s="348" t="s">
        <v>3372</v>
      </c>
      <c r="U687" s="520">
        <v>50000</v>
      </c>
      <c r="V687" s="570">
        <v>1250000</v>
      </c>
      <c r="W687" s="521" t="s">
        <v>10</v>
      </c>
      <c r="X687" s="521" t="s">
        <v>11</v>
      </c>
      <c r="Y687" s="522" t="s">
        <v>2092</v>
      </c>
      <c r="Z687" s="523" t="s">
        <v>2634</v>
      </c>
    </row>
    <row r="688" spans="1:26" ht="29">
      <c r="A688" s="513">
        <v>686</v>
      </c>
      <c r="B688" s="567"/>
      <c r="C688" s="515" t="s">
        <v>3001</v>
      </c>
      <c r="D688" s="568" t="s">
        <v>2158</v>
      </c>
      <c r="E688" s="513">
        <v>687</v>
      </c>
      <c r="F688" s="544" t="s">
        <v>3001</v>
      </c>
      <c r="G688" s="360">
        <v>45499</v>
      </c>
      <c r="H688" s="360">
        <v>45500</v>
      </c>
      <c r="I688" s="360">
        <v>45500</v>
      </c>
      <c r="J688" s="360">
        <v>45500</v>
      </c>
      <c r="K688" s="569">
        <v>45525</v>
      </c>
      <c r="L688" s="518" t="s">
        <v>2229</v>
      </c>
      <c r="M688" s="264" t="s">
        <v>2587</v>
      </c>
      <c r="N688" s="568" t="s">
        <v>2228</v>
      </c>
      <c r="O688" s="567" t="s">
        <v>2425</v>
      </c>
      <c r="P688" s="264" t="str">
        <f>O688</f>
        <v>Belanja Jasa Tenaga Operator Komputer--</v>
      </c>
      <c r="Q688" s="264" t="s">
        <v>2672</v>
      </c>
      <c r="R688" s="528" t="s">
        <v>2673</v>
      </c>
      <c r="S688" s="399">
        <v>1</v>
      </c>
      <c r="T688" s="348" t="s">
        <v>3373</v>
      </c>
      <c r="U688" s="520">
        <v>1000000</v>
      </c>
      <c r="V688" s="570">
        <v>1000000</v>
      </c>
      <c r="W688" s="521" t="s">
        <v>2659</v>
      </c>
      <c r="X688" s="521" t="s">
        <v>2659</v>
      </c>
      <c r="Y688" s="522" t="s">
        <v>2660</v>
      </c>
      <c r="Z688" s="523" t="s">
        <v>2661</v>
      </c>
    </row>
    <row r="689" spans="1:26" ht="29">
      <c r="A689" s="513">
        <v>687</v>
      </c>
      <c r="B689" s="567"/>
      <c r="C689" s="515" t="s">
        <v>3002</v>
      </c>
      <c r="D689" s="568" t="s">
        <v>2159</v>
      </c>
      <c r="E689" s="513">
        <v>688</v>
      </c>
      <c r="F689" s="544" t="s">
        <v>3002</v>
      </c>
      <c r="G689" s="360">
        <v>45500</v>
      </c>
      <c r="H689" s="360">
        <v>45503</v>
      </c>
      <c r="I689" s="360">
        <v>45503</v>
      </c>
      <c r="J689" s="360">
        <v>45503</v>
      </c>
      <c r="K689" s="569">
        <v>45525</v>
      </c>
      <c r="L689" s="518" t="s">
        <v>2217</v>
      </c>
      <c r="M689" s="264" t="s">
        <v>2587</v>
      </c>
      <c r="N689" s="568" t="s">
        <v>2216</v>
      </c>
      <c r="O689" s="567" t="s">
        <v>2426</v>
      </c>
      <c r="P689" s="264" t="s">
        <v>2633</v>
      </c>
      <c r="Q689" s="264" t="s">
        <v>280</v>
      </c>
      <c r="R689" s="528" t="s">
        <v>165</v>
      </c>
      <c r="S689" s="399">
        <v>60</v>
      </c>
      <c r="T689" s="348" t="s">
        <v>3363</v>
      </c>
      <c r="U689" s="520">
        <v>15000</v>
      </c>
      <c r="V689" s="570">
        <v>900000</v>
      </c>
      <c r="W689" s="521" t="s">
        <v>10</v>
      </c>
      <c r="X689" s="521" t="s">
        <v>11</v>
      </c>
      <c r="Y689" s="522" t="s">
        <v>2092</v>
      </c>
      <c r="Z689" s="523" t="s">
        <v>2634</v>
      </c>
    </row>
    <row r="690" spans="1:26" ht="29">
      <c r="A690" s="513">
        <v>688</v>
      </c>
      <c r="B690" s="567"/>
      <c r="C690" s="515" t="s">
        <v>3003</v>
      </c>
      <c r="D690" s="568" t="s">
        <v>2160</v>
      </c>
      <c r="E690" s="513">
        <v>689</v>
      </c>
      <c r="F690" s="544" t="s">
        <v>3003</v>
      </c>
      <c r="G690" s="360">
        <v>45503</v>
      </c>
      <c r="H690" s="360">
        <v>45504</v>
      </c>
      <c r="I690" s="360">
        <v>45504</v>
      </c>
      <c r="J690" s="360">
        <v>45504</v>
      </c>
      <c r="K690" s="569">
        <v>45525</v>
      </c>
      <c r="L690" s="518" t="s">
        <v>2219</v>
      </c>
      <c r="M690" s="264" t="s">
        <v>2587</v>
      </c>
      <c r="N690" s="568" t="s">
        <v>2216</v>
      </c>
      <c r="O690" s="567" t="s">
        <v>2430</v>
      </c>
      <c r="P690" s="264" t="str">
        <f t="shared" ref="P690:P699" si="30">O690</f>
        <v>Foto Copy Filio dan Kuarto</v>
      </c>
      <c r="Q690" s="525" t="s">
        <v>2675</v>
      </c>
      <c r="R690" s="525" t="s">
        <v>2676</v>
      </c>
      <c r="S690" s="399">
        <v>4739</v>
      </c>
      <c r="T690" s="348" t="s">
        <v>3368</v>
      </c>
      <c r="U690" s="520">
        <v>350</v>
      </c>
      <c r="V690" s="570">
        <v>4375000</v>
      </c>
      <c r="W690" s="521" t="s">
        <v>227</v>
      </c>
      <c r="X690" s="521" t="s">
        <v>3383</v>
      </c>
      <c r="Y690" s="522" t="s">
        <v>2512</v>
      </c>
      <c r="Z690" s="523" t="s">
        <v>541</v>
      </c>
    </row>
    <row r="691" spans="1:26" ht="29">
      <c r="A691" s="513">
        <v>689</v>
      </c>
      <c r="B691" s="567"/>
      <c r="C691" s="515" t="s">
        <v>3004</v>
      </c>
      <c r="D691" s="568" t="s">
        <v>2161</v>
      </c>
      <c r="E691" s="513">
        <v>690</v>
      </c>
      <c r="F691" s="544" t="s">
        <v>3004</v>
      </c>
      <c r="G691" s="543">
        <v>45505</v>
      </c>
      <c r="H691" s="543">
        <v>45505</v>
      </c>
      <c r="I691" s="543">
        <v>45505</v>
      </c>
      <c r="J691" s="543">
        <v>45505</v>
      </c>
      <c r="K691" s="569">
        <v>45526</v>
      </c>
      <c r="L691" s="518" t="s">
        <v>2231</v>
      </c>
      <c r="M691" s="264" t="s">
        <v>2646</v>
      </c>
      <c r="N691" s="568" t="s">
        <v>2230</v>
      </c>
      <c r="O691" s="567" t="s">
        <v>2427</v>
      </c>
      <c r="P691" s="264" t="str">
        <f t="shared" si="30"/>
        <v>bola lampu hannock-45 watt</v>
      </c>
      <c r="Q691" s="264" t="s">
        <v>799</v>
      </c>
      <c r="R691" s="518" t="s">
        <v>2569</v>
      </c>
      <c r="S691" s="399">
        <v>21</v>
      </c>
      <c r="T691" s="348" t="s">
        <v>3363</v>
      </c>
      <c r="U691" s="520">
        <v>77800</v>
      </c>
      <c r="V691" s="570">
        <v>1633800</v>
      </c>
      <c r="W691" s="521" t="s">
        <v>12</v>
      </c>
      <c r="X691" s="521" t="s">
        <v>13</v>
      </c>
      <c r="Y691" s="522" t="s">
        <v>2514</v>
      </c>
      <c r="Z691" s="523" t="s">
        <v>541</v>
      </c>
    </row>
    <row r="692" spans="1:26" ht="29">
      <c r="A692" s="513">
        <v>690</v>
      </c>
      <c r="B692" s="567"/>
      <c r="C692" s="515" t="s">
        <v>3005</v>
      </c>
      <c r="D692" s="568" t="s">
        <v>2162</v>
      </c>
      <c r="E692" s="513">
        <v>691</v>
      </c>
      <c r="F692" s="544" t="s">
        <v>3005</v>
      </c>
      <c r="G692" s="543">
        <v>45505</v>
      </c>
      <c r="H692" s="543">
        <v>45505</v>
      </c>
      <c r="I692" s="543">
        <v>45505</v>
      </c>
      <c r="J692" s="543">
        <v>45505</v>
      </c>
      <c r="K692" s="569">
        <v>45526</v>
      </c>
      <c r="L692" s="518" t="s">
        <v>2213</v>
      </c>
      <c r="M692" s="264" t="s">
        <v>2587</v>
      </c>
      <c r="N692" s="568" t="s">
        <v>2212</v>
      </c>
      <c r="O692" s="567" t="s">
        <v>2353</v>
      </c>
      <c r="P692" s="264" t="str">
        <f t="shared" si="30"/>
        <v>Binder Klip  nomor 111</v>
      </c>
      <c r="Q692" s="264" t="s">
        <v>710</v>
      </c>
      <c r="R692" s="519" t="s">
        <v>109</v>
      </c>
      <c r="S692" s="399">
        <v>5</v>
      </c>
      <c r="T692" s="348" t="s">
        <v>3362</v>
      </c>
      <c r="U692" s="520">
        <v>11000</v>
      </c>
      <c r="V692" s="570">
        <v>55000</v>
      </c>
      <c r="W692" s="521" t="s">
        <v>227</v>
      </c>
      <c r="X692" s="521" t="s">
        <v>3383</v>
      </c>
      <c r="Y692" s="522" t="s">
        <v>2512</v>
      </c>
      <c r="Z692" s="523" t="s">
        <v>541</v>
      </c>
    </row>
    <row r="693" spans="1:26" ht="29">
      <c r="A693" s="513">
        <v>691</v>
      </c>
      <c r="B693" s="567"/>
      <c r="C693" s="515" t="s">
        <v>3005</v>
      </c>
      <c r="D693" s="568" t="s">
        <v>2162</v>
      </c>
      <c r="E693" s="513">
        <v>692</v>
      </c>
      <c r="F693" s="544" t="s">
        <v>3005</v>
      </c>
      <c r="G693" s="543">
        <v>45505</v>
      </c>
      <c r="H693" s="543">
        <v>45505</v>
      </c>
      <c r="I693" s="543">
        <v>45505</v>
      </c>
      <c r="J693" s="543">
        <v>45505</v>
      </c>
      <c r="K693" s="569">
        <v>45526</v>
      </c>
      <c r="L693" s="518" t="s">
        <v>2213</v>
      </c>
      <c r="M693" s="264" t="s">
        <v>2587</v>
      </c>
      <c r="N693" s="568" t="s">
        <v>2212</v>
      </c>
      <c r="O693" s="567" t="s">
        <v>2354</v>
      </c>
      <c r="P693" s="264" t="str">
        <f t="shared" si="30"/>
        <v>Ballpoint Drawing Pen 0,1 Snowman</v>
      </c>
      <c r="Q693" s="264" t="s">
        <v>710</v>
      </c>
      <c r="R693" s="525" t="s">
        <v>2590</v>
      </c>
      <c r="S693" s="399">
        <v>1</v>
      </c>
      <c r="T693" s="348" t="s">
        <v>3364</v>
      </c>
      <c r="U693" s="520">
        <v>95000</v>
      </c>
      <c r="V693" s="570">
        <v>95000</v>
      </c>
      <c r="W693" s="521" t="s">
        <v>227</v>
      </c>
      <c r="X693" s="521" t="s">
        <v>3383</v>
      </c>
      <c r="Y693" s="522" t="s">
        <v>2512</v>
      </c>
      <c r="Z693" s="523" t="s">
        <v>541</v>
      </c>
    </row>
    <row r="694" spans="1:26" ht="29">
      <c r="A694" s="513">
        <v>692</v>
      </c>
      <c r="B694" s="567"/>
      <c r="C694" s="515" t="s">
        <v>3005</v>
      </c>
      <c r="D694" s="568" t="s">
        <v>2162</v>
      </c>
      <c r="E694" s="513">
        <v>693</v>
      </c>
      <c r="F694" s="544" t="s">
        <v>3005</v>
      </c>
      <c r="G694" s="543">
        <v>45505</v>
      </c>
      <c r="H694" s="543">
        <v>45505</v>
      </c>
      <c r="I694" s="543">
        <v>45505</v>
      </c>
      <c r="J694" s="543">
        <v>45505</v>
      </c>
      <c r="K694" s="569">
        <v>45526</v>
      </c>
      <c r="L694" s="518" t="s">
        <v>2213</v>
      </c>
      <c r="M694" s="264" t="s">
        <v>2587</v>
      </c>
      <c r="N694" s="568" t="s">
        <v>2212</v>
      </c>
      <c r="O694" s="567" t="s">
        <v>2355</v>
      </c>
      <c r="P694" s="264" t="str">
        <f t="shared" si="30"/>
        <v>Stofmap Transparan tali</v>
      </c>
      <c r="Q694" s="264" t="s">
        <v>710</v>
      </c>
      <c r="R694" s="519" t="s">
        <v>158</v>
      </c>
      <c r="S694" s="399">
        <v>100</v>
      </c>
      <c r="T694" s="348" t="s">
        <v>3363</v>
      </c>
      <c r="U694" s="520">
        <v>5500</v>
      </c>
      <c r="V694" s="570">
        <v>550000</v>
      </c>
      <c r="W694" s="521" t="s">
        <v>227</v>
      </c>
      <c r="X694" s="521" t="s">
        <v>3383</v>
      </c>
      <c r="Y694" s="522" t="s">
        <v>2512</v>
      </c>
      <c r="Z694" s="523" t="s">
        <v>541</v>
      </c>
    </row>
    <row r="695" spans="1:26" ht="29">
      <c r="A695" s="513">
        <v>693</v>
      </c>
      <c r="B695" s="567"/>
      <c r="C695" s="515" t="s">
        <v>3005</v>
      </c>
      <c r="D695" s="568" t="s">
        <v>2162</v>
      </c>
      <c r="E695" s="513">
        <v>694</v>
      </c>
      <c r="F695" s="544" t="s">
        <v>3005</v>
      </c>
      <c r="G695" s="543">
        <v>45505</v>
      </c>
      <c r="H695" s="543">
        <v>45505</v>
      </c>
      <c r="I695" s="543">
        <v>45505</v>
      </c>
      <c r="J695" s="543">
        <v>45505</v>
      </c>
      <c r="K695" s="569">
        <v>45526</v>
      </c>
      <c r="L695" s="518" t="s">
        <v>2213</v>
      </c>
      <c r="M695" s="264" t="s">
        <v>2587</v>
      </c>
      <c r="N695" s="568" t="s">
        <v>2212</v>
      </c>
      <c r="O695" s="567" t="s">
        <v>2356</v>
      </c>
      <c r="P695" s="264" t="str">
        <f t="shared" si="30"/>
        <v>Amplop Coklat Merk : GSU Ukuran Folio polos</v>
      </c>
      <c r="Q695" s="264" t="s">
        <v>710</v>
      </c>
      <c r="R695" s="529" t="s">
        <v>2593</v>
      </c>
      <c r="S695" s="399">
        <v>2</v>
      </c>
      <c r="T695" s="348" t="s">
        <v>3365</v>
      </c>
      <c r="U695" s="520">
        <v>60000</v>
      </c>
      <c r="V695" s="570">
        <v>120000</v>
      </c>
      <c r="W695" s="521" t="s">
        <v>227</v>
      </c>
      <c r="X695" s="521" t="s">
        <v>3383</v>
      </c>
      <c r="Y695" s="522" t="s">
        <v>2512</v>
      </c>
      <c r="Z695" s="523" t="s">
        <v>541</v>
      </c>
    </row>
    <row r="696" spans="1:26" ht="29">
      <c r="A696" s="513">
        <v>694</v>
      </c>
      <c r="B696" s="567"/>
      <c r="C696" s="515" t="s">
        <v>3005</v>
      </c>
      <c r="D696" s="568" t="s">
        <v>2162</v>
      </c>
      <c r="E696" s="513">
        <v>695</v>
      </c>
      <c r="F696" s="544" t="s">
        <v>3005</v>
      </c>
      <c r="G696" s="543">
        <v>45505</v>
      </c>
      <c r="H696" s="543">
        <v>45505</v>
      </c>
      <c r="I696" s="543">
        <v>45505</v>
      </c>
      <c r="J696" s="543">
        <v>45505</v>
      </c>
      <c r="K696" s="569">
        <v>45526</v>
      </c>
      <c r="L696" s="518" t="s">
        <v>2213</v>
      </c>
      <c r="M696" s="264" t="s">
        <v>2587</v>
      </c>
      <c r="N696" s="568" t="s">
        <v>2212</v>
      </c>
      <c r="O696" s="567" t="s">
        <v>2401</v>
      </c>
      <c r="P696" s="264" t="str">
        <f t="shared" si="30"/>
        <v>Stapler HD-10--</v>
      </c>
      <c r="Q696" s="264" t="s">
        <v>710</v>
      </c>
      <c r="R696" s="519" t="s">
        <v>152</v>
      </c>
      <c r="S696" s="399">
        <v>2</v>
      </c>
      <c r="T696" s="348" t="s">
        <v>3363</v>
      </c>
      <c r="U696" s="520">
        <v>20000</v>
      </c>
      <c r="V696" s="570">
        <v>40000</v>
      </c>
      <c r="W696" s="521" t="s">
        <v>227</v>
      </c>
      <c r="X696" s="521" t="s">
        <v>3383</v>
      </c>
      <c r="Y696" s="522" t="s">
        <v>2512</v>
      </c>
      <c r="Z696" s="523" t="s">
        <v>541</v>
      </c>
    </row>
    <row r="697" spans="1:26" ht="29">
      <c r="A697" s="513">
        <v>695</v>
      </c>
      <c r="B697" s="567"/>
      <c r="C697" s="515" t="s">
        <v>3005</v>
      </c>
      <c r="D697" s="568" t="s">
        <v>2162</v>
      </c>
      <c r="E697" s="513">
        <v>696</v>
      </c>
      <c r="F697" s="544" t="s">
        <v>3005</v>
      </c>
      <c r="G697" s="543">
        <v>45505</v>
      </c>
      <c r="H697" s="543">
        <v>45505</v>
      </c>
      <c r="I697" s="543">
        <v>45505</v>
      </c>
      <c r="J697" s="543">
        <v>45505</v>
      </c>
      <c r="K697" s="569">
        <v>45526</v>
      </c>
      <c r="L697" s="518" t="s">
        <v>2213</v>
      </c>
      <c r="M697" s="264" t="s">
        <v>2587</v>
      </c>
      <c r="N697" s="568" t="s">
        <v>2212</v>
      </c>
      <c r="O697" s="567" t="s">
        <v>2337</v>
      </c>
      <c r="P697" s="264" t="str">
        <f t="shared" si="30"/>
        <v>Kertas Lain-Lain Kertas Buffalo</v>
      </c>
      <c r="Q697" s="264" t="s">
        <v>710</v>
      </c>
      <c r="R697" s="519" t="s">
        <v>130</v>
      </c>
      <c r="S697" s="399">
        <v>5</v>
      </c>
      <c r="T697" s="348" t="s">
        <v>3365</v>
      </c>
      <c r="U697" s="520">
        <v>31000</v>
      </c>
      <c r="V697" s="570">
        <v>155000</v>
      </c>
      <c r="W697" s="521" t="s">
        <v>227</v>
      </c>
      <c r="X697" s="521" t="s">
        <v>3383</v>
      </c>
      <c r="Y697" s="522" t="s">
        <v>2512</v>
      </c>
      <c r="Z697" s="523" t="s">
        <v>541</v>
      </c>
    </row>
    <row r="698" spans="1:26" ht="29">
      <c r="A698" s="513">
        <v>696</v>
      </c>
      <c r="B698" s="567"/>
      <c r="C698" s="515" t="s">
        <v>3005</v>
      </c>
      <c r="D698" s="568" t="s">
        <v>2162</v>
      </c>
      <c r="E698" s="513">
        <v>697</v>
      </c>
      <c r="F698" s="544" t="s">
        <v>3005</v>
      </c>
      <c r="G698" s="543">
        <v>45505</v>
      </c>
      <c r="H698" s="543">
        <v>45505</v>
      </c>
      <c r="I698" s="543">
        <v>45505</v>
      </c>
      <c r="J698" s="543">
        <v>45505</v>
      </c>
      <c r="K698" s="569">
        <v>45526</v>
      </c>
      <c r="L698" s="518" t="s">
        <v>2213</v>
      </c>
      <c r="M698" s="264" t="s">
        <v>2587</v>
      </c>
      <c r="N698" s="568" t="s">
        <v>2212</v>
      </c>
      <c r="O698" s="567" t="s">
        <v>2403</v>
      </c>
      <c r="P698" s="264" t="str">
        <f t="shared" si="30"/>
        <v>Baterey Kecil</v>
      </c>
      <c r="Q698" s="264" t="s">
        <v>710</v>
      </c>
      <c r="R698" s="519" t="s">
        <v>106</v>
      </c>
      <c r="S698" s="399">
        <v>2</v>
      </c>
      <c r="T698" s="348" t="s">
        <v>3366</v>
      </c>
      <c r="U698" s="520">
        <v>20000</v>
      </c>
      <c r="V698" s="570">
        <v>40000</v>
      </c>
      <c r="W698" s="521" t="s">
        <v>227</v>
      </c>
      <c r="X698" s="521" t="s">
        <v>3383</v>
      </c>
      <c r="Y698" s="522" t="s">
        <v>2512</v>
      </c>
      <c r="Z698" s="523" t="s">
        <v>541</v>
      </c>
    </row>
    <row r="699" spans="1:26" ht="29">
      <c r="A699" s="513">
        <v>697</v>
      </c>
      <c r="B699" s="567"/>
      <c r="C699" s="515" t="s">
        <v>3005</v>
      </c>
      <c r="D699" s="568" t="s">
        <v>2162</v>
      </c>
      <c r="E699" s="513">
        <v>698</v>
      </c>
      <c r="F699" s="544" t="s">
        <v>3005</v>
      </c>
      <c r="G699" s="543">
        <v>45505</v>
      </c>
      <c r="H699" s="543">
        <v>45505</v>
      </c>
      <c r="I699" s="543">
        <v>45505</v>
      </c>
      <c r="J699" s="543">
        <v>45505</v>
      </c>
      <c r="K699" s="569">
        <v>45526</v>
      </c>
      <c r="L699" s="518" t="s">
        <v>2213</v>
      </c>
      <c r="M699" s="264" t="s">
        <v>2587</v>
      </c>
      <c r="N699" s="568" t="s">
        <v>2212</v>
      </c>
      <c r="O699" s="567" t="s">
        <v>2374</v>
      </c>
      <c r="P699" s="264" t="str">
        <f t="shared" si="30"/>
        <v>Tinta Printer Canon 741 Warna-741 Warna</v>
      </c>
      <c r="Q699" s="264" t="s">
        <v>710</v>
      </c>
      <c r="R699" s="519" t="s">
        <v>160</v>
      </c>
      <c r="S699" s="399">
        <v>12</v>
      </c>
      <c r="T699" s="348" t="s">
        <v>3367</v>
      </c>
      <c r="U699" s="520">
        <v>33000</v>
      </c>
      <c r="V699" s="570">
        <v>396000</v>
      </c>
      <c r="W699" s="521" t="s">
        <v>227</v>
      </c>
      <c r="X699" s="521" t="s">
        <v>3383</v>
      </c>
      <c r="Y699" s="522" t="s">
        <v>2512</v>
      </c>
      <c r="Z699" s="523" t="s">
        <v>541</v>
      </c>
    </row>
    <row r="700" spans="1:26" ht="37.5">
      <c r="A700" s="513">
        <v>698</v>
      </c>
      <c r="B700" s="567"/>
      <c r="C700" s="515" t="s">
        <v>3005</v>
      </c>
      <c r="D700" s="568" t="s">
        <v>2162</v>
      </c>
      <c r="E700" s="513">
        <v>699</v>
      </c>
      <c r="F700" s="544" t="s">
        <v>3005</v>
      </c>
      <c r="G700" s="543">
        <v>45505</v>
      </c>
      <c r="H700" s="543">
        <v>45505</v>
      </c>
      <c r="I700" s="543">
        <v>45505</v>
      </c>
      <c r="J700" s="543">
        <v>45505</v>
      </c>
      <c r="K700" s="569">
        <v>45526</v>
      </c>
      <c r="L700" s="518" t="s">
        <v>2213</v>
      </c>
      <c r="M700" s="264" t="s">
        <v>2587</v>
      </c>
      <c r="N700" s="568" t="s">
        <v>2212</v>
      </c>
      <c r="O700" s="567" t="s">
        <v>2999</v>
      </c>
      <c r="P700" s="524" t="s">
        <v>2571</v>
      </c>
      <c r="Q700" s="264" t="s">
        <v>710</v>
      </c>
      <c r="R700" s="519" t="s">
        <v>136</v>
      </c>
      <c r="S700" s="399">
        <v>5</v>
      </c>
      <c r="T700" s="348" t="s">
        <v>2436</v>
      </c>
      <c r="U700" s="520">
        <v>15000</v>
      </c>
      <c r="V700" s="570">
        <v>75000</v>
      </c>
      <c r="W700" s="521" t="s">
        <v>227</v>
      </c>
      <c r="X700" s="521" t="s">
        <v>3383</v>
      </c>
      <c r="Y700" s="522" t="s">
        <v>2512</v>
      </c>
      <c r="Z700" s="523" t="s">
        <v>541</v>
      </c>
    </row>
    <row r="701" spans="1:26" ht="29">
      <c r="A701" s="513">
        <v>699</v>
      </c>
      <c r="B701" s="567"/>
      <c r="C701" s="515" t="s">
        <v>3005</v>
      </c>
      <c r="D701" s="568" t="s">
        <v>2162</v>
      </c>
      <c r="E701" s="513">
        <v>700</v>
      </c>
      <c r="F701" s="544" t="s">
        <v>3005</v>
      </c>
      <c r="G701" s="543">
        <v>45505</v>
      </c>
      <c r="H701" s="543">
        <v>45505</v>
      </c>
      <c r="I701" s="543">
        <v>45505</v>
      </c>
      <c r="J701" s="543">
        <v>45505</v>
      </c>
      <c r="K701" s="569">
        <v>45526</v>
      </c>
      <c r="L701" s="518" t="s">
        <v>2213</v>
      </c>
      <c r="M701" s="264" t="s">
        <v>2587</v>
      </c>
      <c r="N701" s="568" t="s">
        <v>2212</v>
      </c>
      <c r="O701" s="567" t="s">
        <v>2338</v>
      </c>
      <c r="P701" s="264" t="str">
        <f t="shared" ref="P701:P725" si="31">O701</f>
        <v>Plastik Mika</v>
      </c>
      <c r="Q701" s="264" t="s">
        <v>710</v>
      </c>
      <c r="R701" s="519" t="s">
        <v>148</v>
      </c>
      <c r="S701" s="399">
        <v>5</v>
      </c>
      <c r="T701" s="348" t="s">
        <v>3365</v>
      </c>
      <c r="U701" s="520">
        <v>60000</v>
      </c>
      <c r="V701" s="570">
        <v>300000</v>
      </c>
      <c r="W701" s="521" t="s">
        <v>227</v>
      </c>
      <c r="X701" s="521" t="s">
        <v>3383</v>
      </c>
      <c r="Y701" s="522" t="s">
        <v>2512</v>
      </c>
      <c r="Z701" s="523" t="s">
        <v>541</v>
      </c>
    </row>
    <row r="702" spans="1:26" ht="29">
      <c r="A702" s="513">
        <v>700</v>
      </c>
      <c r="B702" s="567"/>
      <c r="C702" s="515" t="s">
        <v>3005</v>
      </c>
      <c r="D702" s="568" t="s">
        <v>2162</v>
      </c>
      <c r="E702" s="513">
        <v>701</v>
      </c>
      <c r="F702" s="544" t="s">
        <v>3005</v>
      </c>
      <c r="G702" s="543">
        <v>45505</v>
      </c>
      <c r="H702" s="543">
        <v>45505</v>
      </c>
      <c r="I702" s="543">
        <v>45505</v>
      </c>
      <c r="J702" s="543">
        <v>45505</v>
      </c>
      <c r="K702" s="569">
        <v>45526</v>
      </c>
      <c r="L702" s="518" t="s">
        <v>2213</v>
      </c>
      <c r="M702" s="264" t="s">
        <v>2587</v>
      </c>
      <c r="N702" s="568" t="s">
        <v>2212</v>
      </c>
      <c r="O702" s="567" t="s">
        <v>2357</v>
      </c>
      <c r="P702" s="264" t="str">
        <f t="shared" si="31"/>
        <v>Binder Klip  nomor 107</v>
      </c>
      <c r="Q702" s="264" t="s">
        <v>710</v>
      </c>
      <c r="R702" s="525" t="s">
        <v>2595</v>
      </c>
      <c r="S702" s="399">
        <v>5</v>
      </c>
      <c r="T702" s="348" t="s">
        <v>3362</v>
      </c>
      <c r="U702" s="520">
        <v>7500</v>
      </c>
      <c r="V702" s="570">
        <v>37500</v>
      </c>
      <c r="W702" s="521" t="s">
        <v>227</v>
      </c>
      <c r="X702" s="521" t="s">
        <v>3383</v>
      </c>
      <c r="Y702" s="522" t="s">
        <v>2512</v>
      </c>
      <c r="Z702" s="523" t="s">
        <v>541</v>
      </c>
    </row>
    <row r="703" spans="1:26" ht="29">
      <c r="A703" s="513">
        <v>701</v>
      </c>
      <c r="B703" s="567"/>
      <c r="C703" s="515" t="s">
        <v>3005</v>
      </c>
      <c r="D703" s="568" t="s">
        <v>2162</v>
      </c>
      <c r="E703" s="513">
        <v>702</v>
      </c>
      <c r="F703" s="544" t="s">
        <v>3005</v>
      </c>
      <c r="G703" s="543">
        <v>45505</v>
      </c>
      <c r="H703" s="543">
        <v>45505</v>
      </c>
      <c r="I703" s="543">
        <v>45505</v>
      </c>
      <c r="J703" s="543">
        <v>45505</v>
      </c>
      <c r="K703" s="569">
        <v>45526</v>
      </c>
      <c r="L703" s="518" t="s">
        <v>2213</v>
      </c>
      <c r="M703" s="264" t="s">
        <v>2587</v>
      </c>
      <c r="N703" s="568" t="s">
        <v>2212</v>
      </c>
      <c r="O703" s="567" t="s">
        <v>2358</v>
      </c>
      <c r="P703" s="264" t="str">
        <f t="shared" si="31"/>
        <v>Amplop Coklat Merk : Garda Ukuran Cabinet</v>
      </c>
      <c r="Q703" s="264" t="s">
        <v>710</v>
      </c>
      <c r="R703" s="525" t="s">
        <v>2596</v>
      </c>
      <c r="S703" s="399">
        <v>3</v>
      </c>
      <c r="T703" s="348" t="s">
        <v>3365</v>
      </c>
      <c r="U703" s="520">
        <v>23000</v>
      </c>
      <c r="V703" s="570">
        <v>69000</v>
      </c>
      <c r="W703" s="521" t="s">
        <v>227</v>
      </c>
      <c r="X703" s="521" t="s">
        <v>3383</v>
      </c>
      <c r="Y703" s="522" t="s">
        <v>2512</v>
      </c>
      <c r="Z703" s="523" t="s">
        <v>541</v>
      </c>
    </row>
    <row r="704" spans="1:26" ht="29">
      <c r="A704" s="513">
        <v>702</v>
      </c>
      <c r="B704" s="567"/>
      <c r="C704" s="515" t="s">
        <v>3005</v>
      </c>
      <c r="D704" s="568" t="s">
        <v>2162</v>
      </c>
      <c r="E704" s="513">
        <v>703</v>
      </c>
      <c r="F704" s="544" t="s">
        <v>3005</v>
      </c>
      <c r="G704" s="543">
        <v>45505</v>
      </c>
      <c r="H704" s="543">
        <v>45505</v>
      </c>
      <c r="I704" s="543">
        <v>45505</v>
      </c>
      <c r="J704" s="543">
        <v>45505</v>
      </c>
      <c r="K704" s="569">
        <v>45526</v>
      </c>
      <c r="L704" s="518" t="s">
        <v>2213</v>
      </c>
      <c r="M704" s="264" t="s">
        <v>2587</v>
      </c>
      <c r="N704" s="568" t="s">
        <v>2212</v>
      </c>
      <c r="O704" s="567" t="s">
        <v>2359</v>
      </c>
      <c r="P704" s="264" t="str">
        <f t="shared" si="31"/>
        <v>Kertas Label</v>
      </c>
      <c r="Q704" s="264" t="s">
        <v>710</v>
      </c>
      <c r="R704" s="525" t="s">
        <v>2597</v>
      </c>
      <c r="S704" s="399">
        <v>5</v>
      </c>
      <c r="T704" s="348" t="s">
        <v>3368</v>
      </c>
      <c r="U704" s="520">
        <v>25000</v>
      </c>
      <c r="V704" s="570">
        <v>125000</v>
      </c>
      <c r="W704" s="521" t="s">
        <v>227</v>
      </c>
      <c r="X704" s="521" t="s">
        <v>3383</v>
      </c>
      <c r="Y704" s="522" t="s">
        <v>2512</v>
      </c>
      <c r="Z704" s="523" t="s">
        <v>541</v>
      </c>
    </row>
    <row r="705" spans="1:26" ht="43.5">
      <c r="A705" s="513">
        <v>703</v>
      </c>
      <c r="B705" s="567"/>
      <c r="C705" s="515" t="s">
        <v>3005</v>
      </c>
      <c r="D705" s="568" t="s">
        <v>2162</v>
      </c>
      <c r="E705" s="513">
        <v>704</v>
      </c>
      <c r="F705" s="544" t="s">
        <v>3005</v>
      </c>
      <c r="G705" s="543">
        <v>45505</v>
      </c>
      <c r="H705" s="543">
        <v>45505</v>
      </c>
      <c r="I705" s="543">
        <v>45505</v>
      </c>
      <c r="J705" s="543">
        <v>45505</v>
      </c>
      <c r="K705" s="569">
        <v>45526</v>
      </c>
      <c r="L705" s="518" t="s">
        <v>2213</v>
      </c>
      <c r="M705" s="264" t="s">
        <v>2587</v>
      </c>
      <c r="N705" s="568" t="s">
        <v>2212</v>
      </c>
      <c r="O705" s="567" t="s">
        <v>2405</v>
      </c>
      <c r="P705" s="264" t="str">
        <f t="shared" si="31"/>
        <v>Spidol Refil Spidol White Board Snowman</v>
      </c>
      <c r="Q705" s="264" t="s">
        <v>710</v>
      </c>
      <c r="R705" s="519" t="s">
        <v>150</v>
      </c>
      <c r="S705" s="399">
        <v>10</v>
      </c>
      <c r="T705" s="348" t="s">
        <v>3363</v>
      </c>
      <c r="U705" s="520">
        <v>20900</v>
      </c>
      <c r="V705" s="570">
        <v>209000</v>
      </c>
      <c r="W705" s="521" t="s">
        <v>227</v>
      </c>
      <c r="X705" s="521" t="s">
        <v>3383</v>
      </c>
      <c r="Y705" s="522" t="s">
        <v>2512</v>
      </c>
      <c r="Z705" s="523" t="s">
        <v>541</v>
      </c>
    </row>
    <row r="706" spans="1:26" ht="29">
      <c r="A706" s="513">
        <v>704</v>
      </c>
      <c r="B706" s="567"/>
      <c r="C706" s="515" t="s">
        <v>3005</v>
      </c>
      <c r="D706" s="568" t="s">
        <v>2162</v>
      </c>
      <c r="E706" s="513">
        <v>705</v>
      </c>
      <c r="F706" s="544" t="s">
        <v>3005</v>
      </c>
      <c r="G706" s="543">
        <v>45505</v>
      </c>
      <c r="H706" s="543">
        <v>45505</v>
      </c>
      <c r="I706" s="543">
        <v>45505</v>
      </c>
      <c r="J706" s="543">
        <v>45505</v>
      </c>
      <c r="K706" s="569">
        <v>45526</v>
      </c>
      <c r="L706" s="518" t="s">
        <v>2213</v>
      </c>
      <c r="M706" s="264" t="s">
        <v>2587</v>
      </c>
      <c r="N706" s="568" t="s">
        <v>2212</v>
      </c>
      <c r="O706" s="567" t="s">
        <v>2360</v>
      </c>
      <c r="P706" s="264" t="str">
        <f t="shared" si="31"/>
        <v>Binder Klip Merk : KENKO nomor 105</v>
      </c>
      <c r="Q706" s="264" t="s">
        <v>710</v>
      </c>
      <c r="R706" s="525" t="s">
        <v>2728</v>
      </c>
      <c r="S706" s="399">
        <v>2</v>
      </c>
      <c r="T706" s="348" t="s">
        <v>3362</v>
      </c>
      <c r="U706" s="520">
        <v>5000</v>
      </c>
      <c r="V706" s="570">
        <v>10000</v>
      </c>
      <c r="W706" s="521" t="s">
        <v>227</v>
      </c>
      <c r="X706" s="521" t="s">
        <v>3383</v>
      </c>
      <c r="Y706" s="522" t="s">
        <v>2512</v>
      </c>
      <c r="Z706" s="523" t="s">
        <v>541</v>
      </c>
    </row>
    <row r="707" spans="1:26" ht="29">
      <c r="A707" s="513">
        <v>705</v>
      </c>
      <c r="B707" s="567"/>
      <c r="C707" s="515" t="s">
        <v>3005</v>
      </c>
      <c r="D707" s="568" t="s">
        <v>2162</v>
      </c>
      <c r="E707" s="513">
        <v>706</v>
      </c>
      <c r="F707" s="544" t="s">
        <v>3005</v>
      </c>
      <c r="G707" s="543">
        <v>45505</v>
      </c>
      <c r="H707" s="543">
        <v>45505</v>
      </c>
      <c r="I707" s="543">
        <v>45505</v>
      </c>
      <c r="J707" s="543">
        <v>45505</v>
      </c>
      <c r="K707" s="569">
        <v>45526</v>
      </c>
      <c r="L707" s="518" t="s">
        <v>2213</v>
      </c>
      <c r="M707" s="264" t="s">
        <v>2587</v>
      </c>
      <c r="N707" s="568" t="s">
        <v>2212</v>
      </c>
      <c r="O707" s="567" t="s">
        <v>2361</v>
      </c>
      <c r="P707" s="264" t="str">
        <f t="shared" si="31"/>
        <v>Ballpoint Pilot G2</v>
      </c>
      <c r="Q707" s="264" t="s">
        <v>710</v>
      </c>
      <c r="R707" s="519" t="s">
        <v>102</v>
      </c>
      <c r="S707" s="399">
        <v>1</v>
      </c>
      <c r="T707" s="348" t="s">
        <v>3364</v>
      </c>
      <c r="U707" s="520">
        <v>235000</v>
      </c>
      <c r="V707" s="570">
        <v>235000</v>
      </c>
      <c r="W707" s="521" t="s">
        <v>227</v>
      </c>
      <c r="X707" s="521" t="s">
        <v>3383</v>
      </c>
      <c r="Y707" s="522" t="s">
        <v>2512</v>
      </c>
      <c r="Z707" s="523" t="s">
        <v>541</v>
      </c>
    </row>
    <row r="708" spans="1:26" ht="29">
      <c r="A708" s="513">
        <v>706</v>
      </c>
      <c r="B708" s="567"/>
      <c r="C708" s="515" t="s">
        <v>3005</v>
      </c>
      <c r="D708" s="568" t="s">
        <v>2162</v>
      </c>
      <c r="E708" s="513">
        <v>707</v>
      </c>
      <c r="F708" s="544" t="s">
        <v>3005</v>
      </c>
      <c r="G708" s="543">
        <v>45505</v>
      </c>
      <c r="H708" s="543">
        <v>45505</v>
      </c>
      <c r="I708" s="543">
        <v>45505</v>
      </c>
      <c r="J708" s="543">
        <v>45505</v>
      </c>
      <c r="K708" s="569">
        <v>45526</v>
      </c>
      <c r="L708" s="518" t="s">
        <v>2213</v>
      </c>
      <c r="M708" s="264" t="s">
        <v>2587</v>
      </c>
      <c r="N708" s="568" t="s">
        <v>2212</v>
      </c>
      <c r="O708" s="567" t="s">
        <v>2376</v>
      </c>
      <c r="P708" s="264" t="str">
        <f t="shared" si="31"/>
        <v>C. Tinta Printer EPSON Tinta Printer Epson Blue</v>
      </c>
      <c r="Q708" s="264" t="s">
        <v>710</v>
      </c>
      <c r="R708" s="519" t="s">
        <v>117</v>
      </c>
      <c r="S708" s="399">
        <v>4</v>
      </c>
      <c r="T708" s="348" t="s">
        <v>3367</v>
      </c>
      <c r="U708" s="520">
        <v>110000</v>
      </c>
      <c r="V708" s="570">
        <v>440000</v>
      </c>
      <c r="W708" s="521" t="s">
        <v>227</v>
      </c>
      <c r="X708" s="521" t="s">
        <v>3383</v>
      </c>
      <c r="Y708" s="522" t="s">
        <v>2512</v>
      </c>
      <c r="Z708" s="523" t="s">
        <v>541</v>
      </c>
    </row>
    <row r="709" spans="1:26" ht="29">
      <c r="A709" s="513">
        <v>707</v>
      </c>
      <c r="B709" s="567"/>
      <c r="C709" s="515" t="s">
        <v>3005</v>
      </c>
      <c r="D709" s="568" t="s">
        <v>2162</v>
      </c>
      <c r="E709" s="513">
        <v>708</v>
      </c>
      <c r="F709" s="544" t="s">
        <v>3005</v>
      </c>
      <c r="G709" s="543">
        <v>45505</v>
      </c>
      <c r="H709" s="543">
        <v>45505</v>
      </c>
      <c r="I709" s="543">
        <v>45505</v>
      </c>
      <c r="J709" s="543">
        <v>45505</v>
      </c>
      <c r="K709" s="569">
        <v>45526</v>
      </c>
      <c r="L709" s="518" t="s">
        <v>2213</v>
      </c>
      <c r="M709" s="264" t="s">
        <v>2587</v>
      </c>
      <c r="N709" s="568" t="s">
        <v>2212</v>
      </c>
      <c r="O709" s="567" t="s">
        <v>2363</v>
      </c>
      <c r="P709" s="264" t="str">
        <f t="shared" si="31"/>
        <v>Map Binder</v>
      </c>
      <c r="Q709" s="264" t="s">
        <v>710</v>
      </c>
      <c r="R709" s="519" t="s">
        <v>142</v>
      </c>
      <c r="S709" s="399">
        <v>12</v>
      </c>
      <c r="T709" s="348" t="s">
        <v>3363</v>
      </c>
      <c r="U709" s="520">
        <v>35500</v>
      </c>
      <c r="V709" s="570">
        <v>426000</v>
      </c>
      <c r="W709" s="521" t="s">
        <v>227</v>
      </c>
      <c r="X709" s="521" t="s">
        <v>3383</v>
      </c>
      <c r="Y709" s="522" t="s">
        <v>2512</v>
      </c>
      <c r="Z709" s="523" t="s">
        <v>541</v>
      </c>
    </row>
    <row r="710" spans="1:26" ht="29">
      <c r="A710" s="513">
        <v>708</v>
      </c>
      <c r="B710" s="567"/>
      <c r="C710" s="515" t="s">
        <v>3005</v>
      </c>
      <c r="D710" s="568" t="s">
        <v>2162</v>
      </c>
      <c r="E710" s="513">
        <v>709</v>
      </c>
      <c r="F710" s="544" t="s">
        <v>3005</v>
      </c>
      <c r="G710" s="543">
        <v>45505</v>
      </c>
      <c r="H710" s="543">
        <v>45505</v>
      </c>
      <c r="I710" s="543">
        <v>45505</v>
      </c>
      <c r="J710" s="543">
        <v>45505</v>
      </c>
      <c r="K710" s="569">
        <v>45526</v>
      </c>
      <c r="L710" s="518" t="s">
        <v>2213</v>
      </c>
      <c r="M710" s="264" t="s">
        <v>2587</v>
      </c>
      <c r="N710" s="568" t="s">
        <v>2212</v>
      </c>
      <c r="O710" s="567" t="s">
        <v>2407</v>
      </c>
      <c r="P710" s="264" t="str">
        <f t="shared" si="31"/>
        <v>Stapler Stapler No, 50 MAX</v>
      </c>
      <c r="Q710" s="264" t="s">
        <v>710</v>
      </c>
      <c r="R710" s="519" t="s">
        <v>153</v>
      </c>
      <c r="S710" s="399">
        <v>2</v>
      </c>
      <c r="T710" s="348" t="s">
        <v>3363</v>
      </c>
      <c r="U710" s="520">
        <v>25000</v>
      </c>
      <c r="V710" s="570">
        <v>50000</v>
      </c>
      <c r="W710" s="521" t="s">
        <v>227</v>
      </c>
      <c r="X710" s="521" t="s">
        <v>3383</v>
      </c>
      <c r="Y710" s="522" t="s">
        <v>2512</v>
      </c>
      <c r="Z710" s="523" t="s">
        <v>541</v>
      </c>
    </row>
    <row r="711" spans="1:26" ht="29">
      <c r="A711" s="513">
        <v>709</v>
      </c>
      <c r="B711" s="567"/>
      <c r="C711" s="515" t="s">
        <v>3005</v>
      </c>
      <c r="D711" s="568" t="s">
        <v>2162</v>
      </c>
      <c r="E711" s="513">
        <v>710</v>
      </c>
      <c r="F711" s="544" t="s">
        <v>3005</v>
      </c>
      <c r="G711" s="543">
        <v>45505</v>
      </c>
      <c r="H711" s="543">
        <v>45505</v>
      </c>
      <c r="I711" s="543">
        <v>45505</v>
      </c>
      <c r="J711" s="543">
        <v>45505</v>
      </c>
      <c r="K711" s="569">
        <v>45526</v>
      </c>
      <c r="L711" s="518" t="s">
        <v>2213</v>
      </c>
      <c r="M711" s="264" t="s">
        <v>2587</v>
      </c>
      <c r="N711" s="568" t="s">
        <v>2212</v>
      </c>
      <c r="O711" s="567" t="s">
        <v>2364</v>
      </c>
      <c r="P711" s="264" t="str">
        <f t="shared" si="31"/>
        <v>Amplop Coklat Merk : GSU Ukuran : 1/2 folio, bergaris</v>
      </c>
      <c r="Q711" s="264" t="s">
        <v>710</v>
      </c>
      <c r="R711" s="525" t="s">
        <v>2600</v>
      </c>
      <c r="S711" s="399">
        <v>1</v>
      </c>
      <c r="T711" s="348" t="s">
        <v>3365</v>
      </c>
      <c r="U711" s="520">
        <v>45000</v>
      </c>
      <c r="V711" s="570">
        <v>45000</v>
      </c>
      <c r="W711" s="521" t="s">
        <v>227</v>
      </c>
      <c r="X711" s="521" t="s">
        <v>3383</v>
      </c>
      <c r="Y711" s="522" t="s">
        <v>2512</v>
      </c>
      <c r="Z711" s="523" t="s">
        <v>541</v>
      </c>
    </row>
    <row r="712" spans="1:26" ht="29">
      <c r="A712" s="513">
        <v>710</v>
      </c>
      <c r="B712" s="567"/>
      <c r="C712" s="515" t="s">
        <v>3005</v>
      </c>
      <c r="D712" s="568" t="s">
        <v>2162</v>
      </c>
      <c r="E712" s="513">
        <v>711</v>
      </c>
      <c r="F712" s="544" t="s">
        <v>3005</v>
      </c>
      <c r="G712" s="543">
        <v>45505</v>
      </c>
      <c r="H712" s="543">
        <v>45505</v>
      </c>
      <c r="I712" s="543">
        <v>45505</v>
      </c>
      <c r="J712" s="543">
        <v>45505</v>
      </c>
      <c r="K712" s="569">
        <v>45526</v>
      </c>
      <c r="L712" s="518" t="s">
        <v>2213</v>
      </c>
      <c r="M712" s="264" t="s">
        <v>2587</v>
      </c>
      <c r="N712" s="568" t="s">
        <v>2212</v>
      </c>
      <c r="O712" s="567" t="s">
        <v>2408</v>
      </c>
      <c r="P712" s="264" t="str">
        <f t="shared" si="31"/>
        <v>Lakban Hitam--</v>
      </c>
      <c r="Q712" s="264" t="s">
        <v>710</v>
      </c>
      <c r="R712" s="519" t="s">
        <v>137</v>
      </c>
      <c r="S712" s="399">
        <v>5</v>
      </c>
      <c r="T712" s="348" t="s">
        <v>3363</v>
      </c>
      <c r="U712" s="520">
        <v>15500</v>
      </c>
      <c r="V712" s="570">
        <v>77500</v>
      </c>
      <c r="W712" s="521" t="s">
        <v>227</v>
      </c>
      <c r="X712" s="521" t="s">
        <v>3383</v>
      </c>
      <c r="Y712" s="522" t="s">
        <v>2512</v>
      </c>
      <c r="Z712" s="523" t="s">
        <v>541</v>
      </c>
    </row>
    <row r="713" spans="1:26" ht="29">
      <c r="A713" s="513">
        <v>711</v>
      </c>
      <c r="B713" s="567"/>
      <c r="C713" s="515" t="s">
        <v>3005</v>
      </c>
      <c r="D713" s="568" t="s">
        <v>2162</v>
      </c>
      <c r="E713" s="513">
        <v>712</v>
      </c>
      <c r="F713" s="544" t="s">
        <v>3005</v>
      </c>
      <c r="G713" s="543">
        <v>45505</v>
      </c>
      <c r="H713" s="543">
        <v>45505</v>
      </c>
      <c r="I713" s="543">
        <v>45505</v>
      </c>
      <c r="J713" s="543">
        <v>45505</v>
      </c>
      <c r="K713" s="569">
        <v>45526</v>
      </c>
      <c r="L713" s="518" t="s">
        <v>2213</v>
      </c>
      <c r="M713" s="264" t="s">
        <v>2587</v>
      </c>
      <c r="N713" s="568" t="s">
        <v>2212</v>
      </c>
      <c r="O713" s="567" t="s">
        <v>2409</v>
      </c>
      <c r="P713" s="264" t="str">
        <f t="shared" si="31"/>
        <v>Paper Clip No 1  Paper Clip No 3</v>
      </c>
      <c r="Q713" s="264" t="s">
        <v>710</v>
      </c>
      <c r="R713" s="519" t="s">
        <v>145</v>
      </c>
      <c r="S713" s="399">
        <v>5</v>
      </c>
      <c r="T713" s="348" t="s">
        <v>3362</v>
      </c>
      <c r="U713" s="520">
        <v>6000</v>
      </c>
      <c r="V713" s="570">
        <v>30000</v>
      </c>
      <c r="W713" s="521" t="s">
        <v>227</v>
      </c>
      <c r="X713" s="521" t="s">
        <v>3383</v>
      </c>
      <c r="Y713" s="522" t="s">
        <v>2512</v>
      </c>
      <c r="Z713" s="523" t="s">
        <v>541</v>
      </c>
    </row>
    <row r="714" spans="1:26" ht="29">
      <c r="A714" s="513">
        <v>712</v>
      </c>
      <c r="B714" s="567"/>
      <c r="C714" s="515" t="s">
        <v>3005</v>
      </c>
      <c r="D714" s="568" t="s">
        <v>2162</v>
      </c>
      <c r="E714" s="513">
        <v>713</v>
      </c>
      <c r="F714" s="544" t="s">
        <v>3005</v>
      </c>
      <c r="G714" s="543">
        <v>45505</v>
      </c>
      <c r="H714" s="543">
        <v>45505</v>
      </c>
      <c r="I714" s="543">
        <v>45505</v>
      </c>
      <c r="J714" s="543">
        <v>45505</v>
      </c>
      <c r="K714" s="569">
        <v>45526</v>
      </c>
      <c r="L714" s="518" t="s">
        <v>2213</v>
      </c>
      <c r="M714" s="264" t="s">
        <v>2587</v>
      </c>
      <c r="N714" s="568" t="s">
        <v>2212</v>
      </c>
      <c r="O714" s="567" t="s">
        <v>2410</v>
      </c>
      <c r="P714" s="264" t="str">
        <f t="shared" si="31"/>
        <v>Lakban Hitam uk 2 " Warna hitam uk. 2 "</v>
      </c>
      <c r="Q714" s="264" t="s">
        <v>710</v>
      </c>
      <c r="R714" s="519" t="s">
        <v>140</v>
      </c>
      <c r="S714" s="399">
        <v>5</v>
      </c>
      <c r="T714" s="348" t="s">
        <v>3363</v>
      </c>
      <c r="U714" s="520">
        <v>25000</v>
      </c>
      <c r="V714" s="570">
        <v>125000</v>
      </c>
      <c r="W714" s="521" t="s">
        <v>227</v>
      </c>
      <c r="X714" s="521" t="s">
        <v>3383</v>
      </c>
      <c r="Y714" s="522" t="s">
        <v>2512</v>
      </c>
      <c r="Z714" s="523" t="s">
        <v>541</v>
      </c>
    </row>
    <row r="715" spans="1:26" ht="29">
      <c r="A715" s="513">
        <v>713</v>
      </c>
      <c r="B715" s="567"/>
      <c r="C715" s="515" t="s">
        <v>3005</v>
      </c>
      <c r="D715" s="568" t="s">
        <v>2162</v>
      </c>
      <c r="E715" s="513">
        <v>714</v>
      </c>
      <c r="F715" s="544" t="s">
        <v>3005</v>
      </c>
      <c r="G715" s="543">
        <v>45505</v>
      </c>
      <c r="H715" s="543">
        <v>45505</v>
      </c>
      <c r="I715" s="543">
        <v>45505</v>
      </c>
      <c r="J715" s="543">
        <v>45505</v>
      </c>
      <c r="K715" s="569">
        <v>45526</v>
      </c>
      <c r="L715" s="518" t="s">
        <v>2213</v>
      </c>
      <c r="M715" s="264" t="s">
        <v>2587</v>
      </c>
      <c r="N715" s="568" t="s">
        <v>2212</v>
      </c>
      <c r="O715" s="567" t="s">
        <v>2339</v>
      </c>
      <c r="P715" s="264" t="str">
        <f t="shared" si="31"/>
        <v>Kertas StensiI</v>
      </c>
      <c r="Q715" s="264" t="s">
        <v>710</v>
      </c>
      <c r="R715" s="519" t="s">
        <v>132</v>
      </c>
      <c r="S715" s="399">
        <v>10</v>
      </c>
      <c r="T715" s="348" t="s">
        <v>3365</v>
      </c>
      <c r="U715" s="520">
        <v>50000</v>
      </c>
      <c r="V715" s="570">
        <v>500000</v>
      </c>
      <c r="W715" s="521" t="s">
        <v>227</v>
      </c>
      <c r="X715" s="521" t="s">
        <v>3383</v>
      </c>
      <c r="Y715" s="522" t="s">
        <v>2512</v>
      </c>
      <c r="Z715" s="523" t="s">
        <v>541</v>
      </c>
    </row>
    <row r="716" spans="1:26" ht="43.5">
      <c r="A716" s="513">
        <v>714</v>
      </c>
      <c r="B716" s="567"/>
      <c r="C716" s="515" t="s">
        <v>3005</v>
      </c>
      <c r="D716" s="568" t="s">
        <v>2162</v>
      </c>
      <c r="E716" s="513">
        <v>715</v>
      </c>
      <c r="F716" s="544" t="s">
        <v>3005</v>
      </c>
      <c r="G716" s="543">
        <v>45505</v>
      </c>
      <c r="H716" s="543">
        <v>45505</v>
      </c>
      <c r="I716" s="543">
        <v>45505</v>
      </c>
      <c r="J716" s="543">
        <v>45505</v>
      </c>
      <c r="K716" s="569">
        <v>45526</v>
      </c>
      <c r="L716" s="518" t="s">
        <v>2213</v>
      </c>
      <c r="M716" s="264" t="s">
        <v>2587</v>
      </c>
      <c r="N716" s="568" t="s">
        <v>2212</v>
      </c>
      <c r="O716" s="567" t="s">
        <v>2411</v>
      </c>
      <c r="P716" s="264" t="str">
        <f t="shared" si="31"/>
        <v>Spidol White board</v>
      </c>
      <c r="Q716" s="264" t="s">
        <v>710</v>
      </c>
      <c r="R716" s="519" t="s">
        <v>151</v>
      </c>
      <c r="S716" s="399">
        <v>2</v>
      </c>
      <c r="T716" s="348" t="s">
        <v>3364</v>
      </c>
      <c r="U716" s="520">
        <v>120000</v>
      </c>
      <c r="V716" s="570">
        <v>240000</v>
      </c>
      <c r="W716" s="521" t="s">
        <v>227</v>
      </c>
      <c r="X716" s="521" t="s">
        <v>3383</v>
      </c>
      <c r="Y716" s="522" t="s">
        <v>2512</v>
      </c>
      <c r="Z716" s="523" t="s">
        <v>541</v>
      </c>
    </row>
    <row r="717" spans="1:26" ht="29">
      <c r="A717" s="513">
        <v>715</v>
      </c>
      <c r="B717" s="567"/>
      <c r="C717" s="515" t="s">
        <v>3005</v>
      </c>
      <c r="D717" s="568" t="s">
        <v>2162</v>
      </c>
      <c r="E717" s="513">
        <v>716</v>
      </c>
      <c r="F717" s="544" t="s">
        <v>3005</v>
      </c>
      <c r="G717" s="543">
        <v>45505</v>
      </c>
      <c r="H717" s="543">
        <v>45505</v>
      </c>
      <c r="I717" s="543">
        <v>45505</v>
      </c>
      <c r="J717" s="543">
        <v>45505</v>
      </c>
      <c r="K717" s="569">
        <v>45526</v>
      </c>
      <c r="L717" s="518" t="s">
        <v>2213</v>
      </c>
      <c r="M717" s="264" t="s">
        <v>2587</v>
      </c>
      <c r="N717" s="568" t="s">
        <v>2212</v>
      </c>
      <c r="O717" s="567" t="s">
        <v>2412</v>
      </c>
      <c r="P717" s="264" t="str">
        <f t="shared" si="31"/>
        <v>Pisau Cutter Kenko L-500</v>
      </c>
      <c r="Q717" s="264" t="s">
        <v>710</v>
      </c>
      <c r="R717" s="525" t="s">
        <v>2601</v>
      </c>
      <c r="S717" s="399">
        <v>2</v>
      </c>
      <c r="T717" s="348" t="s">
        <v>3363</v>
      </c>
      <c r="U717" s="520">
        <v>15000</v>
      </c>
      <c r="V717" s="570">
        <v>30000</v>
      </c>
      <c r="W717" s="521" t="s">
        <v>227</v>
      </c>
      <c r="X717" s="521" t="s">
        <v>3383</v>
      </c>
      <c r="Y717" s="522" t="s">
        <v>2512</v>
      </c>
      <c r="Z717" s="523" t="s">
        <v>541</v>
      </c>
    </row>
    <row r="718" spans="1:26" ht="29">
      <c r="A718" s="513">
        <v>716</v>
      </c>
      <c r="B718" s="567"/>
      <c r="C718" s="515" t="s">
        <v>3005</v>
      </c>
      <c r="D718" s="568" t="s">
        <v>2162</v>
      </c>
      <c r="E718" s="513">
        <v>717</v>
      </c>
      <c r="F718" s="544" t="s">
        <v>3005</v>
      </c>
      <c r="G718" s="543">
        <v>45505</v>
      </c>
      <c r="H718" s="543">
        <v>45505</v>
      </c>
      <c r="I718" s="543">
        <v>45505</v>
      </c>
      <c r="J718" s="543">
        <v>45505</v>
      </c>
      <c r="K718" s="569">
        <v>45526</v>
      </c>
      <c r="L718" s="518" t="s">
        <v>2213</v>
      </c>
      <c r="M718" s="264" t="s">
        <v>2587</v>
      </c>
      <c r="N718" s="568" t="s">
        <v>2212</v>
      </c>
      <c r="O718" s="567" t="s">
        <v>2413</v>
      </c>
      <c r="P718" s="264" t="str">
        <f t="shared" si="31"/>
        <v>Lem Fox isi 500 gram--</v>
      </c>
      <c r="Q718" s="264" t="s">
        <v>710</v>
      </c>
      <c r="R718" s="519" t="s">
        <v>141</v>
      </c>
      <c r="S718" s="399">
        <v>2</v>
      </c>
      <c r="T718" s="348" t="s">
        <v>3363</v>
      </c>
      <c r="U718" s="520">
        <v>35400</v>
      </c>
      <c r="V718" s="570">
        <v>70800</v>
      </c>
      <c r="W718" s="521" t="s">
        <v>227</v>
      </c>
      <c r="X718" s="521" t="s">
        <v>3383</v>
      </c>
      <c r="Y718" s="522" t="s">
        <v>2512</v>
      </c>
      <c r="Z718" s="523" t="s">
        <v>541</v>
      </c>
    </row>
    <row r="719" spans="1:26" ht="29">
      <c r="A719" s="513">
        <v>717</v>
      </c>
      <c r="B719" s="567"/>
      <c r="C719" s="515" t="s">
        <v>3005</v>
      </c>
      <c r="D719" s="568" t="s">
        <v>2162</v>
      </c>
      <c r="E719" s="513">
        <v>718</v>
      </c>
      <c r="F719" s="544" t="s">
        <v>3005</v>
      </c>
      <c r="G719" s="543">
        <v>45505</v>
      </c>
      <c r="H719" s="543">
        <v>45505</v>
      </c>
      <c r="I719" s="543">
        <v>45505</v>
      </c>
      <c r="J719" s="543">
        <v>45505</v>
      </c>
      <c r="K719" s="569">
        <v>45526</v>
      </c>
      <c r="L719" s="518" t="s">
        <v>2213</v>
      </c>
      <c r="M719" s="264" t="s">
        <v>2587</v>
      </c>
      <c r="N719" s="568" t="s">
        <v>2212</v>
      </c>
      <c r="O719" s="567" t="s">
        <v>2365</v>
      </c>
      <c r="P719" s="264" t="str">
        <f t="shared" si="31"/>
        <v>Binder Klip  nomor 260</v>
      </c>
      <c r="Q719" s="264" t="s">
        <v>710</v>
      </c>
      <c r="R719" s="525" t="s">
        <v>2602</v>
      </c>
      <c r="S719" s="399">
        <v>10</v>
      </c>
      <c r="T719" s="348" t="s">
        <v>3362</v>
      </c>
      <c r="U719" s="520">
        <v>20000</v>
      </c>
      <c r="V719" s="570">
        <v>200000</v>
      </c>
      <c r="W719" s="521" t="s">
        <v>227</v>
      </c>
      <c r="X719" s="521" t="s">
        <v>3383</v>
      </c>
      <c r="Y719" s="522" t="s">
        <v>2512</v>
      </c>
      <c r="Z719" s="523" t="s">
        <v>541</v>
      </c>
    </row>
    <row r="720" spans="1:26" ht="29">
      <c r="A720" s="513">
        <v>718</v>
      </c>
      <c r="B720" s="567"/>
      <c r="C720" s="515" t="s">
        <v>3005</v>
      </c>
      <c r="D720" s="568" t="s">
        <v>2162</v>
      </c>
      <c r="E720" s="513">
        <v>719</v>
      </c>
      <c r="F720" s="544" t="s">
        <v>3005</v>
      </c>
      <c r="G720" s="543">
        <v>45505</v>
      </c>
      <c r="H720" s="543">
        <v>45505</v>
      </c>
      <c r="I720" s="543">
        <v>45505</v>
      </c>
      <c r="J720" s="543">
        <v>45505</v>
      </c>
      <c r="K720" s="569">
        <v>45526</v>
      </c>
      <c r="L720" s="518" t="s">
        <v>2213</v>
      </c>
      <c r="M720" s="264" t="s">
        <v>2587</v>
      </c>
      <c r="N720" s="568" t="s">
        <v>2212</v>
      </c>
      <c r="O720" s="567" t="s">
        <v>2377</v>
      </c>
      <c r="P720" s="264" t="str">
        <f t="shared" si="31"/>
        <v>C. Tinta Printer EPSON Tinta Printer Epson Yellow</v>
      </c>
      <c r="Q720" s="264" t="s">
        <v>710</v>
      </c>
      <c r="R720" s="519" t="s">
        <v>119</v>
      </c>
      <c r="S720" s="399">
        <v>4</v>
      </c>
      <c r="T720" s="348" t="s">
        <v>3367</v>
      </c>
      <c r="U720" s="520">
        <v>110000</v>
      </c>
      <c r="V720" s="570">
        <v>440000</v>
      </c>
      <c r="W720" s="521" t="s">
        <v>227</v>
      </c>
      <c r="X720" s="521" t="s">
        <v>3383</v>
      </c>
      <c r="Y720" s="522" t="s">
        <v>2512</v>
      </c>
      <c r="Z720" s="523" t="s">
        <v>541</v>
      </c>
    </row>
    <row r="721" spans="1:26" ht="29">
      <c r="A721" s="513">
        <v>719</v>
      </c>
      <c r="B721" s="567"/>
      <c r="C721" s="515" t="s">
        <v>3005</v>
      </c>
      <c r="D721" s="568" t="s">
        <v>2162</v>
      </c>
      <c r="E721" s="513">
        <v>720</v>
      </c>
      <c r="F721" s="544" t="s">
        <v>3005</v>
      </c>
      <c r="G721" s="543">
        <v>45505</v>
      </c>
      <c r="H721" s="543">
        <v>45505</v>
      </c>
      <c r="I721" s="543">
        <v>45505</v>
      </c>
      <c r="J721" s="543">
        <v>45505</v>
      </c>
      <c r="K721" s="569">
        <v>45526</v>
      </c>
      <c r="L721" s="518" t="s">
        <v>2213</v>
      </c>
      <c r="M721" s="264" t="s">
        <v>2587</v>
      </c>
      <c r="N721" s="568" t="s">
        <v>2212</v>
      </c>
      <c r="O721" s="567" t="s">
        <v>2415</v>
      </c>
      <c r="P721" s="264" t="str">
        <f t="shared" si="31"/>
        <v>PAPER CLIP  Paper Clip No 1</v>
      </c>
      <c r="Q721" s="264" t="s">
        <v>710</v>
      </c>
      <c r="R721" s="519" t="s">
        <v>144</v>
      </c>
      <c r="S721" s="399">
        <v>5</v>
      </c>
      <c r="T721" s="348" t="s">
        <v>3362</v>
      </c>
      <c r="U721" s="520">
        <v>5000</v>
      </c>
      <c r="V721" s="570">
        <v>25000</v>
      </c>
      <c r="W721" s="521" t="s">
        <v>227</v>
      </c>
      <c r="X721" s="521" t="s">
        <v>3383</v>
      </c>
      <c r="Y721" s="522" t="s">
        <v>2512</v>
      </c>
      <c r="Z721" s="523" t="s">
        <v>541</v>
      </c>
    </row>
    <row r="722" spans="1:26" ht="29">
      <c r="A722" s="513">
        <v>720</v>
      </c>
      <c r="B722" s="567"/>
      <c r="C722" s="515" t="s">
        <v>3005</v>
      </c>
      <c r="D722" s="568" t="s">
        <v>2162</v>
      </c>
      <c r="E722" s="513">
        <v>721</v>
      </c>
      <c r="F722" s="544" t="s">
        <v>3005</v>
      </c>
      <c r="G722" s="543">
        <v>45505</v>
      </c>
      <c r="H722" s="543">
        <v>45505</v>
      </c>
      <c r="I722" s="543">
        <v>45505</v>
      </c>
      <c r="J722" s="543">
        <v>45505</v>
      </c>
      <c r="K722" s="569">
        <v>45526</v>
      </c>
      <c r="L722" s="518" t="s">
        <v>2213</v>
      </c>
      <c r="M722" s="264" t="s">
        <v>2587</v>
      </c>
      <c r="N722" s="568" t="s">
        <v>2212</v>
      </c>
      <c r="O722" s="567" t="s">
        <v>2387</v>
      </c>
      <c r="P722" s="264" t="str">
        <f t="shared" si="31"/>
        <v>Kertas HVS 80 gram Merk : Paper One A4, Ukuran : 8,27" x 11,69", Isi : 500 lembar</v>
      </c>
      <c r="Q722" s="264" t="s">
        <v>710</v>
      </c>
      <c r="R722" s="519" t="s">
        <v>1351</v>
      </c>
      <c r="S722" s="399">
        <v>40</v>
      </c>
      <c r="T722" s="348" t="s">
        <v>3369</v>
      </c>
      <c r="U722" s="520">
        <v>50000</v>
      </c>
      <c r="V722" s="570">
        <v>2000000</v>
      </c>
      <c r="W722" s="521" t="s">
        <v>227</v>
      </c>
      <c r="X722" s="521" t="s">
        <v>3383</v>
      </c>
      <c r="Y722" s="522" t="s">
        <v>2512</v>
      </c>
      <c r="Z722" s="523" t="s">
        <v>541</v>
      </c>
    </row>
    <row r="723" spans="1:26" ht="29">
      <c r="A723" s="513">
        <v>721</v>
      </c>
      <c r="B723" s="567"/>
      <c r="C723" s="515" t="s">
        <v>3005</v>
      </c>
      <c r="D723" s="568" t="s">
        <v>2162</v>
      </c>
      <c r="E723" s="513">
        <v>722</v>
      </c>
      <c r="F723" s="544" t="s">
        <v>3005</v>
      </c>
      <c r="G723" s="543">
        <v>45505</v>
      </c>
      <c r="H723" s="543">
        <v>45505</v>
      </c>
      <c r="I723" s="543">
        <v>45505</v>
      </c>
      <c r="J723" s="543">
        <v>45505</v>
      </c>
      <c r="K723" s="569">
        <v>45526</v>
      </c>
      <c r="L723" s="518" t="s">
        <v>2213</v>
      </c>
      <c r="M723" s="264" t="s">
        <v>2587</v>
      </c>
      <c r="N723" s="568" t="s">
        <v>2212</v>
      </c>
      <c r="O723" s="567" t="s">
        <v>2366</v>
      </c>
      <c r="P723" s="264" t="str">
        <f t="shared" si="31"/>
        <v>Stofmap Transparan</v>
      </c>
      <c r="Q723" s="264" t="s">
        <v>710</v>
      </c>
      <c r="R723" s="519" t="s">
        <v>157</v>
      </c>
      <c r="S723" s="399">
        <v>100</v>
      </c>
      <c r="T723" s="348" t="s">
        <v>3363</v>
      </c>
      <c r="U723" s="520">
        <v>5500</v>
      </c>
      <c r="V723" s="570">
        <v>550000</v>
      </c>
      <c r="W723" s="521" t="s">
        <v>227</v>
      </c>
      <c r="X723" s="521" t="s">
        <v>3383</v>
      </c>
      <c r="Y723" s="522" t="s">
        <v>2512</v>
      </c>
      <c r="Z723" s="523" t="s">
        <v>541</v>
      </c>
    </row>
    <row r="724" spans="1:26" ht="29">
      <c r="A724" s="513">
        <v>722</v>
      </c>
      <c r="B724" s="567"/>
      <c r="C724" s="515" t="s">
        <v>3005</v>
      </c>
      <c r="D724" s="568" t="s">
        <v>2162</v>
      </c>
      <c r="E724" s="513">
        <v>723</v>
      </c>
      <c r="F724" s="544" t="s">
        <v>3005</v>
      </c>
      <c r="G724" s="543">
        <v>45505</v>
      </c>
      <c r="H724" s="543">
        <v>45505</v>
      </c>
      <c r="I724" s="543">
        <v>45505</v>
      </c>
      <c r="J724" s="543">
        <v>45505</v>
      </c>
      <c r="K724" s="569">
        <v>45526</v>
      </c>
      <c r="L724" s="518" t="s">
        <v>2213</v>
      </c>
      <c r="M724" s="264" t="s">
        <v>2587</v>
      </c>
      <c r="N724" s="568" t="s">
        <v>2212</v>
      </c>
      <c r="O724" s="567" t="s">
        <v>2367</v>
      </c>
      <c r="P724" s="264" t="str">
        <f t="shared" si="31"/>
        <v>Amplop Panjang Putih Polos Merk : Jaya Ukuran : 11 x 23 cm</v>
      </c>
      <c r="Q724" s="264" t="s">
        <v>710</v>
      </c>
      <c r="R724" s="519" t="s">
        <v>99</v>
      </c>
      <c r="S724" s="399">
        <v>1</v>
      </c>
      <c r="T724" s="348" t="s">
        <v>3362</v>
      </c>
      <c r="U724" s="520">
        <v>48000</v>
      </c>
      <c r="V724" s="570">
        <v>48000</v>
      </c>
      <c r="W724" s="521" t="s">
        <v>227</v>
      </c>
      <c r="X724" s="521" t="s">
        <v>3383</v>
      </c>
      <c r="Y724" s="522" t="s">
        <v>2512</v>
      </c>
      <c r="Z724" s="523" t="s">
        <v>541</v>
      </c>
    </row>
    <row r="725" spans="1:26" ht="29">
      <c r="A725" s="513">
        <v>723</v>
      </c>
      <c r="B725" s="567"/>
      <c r="C725" s="515" t="s">
        <v>3005</v>
      </c>
      <c r="D725" s="568" t="s">
        <v>2162</v>
      </c>
      <c r="E725" s="513">
        <v>724</v>
      </c>
      <c r="F725" s="544" t="s">
        <v>3005</v>
      </c>
      <c r="G725" s="543">
        <v>45505</v>
      </c>
      <c r="H725" s="543">
        <v>45505</v>
      </c>
      <c r="I725" s="543">
        <v>45505</v>
      </c>
      <c r="J725" s="543">
        <v>45505</v>
      </c>
      <c r="K725" s="569">
        <v>45526</v>
      </c>
      <c r="L725" s="518" t="s">
        <v>2213</v>
      </c>
      <c r="M725" s="264" t="s">
        <v>2587</v>
      </c>
      <c r="N725" s="568" t="s">
        <v>2212</v>
      </c>
      <c r="O725" s="567" t="s">
        <v>2340</v>
      </c>
      <c r="P725" s="264" t="str">
        <f t="shared" si="31"/>
        <v>Kertas Post-It Warna Warni  Sign Here</v>
      </c>
      <c r="Q725" s="264" t="s">
        <v>710</v>
      </c>
      <c r="R725" s="525" t="s">
        <v>2604</v>
      </c>
      <c r="S725" s="399">
        <v>5</v>
      </c>
      <c r="T725" s="348" t="s">
        <v>3363</v>
      </c>
      <c r="U725" s="520">
        <v>22800</v>
      </c>
      <c r="V725" s="570">
        <v>114000</v>
      </c>
      <c r="W725" s="521" t="s">
        <v>227</v>
      </c>
      <c r="X725" s="521" t="s">
        <v>3383</v>
      </c>
      <c r="Y725" s="522" t="s">
        <v>2512</v>
      </c>
      <c r="Z725" s="523" t="s">
        <v>541</v>
      </c>
    </row>
    <row r="726" spans="1:26" ht="37.5">
      <c r="A726" s="513">
        <v>724</v>
      </c>
      <c r="B726" s="567"/>
      <c r="C726" s="515" t="s">
        <v>3005</v>
      </c>
      <c r="D726" s="568" t="s">
        <v>2162</v>
      </c>
      <c r="E726" s="513">
        <v>725</v>
      </c>
      <c r="F726" s="544" t="s">
        <v>3005</v>
      </c>
      <c r="G726" s="543">
        <v>45505</v>
      </c>
      <c r="H726" s="543">
        <v>45505</v>
      </c>
      <c r="I726" s="543">
        <v>45505</v>
      </c>
      <c r="J726" s="543">
        <v>45505</v>
      </c>
      <c r="K726" s="569">
        <v>45526</v>
      </c>
      <c r="L726" s="518" t="s">
        <v>2213</v>
      </c>
      <c r="M726" s="264" t="s">
        <v>2587</v>
      </c>
      <c r="N726" s="568" t="s">
        <v>2212</v>
      </c>
      <c r="O726" s="567" t="s">
        <v>2999</v>
      </c>
      <c r="P726" s="524" t="s">
        <v>2605</v>
      </c>
      <c r="Q726" s="264" t="s">
        <v>710</v>
      </c>
      <c r="R726" s="519" t="s">
        <v>134</v>
      </c>
      <c r="S726" s="399">
        <v>5</v>
      </c>
      <c r="T726" s="348" t="s">
        <v>2436</v>
      </c>
      <c r="U726" s="520">
        <v>10000</v>
      </c>
      <c r="V726" s="570">
        <v>50000</v>
      </c>
      <c r="W726" s="521" t="s">
        <v>227</v>
      </c>
      <c r="X726" s="521" t="s">
        <v>3383</v>
      </c>
      <c r="Y726" s="522" t="s">
        <v>2512</v>
      </c>
      <c r="Z726" s="523" t="s">
        <v>541</v>
      </c>
    </row>
    <row r="727" spans="1:26" ht="29">
      <c r="A727" s="513">
        <v>725</v>
      </c>
      <c r="B727" s="567"/>
      <c r="C727" s="515" t="s">
        <v>3005</v>
      </c>
      <c r="D727" s="568" t="s">
        <v>2162</v>
      </c>
      <c r="E727" s="513">
        <v>726</v>
      </c>
      <c r="F727" s="544" t="s">
        <v>3005</v>
      </c>
      <c r="G727" s="543">
        <v>45505</v>
      </c>
      <c r="H727" s="543">
        <v>45505</v>
      </c>
      <c r="I727" s="543">
        <v>45505</v>
      </c>
      <c r="J727" s="543">
        <v>45505</v>
      </c>
      <c r="K727" s="569">
        <v>45526</v>
      </c>
      <c r="L727" s="518" t="s">
        <v>2213</v>
      </c>
      <c r="M727" s="264" t="s">
        <v>2587</v>
      </c>
      <c r="N727" s="568" t="s">
        <v>2212</v>
      </c>
      <c r="O727" s="567" t="s">
        <v>2368</v>
      </c>
      <c r="P727" s="264" t="str">
        <f t="shared" ref="P727:P753" si="32">O727</f>
        <v>Binder Klip  nomor 200</v>
      </c>
      <c r="Q727" s="264" t="s">
        <v>710</v>
      </c>
      <c r="R727" s="519" t="s">
        <v>110</v>
      </c>
      <c r="S727" s="399">
        <v>10</v>
      </c>
      <c r="T727" s="348" t="s">
        <v>3362</v>
      </c>
      <c r="U727" s="520">
        <v>16500</v>
      </c>
      <c r="V727" s="570">
        <v>165000</v>
      </c>
      <c r="W727" s="521" t="s">
        <v>227</v>
      </c>
      <c r="X727" s="521" t="s">
        <v>3383</v>
      </c>
      <c r="Y727" s="522" t="s">
        <v>2512</v>
      </c>
      <c r="Z727" s="523" t="s">
        <v>541</v>
      </c>
    </row>
    <row r="728" spans="1:26" ht="29">
      <c r="A728" s="513">
        <v>726</v>
      </c>
      <c r="B728" s="567"/>
      <c r="C728" s="515" t="s">
        <v>3005</v>
      </c>
      <c r="D728" s="568" t="s">
        <v>2162</v>
      </c>
      <c r="E728" s="513">
        <v>727</v>
      </c>
      <c r="F728" s="544" t="s">
        <v>3005</v>
      </c>
      <c r="G728" s="543">
        <v>45505</v>
      </c>
      <c r="H728" s="543">
        <v>45505</v>
      </c>
      <c r="I728" s="543">
        <v>45505</v>
      </c>
      <c r="J728" s="543">
        <v>45505</v>
      </c>
      <c r="K728" s="569">
        <v>45526</v>
      </c>
      <c r="L728" s="518" t="s">
        <v>2213</v>
      </c>
      <c r="M728" s="264" t="s">
        <v>2587</v>
      </c>
      <c r="N728" s="568" t="s">
        <v>2212</v>
      </c>
      <c r="O728" s="567" t="s">
        <v>2378</v>
      </c>
      <c r="P728" s="264" t="str">
        <f t="shared" si="32"/>
        <v>C. Tinta Printer EPSON Toner Epson 664 Black</v>
      </c>
      <c r="Q728" s="264" t="s">
        <v>710</v>
      </c>
      <c r="R728" s="519" t="s">
        <v>120</v>
      </c>
      <c r="S728" s="399">
        <v>6</v>
      </c>
      <c r="T728" s="348" t="s">
        <v>3367</v>
      </c>
      <c r="U728" s="520">
        <v>85000</v>
      </c>
      <c r="V728" s="570">
        <v>510000</v>
      </c>
      <c r="W728" s="521" t="s">
        <v>227</v>
      </c>
      <c r="X728" s="521" t="s">
        <v>3383</v>
      </c>
      <c r="Y728" s="522" t="s">
        <v>2512</v>
      </c>
      <c r="Z728" s="523" t="s">
        <v>541</v>
      </c>
    </row>
    <row r="729" spans="1:26" ht="29">
      <c r="A729" s="513">
        <v>727</v>
      </c>
      <c r="B729" s="567"/>
      <c r="C729" s="515" t="s">
        <v>3005</v>
      </c>
      <c r="D729" s="568" t="s">
        <v>2162</v>
      </c>
      <c r="E729" s="513">
        <v>728</v>
      </c>
      <c r="F729" s="544" t="s">
        <v>3005</v>
      </c>
      <c r="G729" s="543">
        <v>45505</v>
      </c>
      <c r="H729" s="543">
        <v>45505</v>
      </c>
      <c r="I729" s="543">
        <v>45505</v>
      </c>
      <c r="J729" s="543">
        <v>45505</v>
      </c>
      <c r="K729" s="569">
        <v>45526</v>
      </c>
      <c r="L729" s="518" t="s">
        <v>2213</v>
      </c>
      <c r="M729" s="264" t="s">
        <v>2587</v>
      </c>
      <c r="N729" s="568" t="s">
        <v>2212</v>
      </c>
      <c r="O729" s="567" t="s">
        <v>2428</v>
      </c>
      <c r="P729" s="264" t="str">
        <f t="shared" si="32"/>
        <v>Isi Staples Sedang</v>
      </c>
      <c r="Q729" s="264" t="s">
        <v>710</v>
      </c>
      <c r="R729" s="519" t="s">
        <v>126</v>
      </c>
      <c r="S729" s="399">
        <v>2</v>
      </c>
      <c r="T729" s="348" t="s">
        <v>3362</v>
      </c>
      <c r="U729" s="520">
        <v>40000</v>
      </c>
      <c r="V729" s="570">
        <v>80000</v>
      </c>
      <c r="W729" s="521" t="s">
        <v>227</v>
      </c>
      <c r="X729" s="521" t="s">
        <v>3383</v>
      </c>
      <c r="Y729" s="522" t="s">
        <v>2512</v>
      </c>
      <c r="Z729" s="523" t="s">
        <v>541</v>
      </c>
    </row>
    <row r="730" spans="1:26" ht="29">
      <c r="A730" s="513">
        <v>728</v>
      </c>
      <c r="B730" s="567"/>
      <c r="C730" s="515" t="s">
        <v>3005</v>
      </c>
      <c r="D730" s="568" t="s">
        <v>2162</v>
      </c>
      <c r="E730" s="513">
        <v>729</v>
      </c>
      <c r="F730" s="544" t="s">
        <v>3005</v>
      </c>
      <c r="G730" s="543">
        <v>45505</v>
      </c>
      <c r="H730" s="543">
        <v>45505</v>
      </c>
      <c r="I730" s="543">
        <v>45505</v>
      </c>
      <c r="J730" s="543">
        <v>45505</v>
      </c>
      <c r="K730" s="569">
        <v>45526</v>
      </c>
      <c r="L730" s="518" t="s">
        <v>2213</v>
      </c>
      <c r="M730" s="264" t="s">
        <v>2587</v>
      </c>
      <c r="N730" s="568" t="s">
        <v>2212</v>
      </c>
      <c r="O730" s="567" t="s">
        <v>2341</v>
      </c>
      <c r="P730" s="264" t="str">
        <f t="shared" si="32"/>
        <v>Kertas Warna Blank Folio, Ukuran : 8,5 x 14",  70 gram</v>
      </c>
      <c r="Q730" s="264" t="s">
        <v>710</v>
      </c>
      <c r="R730" s="519" t="s">
        <v>133</v>
      </c>
      <c r="S730" s="399">
        <v>2</v>
      </c>
      <c r="T730" s="348" t="s">
        <v>3369</v>
      </c>
      <c r="U730" s="520">
        <v>90000</v>
      </c>
      <c r="V730" s="570">
        <v>180000</v>
      </c>
      <c r="W730" s="521" t="s">
        <v>227</v>
      </c>
      <c r="X730" s="521" t="s">
        <v>3383</v>
      </c>
      <c r="Y730" s="522" t="s">
        <v>2512</v>
      </c>
      <c r="Z730" s="523" t="s">
        <v>541</v>
      </c>
    </row>
    <row r="731" spans="1:26" ht="29">
      <c r="A731" s="513">
        <v>729</v>
      </c>
      <c r="B731" s="567"/>
      <c r="C731" s="515" t="s">
        <v>3005</v>
      </c>
      <c r="D731" s="568" t="s">
        <v>2162</v>
      </c>
      <c r="E731" s="513">
        <v>730</v>
      </c>
      <c r="F731" s="544" t="s">
        <v>3005</v>
      </c>
      <c r="G731" s="543">
        <v>45505</v>
      </c>
      <c r="H731" s="543">
        <v>45505</v>
      </c>
      <c r="I731" s="543">
        <v>45505</v>
      </c>
      <c r="J731" s="543">
        <v>45505</v>
      </c>
      <c r="K731" s="569">
        <v>45526</v>
      </c>
      <c r="L731" s="518" t="s">
        <v>2213</v>
      </c>
      <c r="M731" s="264" t="s">
        <v>2587</v>
      </c>
      <c r="N731" s="568" t="s">
        <v>2212</v>
      </c>
      <c r="O731" s="567" t="s">
        <v>2369</v>
      </c>
      <c r="P731" s="264" t="str">
        <f t="shared" si="32"/>
        <v>Sampul Plastik</v>
      </c>
      <c r="Q731" s="264" t="s">
        <v>710</v>
      </c>
      <c r="R731" s="519" t="s">
        <v>149</v>
      </c>
      <c r="S731" s="399">
        <v>5</v>
      </c>
      <c r="T731" s="348" t="s">
        <v>3365</v>
      </c>
      <c r="U731" s="520">
        <v>65000</v>
      </c>
      <c r="V731" s="570">
        <v>325000</v>
      </c>
      <c r="W731" s="521" t="s">
        <v>227</v>
      </c>
      <c r="X731" s="521" t="s">
        <v>3383</v>
      </c>
      <c r="Y731" s="522" t="s">
        <v>2512</v>
      </c>
      <c r="Z731" s="523" t="s">
        <v>541</v>
      </c>
    </row>
    <row r="732" spans="1:26" ht="29">
      <c r="A732" s="513">
        <v>730</v>
      </c>
      <c r="B732" s="567"/>
      <c r="C732" s="515" t="s">
        <v>3005</v>
      </c>
      <c r="D732" s="568" t="s">
        <v>2162</v>
      </c>
      <c r="E732" s="513">
        <v>731</v>
      </c>
      <c r="F732" s="544" t="s">
        <v>3005</v>
      </c>
      <c r="G732" s="543">
        <v>45505</v>
      </c>
      <c r="H732" s="543">
        <v>45505</v>
      </c>
      <c r="I732" s="543">
        <v>45505</v>
      </c>
      <c r="J732" s="543">
        <v>45505</v>
      </c>
      <c r="K732" s="569">
        <v>45526</v>
      </c>
      <c r="L732" s="518" t="s">
        <v>2213</v>
      </c>
      <c r="M732" s="264" t="s">
        <v>2587</v>
      </c>
      <c r="N732" s="568" t="s">
        <v>2212</v>
      </c>
      <c r="O732" s="567" t="s">
        <v>2370</v>
      </c>
      <c r="P732" s="264" t="str">
        <f t="shared" si="32"/>
        <v>Box File Merk : Bantex Ukuran : 115x270x325 mm</v>
      </c>
      <c r="Q732" s="264" t="s">
        <v>710</v>
      </c>
      <c r="R732" s="524" t="s">
        <v>2606</v>
      </c>
      <c r="S732" s="399">
        <v>4</v>
      </c>
      <c r="T732" s="348" t="s">
        <v>3363</v>
      </c>
      <c r="U732" s="520">
        <v>59800</v>
      </c>
      <c r="V732" s="570">
        <v>239200</v>
      </c>
      <c r="W732" s="521" t="s">
        <v>227</v>
      </c>
      <c r="X732" s="521" t="s">
        <v>3383</v>
      </c>
      <c r="Y732" s="522" t="s">
        <v>2512</v>
      </c>
      <c r="Z732" s="523" t="s">
        <v>541</v>
      </c>
    </row>
    <row r="733" spans="1:26" ht="29">
      <c r="A733" s="513">
        <v>731</v>
      </c>
      <c r="B733" s="567"/>
      <c r="C733" s="515" t="s">
        <v>3005</v>
      </c>
      <c r="D733" s="568" t="s">
        <v>2162</v>
      </c>
      <c r="E733" s="513">
        <v>732</v>
      </c>
      <c r="F733" s="544" t="s">
        <v>3005</v>
      </c>
      <c r="G733" s="543">
        <v>45505</v>
      </c>
      <c r="H733" s="543">
        <v>45505</v>
      </c>
      <c r="I733" s="543">
        <v>45505</v>
      </c>
      <c r="J733" s="543">
        <v>45505</v>
      </c>
      <c r="K733" s="569">
        <v>45526</v>
      </c>
      <c r="L733" s="518" t="s">
        <v>2213</v>
      </c>
      <c r="M733" s="264" t="s">
        <v>2587</v>
      </c>
      <c r="N733" s="568" t="s">
        <v>2212</v>
      </c>
      <c r="O733" s="567" t="s">
        <v>2419</v>
      </c>
      <c r="P733" s="264" t="str">
        <f t="shared" si="32"/>
        <v>Lakban warna Uk 2" Warna Coklat Cofiie</v>
      </c>
      <c r="Q733" s="264" t="s">
        <v>710</v>
      </c>
      <c r="R733" s="519" t="s">
        <v>140</v>
      </c>
      <c r="S733" s="399">
        <v>3</v>
      </c>
      <c r="T733" s="348" t="s">
        <v>3363</v>
      </c>
      <c r="U733" s="520">
        <v>20000</v>
      </c>
      <c r="V733" s="570">
        <v>60000</v>
      </c>
      <c r="W733" s="521" t="s">
        <v>227</v>
      </c>
      <c r="X733" s="521" t="s">
        <v>3383</v>
      </c>
      <c r="Y733" s="522" t="s">
        <v>2512</v>
      </c>
      <c r="Z733" s="523" t="s">
        <v>541</v>
      </c>
    </row>
    <row r="734" spans="1:26" ht="29">
      <c r="A734" s="513">
        <v>732</v>
      </c>
      <c r="B734" s="567"/>
      <c r="C734" s="515" t="s">
        <v>3005</v>
      </c>
      <c r="D734" s="568" t="s">
        <v>2162</v>
      </c>
      <c r="E734" s="513">
        <v>733</v>
      </c>
      <c r="F734" s="544" t="s">
        <v>3005</v>
      </c>
      <c r="G734" s="543">
        <v>45505</v>
      </c>
      <c r="H734" s="543">
        <v>45505</v>
      </c>
      <c r="I734" s="543">
        <v>45505</v>
      </c>
      <c r="J734" s="543">
        <v>45505</v>
      </c>
      <c r="K734" s="569">
        <v>45526</v>
      </c>
      <c r="L734" s="518" t="s">
        <v>2213</v>
      </c>
      <c r="M734" s="264" t="s">
        <v>2587</v>
      </c>
      <c r="N734" s="568" t="s">
        <v>2212</v>
      </c>
      <c r="O734" s="567" t="s">
        <v>2420</v>
      </c>
      <c r="P734" s="264" t="str">
        <f t="shared" si="32"/>
        <v>gunting kertas-ukuran : panjang 21cm x lebar 8cm, stainless steel</v>
      </c>
      <c r="Q734" s="264" t="s">
        <v>710</v>
      </c>
      <c r="R734" s="519" t="s">
        <v>123</v>
      </c>
      <c r="S734" s="399">
        <v>2</v>
      </c>
      <c r="T734" s="348" t="s">
        <v>3363</v>
      </c>
      <c r="U734" s="520">
        <v>20000</v>
      </c>
      <c r="V734" s="570">
        <v>40000</v>
      </c>
      <c r="W734" s="521" t="s">
        <v>227</v>
      </c>
      <c r="X734" s="521" t="s">
        <v>3383</v>
      </c>
      <c r="Y734" s="522" t="s">
        <v>2512</v>
      </c>
      <c r="Z734" s="523" t="s">
        <v>541</v>
      </c>
    </row>
    <row r="735" spans="1:26" ht="29">
      <c r="A735" s="513">
        <v>733</v>
      </c>
      <c r="B735" s="567"/>
      <c r="C735" s="515" t="s">
        <v>3005</v>
      </c>
      <c r="D735" s="568" t="s">
        <v>2162</v>
      </c>
      <c r="E735" s="513">
        <v>734</v>
      </c>
      <c r="F735" s="544" t="s">
        <v>3005</v>
      </c>
      <c r="G735" s="543">
        <v>45505</v>
      </c>
      <c r="H735" s="543">
        <v>45505</v>
      </c>
      <c r="I735" s="543">
        <v>45505</v>
      </c>
      <c r="J735" s="543">
        <v>45505</v>
      </c>
      <c r="K735" s="569">
        <v>45526</v>
      </c>
      <c r="L735" s="518" t="s">
        <v>2213</v>
      </c>
      <c r="M735" s="264" t="s">
        <v>2587</v>
      </c>
      <c r="N735" s="568" t="s">
        <v>2212</v>
      </c>
      <c r="O735" s="567" t="s">
        <v>2371</v>
      </c>
      <c r="P735" s="264" t="str">
        <f t="shared" si="32"/>
        <v>Ballpoint Standard AE7</v>
      </c>
      <c r="Q735" s="264" t="s">
        <v>710</v>
      </c>
      <c r="R735" s="519" t="s">
        <v>103</v>
      </c>
      <c r="S735" s="399">
        <v>2</v>
      </c>
      <c r="T735" s="348" t="s">
        <v>3364</v>
      </c>
      <c r="U735" s="520">
        <v>20000</v>
      </c>
      <c r="V735" s="570">
        <v>40000</v>
      </c>
      <c r="W735" s="521" t="s">
        <v>227</v>
      </c>
      <c r="X735" s="521" t="s">
        <v>3383</v>
      </c>
      <c r="Y735" s="522" t="s">
        <v>2512</v>
      </c>
      <c r="Z735" s="523" t="s">
        <v>541</v>
      </c>
    </row>
    <row r="736" spans="1:26" ht="29">
      <c r="A736" s="513">
        <v>734</v>
      </c>
      <c r="B736" s="567"/>
      <c r="C736" s="515" t="s">
        <v>3005</v>
      </c>
      <c r="D736" s="568" t="s">
        <v>2162</v>
      </c>
      <c r="E736" s="513">
        <v>735</v>
      </c>
      <c r="F736" s="544" t="s">
        <v>3005</v>
      </c>
      <c r="G736" s="543">
        <v>45505</v>
      </c>
      <c r="H736" s="543">
        <v>45505</v>
      </c>
      <c r="I736" s="543">
        <v>45505</v>
      </c>
      <c r="J736" s="543">
        <v>45505</v>
      </c>
      <c r="K736" s="569">
        <v>45526</v>
      </c>
      <c r="L736" s="518" t="s">
        <v>2213</v>
      </c>
      <c r="M736" s="264" t="s">
        <v>2587</v>
      </c>
      <c r="N736" s="568" t="s">
        <v>2212</v>
      </c>
      <c r="O736" s="567" t="s">
        <v>2379</v>
      </c>
      <c r="P736" s="264" t="str">
        <f t="shared" si="32"/>
        <v>C. Tinta Printer EPSON Tinta Printer Epson Read</v>
      </c>
      <c r="Q736" s="264" t="s">
        <v>710</v>
      </c>
      <c r="R736" s="528" t="s">
        <v>118</v>
      </c>
      <c r="S736" s="399">
        <v>4</v>
      </c>
      <c r="T736" s="348" t="s">
        <v>3367</v>
      </c>
      <c r="U736" s="520">
        <v>110000</v>
      </c>
      <c r="V736" s="570">
        <v>440000</v>
      </c>
      <c r="W736" s="521" t="s">
        <v>227</v>
      </c>
      <c r="X736" s="521" t="s">
        <v>3383</v>
      </c>
      <c r="Y736" s="522" t="s">
        <v>2512</v>
      </c>
      <c r="Z736" s="523" t="s">
        <v>541</v>
      </c>
    </row>
    <row r="737" spans="1:26" ht="29">
      <c r="A737" s="513">
        <v>735</v>
      </c>
      <c r="B737" s="567"/>
      <c r="C737" s="515" t="s">
        <v>3005</v>
      </c>
      <c r="D737" s="568" t="s">
        <v>2162</v>
      </c>
      <c r="E737" s="513">
        <v>736</v>
      </c>
      <c r="F737" s="544" t="s">
        <v>3005</v>
      </c>
      <c r="G737" s="543">
        <v>45505</v>
      </c>
      <c r="H737" s="543">
        <v>45505</v>
      </c>
      <c r="I737" s="543">
        <v>45505</v>
      </c>
      <c r="J737" s="543">
        <v>45505</v>
      </c>
      <c r="K737" s="569">
        <v>45526</v>
      </c>
      <c r="L737" s="518" t="s">
        <v>2213</v>
      </c>
      <c r="M737" s="264" t="s">
        <v>2587</v>
      </c>
      <c r="N737" s="568" t="s">
        <v>2212</v>
      </c>
      <c r="O737" s="567" t="s">
        <v>2372</v>
      </c>
      <c r="P737" s="264" t="str">
        <f t="shared" si="32"/>
        <v>Stofmap Kertas</v>
      </c>
      <c r="Q737" s="264" t="s">
        <v>710</v>
      </c>
      <c r="R737" s="519" t="s">
        <v>156</v>
      </c>
      <c r="S737" s="399">
        <v>1</v>
      </c>
      <c r="T737" s="348" t="s">
        <v>3370</v>
      </c>
      <c r="U737" s="520">
        <v>87500</v>
      </c>
      <c r="V737" s="570">
        <v>87500</v>
      </c>
      <c r="W737" s="521" t="s">
        <v>227</v>
      </c>
      <c r="X737" s="521" t="s">
        <v>3383</v>
      </c>
      <c r="Y737" s="522" t="s">
        <v>2512</v>
      </c>
      <c r="Z737" s="523" t="s">
        <v>541</v>
      </c>
    </row>
    <row r="738" spans="1:26" ht="29">
      <c r="A738" s="513">
        <v>736</v>
      </c>
      <c r="B738" s="567"/>
      <c r="C738" s="515" t="s">
        <v>3005</v>
      </c>
      <c r="D738" s="568" t="s">
        <v>2162</v>
      </c>
      <c r="E738" s="513">
        <v>737</v>
      </c>
      <c r="F738" s="544" t="s">
        <v>3005</v>
      </c>
      <c r="G738" s="543">
        <v>45505</v>
      </c>
      <c r="H738" s="543">
        <v>45505</v>
      </c>
      <c r="I738" s="543">
        <v>45505</v>
      </c>
      <c r="J738" s="543">
        <v>45505</v>
      </c>
      <c r="K738" s="569">
        <v>45526</v>
      </c>
      <c r="L738" s="518" t="s">
        <v>2213</v>
      </c>
      <c r="M738" s="264" t="s">
        <v>2587</v>
      </c>
      <c r="N738" s="568" t="s">
        <v>2212</v>
      </c>
      <c r="O738" s="567" t="s">
        <v>2421</v>
      </c>
      <c r="P738" s="264" t="str">
        <f t="shared" si="32"/>
        <v>lakban hitam-ukuran : lebar 2 inch, panjang 12m, bahan : kain</v>
      </c>
      <c r="Q738" s="264" t="s">
        <v>710</v>
      </c>
      <c r="R738" s="519" t="s">
        <v>137</v>
      </c>
      <c r="S738" s="399">
        <v>4</v>
      </c>
      <c r="T738" s="348" t="s">
        <v>3363</v>
      </c>
      <c r="U738" s="520">
        <v>12500</v>
      </c>
      <c r="V738" s="570">
        <v>50000</v>
      </c>
      <c r="W738" s="521" t="s">
        <v>227</v>
      </c>
      <c r="X738" s="521" t="s">
        <v>3383</v>
      </c>
      <c r="Y738" s="522" t="s">
        <v>2512</v>
      </c>
      <c r="Z738" s="523" t="s">
        <v>541</v>
      </c>
    </row>
    <row r="739" spans="1:26" ht="29">
      <c r="A739" s="513">
        <v>737</v>
      </c>
      <c r="B739" s="567"/>
      <c r="C739" s="515" t="s">
        <v>3005</v>
      </c>
      <c r="D739" s="568" t="s">
        <v>2162</v>
      </c>
      <c r="E739" s="513">
        <v>738</v>
      </c>
      <c r="F739" s="544" t="s">
        <v>3005</v>
      </c>
      <c r="G739" s="543">
        <v>45505</v>
      </c>
      <c r="H739" s="543">
        <v>45505</v>
      </c>
      <c r="I739" s="543">
        <v>45505</v>
      </c>
      <c r="J739" s="543">
        <v>45505</v>
      </c>
      <c r="K739" s="569">
        <v>45526</v>
      </c>
      <c r="L739" s="518" t="s">
        <v>2213</v>
      </c>
      <c r="M739" s="264" t="s">
        <v>2587</v>
      </c>
      <c r="N739" s="568" t="s">
        <v>2212</v>
      </c>
      <c r="O739" s="567" t="s">
        <v>2422</v>
      </c>
      <c r="P739" s="264" t="str">
        <f t="shared" si="32"/>
        <v>Lakban Besar</v>
      </c>
      <c r="Q739" s="264" t="s">
        <v>710</v>
      </c>
      <c r="R739" s="519" t="s">
        <v>2607</v>
      </c>
      <c r="S739" s="399">
        <v>5</v>
      </c>
      <c r="T739" s="348" t="s">
        <v>3363</v>
      </c>
      <c r="U739" s="520">
        <v>25000</v>
      </c>
      <c r="V739" s="570">
        <v>125000</v>
      </c>
      <c r="W739" s="521" t="s">
        <v>227</v>
      </c>
      <c r="X739" s="521" t="s">
        <v>3383</v>
      </c>
      <c r="Y739" s="522" t="s">
        <v>2512</v>
      </c>
      <c r="Z739" s="523" t="s">
        <v>541</v>
      </c>
    </row>
    <row r="740" spans="1:26" ht="29">
      <c r="A740" s="513">
        <v>738</v>
      </c>
      <c r="B740" s="567"/>
      <c r="C740" s="515" t="s">
        <v>3005</v>
      </c>
      <c r="D740" s="568" t="s">
        <v>2162</v>
      </c>
      <c r="E740" s="513">
        <v>739</v>
      </c>
      <c r="F740" s="544" t="s">
        <v>3005</v>
      </c>
      <c r="G740" s="543">
        <v>45505</v>
      </c>
      <c r="H740" s="543">
        <v>45505</v>
      </c>
      <c r="I740" s="543">
        <v>45505</v>
      </c>
      <c r="J740" s="543">
        <v>45505</v>
      </c>
      <c r="K740" s="569">
        <v>45526</v>
      </c>
      <c r="L740" s="518" t="s">
        <v>2213</v>
      </c>
      <c r="M740" s="264" t="s">
        <v>2587</v>
      </c>
      <c r="N740" s="568" t="s">
        <v>2212</v>
      </c>
      <c r="O740" s="567" t="s">
        <v>2375</v>
      </c>
      <c r="P740" s="264" t="str">
        <f t="shared" si="32"/>
        <v>Tinta Printer Canon 740 Hitam-740 Hitam</v>
      </c>
      <c r="Q740" s="264" t="s">
        <v>710</v>
      </c>
      <c r="R740" s="519" t="s">
        <v>159</v>
      </c>
      <c r="S740" s="399">
        <v>8</v>
      </c>
      <c r="T740" s="348" t="s">
        <v>3367</v>
      </c>
      <c r="U740" s="520">
        <v>30000</v>
      </c>
      <c r="V740" s="570">
        <v>240000</v>
      </c>
      <c r="W740" s="521" t="s">
        <v>227</v>
      </c>
      <c r="X740" s="521" t="s">
        <v>3383</v>
      </c>
      <c r="Y740" s="522" t="s">
        <v>2512</v>
      </c>
      <c r="Z740" s="523" t="s">
        <v>541</v>
      </c>
    </row>
    <row r="741" spans="1:26" ht="29">
      <c r="A741" s="513">
        <v>739</v>
      </c>
      <c r="B741" s="567"/>
      <c r="C741" s="515" t="s">
        <v>3005</v>
      </c>
      <c r="D741" s="568" t="s">
        <v>2162</v>
      </c>
      <c r="E741" s="513">
        <v>740</v>
      </c>
      <c r="F741" s="544" t="s">
        <v>3005</v>
      </c>
      <c r="G741" s="543">
        <v>45505</v>
      </c>
      <c r="H741" s="543">
        <v>45505</v>
      </c>
      <c r="I741" s="543">
        <v>45505</v>
      </c>
      <c r="J741" s="543">
        <v>45505</v>
      </c>
      <c r="K741" s="569">
        <v>45526</v>
      </c>
      <c r="L741" s="518" t="s">
        <v>2213</v>
      </c>
      <c r="M741" s="264" t="s">
        <v>2587</v>
      </c>
      <c r="N741" s="568" t="s">
        <v>2212</v>
      </c>
      <c r="O741" s="567" t="s">
        <v>2342</v>
      </c>
      <c r="P741" s="264" t="str">
        <f t="shared" si="32"/>
        <v>Kertas HVS 60 gram Merk : Paper One HVS F4 uk. 8.27"x11.69"</v>
      </c>
      <c r="Q741" s="264" t="s">
        <v>710</v>
      </c>
      <c r="R741" s="519" t="s">
        <v>127</v>
      </c>
      <c r="S741" s="399">
        <v>10</v>
      </c>
      <c r="T741" s="348" t="s">
        <v>3369</v>
      </c>
      <c r="U741" s="520">
        <v>48500</v>
      </c>
      <c r="V741" s="570">
        <v>485000</v>
      </c>
      <c r="W741" s="521" t="s">
        <v>227</v>
      </c>
      <c r="X741" s="521" t="s">
        <v>3383</v>
      </c>
      <c r="Y741" s="522" t="s">
        <v>2512</v>
      </c>
      <c r="Z741" s="523" t="s">
        <v>541</v>
      </c>
    </row>
    <row r="742" spans="1:26" ht="29">
      <c r="A742" s="513">
        <v>740</v>
      </c>
      <c r="B742" s="567"/>
      <c r="C742" s="515" t="s">
        <v>3005</v>
      </c>
      <c r="D742" s="568" t="s">
        <v>2162</v>
      </c>
      <c r="E742" s="513">
        <v>741</v>
      </c>
      <c r="F742" s="544" t="s">
        <v>3005</v>
      </c>
      <c r="G742" s="543">
        <v>45505</v>
      </c>
      <c r="H742" s="543">
        <v>45505</v>
      </c>
      <c r="I742" s="543">
        <v>45505</v>
      </c>
      <c r="J742" s="543">
        <v>45505</v>
      </c>
      <c r="K742" s="569">
        <v>45526</v>
      </c>
      <c r="L742" s="518" t="s">
        <v>2213</v>
      </c>
      <c r="M742" s="264" t="s">
        <v>2587</v>
      </c>
      <c r="N742" s="568" t="s">
        <v>2212</v>
      </c>
      <c r="O742" s="567" t="s">
        <v>2373</v>
      </c>
      <c r="P742" s="264" t="str">
        <f t="shared" si="32"/>
        <v>Binder Klip Ordner</v>
      </c>
      <c r="Q742" s="264" t="s">
        <v>710</v>
      </c>
      <c r="R742" s="519" t="s">
        <v>113</v>
      </c>
      <c r="S742" s="399">
        <v>6</v>
      </c>
      <c r="T742" s="348" t="s">
        <v>3363</v>
      </c>
      <c r="U742" s="520">
        <v>49500</v>
      </c>
      <c r="V742" s="570">
        <v>297000</v>
      </c>
      <c r="W742" s="521" t="s">
        <v>227</v>
      </c>
      <c r="X742" s="521" t="s">
        <v>3383</v>
      </c>
      <c r="Y742" s="522" t="s">
        <v>2512</v>
      </c>
      <c r="Z742" s="523" t="s">
        <v>541</v>
      </c>
    </row>
    <row r="743" spans="1:26" ht="29">
      <c r="A743" s="513">
        <v>741</v>
      </c>
      <c r="B743" s="567"/>
      <c r="C743" s="515" t="s">
        <v>3005</v>
      </c>
      <c r="D743" s="568" t="s">
        <v>2162</v>
      </c>
      <c r="E743" s="513">
        <v>742</v>
      </c>
      <c r="F743" s="544" t="s">
        <v>3005</v>
      </c>
      <c r="G743" s="543">
        <v>45505</v>
      </c>
      <c r="H743" s="543">
        <v>45505</v>
      </c>
      <c r="I743" s="543">
        <v>45505</v>
      </c>
      <c r="J743" s="543">
        <v>45505</v>
      </c>
      <c r="K743" s="569">
        <v>45526</v>
      </c>
      <c r="L743" s="518" t="s">
        <v>2213</v>
      </c>
      <c r="M743" s="264" t="s">
        <v>2587</v>
      </c>
      <c r="N743" s="568" t="s">
        <v>2212</v>
      </c>
      <c r="O743" s="567" t="s">
        <v>2429</v>
      </c>
      <c r="P743" s="264" t="str">
        <f t="shared" si="32"/>
        <v>Isi Staples besar</v>
      </c>
      <c r="Q743" s="264" t="s">
        <v>710</v>
      </c>
      <c r="R743" s="519" t="s">
        <v>125</v>
      </c>
      <c r="S743" s="399">
        <v>2</v>
      </c>
      <c r="T743" s="348" t="s">
        <v>3362</v>
      </c>
      <c r="U743" s="520">
        <v>80000</v>
      </c>
      <c r="V743" s="570">
        <v>160000</v>
      </c>
      <c r="W743" s="521" t="s">
        <v>227</v>
      </c>
      <c r="X743" s="521" t="s">
        <v>3383</v>
      </c>
      <c r="Y743" s="522" t="s">
        <v>2512</v>
      </c>
      <c r="Z743" s="523" t="s">
        <v>541</v>
      </c>
    </row>
    <row r="744" spans="1:26" ht="29">
      <c r="A744" s="513">
        <v>742</v>
      </c>
      <c r="B744" s="567"/>
      <c r="C744" s="515" t="s">
        <v>3005</v>
      </c>
      <c r="D744" s="568" t="s">
        <v>2163</v>
      </c>
      <c r="E744" s="513">
        <v>743</v>
      </c>
      <c r="F744" s="544" t="s">
        <v>3005</v>
      </c>
      <c r="G744" s="543">
        <v>45505</v>
      </c>
      <c r="H744" s="543">
        <v>45505</v>
      </c>
      <c r="I744" s="543">
        <v>45505</v>
      </c>
      <c r="J744" s="543">
        <v>45505</v>
      </c>
      <c r="K744" s="569">
        <v>45526</v>
      </c>
      <c r="L744" s="518" t="s">
        <v>2215</v>
      </c>
      <c r="M744" s="264" t="s">
        <v>2587</v>
      </c>
      <c r="N744" s="568" t="s">
        <v>2214</v>
      </c>
      <c r="O744" s="567" t="s">
        <v>2343</v>
      </c>
      <c r="P744" s="264" t="str">
        <f t="shared" si="32"/>
        <v>Handsoap/Pencuci Tangan</v>
      </c>
      <c r="Q744" s="264" t="s">
        <v>2609</v>
      </c>
      <c r="R744" s="519" t="s">
        <v>548</v>
      </c>
      <c r="S744" s="399">
        <v>5</v>
      </c>
      <c r="T744" s="348" t="s">
        <v>3367</v>
      </c>
      <c r="U744" s="520">
        <v>67000</v>
      </c>
      <c r="V744" s="570">
        <v>335000</v>
      </c>
      <c r="W744" s="521" t="s">
        <v>227</v>
      </c>
      <c r="X744" s="521" t="s">
        <v>3383</v>
      </c>
      <c r="Y744" s="522" t="s">
        <v>2512</v>
      </c>
      <c r="Z744" s="523" t="s">
        <v>541</v>
      </c>
    </row>
    <row r="745" spans="1:26" ht="29">
      <c r="A745" s="513">
        <v>743</v>
      </c>
      <c r="B745" s="567"/>
      <c r="C745" s="515" t="s">
        <v>3005</v>
      </c>
      <c r="D745" s="568" t="s">
        <v>2163</v>
      </c>
      <c r="E745" s="513">
        <v>744</v>
      </c>
      <c r="F745" s="544" t="s">
        <v>3005</v>
      </c>
      <c r="G745" s="543">
        <v>45505</v>
      </c>
      <c r="H745" s="543">
        <v>45505</v>
      </c>
      <c r="I745" s="543">
        <v>45505</v>
      </c>
      <c r="J745" s="543">
        <v>45505</v>
      </c>
      <c r="K745" s="569">
        <v>45526</v>
      </c>
      <c r="L745" s="518" t="s">
        <v>2215</v>
      </c>
      <c r="M745" s="264" t="s">
        <v>2587</v>
      </c>
      <c r="N745" s="568" t="s">
        <v>2214</v>
      </c>
      <c r="O745" s="567" t="s">
        <v>2344</v>
      </c>
      <c r="P745" s="264" t="str">
        <f t="shared" si="32"/>
        <v>Perlengkapan Kebersihan Pembersih Lantai Super Pel Varian 800ml</v>
      </c>
      <c r="Q745" s="264" t="s">
        <v>2609</v>
      </c>
      <c r="R745" s="525" t="s">
        <v>2613</v>
      </c>
      <c r="S745" s="399">
        <v>15</v>
      </c>
      <c r="T745" s="348" t="s">
        <v>3363</v>
      </c>
      <c r="U745" s="520">
        <v>13700</v>
      </c>
      <c r="V745" s="570">
        <v>205500</v>
      </c>
      <c r="W745" s="521" t="s">
        <v>227</v>
      </c>
      <c r="X745" s="521" t="s">
        <v>3383</v>
      </c>
      <c r="Y745" s="522" t="s">
        <v>2512</v>
      </c>
      <c r="Z745" s="523" t="s">
        <v>541</v>
      </c>
    </row>
    <row r="746" spans="1:26" ht="29">
      <c r="A746" s="513">
        <v>744</v>
      </c>
      <c r="B746" s="567"/>
      <c r="C746" s="515" t="s">
        <v>3005</v>
      </c>
      <c r="D746" s="568" t="s">
        <v>2163</v>
      </c>
      <c r="E746" s="513">
        <v>745</v>
      </c>
      <c r="F746" s="544" t="s">
        <v>3005</v>
      </c>
      <c r="G746" s="543">
        <v>45505</v>
      </c>
      <c r="H746" s="543">
        <v>45505</v>
      </c>
      <c r="I746" s="543">
        <v>45505</v>
      </c>
      <c r="J746" s="543">
        <v>45505</v>
      </c>
      <c r="K746" s="569">
        <v>45526</v>
      </c>
      <c r="L746" s="518" t="s">
        <v>2215</v>
      </c>
      <c r="M746" s="264" t="s">
        <v>2587</v>
      </c>
      <c r="N746" s="568" t="s">
        <v>2214</v>
      </c>
      <c r="O746" s="567" t="s">
        <v>2345</v>
      </c>
      <c r="P746" s="264" t="str">
        <f t="shared" si="32"/>
        <v>Pengharum Ruangan</v>
      </c>
      <c r="Q746" s="264" t="s">
        <v>2609</v>
      </c>
      <c r="R746" s="519" t="s">
        <v>2615</v>
      </c>
      <c r="S746" s="399">
        <v>10</v>
      </c>
      <c r="T746" s="348" t="s">
        <v>3363</v>
      </c>
      <c r="U746" s="520">
        <v>12100</v>
      </c>
      <c r="V746" s="570">
        <v>121000</v>
      </c>
      <c r="W746" s="521" t="s">
        <v>227</v>
      </c>
      <c r="X746" s="521" t="s">
        <v>3383</v>
      </c>
      <c r="Y746" s="522" t="s">
        <v>2512</v>
      </c>
      <c r="Z746" s="523" t="s">
        <v>541</v>
      </c>
    </row>
    <row r="747" spans="1:26" ht="29">
      <c r="A747" s="513">
        <v>745</v>
      </c>
      <c r="B747" s="567"/>
      <c r="C747" s="515" t="s">
        <v>3005</v>
      </c>
      <c r="D747" s="568" t="s">
        <v>2163</v>
      </c>
      <c r="E747" s="513">
        <v>746</v>
      </c>
      <c r="F747" s="544" t="s">
        <v>3005</v>
      </c>
      <c r="G747" s="543">
        <v>45505</v>
      </c>
      <c r="H747" s="543">
        <v>45505</v>
      </c>
      <c r="I747" s="543">
        <v>45505</v>
      </c>
      <c r="J747" s="543">
        <v>45505</v>
      </c>
      <c r="K747" s="569">
        <v>45526</v>
      </c>
      <c r="L747" s="518" t="s">
        <v>2215</v>
      </c>
      <c r="M747" s="264" t="s">
        <v>2587</v>
      </c>
      <c r="N747" s="568" t="s">
        <v>2214</v>
      </c>
      <c r="O747" s="567" t="s">
        <v>2346</v>
      </c>
      <c r="P747" s="264" t="str">
        <f t="shared" si="32"/>
        <v>Perlengkapan Kebersihan Pembersih Pakaian Sunlight Refil 800ml</v>
      </c>
      <c r="Q747" s="264" t="s">
        <v>2609</v>
      </c>
      <c r="R747" s="525" t="s">
        <v>2616</v>
      </c>
      <c r="S747" s="399">
        <v>3</v>
      </c>
      <c r="T747" s="348" t="s">
        <v>3363</v>
      </c>
      <c r="U747" s="520">
        <v>15000</v>
      </c>
      <c r="V747" s="570">
        <v>45000</v>
      </c>
      <c r="W747" s="521" t="s">
        <v>227</v>
      </c>
      <c r="X747" s="521" t="s">
        <v>3383</v>
      </c>
      <c r="Y747" s="522" t="s">
        <v>2512</v>
      </c>
      <c r="Z747" s="523" t="s">
        <v>541</v>
      </c>
    </row>
    <row r="748" spans="1:26" ht="29">
      <c r="A748" s="513">
        <v>746</v>
      </c>
      <c r="B748" s="567"/>
      <c r="C748" s="515" t="s">
        <v>3005</v>
      </c>
      <c r="D748" s="568" t="s">
        <v>2163</v>
      </c>
      <c r="E748" s="513">
        <v>747</v>
      </c>
      <c r="F748" s="544" t="s">
        <v>3005</v>
      </c>
      <c r="G748" s="543">
        <v>45505</v>
      </c>
      <c r="H748" s="543">
        <v>45505</v>
      </c>
      <c r="I748" s="543">
        <v>45505</v>
      </c>
      <c r="J748" s="543">
        <v>45505</v>
      </c>
      <c r="K748" s="569">
        <v>45526</v>
      </c>
      <c r="L748" s="518" t="s">
        <v>2215</v>
      </c>
      <c r="M748" s="264" t="s">
        <v>2587</v>
      </c>
      <c r="N748" s="568" t="s">
        <v>2214</v>
      </c>
      <c r="O748" s="567" t="s">
        <v>2347</v>
      </c>
      <c r="P748" s="264" t="str">
        <f t="shared" si="32"/>
        <v>vixal 500ml</v>
      </c>
      <c r="Q748" s="264" t="s">
        <v>2609</v>
      </c>
      <c r="R748" s="519" t="s">
        <v>2566</v>
      </c>
      <c r="S748" s="399">
        <v>10</v>
      </c>
      <c r="T748" s="348" t="s">
        <v>3367</v>
      </c>
      <c r="U748" s="520">
        <v>30000</v>
      </c>
      <c r="V748" s="570">
        <v>300000</v>
      </c>
      <c r="W748" s="521" t="s">
        <v>227</v>
      </c>
      <c r="X748" s="521" t="s">
        <v>3383</v>
      </c>
      <c r="Y748" s="522" t="s">
        <v>2512</v>
      </c>
      <c r="Z748" s="523" t="s">
        <v>541</v>
      </c>
    </row>
    <row r="749" spans="1:26" ht="43.5">
      <c r="A749" s="513">
        <v>747</v>
      </c>
      <c r="B749" s="567"/>
      <c r="C749" s="515" t="s">
        <v>3005</v>
      </c>
      <c r="D749" s="568" t="s">
        <v>2163</v>
      </c>
      <c r="E749" s="513">
        <v>748</v>
      </c>
      <c r="F749" s="544" t="s">
        <v>3005</v>
      </c>
      <c r="G749" s="543">
        <v>45505</v>
      </c>
      <c r="H749" s="543">
        <v>45505</v>
      </c>
      <c r="I749" s="543">
        <v>45505</v>
      </c>
      <c r="J749" s="543">
        <v>45505</v>
      </c>
      <c r="K749" s="569">
        <v>45526</v>
      </c>
      <c r="L749" s="518" t="s">
        <v>2215</v>
      </c>
      <c r="M749" s="264" t="s">
        <v>2587</v>
      </c>
      <c r="N749" s="568" t="s">
        <v>2214</v>
      </c>
      <c r="O749" s="567" t="s">
        <v>2348</v>
      </c>
      <c r="P749" s="264" t="str">
        <f t="shared" si="32"/>
        <v>Spon Cuci</v>
      </c>
      <c r="Q749" s="264" t="s">
        <v>2609</v>
      </c>
      <c r="R749" s="519" t="s">
        <v>2617</v>
      </c>
      <c r="S749" s="399">
        <v>5</v>
      </c>
      <c r="T749" s="348" t="s">
        <v>3363</v>
      </c>
      <c r="U749" s="520">
        <v>12000</v>
      </c>
      <c r="V749" s="570">
        <v>60000</v>
      </c>
      <c r="W749" s="521" t="s">
        <v>227</v>
      </c>
      <c r="X749" s="521" t="s">
        <v>3383</v>
      </c>
      <c r="Y749" s="522" t="s">
        <v>2512</v>
      </c>
      <c r="Z749" s="523" t="s">
        <v>541</v>
      </c>
    </row>
    <row r="750" spans="1:26" ht="29">
      <c r="A750" s="513">
        <v>748</v>
      </c>
      <c r="B750" s="567"/>
      <c r="C750" s="515" t="s">
        <v>3005</v>
      </c>
      <c r="D750" s="568" t="s">
        <v>2163</v>
      </c>
      <c r="E750" s="513">
        <v>749</v>
      </c>
      <c r="F750" s="544" t="s">
        <v>3005</v>
      </c>
      <c r="G750" s="543">
        <v>45505</v>
      </c>
      <c r="H750" s="543">
        <v>45505</v>
      </c>
      <c r="I750" s="543">
        <v>45505</v>
      </c>
      <c r="J750" s="543">
        <v>45505</v>
      </c>
      <c r="K750" s="569">
        <v>45526</v>
      </c>
      <c r="L750" s="518" t="s">
        <v>2215</v>
      </c>
      <c r="M750" s="264" t="s">
        <v>2587</v>
      </c>
      <c r="N750" s="568" t="s">
        <v>2214</v>
      </c>
      <c r="O750" s="567" t="s">
        <v>2349</v>
      </c>
      <c r="P750" s="264" t="str">
        <f t="shared" si="32"/>
        <v>Tisu--</v>
      </c>
      <c r="Q750" s="264" t="s">
        <v>2609</v>
      </c>
      <c r="R750" s="519" t="s">
        <v>537</v>
      </c>
      <c r="S750" s="399">
        <v>12</v>
      </c>
      <c r="T750" s="348" t="s">
        <v>3363</v>
      </c>
      <c r="U750" s="520">
        <v>12500</v>
      </c>
      <c r="V750" s="570">
        <v>150000</v>
      </c>
      <c r="W750" s="521" t="s">
        <v>227</v>
      </c>
      <c r="X750" s="521" t="s">
        <v>3383</v>
      </c>
      <c r="Y750" s="522" t="s">
        <v>2512</v>
      </c>
      <c r="Z750" s="523" t="s">
        <v>541</v>
      </c>
    </row>
    <row r="751" spans="1:26" ht="29">
      <c r="A751" s="513">
        <v>749</v>
      </c>
      <c r="B751" s="567"/>
      <c r="C751" s="515" t="s">
        <v>3005</v>
      </c>
      <c r="D751" s="568" t="s">
        <v>2163</v>
      </c>
      <c r="E751" s="513">
        <v>750</v>
      </c>
      <c r="F751" s="544" t="s">
        <v>3005</v>
      </c>
      <c r="G751" s="543">
        <v>45505</v>
      </c>
      <c r="H751" s="543">
        <v>45505</v>
      </c>
      <c r="I751" s="543">
        <v>45505</v>
      </c>
      <c r="J751" s="543">
        <v>45505</v>
      </c>
      <c r="K751" s="569">
        <v>45526</v>
      </c>
      <c r="L751" s="518" t="s">
        <v>2215</v>
      </c>
      <c r="M751" s="264" t="s">
        <v>2587</v>
      </c>
      <c r="N751" s="568" t="s">
        <v>2214</v>
      </c>
      <c r="O751" s="567" t="s">
        <v>2350</v>
      </c>
      <c r="P751" s="264" t="str">
        <f t="shared" si="32"/>
        <v>Cairan Pembersih Kaca</v>
      </c>
      <c r="Q751" s="264" t="s">
        <v>2609</v>
      </c>
      <c r="R751" s="525" t="s">
        <v>2618</v>
      </c>
      <c r="S751" s="399">
        <v>5</v>
      </c>
      <c r="T751" s="348" t="s">
        <v>3363</v>
      </c>
      <c r="U751" s="520">
        <v>12000</v>
      </c>
      <c r="V751" s="570">
        <v>60000</v>
      </c>
      <c r="W751" s="521" t="s">
        <v>227</v>
      </c>
      <c r="X751" s="521" t="s">
        <v>3383</v>
      </c>
      <c r="Y751" s="522" t="s">
        <v>2512</v>
      </c>
      <c r="Z751" s="523" t="s">
        <v>541</v>
      </c>
    </row>
    <row r="752" spans="1:26" ht="29">
      <c r="A752" s="513">
        <v>750</v>
      </c>
      <c r="B752" s="567"/>
      <c r="C752" s="515" t="s">
        <v>3005</v>
      </c>
      <c r="D752" s="568" t="s">
        <v>2163</v>
      </c>
      <c r="E752" s="513">
        <v>751</v>
      </c>
      <c r="F752" s="544" t="s">
        <v>3005</v>
      </c>
      <c r="G752" s="543">
        <v>45505</v>
      </c>
      <c r="H752" s="543">
        <v>45505</v>
      </c>
      <c r="I752" s="543">
        <v>45505</v>
      </c>
      <c r="J752" s="543">
        <v>45505</v>
      </c>
      <c r="K752" s="569">
        <v>45526</v>
      </c>
      <c r="L752" s="518" t="s">
        <v>2215</v>
      </c>
      <c r="M752" s="264" t="s">
        <v>2587</v>
      </c>
      <c r="N752" s="568" t="s">
        <v>2214</v>
      </c>
      <c r="O752" s="567" t="s">
        <v>2351</v>
      </c>
      <c r="P752" s="264" t="str">
        <f t="shared" si="32"/>
        <v>Hand Sanitizer-Unit</v>
      </c>
      <c r="Q752" s="264" t="s">
        <v>2609</v>
      </c>
      <c r="R752" s="524" t="s">
        <v>2621</v>
      </c>
      <c r="S752" s="399">
        <v>5</v>
      </c>
      <c r="T752" s="348" t="s">
        <v>3371</v>
      </c>
      <c r="U752" s="520">
        <v>70000</v>
      </c>
      <c r="V752" s="570">
        <v>350000</v>
      </c>
      <c r="W752" s="521" t="s">
        <v>227</v>
      </c>
      <c r="X752" s="521" t="s">
        <v>3383</v>
      </c>
      <c r="Y752" s="522" t="s">
        <v>2512</v>
      </c>
      <c r="Z752" s="523" t="s">
        <v>541</v>
      </c>
    </row>
    <row r="753" spans="1:26" ht="29">
      <c r="A753" s="513">
        <v>751</v>
      </c>
      <c r="B753" s="567"/>
      <c r="C753" s="515" t="s">
        <v>3006</v>
      </c>
      <c r="D753" s="568" t="s">
        <v>2164</v>
      </c>
      <c r="E753" s="513">
        <v>752</v>
      </c>
      <c r="F753" s="544" t="s">
        <v>3006</v>
      </c>
      <c r="G753" s="543">
        <v>45505</v>
      </c>
      <c r="H753" s="543">
        <v>45507</v>
      </c>
      <c r="I753" s="543">
        <v>45507</v>
      </c>
      <c r="J753" s="543">
        <v>45507</v>
      </c>
      <c r="K753" s="569">
        <v>45526</v>
      </c>
      <c r="L753" s="518" t="s">
        <v>2219</v>
      </c>
      <c r="M753" s="264" t="s">
        <v>2587</v>
      </c>
      <c r="N753" s="568" t="s">
        <v>2212</v>
      </c>
      <c r="O753" s="567" t="s">
        <v>2430</v>
      </c>
      <c r="P753" s="264" t="str">
        <f t="shared" si="32"/>
        <v>Foto Copy Filio dan Kuarto</v>
      </c>
      <c r="Q753" s="525" t="s">
        <v>2675</v>
      </c>
      <c r="R753" s="525" t="s">
        <v>2676</v>
      </c>
      <c r="S753" s="399">
        <v>4739</v>
      </c>
      <c r="T753" s="348" t="s">
        <v>3368</v>
      </c>
      <c r="U753" s="520">
        <v>350</v>
      </c>
      <c r="V753" s="570">
        <v>1575000</v>
      </c>
      <c r="W753" s="521" t="s">
        <v>227</v>
      </c>
      <c r="X753" s="521" t="s">
        <v>3383</v>
      </c>
      <c r="Y753" s="522" t="s">
        <v>2512</v>
      </c>
      <c r="Z753" s="523" t="s">
        <v>541</v>
      </c>
    </row>
    <row r="754" spans="1:26" ht="29">
      <c r="A754" s="513">
        <v>752</v>
      </c>
      <c r="B754" s="567"/>
      <c r="C754" s="515" t="s">
        <v>3007</v>
      </c>
      <c r="D754" s="568" t="s">
        <v>2165</v>
      </c>
      <c r="E754" s="513">
        <v>753</v>
      </c>
      <c r="F754" s="544" t="s">
        <v>3007</v>
      </c>
      <c r="G754" s="543">
        <v>45510</v>
      </c>
      <c r="H754" s="543">
        <v>45511</v>
      </c>
      <c r="I754" s="543">
        <v>45511</v>
      </c>
      <c r="J754" s="543">
        <v>45511</v>
      </c>
      <c r="K754" s="569">
        <v>45526</v>
      </c>
      <c r="L754" s="518" t="s">
        <v>2217</v>
      </c>
      <c r="M754" s="264" t="s">
        <v>2649</v>
      </c>
      <c r="N754" s="568" t="s">
        <v>3008</v>
      </c>
      <c r="O754" s="567" t="s">
        <v>2431</v>
      </c>
      <c r="P754" s="264" t="s">
        <v>2633</v>
      </c>
      <c r="Q754" s="264" t="s">
        <v>280</v>
      </c>
      <c r="R754" s="528" t="s">
        <v>165</v>
      </c>
      <c r="S754" s="399">
        <v>100</v>
      </c>
      <c r="T754" s="348" t="s">
        <v>3362</v>
      </c>
      <c r="U754" s="520">
        <v>15000</v>
      </c>
      <c r="V754" s="570">
        <v>1500000</v>
      </c>
      <c r="W754" s="521" t="s">
        <v>10</v>
      </c>
      <c r="X754" s="521" t="s">
        <v>11</v>
      </c>
      <c r="Y754" s="522" t="s">
        <v>2092</v>
      </c>
      <c r="Z754" s="523" t="s">
        <v>2634</v>
      </c>
    </row>
    <row r="755" spans="1:26" ht="37.5">
      <c r="A755" s="513">
        <v>753</v>
      </c>
      <c r="B755" s="567"/>
      <c r="C755" s="515" t="s">
        <v>3009</v>
      </c>
      <c r="D755" s="568" t="s">
        <v>2166</v>
      </c>
      <c r="E755" s="513">
        <v>754</v>
      </c>
      <c r="F755" s="544" t="s">
        <v>3009</v>
      </c>
      <c r="G755" s="543">
        <v>45514</v>
      </c>
      <c r="H755" s="543">
        <v>45516</v>
      </c>
      <c r="I755" s="543">
        <v>45516</v>
      </c>
      <c r="J755" s="543">
        <v>45516</v>
      </c>
      <c r="K755" s="569">
        <v>45526</v>
      </c>
      <c r="L755" s="518" t="s">
        <v>2217</v>
      </c>
      <c r="M755" s="264" t="s">
        <v>2649</v>
      </c>
      <c r="N755" s="568" t="s">
        <v>2222</v>
      </c>
      <c r="O755" s="567" t="s">
        <v>2432</v>
      </c>
      <c r="P755" s="264" t="s">
        <v>2633</v>
      </c>
      <c r="Q755" s="264" t="s">
        <v>280</v>
      </c>
      <c r="R755" s="528" t="s">
        <v>165</v>
      </c>
      <c r="S755" s="399">
        <v>320</v>
      </c>
      <c r="T755" s="348" t="s">
        <v>3362</v>
      </c>
      <c r="U755" s="520">
        <v>15000</v>
      </c>
      <c r="V755" s="570">
        <v>4800000</v>
      </c>
      <c r="W755" s="521" t="s">
        <v>10</v>
      </c>
      <c r="X755" s="521" t="s">
        <v>11</v>
      </c>
      <c r="Y755" s="522" t="s">
        <v>2092</v>
      </c>
      <c r="Z755" s="523" t="s">
        <v>2634</v>
      </c>
    </row>
    <row r="756" spans="1:26" ht="37.5">
      <c r="A756" s="513">
        <v>754</v>
      </c>
      <c r="B756" s="567"/>
      <c r="C756" s="515" t="s">
        <v>3010</v>
      </c>
      <c r="D756" s="568" t="s">
        <v>2167</v>
      </c>
      <c r="E756" s="513">
        <v>755</v>
      </c>
      <c r="F756" s="544" t="s">
        <v>3010</v>
      </c>
      <c r="G756" s="543">
        <v>45514</v>
      </c>
      <c r="H756" s="543">
        <v>45516</v>
      </c>
      <c r="I756" s="543">
        <v>45516</v>
      </c>
      <c r="J756" s="543">
        <v>45516</v>
      </c>
      <c r="K756" s="569">
        <v>45526</v>
      </c>
      <c r="L756" s="518" t="s">
        <v>2217</v>
      </c>
      <c r="M756" s="264" t="s">
        <v>2649</v>
      </c>
      <c r="N756" s="568" t="s">
        <v>2222</v>
      </c>
      <c r="O756" s="567" t="s">
        <v>2433</v>
      </c>
      <c r="P756" s="264" t="s">
        <v>467</v>
      </c>
      <c r="Q756" s="264" t="s">
        <v>8</v>
      </c>
      <c r="R756" s="519" t="s">
        <v>2635</v>
      </c>
      <c r="S756" s="399">
        <v>60</v>
      </c>
      <c r="T756" s="348" t="s">
        <v>3362</v>
      </c>
      <c r="U756" s="520">
        <v>40000</v>
      </c>
      <c r="V756" s="570">
        <v>2400000</v>
      </c>
      <c r="W756" s="521" t="s">
        <v>2507</v>
      </c>
      <c r="X756" s="521" t="s">
        <v>2508</v>
      </c>
      <c r="Y756" s="522" t="s">
        <v>2516</v>
      </c>
      <c r="Z756" s="523" t="s">
        <v>2636</v>
      </c>
    </row>
    <row r="757" spans="1:26" ht="29">
      <c r="A757" s="513">
        <v>755</v>
      </c>
      <c r="B757" s="567"/>
      <c r="C757" s="515" t="s">
        <v>3011</v>
      </c>
      <c r="D757" s="568" t="s">
        <v>2168</v>
      </c>
      <c r="E757" s="513">
        <v>756</v>
      </c>
      <c r="F757" s="544" t="s">
        <v>3011</v>
      </c>
      <c r="G757" s="543">
        <v>45518</v>
      </c>
      <c r="H757" s="543">
        <v>45519</v>
      </c>
      <c r="I757" s="543">
        <v>45519</v>
      </c>
      <c r="J757" s="543">
        <v>45519</v>
      </c>
      <c r="K757" s="569">
        <v>45526</v>
      </c>
      <c r="L757" s="518" t="s">
        <v>2217</v>
      </c>
      <c r="M757" s="264" t="s">
        <v>2643</v>
      </c>
      <c r="N757" s="568" t="s">
        <v>2223</v>
      </c>
      <c r="O757" s="567" t="s">
        <v>2424</v>
      </c>
      <c r="P757" s="264" t="s">
        <v>2442</v>
      </c>
      <c r="Q757" s="264" t="s">
        <v>1545</v>
      </c>
      <c r="R757" s="519" t="s">
        <v>163</v>
      </c>
      <c r="S757" s="399">
        <v>25</v>
      </c>
      <c r="T757" s="348" t="s">
        <v>3372</v>
      </c>
      <c r="U757" s="520">
        <v>50000</v>
      </c>
      <c r="V757" s="570">
        <v>1250000</v>
      </c>
      <c r="W757" s="521" t="s">
        <v>10</v>
      </c>
      <c r="X757" s="521" t="s">
        <v>11</v>
      </c>
      <c r="Y757" s="522" t="s">
        <v>2092</v>
      </c>
      <c r="Z757" s="523" t="s">
        <v>2634</v>
      </c>
    </row>
    <row r="758" spans="1:26" ht="29">
      <c r="A758" s="513">
        <v>756</v>
      </c>
      <c r="B758" s="567"/>
      <c r="C758" s="515" t="s">
        <v>3012</v>
      </c>
      <c r="D758" s="568" t="s">
        <v>2169</v>
      </c>
      <c r="E758" s="513">
        <v>757</v>
      </c>
      <c r="F758" s="544" t="s">
        <v>3012</v>
      </c>
      <c r="G758" s="543">
        <v>45519</v>
      </c>
      <c r="H758" s="543">
        <v>45520</v>
      </c>
      <c r="I758" s="543">
        <v>45520</v>
      </c>
      <c r="J758" s="543">
        <v>45520</v>
      </c>
      <c r="K758" s="569">
        <v>45526</v>
      </c>
      <c r="L758" s="518" t="s">
        <v>2219</v>
      </c>
      <c r="M758" s="264" t="s">
        <v>2649</v>
      </c>
      <c r="N758" s="568" t="s">
        <v>2220</v>
      </c>
      <c r="O758" s="567" t="s">
        <v>2352</v>
      </c>
      <c r="P758" s="264" t="str">
        <f>O758</f>
        <v>Spanduk Uk. 1 x 6 meter-</v>
      </c>
      <c r="Q758" s="264" t="s">
        <v>2650</v>
      </c>
      <c r="R758" s="528" t="s">
        <v>2651</v>
      </c>
      <c r="S758" s="399">
        <v>2</v>
      </c>
      <c r="T758" s="348" t="s">
        <v>3363</v>
      </c>
      <c r="U758" s="520">
        <v>300000</v>
      </c>
      <c r="V758" s="570">
        <v>600000</v>
      </c>
      <c r="W758" s="521" t="s">
        <v>2652</v>
      </c>
      <c r="X758" s="521" t="s">
        <v>2653</v>
      </c>
      <c r="Y758" s="522" t="s">
        <v>2512</v>
      </c>
      <c r="Z758" s="523" t="s">
        <v>541</v>
      </c>
    </row>
    <row r="759" spans="1:26" ht="29">
      <c r="A759" s="513">
        <v>757</v>
      </c>
      <c r="B759" s="567"/>
      <c r="C759" s="515" t="s">
        <v>3013</v>
      </c>
      <c r="D759" s="568" t="s">
        <v>2170</v>
      </c>
      <c r="E759" s="513">
        <v>758</v>
      </c>
      <c r="F759" s="544" t="s">
        <v>3013</v>
      </c>
      <c r="G759" s="543">
        <v>45519</v>
      </c>
      <c r="H759" s="543">
        <v>45520</v>
      </c>
      <c r="I759" s="543">
        <v>45520</v>
      </c>
      <c r="J759" s="543">
        <v>45520</v>
      </c>
      <c r="K759" s="569">
        <v>45526</v>
      </c>
      <c r="L759" s="518" t="s">
        <v>2217</v>
      </c>
      <c r="M759" s="264" t="s">
        <v>2649</v>
      </c>
      <c r="N759" s="568" t="s">
        <v>2220</v>
      </c>
      <c r="O759" s="567" t="s">
        <v>2434</v>
      </c>
      <c r="P759" s="264" t="s">
        <v>2633</v>
      </c>
      <c r="Q759" s="264" t="s">
        <v>280</v>
      </c>
      <c r="R759" s="528" t="s">
        <v>165</v>
      </c>
      <c r="S759" s="399">
        <v>150</v>
      </c>
      <c r="T759" s="348" t="s">
        <v>3362</v>
      </c>
      <c r="U759" s="520">
        <v>15000</v>
      </c>
      <c r="V759" s="570">
        <v>2250000</v>
      </c>
      <c r="W759" s="521" t="s">
        <v>10</v>
      </c>
      <c r="X759" s="521" t="s">
        <v>11</v>
      </c>
      <c r="Y759" s="522" t="s">
        <v>2092</v>
      </c>
      <c r="Z759" s="523" t="s">
        <v>2634</v>
      </c>
    </row>
    <row r="760" spans="1:26" ht="29">
      <c r="A760" s="513">
        <v>758</v>
      </c>
      <c r="B760" s="567"/>
      <c r="C760" s="515" t="s">
        <v>3014</v>
      </c>
      <c r="D760" s="568" t="s">
        <v>2171</v>
      </c>
      <c r="E760" s="513">
        <v>759</v>
      </c>
      <c r="F760" s="544" t="s">
        <v>3014</v>
      </c>
      <c r="G760" s="543">
        <v>45519</v>
      </c>
      <c r="H760" s="543">
        <v>45520</v>
      </c>
      <c r="I760" s="543">
        <v>45520</v>
      </c>
      <c r="J760" s="543">
        <v>45520</v>
      </c>
      <c r="K760" s="569">
        <v>45526</v>
      </c>
      <c r="L760" s="518" t="s">
        <v>2217</v>
      </c>
      <c r="M760" s="264" t="s">
        <v>2649</v>
      </c>
      <c r="N760" s="568" t="s">
        <v>2220</v>
      </c>
      <c r="O760" s="567" t="s">
        <v>2435</v>
      </c>
      <c r="P760" s="264" t="s">
        <v>467</v>
      </c>
      <c r="Q760" s="264" t="s">
        <v>8</v>
      </c>
      <c r="R760" s="519" t="s">
        <v>2635</v>
      </c>
      <c r="S760" s="399">
        <v>60</v>
      </c>
      <c r="T760" s="348" t="s">
        <v>3362</v>
      </c>
      <c r="U760" s="520">
        <v>40000</v>
      </c>
      <c r="V760" s="570">
        <v>2400000</v>
      </c>
      <c r="W760" s="521" t="s">
        <v>2507</v>
      </c>
      <c r="X760" s="521" t="s">
        <v>2508</v>
      </c>
      <c r="Y760" s="522" t="s">
        <v>2516</v>
      </c>
      <c r="Z760" s="523" t="s">
        <v>2636</v>
      </c>
    </row>
    <row r="761" spans="1:26" ht="29">
      <c r="A761" s="513">
        <v>759</v>
      </c>
      <c r="B761" s="567"/>
      <c r="C761" s="515" t="s">
        <v>3015</v>
      </c>
      <c r="D761" s="568" t="s">
        <v>2172</v>
      </c>
      <c r="E761" s="513">
        <v>760</v>
      </c>
      <c r="F761" s="544" t="s">
        <v>3015</v>
      </c>
      <c r="G761" s="543">
        <v>45523</v>
      </c>
      <c r="H761" s="543">
        <v>45524</v>
      </c>
      <c r="I761" s="543">
        <v>45524</v>
      </c>
      <c r="J761" s="543">
        <v>45524</v>
      </c>
      <c r="K761" s="569">
        <v>45526</v>
      </c>
      <c r="L761" s="518" t="s">
        <v>2225</v>
      </c>
      <c r="M761" s="264" t="s">
        <v>2663</v>
      </c>
      <c r="N761" s="568" t="s">
        <v>2224</v>
      </c>
      <c r="O761" s="567" t="s">
        <v>2395</v>
      </c>
      <c r="P761" s="264" t="str">
        <f>O761</f>
        <v>Biaya Rekening Listrik--</v>
      </c>
      <c r="Q761" s="264" t="s">
        <v>2664</v>
      </c>
      <c r="R761" s="519" t="s">
        <v>2665</v>
      </c>
      <c r="S761" s="399">
        <v>1</v>
      </c>
      <c r="T761" s="348" t="s">
        <v>3373</v>
      </c>
      <c r="U761" s="520">
        <v>2000000</v>
      </c>
      <c r="V761" s="570">
        <v>1461200</v>
      </c>
      <c r="W761" s="521" t="s">
        <v>2666</v>
      </c>
      <c r="X761" s="521" t="s">
        <v>2659</v>
      </c>
      <c r="Y761" s="522" t="s">
        <v>2660</v>
      </c>
      <c r="Z761" s="523" t="s">
        <v>2661</v>
      </c>
    </row>
    <row r="762" spans="1:26" ht="29">
      <c r="A762" s="513">
        <v>760</v>
      </c>
      <c r="B762" s="567"/>
      <c r="C762" s="515" t="s">
        <v>3016</v>
      </c>
      <c r="D762" s="568" t="s">
        <v>2173</v>
      </c>
      <c r="E762" s="513">
        <v>761</v>
      </c>
      <c r="F762" s="544" t="s">
        <v>3016</v>
      </c>
      <c r="G762" s="543">
        <v>45523</v>
      </c>
      <c r="H762" s="543">
        <v>45524</v>
      </c>
      <c r="I762" s="543">
        <v>45524</v>
      </c>
      <c r="J762" s="543">
        <v>45524</v>
      </c>
      <c r="K762" s="569">
        <v>45526</v>
      </c>
      <c r="L762" s="518" t="s">
        <v>2227</v>
      </c>
      <c r="M762" s="264" t="s">
        <v>2663</v>
      </c>
      <c r="N762" s="568" t="s">
        <v>2226</v>
      </c>
      <c r="O762" s="567" t="s">
        <v>2396</v>
      </c>
      <c r="P762" s="264" t="str">
        <f>O762</f>
        <v>Biaya Langganan Internet--</v>
      </c>
      <c r="Q762" s="264" t="s">
        <v>2668</v>
      </c>
      <c r="R762" s="519" t="s">
        <v>2669</v>
      </c>
      <c r="S762" s="399">
        <v>1</v>
      </c>
      <c r="T762" s="348" t="s">
        <v>3373</v>
      </c>
      <c r="U762" s="520">
        <v>1500000</v>
      </c>
      <c r="V762" s="570">
        <v>1179400</v>
      </c>
      <c r="W762" s="521" t="s">
        <v>3381</v>
      </c>
      <c r="X762" s="521" t="s">
        <v>2659</v>
      </c>
      <c r="Y762" s="522" t="s">
        <v>2660</v>
      </c>
      <c r="Z762" s="523" t="s">
        <v>2661</v>
      </c>
    </row>
    <row r="763" spans="1:26" ht="29">
      <c r="A763" s="513">
        <v>761</v>
      </c>
      <c r="B763" s="567"/>
      <c r="C763" s="515" t="s">
        <v>3017</v>
      </c>
      <c r="D763" s="568" t="s">
        <v>2174</v>
      </c>
      <c r="E763" s="513">
        <v>762</v>
      </c>
      <c r="F763" s="544" t="s">
        <v>3017</v>
      </c>
      <c r="G763" s="543">
        <v>45530</v>
      </c>
      <c r="H763" s="543">
        <v>45531</v>
      </c>
      <c r="I763" s="543">
        <v>45531</v>
      </c>
      <c r="J763" s="543">
        <v>45531</v>
      </c>
      <c r="K763" s="569">
        <v>45531</v>
      </c>
      <c r="L763" s="518" t="s">
        <v>2229</v>
      </c>
      <c r="M763" s="264" t="s">
        <v>2587</v>
      </c>
      <c r="N763" s="568" t="s">
        <v>2228</v>
      </c>
      <c r="O763" s="567" t="s">
        <v>2425</v>
      </c>
      <c r="P763" s="264" t="str">
        <f>O763</f>
        <v>Belanja Jasa Tenaga Operator Komputer--</v>
      </c>
      <c r="Q763" s="264" t="s">
        <v>2672</v>
      </c>
      <c r="R763" s="528" t="s">
        <v>2673</v>
      </c>
      <c r="S763" s="399">
        <v>1</v>
      </c>
      <c r="T763" s="348" t="s">
        <v>3373</v>
      </c>
      <c r="U763" s="520">
        <v>1000000</v>
      </c>
      <c r="V763" s="570">
        <v>1000000</v>
      </c>
      <c r="W763" s="521" t="s">
        <v>2659</v>
      </c>
      <c r="X763" s="521" t="s">
        <v>2659</v>
      </c>
      <c r="Y763" s="522" t="s">
        <v>2660</v>
      </c>
      <c r="Z763" s="523" t="s">
        <v>2661</v>
      </c>
    </row>
    <row r="764" spans="1:26" ht="29">
      <c r="A764" s="513">
        <v>762</v>
      </c>
      <c r="B764" s="571"/>
      <c r="C764" s="515" t="s">
        <v>3018</v>
      </c>
      <c r="D764" s="572" t="s">
        <v>2175</v>
      </c>
      <c r="E764" s="513">
        <v>763</v>
      </c>
      <c r="F764" s="544" t="s">
        <v>3018</v>
      </c>
      <c r="G764" s="543">
        <v>45534</v>
      </c>
      <c r="H764" s="543">
        <v>45535</v>
      </c>
      <c r="I764" s="543">
        <v>45535</v>
      </c>
      <c r="J764" s="543">
        <v>45535</v>
      </c>
      <c r="K764" s="573">
        <v>45535</v>
      </c>
      <c r="L764" s="518" t="s">
        <v>2217</v>
      </c>
      <c r="M764" s="264" t="s">
        <v>2587</v>
      </c>
      <c r="N764" s="572" t="s">
        <v>2216</v>
      </c>
      <c r="O764" s="571" t="s">
        <v>2426</v>
      </c>
      <c r="P764" s="264" t="s">
        <v>2633</v>
      </c>
      <c r="Q764" s="264" t="s">
        <v>280</v>
      </c>
      <c r="R764" s="528" t="s">
        <v>165</v>
      </c>
      <c r="S764" s="399">
        <v>60</v>
      </c>
      <c r="T764" s="348" t="s">
        <v>3363</v>
      </c>
      <c r="U764" s="520">
        <v>15000</v>
      </c>
      <c r="V764" s="574">
        <v>900000</v>
      </c>
      <c r="W764" s="521" t="s">
        <v>10</v>
      </c>
      <c r="X764" s="521" t="s">
        <v>11</v>
      </c>
      <c r="Y764" s="522" t="s">
        <v>2092</v>
      </c>
      <c r="Z764" s="523" t="s">
        <v>2634</v>
      </c>
    </row>
    <row r="765" spans="1:26" ht="29">
      <c r="A765" s="530">
        <v>763</v>
      </c>
      <c r="B765" s="536"/>
      <c r="C765" s="515" t="s">
        <v>3019</v>
      </c>
      <c r="D765" s="531" t="s">
        <v>1053</v>
      </c>
      <c r="E765" s="530">
        <v>764</v>
      </c>
      <c r="F765" s="559" t="s">
        <v>3019</v>
      </c>
      <c r="G765" s="360">
        <v>45487</v>
      </c>
      <c r="H765" s="360">
        <v>45488</v>
      </c>
      <c r="I765" s="360">
        <v>45488</v>
      </c>
      <c r="J765" s="360">
        <v>45488</v>
      </c>
      <c r="K765" s="534">
        <v>45538</v>
      </c>
      <c r="L765" s="535" t="s">
        <v>801</v>
      </c>
      <c r="M765" s="264" t="s">
        <v>2646</v>
      </c>
      <c r="N765" s="531" t="s">
        <v>2192</v>
      </c>
      <c r="O765" s="536" t="s">
        <v>3020</v>
      </c>
      <c r="P765" s="537" t="str">
        <f t="shared" ref="P765:P805" si="33">O765</f>
        <v>bola futsal-futsal ball f9f1500 -molten</v>
      </c>
      <c r="Q765" s="537" t="s">
        <v>3021</v>
      </c>
      <c r="R765" s="575" t="s">
        <v>3022</v>
      </c>
      <c r="S765" s="399">
        <v>4</v>
      </c>
      <c r="T765" s="348" t="s">
        <v>3363</v>
      </c>
      <c r="U765" s="520">
        <v>285000</v>
      </c>
      <c r="V765" s="539">
        <v>1140000</v>
      </c>
      <c r="W765" s="540" t="s">
        <v>12</v>
      </c>
      <c r="X765" s="540" t="s">
        <v>13</v>
      </c>
      <c r="Y765" s="522" t="s">
        <v>2514</v>
      </c>
      <c r="Z765" s="523" t="s">
        <v>541</v>
      </c>
    </row>
    <row r="766" spans="1:26" ht="29">
      <c r="A766" s="530">
        <v>764</v>
      </c>
      <c r="B766" s="536"/>
      <c r="C766" s="515" t="s">
        <v>3019</v>
      </c>
      <c r="D766" s="531" t="s">
        <v>1053</v>
      </c>
      <c r="E766" s="530">
        <v>765</v>
      </c>
      <c r="F766" s="559" t="s">
        <v>3019</v>
      </c>
      <c r="G766" s="360">
        <v>45487</v>
      </c>
      <c r="H766" s="360">
        <v>45488</v>
      </c>
      <c r="I766" s="360">
        <v>45488</v>
      </c>
      <c r="J766" s="360">
        <v>45488</v>
      </c>
      <c r="K766" s="534">
        <v>45538</v>
      </c>
      <c r="L766" s="535" t="s">
        <v>801</v>
      </c>
      <c r="M766" s="264" t="s">
        <v>2646</v>
      </c>
      <c r="N766" s="531" t="s">
        <v>2192</v>
      </c>
      <c r="O766" s="536" t="s">
        <v>3023</v>
      </c>
      <c r="P766" s="537" t="str">
        <f t="shared" si="33"/>
        <v>Bola Basket-</v>
      </c>
      <c r="Q766" s="537" t="s">
        <v>3021</v>
      </c>
      <c r="R766" s="575" t="s">
        <v>3024</v>
      </c>
      <c r="S766" s="399">
        <v>2</v>
      </c>
      <c r="T766" s="348" t="s">
        <v>3363</v>
      </c>
      <c r="U766" s="520">
        <v>1150000</v>
      </c>
      <c r="V766" s="539">
        <v>2300000</v>
      </c>
      <c r="W766" s="540" t="s">
        <v>12</v>
      </c>
      <c r="X766" s="540" t="s">
        <v>13</v>
      </c>
      <c r="Y766" s="522" t="s">
        <v>2514</v>
      </c>
      <c r="Z766" s="523" t="s">
        <v>541</v>
      </c>
    </row>
    <row r="767" spans="1:26" ht="29">
      <c r="A767" s="530">
        <v>765</v>
      </c>
      <c r="B767" s="536"/>
      <c r="C767" s="515" t="s">
        <v>3019</v>
      </c>
      <c r="D767" s="531" t="s">
        <v>1053</v>
      </c>
      <c r="E767" s="530">
        <v>766</v>
      </c>
      <c r="F767" s="559" t="s">
        <v>3019</v>
      </c>
      <c r="G767" s="360">
        <v>45487</v>
      </c>
      <c r="H767" s="360">
        <v>45488</v>
      </c>
      <c r="I767" s="360">
        <v>45488</v>
      </c>
      <c r="J767" s="360">
        <v>45488</v>
      </c>
      <c r="K767" s="534">
        <v>45538</v>
      </c>
      <c r="L767" s="535" t="s">
        <v>801</v>
      </c>
      <c r="M767" s="264" t="s">
        <v>2646</v>
      </c>
      <c r="N767" s="531" t="s">
        <v>2192</v>
      </c>
      <c r="O767" s="536" t="s">
        <v>3025</v>
      </c>
      <c r="P767" s="537" t="str">
        <f t="shared" si="33"/>
        <v>Bola Voly-</v>
      </c>
      <c r="Q767" s="537" t="s">
        <v>3021</v>
      </c>
      <c r="R767" s="575" t="s">
        <v>3026</v>
      </c>
      <c r="S767" s="399">
        <v>4</v>
      </c>
      <c r="T767" s="348" t="s">
        <v>3363</v>
      </c>
      <c r="U767" s="520">
        <v>250000</v>
      </c>
      <c r="V767" s="539">
        <v>1000000</v>
      </c>
      <c r="W767" s="540" t="s">
        <v>12</v>
      </c>
      <c r="X767" s="540" t="s">
        <v>13</v>
      </c>
      <c r="Y767" s="522" t="s">
        <v>2514</v>
      </c>
      <c r="Z767" s="523" t="s">
        <v>541</v>
      </c>
    </row>
    <row r="768" spans="1:26" ht="29">
      <c r="A768" s="513">
        <v>766</v>
      </c>
      <c r="B768" s="390"/>
      <c r="C768" s="515" t="s">
        <v>3027</v>
      </c>
      <c r="D768" s="262" t="s">
        <v>1057</v>
      </c>
      <c r="E768" s="513">
        <v>767</v>
      </c>
      <c r="F768" s="544" t="s">
        <v>3027</v>
      </c>
      <c r="G768" s="360">
        <v>45504</v>
      </c>
      <c r="H768" s="360">
        <v>45504</v>
      </c>
      <c r="I768" s="360">
        <v>45504</v>
      </c>
      <c r="J768" s="360">
        <v>45504</v>
      </c>
      <c r="K768" s="517">
        <v>45538</v>
      </c>
      <c r="L768" s="518" t="s">
        <v>3028</v>
      </c>
      <c r="M768" s="264" t="s">
        <v>2646</v>
      </c>
      <c r="N768" s="262" t="s">
        <v>2192</v>
      </c>
      <c r="O768" s="390" t="s">
        <v>3029</v>
      </c>
      <c r="P768" s="264" t="str">
        <f t="shared" si="33"/>
        <v>Foto dan Bingkai Presiden, Gubernur dan para wakil</v>
      </c>
      <c r="Q768" s="537" t="s">
        <v>3030</v>
      </c>
      <c r="R768" s="264" t="s">
        <v>3031</v>
      </c>
      <c r="S768" s="399">
        <v>30</v>
      </c>
      <c r="T768" s="348" t="s">
        <v>3363</v>
      </c>
      <c r="U768" s="520">
        <v>450000</v>
      </c>
      <c r="V768" s="266">
        <v>13500000</v>
      </c>
      <c r="W768" s="521" t="s">
        <v>12</v>
      </c>
      <c r="X768" s="521" t="s">
        <v>13</v>
      </c>
      <c r="Y768" s="522" t="s">
        <v>2514</v>
      </c>
      <c r="Z768" s="523" t="s">
        <v>541</v>
      </c>
    </row>
    <row r="769" spans="1:26" ht="29">
      <c r="A769" s="406">
        <v>767</v>
      </c>
      <c r="B769" s="387"/>
      <c r="C769" s="515" t="s">
        <v>3032</v>
      </c>
      <c r="D769" s="352" t="s">
        <v>3033</v>
      </c>
      <c r="E769" s="406">
        <v>768</v>
      </c>
      <c r="F769" s="549" t="s">
        <v>3032</v>
      </c>
      <c r="G769" s="576">
        <v>45478</v>
      </c>
      <c r="H769" s="576">
        <v>45479</v>
      </c>
      <c r="I769" s="576">
        <v>45479</v>
      </c>
      <c r="J769" s="576">
        <v>45479</v>
      </c>
      <c r="K769" s="550">
        <v>45538</v>
      </c>
      <c r="L769" s="552" t="s">
        <v>3034</v>
      </c>
      <c r="M769" s="355" t="s">
        <v>3035</v>
      </c>
      <c r="N769" s="352" t="s">
        <v>627</v>
      </c>
      <c r="O769" s="387" t="s">
        <v>3036</v>
      </c>
      <c r="P769" s="355" t="str">
        <f t="shared" si="33"/>
        <v>Buku Ajar Informatika Tingkat SMA/MA Kelas 12</v>
      </c>
      <c r="Q769" s="355" t="s">
        <v>3037</v>
      </c>
      <c r="R769" s="553"/>
      <c r="S769" s="400">
        <v>3</v>
      </c>
      <c r="T769" s="401" t="s">
        <v>3363</v>
      </c>
      <c r="U769" s="450">
        <v>160600</v>
      </c>
      <c r="V769" s="403">
        <v>5688000</v>
      </c>
      <c r="W769" s="554" t="s">
        <v>2521</v>
      </c>
      <c r="X769" s="554" t="s">
        <v>2721</v>
      </c>
      <c r="Y769" s="555" t="s">
        <v>2722</v>
      </c>
      <c r="Z769" s="556" t="s">
        <v>2723</v>
      </c>
    </row>
    <row r="770" spans="1:26" ht="29">
      <c r="A770" s="406">
        <v>768</v>
      </c>
      <c r="B770" s="387"/>
      <c r="C770" s="515" t="s">
        <v>3032</v>
      </c>
      <c r="D770" s="352" t="s">
        <v>3033</v>
      </c>
      <c r="E770" s="406">
        <v>769</v>
      </c>
      <c r="F770" s="549" t="s">
        <v>3032</v>
      </c>
      <c r="G770" s="576">
        <v>45478</v>
      </c>
      <c r="H770" s="576">
        <v>45479</v>
      </c>
      <c r="I770" s="576">
        <v>45479</v>
      </c>
      <c r="J770" s="576">
        <v>45479</v>
      </c>
      <c r="K770" s="550">
        <v>45538</v>
      </c>
      <c r="L770" s="552" t="s">
        <v>3038</v>
      </c>
      <c r="M770" s="355" t="s">
        <v>3035</v>
      </c>
      <c r="N770" s="352" t="s">
        <v>627</v>
      </c>
      <c r="O770" s="387" t="s">
        <v>3039</v>
      </c>
      <c r="P770" s="355" t="str">
        <f t="shared" si="33"/>
        <v>Agama Islam - Buku</v>
      </c>
      <c r="Q770" s="355" t="s">
        <v>3037</v>
      </c>
      <c r="R770" s="553"/>
      <c r="S770" s="400">
        <v>3</v>
      </c>
      <c r="T770" s="401" t="s">
        <v>3363</v>
      </c>
      <c r="U770" s="450">
        <v>160600</v>
      </c>
      <c r="V770" s="403">
        <v>1206400</v>
      </c>
      <c r="W770" s="554" t="s">
        <v>2521</v>
      </c>
      <c r="X770" s="554" t="s">
        <v>2721</v>
      </c>
      <c r="Y770" s="555" t="s">
        <v>2722</v>
      </c>
      <c r="Z770" s="556" t="s">
        <v>2723</v>
      </c>
    </row>
    <row r="771" spans="1:26" ht="29">
      <c r="A771" s="406">
        <v>769</v>
      </c>
      <c r="B771" s="387"/>
      <c r="C771" s="515" t="s">
        <v>3032</v>
      </c>
      <c r="D771" s="352" t="s">
        <v>3033</v>
      </c>
      <c r="E771" s="406">
        <v>770</v>
      </c>
      <c r="F771" s="549" t="s">
        <v>3032</v>
      </c>
      <c r="G771" s="576">
        <v>45478</v>
      </c>
      <c r="H771" s="576">
        <v>45479</v>
      </c>
      <c r="I771" s="576">
        <v>45479</v>
      </c>
      <c r="J771" s="576">
        <v>45479</v>
      </c>
      <c r="K771" s="550">
        <v>45538</v>
      </c>
      <c r="L771" s="552" t="s">
        <v>3038</v>
      </c>
      <c r="M771" s="355" t="s">
        <v>3035</v>
      </c>
      <c r="N771" s="352" t="s">
        <v>627</v>
      </c>
      <c r="O771" s="387" t="s">
        <v>3040</v>
      </c>
      <c r="P771" s="355" t="str">
        <f t="shared" si="33"/>
        <v>Agama Kristen - Buku</v>
      </c>
      <c r="Q771" s="355" t="s">
        <v>3037</v>
      </c>
      <c r="R771" s="553"/>
      <c r="S771" s="400">
        <v>3</v>
      </c>
      <c r="T771" s="401" t="s">
        <v>3363</v>
      </c>
      <c r="U771" s="450">
        <v>247000</v>
      </c>
      <c r="V771" s="403">
        <v>7663600</v>
      </c>
      <c r="W771" s="554" t="s">
        <v>2521</v>
      </c>
      <c r="X771" s="554" t="s">
        <v>2721</v>
      </c>
      <c r="Y771" s="555" t="s">
        <v>2722</v>
      </c>
      <c r="Z771" s="556" t="s">
        <v>2723</v>
      </c>
    </row>
    <row r="772" spans="1:26" ht="29">
      <c r="A772" s="406">
        <v>770</v>
      </c>
      <c r="B772" s="387"/>
      <c r="C772" s="515" t="s">
        <v>3032</v>
      </c>
      <c r="D772" s="352" t="s">
        <v>3033</v>
      </c>
      <c r="E772" s="406">
        <v>771</v>
      </c>
      <c r="F772" s="549" t="s">
        <v>3032</v>
      </c>
      <c r="G772" s="576">
        <v>45478</v>
      </c>
      <c r="H772" s="576">
        <v>45479</v>
      </c>
      <c r="I772" s="576">
        <v>45479</v>
      </c>
      <c r="J772" s="576">
        <v>45479</v>
      </c>
      <c r="K772" s="550">
        <v>45538</v>
      </c>
      <c r="L772" s="552" t="s">
        <v>3038</v>
      </c>
      <c r="M772" s="355" t="s">
        <v>3035</v>
      </c>
      <c r="N772" s="352" t="s">
        <v>627</v>
      </c>
      <c r="O772" s="387" t="s">
        <v>3040</v>
      </c>
      <c r="P772" s="355" t="str">
        <f t="shared" si="33"/>
        <v>Agama Kristen - Buku</v>
      </c>
      <c r="Q772" s="355" t="s">
        <v>3037</v>
      </c>
      <c r="R772" s="553"/>
      <c r="S772" s="400">
        <v>3</v>
      </c>
      <c r="T772" s="401" t="s">
        <v>3363</v>
      </c>
      <c r="U772" s="450">
        <v>247000</v>
      </c>
      <c r="V772" s="403">
        <v>20486400</v>
      </c>
      <c r="W772" s="554" t="s">
        <v>2521</v>
      </c>
      <c r="X772" s="554" t="s">
        <v>2721</v>
      </c>
      <c r="Y772" s="555" t="s">
        <v>2722</v>
      </c>
      <c r="Z772" s="556" t="s">
        <v>2723</v>
      </c>
    </row>
    <row r="773" spans="1:26" ht="29">
      <c r="A773" s="406">
        <v>771</v>
      </c>
      <c r="B773" s="387"/>
      <c r="C773" s="515" t="s">
        <v>3032</v>
      </c>
      <c r="D773" s="352" t="s">
        <v>3033</v>
      </c>
      <c r="E773" s="406">
        <v>772</v>
      </c>
      <c r="F773" s="549" t="s">
        <v>3032</v>
      </c>
      <c r="G773" s="576">
        <v>45478</v>
      </c>
      <c r="H773" s="576">
        <v>45479</v>
      </c>
      <c r="I773" s="576">
        <v>45479</v>
      </c>
      <c r="J773" s="576">
        <v>45479</v>
      </c>
      <c r="K773" s="550">
        <v>45538</v>
      </c>
      <c r="L773" s="552" t="s">
        <v>3041</v>
      </c>
      <c r="M773" s="355" t="s">
        <v>3035</v>
      </c>
      <c r="N773" s="352" t="s">
        <v>627</v>
      </c>
      <c r="O773" s="387" t="s">
        <v>3042</v>
      </c>
      <c r="P773" s="355" t="str">
        <f t="shared" si="33"/>
        <v>Sosiologi - Buku</v>
      </c>
      <c r="Q773" s="355" t="s">
        <v>3037</v>
      </c>
      <c r="R773" s="553"/>
      <c r="S773" s="400">
        <v>3</v>
      </c>
      <c r="T773" s="401" t="s">
        <v>3363</v>
      </c>
      <c r="U773" s="450">
        <v>121300</v>
      </c>
      <c r="V773" s="403">
        <v>2857600</v>
      </c>
      <c r="W773" s="554" t="s">
        <v>2521</v>
      </c>
      <c r="X773" s="554" t="s">
        <v>2721</v>
      </c>
      <c r="Y773" s="555" t="s">
        <v>2722</v>
      </c>
      <c r="Z773" s="556" t="s">
        <v>2723</v>
      </c>
    </row>
    <row r="774" spans="1:26" ht="29">
      <c r="A774" s="406">
        <v>772</v>
      </c>
      <c r="B774" s="387"/>
      <c r="C774" s="515" t="s">
        <v>3032</v>
      </c>
      <c r="D774" s="352" t="s">
        <v>3033</v>
      </c>
      <c r="E774" s="406">
        <v>773</v>
      </c>
      <c r="F774" s="549" t="s">
        <v>3032</v>
      </c>
      <c r="G774" s="576">
        <v>45478</v>
      </c>
      <c r="H774" s="576">
        <v>45479</v>
      </c>
      <c r="I774" s="576">
        <v>45479</v>
      </c>
      <c r="J774" s="576">
        <v>45479</v>
      </c>
      <c r="K774" s="550">
        <v>45538</v>
      </c>
      <c r="L774" s="552" t="s">
        <v>3041</v>
      </c>
      <c r="M774" s="355" t="s">
        <v>3035</v>
      </c>
      <c r="N774" s="352" t="s">
        <v>627</v>
      </c>
      <c r="O774" s="387" t="s">
        <v>3043</v>
      </c>
      <c r="P774" s="355" t="str">
        <f t="shared" si="33"/>
        <v>Sejarah - Buku</v>
      </c>
      <c r="Q774" s="355" t="s">
        <v>3037</v>
      </c>
      <c r="R774" s="553"/>
      <c r="S774" s="400">
        <v>3</v>
      </c>
      <c r="T774" s="401" t="s">
        <v>3363</v>
      </c>
      <c r="U774" s="450">
        <v>152700</v>
      </c>
      <c r="V774" s="403">
        <v>3026800</v>
      </c>
      <c r="W774" s="554" t="s">
        <v>2521</v>
      </c>
      <c r="X774" s="554" t="s">
        <v>2721</v>
      </c>
      <c r="Y774" s="555" t="s">
        <v>2722</v>
      </c>
      <c r="Z774" s="556" t="s">
        <v>2723</v>
      </c>
    </row>
    <row r="775" spans="1:26" ht="29">
      <c r="A775" s="406">
        <v>773</v>
      </c>
      <c r="B775" s="387"/>
      <c r="C775" s="515" t="s">
        <v>3032</v>
      </c>
      <c r="D775" s="352" t="s">
        <v>3033</v>
      </c>
      <c r="E775" s="406">
        <v>774</v>
      </c>
      <c r="F775" s="549" t="s">
        <v>3032</v>
      </c>
      <c r="G775" s="576">
        <v>45478</v>
      </c>
      <c r="H775" s="576">
        <v>45479</v>
      </c>
      <c r="I775" s="576">
        <v>45479</v>
      </c>
      <c r="J775" s="576">
        <v>45479</v>
      </c>
      <c r="K775" s="550">
        <v>45538</v>
      </c>
      <c r="L775" s="552" t="s">
        <v>3041</v>
      </c>
      <c r="M775" s="355" t="s">
        <v>3035</v>
      </c>
      <c r="N775" s="352" t="s">
        <v>627</v>
      </c>
      <c r="O775" s="387" t="s">
        <v>3044</v>
      </c>
      <c r="P775" s="355" t="str">
        <f t="shared" si="33"/>
        <v>Ekonomi - Buku</v>
      </c>
      <c r="Q775" s="355" t="s">
        <v>3037</v>
      </c>
      <c r="R775" s="553"/>
      <c r="S775" s="400">
        <v>3</v>
      </c>
      <c r="T775" s="401" t="s">
        <v>3363</v>
      </c>
      <c r="U775" s="450">
        <v>128400</v>
      </c>
      <c r="V775" s="403">
        <v>2801200</v>
      </c>
      <c r="W775" s="554" t="s">
        <v>2521</v>
      </c>
      <c r="X775" s="554" t="s">
        <v>2721</v>
      </c>
      <c r="Y775" s="555" t="s">
        <v>2722</v>
      </c>
      <c r="Z775" s="556" t="s">
        <v>2723</v>
      </c>
    </row>
    <row r="776" spans="1:26" ht="29">
      <c r="A776" s="406">
        <v>774</v>
      </c>
      <c r="B776" s="387"/>
      <c r="C776" s="515" t="s">
        <v>3032</v>
      </c>
      <c r="D776" s="352" t="s">
        <v>3033</v>
      </c>
      <c r="E776" s="406">
        <v>775</v>
      </c>
      <c r="F776" s="549" t="s">
        <v>3032</v>
      </c>
      <c r="G776" s="576">
        <v>45478</v>
      </c>
      <c r="H776" s="576">
        <v>45479</v>
      </c>
      <c r="I776" s="576">
        <v>45479</v>
      </c>
      <c r="J776" s="576">
        <v>45479</v>
      </c>
      <c r="K776" s="550">
        <v>45538</v>
      </c>
      <c r="L776" s="552" t="s">
        <v>3041</v>
      </c>
      <c r="M776" s="355" t="s">
        <v>3035</v>
      </c>
      <c r="N776" s="352" t="s">
        <v>627</v>
      </c>
      <c r="O776" s="387" t="s">
        <v>3045</v>
      </c>
      <c r="P776" s="355" t="str">
        <f t="shared" si="33"/>
        <v>Geografi - Buku</v>
      </c>
      <c r="Q776" s="355" t="s">
        <v>3037</v>
      </c>
      <c r="R776" s="553"/>
      <c r="S776" s="400">
        <v>3</v>
      </c>
      <c r="T776" s="401" t="s">
        <v>3363</v>
      </c>
      <c r="U776" s="450">
        <v>104900</v>
      </c>
      <c r="V776" s="403">
        <v>3374600</v>
      </c>
      <c r="W776" s="554" t="s">
        <v>2521</v>
      </c>
      <c r="X776" s="554" t="s">
        <v>2721</v>
      </c>
      <c r="Y776" s="555" t="s">
        <v>2722</v>
      </c>
      <c r="Z776" s="556" t="s">
        <v>2723</v>
      </c>
    </row>
    <row r="777" spans="1:26" ht="29">
      <c r="A777" s="406">
        <v>775</v>
      </c>
      <c r="B777" s="387"/>
      <c r="C777" s="515" t="s">
        <v>3046</v>
      </c>
      <c r="D777" s="352" t="s">
        <v>3047</v>
      </c>
      <c r="E777" s="406">
        <v>776</v>
      </c>
      <c r="F777" s="549" t="s">
        <v>3046</v>
      </c>
      <c r="G777" s="576">
        <v>45478</v>
      </c>
      <c r="H777" s="576">
        <v>45479</v>
      </c>
      <c r="I777" s="576">
        <v>45479</v>
      </c>
      <c r="J777" s="576">
        <v>45479</v>
      </c>
      <c r="K777" s="550">
        <v>45538</v>
      </c>
      <c r="L777" s="552" t="s">
        <v>3048</v>
      </c>
      <c r="M777" s="355" t="s">
        <v>3035</v>
      </c>
      <c r="N777" s="352" t="s">
        <v>627</v>
      </c>
      <c r="O777" s="387" t="s">
        <v>3049</v>
      </c>
      <c r="P777" s="355" t="str">
        <f t="shared" si="33"/>
        <v>Kimia - Buku</v>
      </c>
      <c r="Q777" s="355" t="s">
        <v>3037</v>
      </c>
      <c r="R777" s="553"/>
      <c r="S777" s="400">
        <v>3</v>
      </c>
      <c r="T777" s="401" t="s">
        <v>3363</v>
      </c>
      <c r="U777" s="450">
        <v>112700</v>
      </c>
      <c r="V777" s="403">
        <v>6499000</v>
      </c>
      <c r="W777" s="554" t="s">
        <v>2521</v>
      </c>
      <c r="X777" s="554" t="s">
        <v>2721</v>
      </c>
      <c r="Y777" s="555" t="s">
        <v>2722</v>
      </c>
      <c r="Z777" s="556" t="s">
        <v>2723</v>
      </c>
    </row>
    <row r="778" spans="1:26" ht="29">
      <c r="A778" s="406">
        <v>776</v>
      </c>
      <c r="B778" s="387"/>
      <c r="C778" s="515" t="s">
        <v>3046</v>
      </c>
      <c r="D778" s="352" t="s">
        <v>3047</v>
      </c>
      <c r="E778" s="406">
        <v>777</v>
      </c>
      <c r="F778" s="549" t="s">
        <v>3046</v>
      </c>
      <c r="G778" s="576">
        <v>45478</v>
      </c>
      <c r="H778" s="576">
        <v>45479</v>
      </c>
      <c r="I778" s="576">
        <v>45479</v>
      </c>
      <c r="J778" s="576">
        <v>45479</v>
      </c>
      <c r="K778" s="550">
        <v>45538</v>
      </c>
      <c r="L778" s="552" t="s">
        <v>3048</v>
      </c>
      <c r="M778" s="355" t="s">
        <v>3035</v>
      </c>
      <c r="N778" s="352" t="s">
        <v>627</v>
      </c>
      <c r="O778" s="387" t="s">
        <v>3050</v>
      </c>
      <c r="P778" s="355" t="str">
        <f t="shared" si="33"/>
        <v>BUKU - FISIKA</v>
      </c>
      <c r="Q778" s="355" t="s">
        <v>3037</v>
      </c>
      <c r="R778" s="553"/>
      <c r="S778" s="400">
        <v>3</v>
      </c>
      <c r="T778" s="401" t="s">
        <v>3363</v>
      </c>
      <c r="U778" s="450">
        <v>129100</v>
      </c>
      <c r="V778" s="403">
        <v>6130400</v>
      </c>
      <c r="W778" s="554" t="s">
        <v>2521</v>
      </c>
      <c r="X778" s="554" t="s">
        <v>2721</v>
      </c>
      <c r="Y778" s="555" t="s">
        <v>2722</v>
      </c>
      <c r="Z778" s="556" t="s">
        <v>2723</v>
      </c>
    </row>
    <row r="779" spans="1:26" ht="29">
      <c r="A779" s="406">
        <v>777</v>
      </c>
      <c r="B779" s="387"/>
      <c r="C779" s="515" t="s">
        <v>3046</v>
      </c>
      <c r="D779" s="352" t="s">
        <v>3047</v>
      </c>
      <c r="E779" s="406">
        <v>778</v>
      </c>
      <c r="F779" s="549" t="s">
        <v>3046</v>
      </c>
      <c r="G779" s="576">
        <v>45478</v>
      </c>
      <c r="H779" s="576">
        <v>45479</v>
      </c>
      <c r="I779" s="576">
        <v>45479</v>
      </c>
      <c r="J779" s="576">
        <v>45479</v>
      </c>
      <c r="K779" s="550">
        <v>45538</v>
      </c>
      <c r="L779" s="552" t="s">
        <v>3048</v>
      </c>
      <c r="M779" s="355" t="s">
        <v>3035</v>
      </c>
      <c r="N779" s="352" t="s">
        <v>627</v>
      </c>
      <c r="O779" s="387" t="s">
        <v>3051</v>
      </c>
      <c r="P779" s="355" t="str">
        <f t="shared" si="33"/>
        <v>Buku - Biologi</v>
      </c>
      <c r="Q779" s="355" t="s">
        <v>3037</v>
      </c>
      <c r="R779" s="553"/>
      <c r="S779" s="400">
        <v>3</v>
      </c>
      <c r="T779" s="401" t="s">
        <v>3363</v>
      </c>
      <c r="U779" s="450">
        <v>136300</v>
      </c>
      <c r="V779" s="403">
        <v>5529000</v>
      </c>
      <c r="W779" s="554" t="s">
        <v>2521</v>
      </c>
      <c r="X779" s="554" t="s">
        <v>2721</v>
      </c>
      <c r="Y779" s="555" t="s">
        <v>2722</v>
      </c>
      <c r="Z779" s="556" t="s">
        <v>2723</v>
      </c>
    </row>
    <row r="780" spans="1:26" ht="29">
      <c r="A780" s="406">
        <v>778</v>
      </c>
      <c r="B780" s="387"/>
      <c r="C780" s="515" t="s">
        <v>3046</v>
      </c>
      <c r="D780" s="352" t="s">
        <v>3047</v>
      </c>
      <c r="E780" s="406">
        <v>779</v>
      </c>
      <c r="F780" s="549" t="s">
        <v>3046</v>
      </c>
      <c r="G780" s="576">
        <v>45478</v>
      </c>
      <c r="H780" s="576">
        <v>45479</v>
      </c>
      <c r="I780" s="576">
        <v>45479</v>
      </c>
      <c r="J780" s="576">
        <v>45479</v>
      </c>
      <c r="K780" s="550">
        <v>45538</v>
      </c>
      <c r="L780" s="552" t="s">
        <v>3052</v>
      </c>
      <c r="M780" s="355" t="s">
        <v>3035</v>
      </c>
      <c r="N780" s="352" t="s">
        <v>627</v>
      </c>
      <c r="O780" s="387" t="s">
        <v>3053</v>
      </c>
      <c r="P780" s="355" t="str">
        <f t="shared" si="33"/>
        <v>Pengetahuan Bahasa Indonesia - Buku</v>
      </c>
      <c r="Q780" s="355" t="s">
        <v>3037</v>
      </c>
      <c r="R780" s="553"/>
      <c r="S780" s="400">
        <v>3</v>
      </c>
      <c r="T780" s="401" t="s">
        <v>3363</v>
      </c>
      <c r="U780" s="450">
        <v>144900</v>
      </c>
      <c r="V780" s="403">
        <v>10886400</v>
      </c>
      <c r="W780" s="554" t="s">
        <v>2521</v>
      </c>
      <c r="X780" s="554" t="s">
        <v>2721</v>
      </c>
      <c r="Y780" s="555" t="s">
        <v>2722</v>
      </c>
      <c r="Z780" s="556" t="s">
        <v>2723</v>
      </c>
    </row>
    <row r="781" spans="1:26" ht="29">
      <c r="A781" s="406">
        <v>779</v>
      </c>
      <c r="B781" s="387"/>
      <c r="C781" s="515" t="s">
        <v>3046</v>
      </c>
      <c r="D781" s="352" t="s">
        <v>3047</v>
      </c>
      <c r="E781" s="406">
        <v>780</v>
      </c>
      <c r="F781" s="549" t="s">
        <v>3046</v>
      </c>
      <c r="G781" s="576">
        <v>45478</v>
      </c>
      <c r="H781" s="576">
        <v>45479</v>
      </c>
      <c r="I781" s="576">
        <v>45479</v>
      </c>
      <c r="J781" s="576">
        <v>45479</v>
      </c>
      <c r="K781" s="550">
        <v>45538</v>
      </c>
      <c r="L781" s="552" t="s">
        <v>3052</v>
      </c>
      <c r="M781" s="355" t="s">
        <v>3035</v>
      </c>
      <c r="N781" s="352" t="s">
        <v>627</v>
      </c>
      <c r="O781" s="387" t="s">
        <v>3054</v>
      </c>
      <c r="P781" s="355" t="str">
        <f t="shared" si="33"/>
        <v>Pengetahuan Bahasa Inggris - Buku</v>
      </c>
      <c r="Q781" s="355" t="s">
        <v>3037</v>
      </c>
      <c r="R781" s="553"/>
      <c r="S781" s="400">
        <v>3</v>
      </c>
      <c r="T781" s="401" t="s">
        <v>3363</v>
      </c>
      <c r="U781" s="450">
        <v>136300</v>
      </c>
      <c r="V781" s="403">
        <v>9648000</v>
      </c>
      <c r="W781" s="554" t="s">
        <v>2521</v>
      </c>
      <c r="X781" s="554" t="s">
        <v>2721</v>
      </c>
      <c r="Y781" s="555" t="s">
        <v>2722</v>
      </c>
      <c r="Z781" s="556" t="s">
        <v>2723</v>
      </c>
    </row>
    <row r="782" spans="1:26" ht="29">
      <c r="A782" s="406">
        <v>780</v>
      </c>
      <c r="B782" s="387"/>
      <c r="C782" s="515" t="s">
        <v>3046</v>
      </c>
      <c r="D782" s="352" t="s">
        <v>3047</v>
      </c>
      <c r="E782" s="406">
        <v>781</v>
      </c>
      <c r="F782" s="549" t="s">
        <v>3046</v>
      </c>
      <c r="G782" s="576">
        <v>45478</v>
      </c>
      <c r="H782" s="576">
        <v>45479</v>
      </c>
      <c r="I782" s="576">
        <v>45479</v>
      </c>
      <c r="J782" s="576">
        <v>45479</v>
      </c>
      <c r="K782" s="550">
        <v>45538</v>
      </c>
      <c r="L782" s="552" t="s">
        <v>3034</v>
      </c>
      <c r="M782" s="355" t="s">
        <v>3035</v>
      </c>
      <c r="N782" s="352" t="s">
        <v>627</v>
      </c>
      <c r="O782" s="387" t="s">
        <v>3055</v>
      </c>
      <c r="P782" s="355" t="str">
        <f t="shared" si="33"/>
        <v>BUKU - PPKN</v>
      </c>
      <c r="Q782" s="355" t="s">
        <v>3037</v>
      </c>
      <c r="R782" s="553"/>
      <c r="S782" s="400">
        <v>3</v>
      </c>
      <c r="T782" s="401" t="s">
        <v>3363</v>
      </c>
      <c r="U782" s="450">
        <v>137000</v>
      </c>
      <c r="V782" s="403">
        <v>7516800</v>
      </c>
      <c r="W782" s="554" t="s">
        <v>2521</v>
      </c>
      <c r="X782" s="554" t="s">
        <v>2721</v>
      </c>
      <c r="Y782" s="555" t="s">
        <v>2722</v>
      </c>
      <c r="Z782" s="556" t="s">
        <v>2723</v>
      </c>
    </row>
    <row r="783" spans="1:26" ht="29">
      <c r="A783" s="406">
        <v>781</v>
      </c>
      <c r="B783" s="387"/>
      <c r="C783" s="515" t="s">
        <v>3046</v>
      </c>
      <c r="D783" s="352" t="s">
        <v>3047</v>
      </c>
      <c r="E783" s="406">
        <v>782</v>
      </c>
      <c r="F783" s="549" t="s">
        <v>3046</v>
      </c>
      <c r="G783" s="576">
        <v>45478</v>
      </c>
      <c r="H783" s="576">
        <v>45479</v>
      </c>
      <c r="I783" s="576">
        <v>45479</v>
      </c>
      <c r="J783" s="576">
        <v>45479</v>
      </c>
      <c r="K783" s="550">
        <v>45538</v>
      </c>
      <c r="L783" s="552" t="s">
        <v>3041</v>
      </c>
      <c r="M783" s="355" t="s">
        <v>3035</v>
      </c>
      <c r="N783" s="352" t="s">
        <v>627</v>
      </c>
      <c r="O783" s="387" t="s">
        <v>3056</v>
      </c>
      <c r="P783" s="355" t="str">
        <f t="shared" si="33"/>
        <v>Biologi. Antropologi - Buku</v>
      </c>
      <c r="Q783" s="355" t="s">
        <v>3037</v>
      </c>
      <c r="R783" s="553"/>
      <c r="S783" s="400">
        <v>3</v>
      </c>
      <c r="T783" s="401" t="s">
        <v>3363</v>
      </c>
      <c r="U783" s="450">
        <v>152700</v>
      </c>
      <c r="V783" s="403">
        <v>3205400</v>
      </c>
      <c r="W783" s="554" t="s">
        <v>2521</v>
      </c>
      <c r="X783" s="554" t="s">
        <v>2721</v>
      </c>
      <c r="Y783" s="555" t="s">
        <v>2722</v>
      </c>
      <c r="Z783" s="556" t="s">
        <v>2723</v>
      </c>
    </row>
    <row r="784" spans="1:26" ht="29">
      <c r="A784" s="406">
        <v>782</v>
      </c>
      <c r="B784" s="387"/>
      <c r="C784" s="515" t="s">
        <v>3057</v>
      </c>
      <c r="D784" s="352" t="s">
        <v>3058</v>
      </c>
      <c r="E784" s="406">
        <v>783</v>
      </c>
      <c r="F784" s="549" t="s">
        <v>3057</v>
      </c>
      <c r="G784" s="576">
        <v>45478</v>
      </c>
      <c r="H784" s="576">
        <v>45479</v>
      </c>
      <c r="I784" s="576">
        <v>45479</v>
      </c>
      <c r="J784" s="576">
        <v>45479</v>
      </c>
      <c r="K784" s="550">
        <v>45538</v>
      </c>
      <c r="L784" s="552" t="s">
        <v>3034</v>
      </c>
      <c r="M784" s="355" t="s">
        <v>3035</v>
      </c>
      <c r="N784" s="352" t="s">
        <v>627</v>
      </c>
      <c r="O784" s="387" t="s">
        <v>3059</v>
      </c>
      <c r="P784" s="355" t="str">
        <f t="shared" si="33"/>
        <v>Buku Peta (Atlas)</v>
      </c>
      <c r="Q784" s="355" t="s">
        <v>3037</v>
      </c>
      <c r="R784" s="553"/>
      <c r="S784" s="400">
        <v>36</v>
      </c>
      <c r="T784" s="401" t="s">
        <v>3363</v>
      </c>
      <c r="U784" s="450">
        <v>35000</v>
      </c>
      <c r="V784" s="403">
        <v>1260000</v>
      </c>
      <c r="W784" s="554" t="s">
        <v>2521</v>
      </c>
      <c r="X784" s="554" t="s">
        <v>2721</v>
      </c>
      <c r="Y784" s="555" t="s">
        <v>2722</v>
      </c>
      <c r="Z784" s="556" t="s">
        <v>2723</v>
      </c>
    </row>
    <row r="785" spans="1:26" ht="29">
      <c r="A785" s="406">
        <v>783</v>
      </c>
      <c r="B785" s="387"/>
      <c r="C785" s="515" t="s">
        <v>3057</v>
      </c>
      <c r="D785" s="352" t="s">
        <v>3058</v>
      </c>
      <c r="E785" s="406">
        <v>784</v>
      </c>
      <c r="F785" s="549" t="s">
        <v>3057</v>
      </c>
      <c r="G785" s="576">
        <v>45478</v>
      </c>
      <c r="H785" s="576">
        <v>45479</v>
      </c>
      <c r="I785" s="576">
        <v>45479</v>
      </c>
      <c r="J785" s="576">
        <v>45479</v>
      </c>
      <c r="K785" s="550">
        <v>45538</v>
      </c>
      <c r="L785" s="552" t="s">
        <v>3048</v>
      </c>
      <c r="M785" s="355" t="s">
        <v>3035</v>
      </c>
      <c r="N785" s="352" t="s">
        <v>627</v>
      </c>
      <c r="O785" s="387" t="s">
        <v>3060</v>
      </c>
      <c r="P785" s="355" t="str">
        <f t="shared" si="33"/>
        <v>Buku Matematika dan Pengetahuan Alam-Buku Perpustakaan</v>
      </c>
      <c r="Q785" s="355" t="s">
        <v>3037</v>
      </c>
      <c r="R785" s="553"/>
      <c r="S785" s="400">
        <v>3</v>
      </c>
      <c r="T785" s="401" t="s">
        <v>3363</v>
      </c>
      <c r="U785" s="450">
        <v>129100</v>
      </c>
      <c r="V785" s="403">
        <v>8208000</v>
      </c>
      <c r="W785" s="554" t="s">
        <v>2521</v>
      </c>
      <c r="X785" s="554" t="s">
        <v>2721</v>
      </c>
      <c r="Y785" s="555" t="s">
        <v>2722</v>
      </c>
      <c r="Z785" s="556" t="s">
        <v>2723</v>
      </c>
    </row>
    <row r="786" spans="1:26" ht="29">
      <c r="A786" s="406">
        <v>784</v>
      </c>
      <c r="B786" s="387"/>
      <c r="C786" s="515" t="s">
        <v>3057</v>
      </c>
      <c r="D786" s="352" t="s">
        <v>3058</v>
      </c>
      <c r="E786" s="406">
        <v>785</v>
      </c>
      <c r="F786" s="549" t="s">
        <v>3057</v>
      </c>
      <c r="G786" s="576">
        <v>45478</v>
      </c>
      <c r="H786" s="576">
        <v>45479</v>
      </c>
      <c r="I786" s="576">
        <v>45479</v>
      </c>
      <c r="J786" s="576">
        <v>45479</v>
      </c>
      <c r="K786" s="550">
        <v>45538</v>
      </c>
      <c r="L786" s="552" t="s">
        <v>3061</v>
      </c>
      <c r="M786" s="355" t="s">
        <v>3035</v>
      </c>
      <c r="N786" s="352" t="s">
        <v>627</v>
      </c>
      <c r="O786" s="387" t="s">
        <v>3062</v>
      </c>
      <c r="P786" s="355" t="str">
        <f t="shared" si="33"/>
        <v>Buku - Dasar-Dasar Seni Rupa</v>
      </c>
      <c r="Q786" s="355" t="s">
        <v>3037</v>
      </c>
      <c r="R786" s="553"/>
      <c r="S786" s="400">
        <v>3</v>
      </c>
      <c r="T786" s="401" t="s">
        <v>3363</v>
      </c>
      <c r="U786" s="450">
        <v>120600</v>
      </c>
      <c r="V786" s="403">
        <v>8648000</v>
      </c>
      <c r="W786" s="554" t="s">
        <v>2521</v>
      </c>
      <c r="X786" s="554" t="s">
        <v>2721</v>
      </c>
      <c r="Y786" s="555" t="s">
        <v>2722</v>
      </c>
      <c r="Z786" s="556" t="s">
        <v>2723</v>
      </c>
    </row>
    <row r="787" spans="1:26" ht="29">
      <c r="A787" s="406">
        <v>785</v>
      </c>
      <c r="B787" s="387"/>
      <c r="C787" s="515" t="s">
        <v>3057</v>
      </c>
      <c r="D787" s="352" t="s">
        <v>3058</v>
      </c>
      <c r="E787" s="406">
        <v>786</v>
      </c>
      <c r="F787" s="549" t="s">
        <v>3057</v>
      </c>
      <c r="G787" s="576">
        <v>45478</v>
      </c>
      <c r="H787" s="576">
        <v>45479</v>
      </c>
      <c r="I787" s="576">
        <v>45479</v>
      </c>
      <c r="J787" s="576">
        <v>45479</v>
      </c>
      <c r="K787" s="550">
        <v>45538</v>
      </c>
      <c r="L787" s="552" t="s">
        <v>3034</v>
      </c>
      <c r="M787" s="355" t="s">
        <v>3035</v>
      </c>
      <c r="N787" s="352" t="s">
        <v>3063</v>
      </c>
      <c r="O787" s="387" t="s">
        <v>3060</v>
      </c>
      <c r="P787" s="355" t="str">
        <f t="shared" si="33"/>
        <v>Buku Matematika dan Pengetahuan Alam-Buku Perpustakaan</v>
      </c>
      <c r="Q787" s="355" t="s">
        <v>3037</v>
      </c>
      <c r="R787" s="553"/>
      <c r="S787" s="400">
        <v>3</v>
      </c>
      <c r="T787" s="401" t="s">
        <v>3363</v>
      </c>
      <c r="U787" s="450">
        <v>129100</v>
      </c>
      <c r="V787" s="403">
        <v>387300</v>
      </c>
      <c r="W787" s="554" t="s">
        <v>2521</v>
      </c>
      <c r="X787" s="554" t="s">
        <v>2721</v>
      </c>
      <c r="Y787" s="555" t="s">
        <v>2722</v>
      </c>
      <c r="Z787" s="556" t="s">
        <v>2723</v>
      </c>
    </row>
    <row r="788" spans="1:26" ht="29">
      <c r="A788" s="406">
        <v>786</v>
      </c>
      <c r="B788" s="387"/>
      <c r="C788" s="515" t="s">
        <v>3057</v>
      </c>
      <c r="D788" s="352" t="s">
        <v>3058</v>
      </c>
      <c r="E788" s="406">
        <v>787</v>
      </c>
      <c r="F788" s="549" t="s">
        <v>3057</v>
      </c>
      <c r="G788" s="576">
        <v>45478</v>
      </c>
      <c r="H788" s="576">
        <v>45479</v>
      </c>
      <c r="I788" s="576">
        <v>45479</v>
      </c>
      <c r="J788" s="576">
        <v>45479</v>
      </c>
      <c r="K788" s="550">
        <v>45538</v>
      </c>
      <c r="L788" s="552" t="s">
        <v>3034</v>
      </c>
      <c r="M788" s="355" t="s">
        <v>3035</v>
      </c>
      <c r="N788" s="352" t="s">
        <v>3063</v>
      </c>
      <c r="O788" s="387" t="s">
        <v>3053</v>
      </c>
      <c r="P788" s="355" t="str">
        <f t="shared" si="33"/>
        <v>Pengetahuan Bahasa Indonesia - Buku</v>
      </c>
      <c r="Q788" s="355" t="s">
        <v>3037</v>
      </c>
      <c r="R788" s="553"/>
      <c r="S788" s="400">
        <v>3</v>
      </c>
      <c r="T788" s="401" t="s">
        <v>3363</v>
      </c>
      <c r="U788" s="450">
        <v>144900</v>
      </c>
      <c r="V788" s="403">
        <v>434700</v>
      </c>
      <c r="W788" s="554" t="s">
        <v>2521</v>
      </c>
      <c r="X788" s="554" t="s">
        <v>2721</v>
      </c>
      <c r="Y788" s="555" t="s">
        <v>2722</v>
      </c>
      <c r="Z788" s="556" t="s">
        <v>2723</v>
      </c>
    </row>
    <row r="789" spans="1:26" ht="29">
      <c r="A789" s="406">
        <v>787</v>
      </c>
      <c r="B789" s="387"/>
      <c r="C789" s="515" t="s">
        <v>3057</v>
      </c>
      <c r="D789" s="352" t="s">
        <v>3058</v>
      </c>
      <c r="E789" s="406">
        <v>788</v>
      </c>
      <c r="F789" s="549" t="s">
        <v>3057</v>
      </c>
      <c r="G789" s="576">
        <v>45478</v>
      </c>
      <c r="H789" s="576">
        <v>45479</v>
      </c>
      <c r="I789" s="576">
        <v>45479</v>
      </c>
      <c r="J789" s="576">
        <v>45479</v>
      </c>
      <c r="K789" s="550">
        <v>45538</v>
      </c>
      <c r="L789" s="552" t="s">
        <v>3034</v>
      </c>
      <c r="M789" s="355" t="s">
        <v>3035</v>
      </c>
      <c r="N789" s="352" t="s">
        <v>3063</v>
      </c>
      <c r="O789" s="387" t="s">
        <v>3036</v>
      </c>
      <c r="P789" s="355" t="str">
        <f t="shared" si="33"/>
        <v>Buku Ajar Informatika Tingkat SMA/MA Kelas 12</v>
      </c>
      <c r="Q789" s="355" t="s">
        <v>3037</v>
      </c>
      <c r="R789" s="553"/>
      <c r="S789" s="400">
        <v>3</v>
      </c>
      <c r="T789" s="401" t="s">
        <v>3363</v>
      </c>
      <c r="U789" s="450">
        <v>160600</v>
      </c>
      <c r="V789" s="403">
        <v>481800</v>
      </c>
      <c r="W789" s="554" t="s">
        <v>2521</v>
      </c>
      <c r="X789" s="554" t="s">
        <v>2721</v>
      </c>
      <c r="Y789" s="555" t="s">
        <v>2722</v>
      </c>
      <c r="Z789" s="556" t="s">
        <v>2723</v>
      </c>
    </row>
    <row r="790" spans="1:26" ht="29">
      <c r="A790" s="406">
        <v>788</v>
      </c>
      <c r="B790" s="387"/>
      <c r="C790" s="515" t="s">
        <v>3057</v>
      </c>
      <c r="D790" s="352" t="s">
        <v>3058</v>
      </c>
      <c r="E790" s="406">
        <v>789</v>
      </c>
      <c r="F790" s="549" t="s">
        <v>3057</v>
      </c>
      <c r="G790" s="576">
        <v>45478</v>
      </c>
      <c r="H790" s="576">
        <v>45479</v>
      </c>
      <c r="I790" s="576">
        <v>45479</v>
      </c>
      <c r="J790" s="576">
        <v>45479</v>
      </c>
      <c r="K790" s="550">
        <v>45538</v>
      </c>
      <c r="L790" s="552" t="s">
        <v>3034</v>
      </c>
      <c r="M790" s="355" t="s">
        <v>3035</v>
      </c>
      <c r="N790" s="352" t="s">
        <v>3063</v>
      </c>
      <c r="O790" s="387" t="s">
        <v>3062</v>
      </c>
      <c r="P790" s="355" t="str">
        <f t="shared" si="33"/>
        <v>Buku - Dasar-Dasar Seni Rupa</v>
      </c>
      <c r="Q790" s="355" t="s">
        <v>3037</v>
      </c>
      <c r="R790" s="553"/>
      <c r="S790" s="400">
        <v>3</v>
      </c>
      <c r="T790" s="401" t="s">
        <v>3363</v>
      </c>
      <c r="U790" s="450">
        <v>120600</v>
      </c>
      <c r="V790" s="403">
        <v>361800</v>
      </c>
      <c r="W790" s="554" t="s">
        <v>2521</v>
      </c>
      <c r="X790" s="554" t="s">
        <v>2721</v>
      </c>
      <c r="Y790" s="555" t="s">
        <v>2722</v>
      </c>
      <c r="Z790" s="556" t="s">
        <v>2723</v>
      </c>
    </row>
    <row r="791" spans="1:26" ht="29">
      <c r="A791" s="406">
        <v>789</v>
      </c>
      <c r="B791" s="387"/>
      <c r="C791" s="515" t="s">
        <v>3057</v>
      </c>
      <c r="D791" s="352" t="s">
        <v>3058</v>
      </c>
      <c r="E791" s="406">
        <v>790</v>
      </c>
      <c r="F791" s="549" t="s">
        <v>3057</v>
      </c>
      <c r="G791" s="576">
        <v>45478</v>
      </c>
      <c r="H791" s="576">
        <v>45479</v>
      </c>
      <c r="I791" s="576">
        <v>45479</v>
      </c>
      <c r="J791" s="576">
        <v>45479</v>
      </c>
      <c r="K791" s="550">
        <v>45538</v>
      </c>
      <c r="L791" s="552" t="s">
        <v>3034</v>
      </c>
      <c r="M791" s="355" t="s">
        <v>3035</v>
      </c>
      <c r="N791" s="352" t="s">
        <v>3063</v>
      </c>
      <c r="O791" s="387" t="s">
        <v>3064</v>
      </c>
      <c r="P791" s="355" t="str">
        <f t="shared" si="33"/>
        <v>Buku - Pendidikan Jasmani, Olahraga dan Kesehatan</v>
      </c>
      <c r="Q791" s="355" t="s">
        <v>3037</v>
      </c>
      <c r="R791" s="553"/>
      <c r="S791" s="400">
        <v>3</v>
      </c>
      <c r="T791" s="401" t="s">
        <v>3363</v>
      </c>
      <c r="U791" s="450">
        <v>167700</v>
      </c>
      <c r="V791" s="403">
        <v>503100</v>
      </c>
      <c r="W791" s="554" t="s">
        <v>2521</v>
      </c>
      <c r="X791" s="554" t="s">
        <v>2721</v>
      </c>
      <c r="Y791" s="555" t="s">
        <v>2722</v>
      </c>
      <c r="Z791" s="556" t="s">
        <v>2723</v>
      </c>
    </row>
    <row r="792" spans="1:26" ht="29">
      <c r="A792" s="406">
        <v>790</v>
      </c>
      <c r="B792" s="387"/>
      <c r="C792" s="515" t="s">
        <v>3057</v>
      </c>
      <c r="D792" s="352" t="s">
        <v>3058</v>
      </c>
      <c r="E792" s="406">
        <v>791</v>
      </c>
      <c r="F792" s="549" t="s">
        <v>3057</v>
      </c>
      <c r="G792" s="576">
        <v>45478</v>
      </c>
      <c r="H792" s="576">
        <v>45479</v>
      </c>
      <c r="I792" s="576">
        <v>45479</v>
      </c>
      <c r="J792" s="576">
        <v>45479</v>
      </c>
      <c r="K792" s="550">
        <v>45538</v>
      </c>
      <c r="L792" s="552" t="s">
        <v>3034</v>
      </c>
      <c r="M792" s="355" t="s">
        <v>3035</v>
      </c>
      <c r="N792" s="352" t="s">
        <v>3063</v>
      </c>
      <c r="O792" s="387" t="s">
        <v>3055</v>
      </c>
      <c r="P792" s="355" t="str">
        <f t="shared" si="33"/>
        <v>BUKU - PPKN</v>
      </c>
      <c r="Q792" s="355" t="s">
        <v>3037</v>
      </c>
      <c r="R792" s="553"/>
      <c r="S792" s="400">
        <v>3</v>
      </c>
      <c r="T792" s="401" t="s">
        <v>3363</v>
      </c>
      <c r="U792" s="450">
        <v>137000</v>
      </c>
      <c r="V792" s="403">
        <v>411000</v>
      </c>
      <c r="W792" s="554" t="s">
        <v>2521</v>
      </c>
      <c r="X792" s="554" t="s">
        <v>2721</v>
      </c>
      <c r="Y792" s="555" t="s">
        <v>2722</v>
      </c>
      <c r="Z792" s="556" t="s">
        <v>2723</v>
      </c>
    </row>
    <row r="793" spans="1:26" ht="29">
      <c r="A793" s="406">
        <v>791</v>
      </c>
      <c r="B793" s="387"/>
      <c r="C793" s="515" t="s">
        <v>3057</v>
      </c>
      <c r="D793" s="352" t="s">
        <v>3058</v>
      </c>
      <c r="E793" s="406">
        <v>792</v>
      </c>
      <c r="F793" s="549" t="s">
        <v>3057</v>
      </c>
      <c r="G793" s="576">
        <v>45478</v>
      </c>
      <c r="H793" s="576">
        <v>45479</v>
      </c>
      <c r="I793" s="576">
        <v>45479</v>
      </c>
      <c r="J793" s="576">
        <v>45479</v>
      </c>
      <c r="K793" s="550">
        <v>45538</v>
      </c>
      <c r="L793" s="552" t="s">
        <v>3038</v>
      </c>
      <c r="M793" s="355" t="s">
        <v>3035</v>
      </c>
      <c r="N793" s="352" t="s">
        <v>3063</v>
      </c>
      <c r="O793" s="387" t="s">
        <v>3040</v>
      </c>
      <c r="P793" s="355" t="str">
        <f t="shared" si="33"/>
        <v>Agama Kristen - Buku</v>
      </c>
      <c r="Q793" s="355" t="s">
        <v>3037</v>
      </c>
      <c r="R793" s="553"/>
      <c r="S793" s="400">
        <v>3</v>
      </c>
      <c r="T793" s="401" t="s">
        <v>3363</v>
      </c>
      <c r="U793" s="450">
        <v>247000</v>
      </c>
      <c r="V793" s="403">
        <v>741000</v>
      </c>
      <c r="W793" s="554" t="s">
        <v>2521</v>
      </c>
      <c r="X793" s="554" t="s">
        <v>2721</v>
      </c>
      <c r="Y793" s="555" t="s">
        <v>2722</v>
      </c>
      <c r="Z793" s="556" t="s">
        <v>2723</v>
      </c>
    </row>
    <row r="794" spans="1:26" ht="29">
      <c r="A794" s="406">
        <v>792</v>
      </c>
      <c r="B794" s="387"/>
      <c r="C794" s="515" t="s">
        <v>3057</v>
      </c>
      <c r="D794" s="352" t="s">
        <v>3058</v>
      </c>
      <c r="E794" s="406">
        <v>793</v>
      </c>
      <c r="F794" s="549" t="s">
        <v>3057</v>
      </c>
      <c r="G794" s="576">
        <v>45478</v>
      </c>
      <c r="H794" s="576">
        <v>45479</v>
      </c>
      <c r="I794" s="576">
        <v>45479</v>
      </c>
      <c r="J794" s="576">
        <v>45479</v>
      </c>
      <c r="K794" s="550">
        <v>45538</v>
      </c>
      <c r="L794" s="552" t="s">
        <v>3038</v>
      </c>
      <c r="M794" s="355" t="s">
        <v>3035</v>
      </c>
      <c r="N794" s="352" t="s">
        <v>3063</v>
      </c>
      <c r="O794" s="387" t="s">
        <v>3065</v>
      </c>
      <c r="P794" s="355" t="str">
        <f t="shared" si="33"/>
        <v>Buku Ilmu Agama-Buku Agama</v>
      </c>
      <c r="Q794" s="355" t="s">
        <v>3037</v>
      </c>
      <c r="R794" s="553"/>
      <c r="S794" s="400">
        <v>3</v>
      </c>
      <c r="T794" s="401" t="s">
        <v>3363</v>
      </c>
      <c r="U794" s="450">
        <v>246300</v>
      </c>
      <c r="V794" s="403">
        <v>738900</v>
      </c>
      <c r="W794" s="554" t="s">
        <v>2521</v>
      </c>
      <c r="X794" s="554" t="s">
        <v>2721</v>
      </c>
      <c r="Y794" s="555" t="s">
        <v>2722</v>
      </c>
      <c r="Z794" s="556" t="s">
        <v>2723</v>
      </c>
    </row>
    <row r="795" spans="1:26" ht="29">
      <c r="A795" s="406">
        <v>793</v>
      </c>
      <c r="B795" s="387"/>
      <c r="C795" s="515" t="s">
        <v>3057</v>
      </c>
      <c r="D795" s="352" t="s">
        <v>3058</v>
      </c>
      <c r="E795" s="406">
        <v>794</v>
      </c>
      <c r="F795" s="549" t="s">
        <v>3057</v>
      </c>
      <c r="G795" s="576">
        <v>45478</v>
      </c>
      <c r="H795" s="576">
        <v>45479</v>
      </c>
      <c r="I795" s="576">
        <v>45479</v>
      </c>
      <c r="J795" s="576">
        <v>45479</v>
      </c>
      <c r="K795" s="550">
        <v>45538</v>
      </c>
      <c r="L795" s="552" t="s">
        <v>3038</v>
      </c>
      <c r="M795" s="355" t="s">
        <v>3035</v>
      </c>
      <c r="N795" s="352" t="s">
        <v>3063</v>
      </c>
      <c r="O795" s="387" t="s">
        <v>3039</v>
      </c>
      <c r="P795" s="355" t="str">
        <f t="shared" si="33"/>
        <v>Agama Islam - Buku</v>
      </c>
      <c r="Q795" s="355" t="s">
        <v>3037</v>
      </c>
      <c r="R795" s="553"/>
      <c r="S795" s="400">
        <v>3</v>
      </c>
      <c r="T795" s="401" t="s">
        <v>3363</v>
      </c>
      <c r="U795" s="450">
        <v>160600</v>
      </c>
      <c r="V795" s="403">
        <v>481800</v>
      </c>
      <c r="W795" s="554" t="s">
        <v>2521</v>
      </c>
      <c r="X795" s="554" t="s">
        <v>2721</v>
      </c>
      <c r="Y795" s="555" t="s">
        <v>2722</v>
      </c>
      <c r="Z795" s="556" t="s">
        <v>2723</v>
      </c>
    </row>
    <row r="796" spans="1:26" ht="29">
      <c r="A796" s="406">
        <v>794</v>
      </c>
      <c r="B796" s="387"/>
      <c r="C796" s="515" t="s">
        <v>3057</v>
      </c>
      <c r="D796" s="352" t="s">
        <v>3058</v>
      </c>
      <c r="E796" s="406">
        <v>795</v>
      </c>
      <c r="F796" s="549" t="s">
        <v>3057</v>
      </c>
      <c r="G796" s="576">
        <v>45478</v>
      </c>
      <c r="H796" s="576">
        <v>45479</v>
      </c>
      <c r="I796" s="576">
        <v>45479</v>
      </c>
      <c r="J796" s="576">
        <v>45479</v>
      </c>
      <c r="K796" s="550">
        <v>45538</v>
      </c>
      <c r="L796" s="552" t="s">
        <v>3041</v>
      </c>
      <c r="M796" s="355" t="s">
        <v>3035</v>
      </c>
      <c r="N796" s="352" t="s">
        <v>3063</v>
      </c>
      <c r="O796" s="387" t="s">
        <v>3044</v>
      </c>
      <c r="P796" s="355" t="str">
        <f t="shared" si="33"/>
        <v>Ekonomi - Buku</v>
      </c>
      <c r="Q796" s="355" t="s">
        <v>3037</v>
      </c>
      <c r="R796" s="553"/>
      <c r="S796" s="400">
        <v>3</v>
      </c>
      <c r="T796" s="401" t="s">
        <v>3363</v>
      </c>
      <c r="U796" s="450">
        <v>128400</v>
      </c>
      <c r="V796" s="403">
        <v>385200</v>
      </c>
      <c r="W796" s="554" t="s">
        <v>2521</v>
      </c>
      <c r="X796" s="554" t="s">
        <v>2721</v>
      </c>
      <c r="Y796" s="555" t="s">
        <v>2722</v>
      </c>
      <c r="Z796" s="556" t="s">
        <v>2723</v>
      </c>
    </row>
    <row r="797" spans="1:26" ht="29">
      <c r="A797" s="406">
        <v>795</v>
      </c>
      <c r="B797" s="387"/>
      <c r="C797" s="515" t="s">
        <v>3057</v>
      </c>
      <c r="D797" s="352" t="s">
        <v>3058</v>
      </c>
      <c r="E797" s="406">
        <v>796</v>
      </c>
      <c r="F797" s="549" t="s">
        <v>3057</v>
      </c>
      <c r="G797" s="576">
        <v>45478</v>
      </c>
      <c r="H797" s="576">
        <v>45479</v>
      </c>
      <c r="I797" s="576">
        <v>45479</v>
      </c>
      <c r="J797" s="576">
        <v>45479</v>
      </c>
      <c r="K797" s="550">
        <v>45538</v>
      </c>
      <c r="L797" s="552" t="s">
        <v>3041</v>
      </c>
      <c r="M797" s="355" t="s">
        <v>3035</v>
      </c>
      <c r="N797" s="352" t="s">
        <v>3063</v>
      </c>
      <c r="O797" s="387" t="s">
        <v>3042</v>
      </c>
      <c r="P797" s="355" t="str">
        <f t="shared" si="33"/>
        <v>Sosiologi - Buku</v>
      </c>
      <c r="Q797" s="355" t="s">
        <v>3037</v>
      </c>
      <c r="R797" s="553"/>
      <c r="S797" s="400">
        <v>3</v>
      </c>
      <c r="T797" s="401" t="s">
        <v>3363</v>
      </c>
      <c r="U797" s="450">
        <v>121300</v>
      </c>
      <c r="V797" s="403">
        <v>363900</v>
      </c>
      <c r="W797" s="554" t="s">
        <v>2521</v>
      </c>
      <c r="X797" s="554" t="s">
        <v>2721</v>
      </c>
      <c r="Y797" s="555" t="s">
        <v>2722</v>
      </c>
      <c r="Z797" s="556" t="s">
        <v>2723</v>
      </c>
    </row>
    <row r="798" spans="1:26" ht="29">
      <c r="A798" s="406">
        <v>796</v>
      </c>
      <c r="B798" s="387"/>
      <c r="C798" s="515" t="s">
        <v>3057</v>
      </c>
      <c r="D798" s="352" t="s">
        <v>3058</v>
      </c>
      <c r="E798" s="406">
        <v>797</v>
      </c>
      <c r="F798" s="549" t="s">
        <v>3057</v>
      </c>
      <c r="G798" s="576">
        <v>45478</v>
      </c>
      <c r="H798" s="576">
        <v>45479</v>
      </c>
      <c r="I798" s="576">
        <v>45479</v>
      </c>
      <c r="J798" s="576">
        <v>45479</v>
      </c>
      <c r="K798" s="550">
        <v>45538</v>
      </c>
      <c r="L798" s="552" t="s">
        <v>3041</v>
      </c>
      <c r="M798" s="355" t="s">
        <v>3035</v>
      </c>
      <c r="N798" s="352" t="s">
        <v>3063</v>
      </c>
      <c r="O798" s="387" t="s">
        <v>3043</v>
      </c>
      <c r="P798" s="355" t="str">
        <f t="shared" si="33"/>
        <v>Sejarah - Buku</v>
      </c>
      <c r="Q798" s="355" t="s">
        <v>3037</v>
      </c>
      <c r="R798" s="553"/>
      <c r="S798" s="400">
        <v>3</v>
      </c>
      <c r="T798" s="401" t="s">
        <v>3363</v>
      </c>
      <c r="U798" s="450">
        <v>152700</v>
      </c>
      <c r="V798" s="403">
        <v>458100</v>
      </c>
      <c r="W798" s="554" t="s">
        <v>2521</v>
      </c>
      <c r="X798" s="554" t="s">
        <v>2721</v>
      </c>
      <c r="Y798" s="555" t="s">
        <v>2722</v>
      </c>
      <c r="Z798" s="556" t="s">
        <v>2723</v>
      </c>
    </row>
    <row r="799" spans="1:26" ht="29">
      <c r="A799" s="406">
        <v>797</v>
      </c>
      <c r="B799" s="387"/>
      <c r="C799" s="515" t="s">
        <v>3057</v>
      </c>
      <c r="D799" s="352" t="s">
        <v>3058</v>
      </c>
      <c r="E799" s="406">
        <v>798</v>
      </c>
      <c r="F799" s="549" t="s">
        <v>3057</v>
      </c>
      <c r="G799" s="576">
        <v>45478</v>
      </c>
      <c r="H799" s="576">
        <v>45479</v>
      </c>
      <c r="I799" s="576">
        <v>45479</v>
      </c>
      <c r="J799" s="576">
        <v>45479</v>
      </c>
      <c r="K799" s="550">
        <v>45538</v>
      </c>
      <c r="L799" s="552" t="s">
        <v>3041</v>
      </c>
      <c r="M799" s="355" t="s">
        <v>3035</v>
      </c>
      <c r="N799" s="352" t="s">
        <v>3063</v>
      </c>
      <c r="O799" s="387" t="s">
        <v>3045</v>
      </c>
      <c r="P799" s="355" t="str">
        <f t="shared" si="33"/>
        <v>Geografi - Buku</v>
      </c>
      <c r="Q799" s="355" t="s">
        <v>3037</v>
      </c>
      <c r="R799" s="553"/>
      <c r="S799" s="400">
        <v>3</v>
      </c>
      <c r="T799" s="401" t="s">
        <v>3363</v>
      </c>
      <c r="U799" s="450">
        <v>104900</v>
      </c>
      <c r="V799" s="403">
        <v>314700</v>
      </c>
      <c r="W799" s="554" t="s">
        <v>2521</v>
      </c>
      <c r="X799" s="554" t="s">
        <v>2721</v>
      </c>
      <c r="Y799" s="555" t="s">
        <v>2722</v>
      </c>
      <c r="Z799" s="556" t="s">
        <v>2723</v>
      </c>
    </row>
    <row r="800" spans="1:26" ht="29">
      <c r="A800" s="406">
        <v>798</v>
      </c>
      <c r="B800" s="387"/>
      <c r="C800" s="515" t="s">
        <v>3057</v>
      </c>
      <c r="D800" s="352" t="s">
        <v>3058</v>
      </c>
      <c r="E800" s="406">
        <v>799</v>
      </c>
      <c r="F800" s="549" t="s">
        <v>3057</v>
      </c>
      <c r="G800" s="576">
        <v>45478</v>
      </c>
      <c r="H800" s="576">
        <v>45479</v>
      </c>
      <c r="I800" s="576">
        <v>45479</v>
      </c>
      <c r="J800" s="576">
        <v>45479</v>
      </c>
      <c r="K800" s="550">
        <v>45538</v>
      </c>
      <c r="L800" s="552" t="s">
        <v>3041</v>
      </c>
      <c r="M800" s="355" t="s">
        <v>3035</v>
      </c>
      <c r="N800" s="352" t="s">
        <v>3063</v>
      </c>
      <c r="O800" s="387" t="s">
        <v>3056</v>
      </c>
      <c r="P800" s="355" t="str">
        <f t="shared" si="33"/>
        <v>Biologi. Antropologi - Buku</v>
      </c>
      <c r="Q800" s="355" t="s">
        <v>3037</v>
      </c>
      <c r="R800" s="553"/>
      <c r="S800" s="400">
        <v>3</v>
      </c>
      <c r="T800" s="401" t="s">
        <v>3363</v>
      </c>
      <c r="U800" s="450">
        <v>152700</v>
      </c>
      <c r="V800" s="403">
        <v>458100</v>
      </c>
      <c r="W800" s="554" t="s">
        <v>2521</v>
      </c>
      <c r="X800" s="554" t="s">
        <v>2721</v>
      </c>
      <c r="Y800" s="555" t="s">
        <v>2722</v>
      </c>
      <c r="Z800" s="556" t="s">
        <v>2723</v>
      </c>
    </row>
    <row r="801" spans="1:26" ht="29">
      <c r="A801" s="406">
        <v>799</v>
      </c>
      <c r="B801" s="387"/>
      <c r="C801" s="515" t="s">
        <v>3057</v>
      </c>
      <c r="D801" s="352" t="s">
        <v>3058</v>
      </c>
      <c r="E801" s="406">
        <v>800</v>
      </c>
      <c r="F801" s="549" t="s">
        <v>3057</v>
      </c>
      <c r="G801" s="576">
        <v>45478</v>
      </c>
      <c r="H801" s="576">
        <v>45479</v>
      </c>
      <c r="I801" s="576">
        <v>45479</v>
      </c>
      <c r="J801" s="576">
        <v>45479</v>
      </c>
      <c r="K801" s="550">
        <v>45538</v>
      </c>
      <c r="L801" s="552" t="s">
        <v>3041</v>
      </c>
      <c r="M801" s="355" t="s">
        <v>3035</v>
      </c>
      <c r="N801" s="352" t="s">
        <v>3063</v>
      </c>
      <c r="O801" s="387" t="s">
        <v>3051</v>
      </c>
      <c r="P801" s="355" t="str">
        <f t="shared" si="33"/>
        <v>Buku - Biologi</v>
      </c>
      <c r="Q801" s="355" t="s">
        <v>3037</v>
      </c>
      <c r="R801" s="553"/>
      <c r="S801" s="400">
        <v>3</v>
      </c>
      <c r="T801" s="401" t="s">
        <v>3363</v>
      </c>
      <c r="U801" s="450">
        <v>136300</v>
      </c>
      <c r="V801" s="403">
        <v>408900</v>
      </c>
      <c r="W801" s="554" t="s">
        <v>2521</v>
      </c>
      <c r="X801" s="554" t="s">
        <v>2721</v>
      </c>
      <c r="Y801" s="555" t="s">
        <v>2722</v>
      </c>
      <c r="Z801" s="556" t="s">
        <v>2723</v>
      </c>
    </row>
    <row r="802" spans="1:26" ht="29">
      <c r="A802" s="406">
        <v>800</v>
      </c>
      <c r="B802" s="387"/>
      <c r="C802" s="515" t="s">
        <v>3057</v>
      </c>
      <c r="D802" s="352" t="s">
        <v>3058</v>
      </c>
      <c r="E802" s="406">
        <v>801</v>
      </c>
      <c r="F802" s="549" t="s">
        <v>3057</v>
      </c>
      <c r="G802" s="576">
        <v>45478</v>
      </c>
      <c r="H802" s="576">
        <v>45479</v>
      </c>
      <c r="I802" s="576">
        <v>45479</v>
      </c>
      <c r="J802" s="576">
        <v>45479</v>
      </c>
      <c r="K802" s="550">
        <v>45538</v>
      </c>
      <c r="L802" s="552" t="s">
        <v>3052</v>
      </c>
      <c r="M802" s="355" t="s">
        <v>3035</v>
      </c>
      <c r="N802" s="352" t="s">
        <v>3063</v>
      </c>
      <c r="O802" s="387" t="s">
        <v>3054</v>
      </c>
      <c r="P802" s="355" t="str">
        <f t="shared" si="33"/>
        <v>Pengetahuan Bahasa Inggris - Buku</v>
      </c>
      <c r="Q802" s="355" t="s">
        <v>3037</v>
      </c>
      <c r="R802" s="553"/>
      <c r="S802" s="400">
        <v>3</v>
      </c>
      <c r="T802" s="401" t="s">
        <v>3363</v>
      </c>
      <c r="U802" s="450">
        <v>136300</v>
      </c>
      <c r="V802" s="403">
        <v>408900</v>
      </c>
      <c r="W802" s="554" t="s">
        <v>2521</v>
      </c>
      <c r="X802" s="554" t="s">
        <v>2721</v>
      </c>
      <c r="Y802" s="555" t="s">
        <v>2722</v>
      </c>
      <c r="Z802" s="556" t="s">
        <v>2723</v>
      </c>
    </row>
    <row r="803" spans="1:26" ht="29">
      <c r="A803" s="406">
        <v>801</v>
      </c>
      <c r="B803" s="387"/>
      <c r="C803" s="515" t="s">
        <v>3057</v>
      </c>
      <c r="D803" s="352" t="s">
        <v>3058</v>
      </c>
      <c r="E803" s="406">
        <v>802</v>
      </c>
      <c r="F803" s="549" t="s">
        <v>3057</v>
      </c>
      <c r="G803" s="576">
        <v>45478</v>
      </c>
      <c r="H803" s="576">
        <v>45479</v>
      </c>
      <c r="I803" s="576">
        <v>45479</v>
      </c>
      <c r="J803" s="576">
        <v>45479</v>
      </c>
      <c r="K803" s="550">
        <v>45538</v>
      </c>
      <c r="L803" s="552" t="s">
        <v>3048</v>
      </c>
      <c r="M803" s="355" t="s">
        <v>3035</v>
      </c>
      <c r="N803" s="352" t="s">
        <v>3063</v>
      </c>
      <c r="O803" s="387" t="s">
        <v>3049</v>
      </c>
      <c r="P803" s="355" t="str">
        <f t="shared" si="33"/>
        <v>Kimia - Buku</v>
      </c>
      <c r="Q803" s="355" t="s">
        <v>3037</v>
      </c>
      <c r="R803" s="553"/>
      <c r="S803" s="400">
        <v>3</v>
      </c>
      <c r="T803" s="401" t="s">
        <v>3363</v>
      </c>
      <c r="U803" s="450">
        <v>112700</v>
      </c>
      <c r="V803" s="403">
        <v>338100</v>
      </c>
      <c r="W803" s="554" t="s">
        <v>2521</v>
      </c>
      <c r="X803" s="554" t="s">
        <v>2721</v>
      </c>
      <c r="Y803" s="555" t="s">
        <v>2722</v>
      </c>
      <c r="Z803" s="556" t="s">
        <v>2723</v>
      </c>
    </row>
    <row r="804" spans="1:26" ht="29">
      <c r="A804" s="406">
        <v>802</v>
      </c>
      <c r="B804" s="387"/>
      <c r="C804" s="515" t="s">
        <v>3057</v>
      </c>
      <c r="D804" s="352" t="s">
        <v>3058</v>
      </c>
      <c r="E804" s="406">
        <v>803</v>
      </c>
      <c r="F804" s="549" t="s">
        <v>3057</v>
      </c>
      <c r="G804" s="576">
        <v>45478</v>
      </c>
      <c r="H804" s="576">
        <v>45479</v>
      </c>
      <c r="I804" s="576">
        <v>45479</v>
      </c>
      <c r="J804" s="576">
        <v>45479</v>
      </c>
      <c r="K804" s="550">
        <v>45538</v>
      </c>
      <c r="L804" s="552" t="s">
        <v>3048</v>
      </c>
      <c r="M804" s="355" t="s">
        <v>3035</v>
      </c>
      <c r="N804" s="352" t="s">
        <v>3063</v>
      </c>
      <c r="O804" s="387" t="s">
        <v>3050</v>
      </c>
      <c r="P804" s="355" t="str">
        <f t="shared" si="33"/>
        <v>BUKU - FISIKA</v>
      </c>
      <c r="Q804" s="355" t="s">
        <v>3037</v>
      </c>
      <c r="R804" s="553"/>
      <c r="S804" s="400">
        <v>3</v>
      </c>
      <c r="T804" s="401" t="s">
        <v>3363</v>
      </c>
      <c r="U804" s="450">
        <v>129100</v>
      </c>
      <c r="V804" s="403">
        <v>387300</v>
      </c>
      <c r="W804" s="554" t="s">
        <v>2521</v>
      </c>
      <c r="X804" s="554" t="s">
        <v>2721</v>
      </c>
      <c r="Y804" s="555" t="s">
        <v>2722</v>
      </c>
      <c r="Z804" s="556" t="s">
        <v>2723</v>
      </c>
    </row>
    <row r="805" spans="1:26" ht="29">
      <c r="A805" s="406">
        <v>803</v>
      </c>
      <c r="B805" s="387"/>
      <c r="C805" s="515" t="s">
        <v>3057</v>
      </c>
      <c r="D805" s="352" t="s">
        <v>3058</v>
      </c>
      <c r="E805" s="406">
        <v>804</v>
      </c>
      <c r="F805" s="549" t="s">
        <v>3057</v>
      </c>
      <c r="G805" s="576">
        <v>45478</v>
      </c>
      <c r="H805" s="576">
        <v>45479</v>
      </c>
      <c r="I805" s="576">
        <v>45479</v>
      </c>
      <c r="J805" s="576">
        <v>45479</v>
      </c>
      <c r="K805" s="550">
        <v>45538</v>
      </c>
      <c r="L805" s="552" t="s">
        <v>3061</v>
      </c>
      <c r="M805" s="355" t="s">
        <v>3035</v>
      </c>
      <c r="N805" s="352" t="s">
        <v>3063</v>
      </c>
      <c r="O805" s="387" t="s">
        <v>3066</v>
      </c>
      <c r="P805" s="355" t="str">
        <f t="shared" si="33"/>
        <v>Musik - Buku</v>
      </c>
      <c r="Q805" s="355" t="s">
        <v>3037</v>
      </c>
      <c r="R805" s="553"/>
      <c r="S805" s="400">
        <v>3</v>
      </c>
      <c r="T805" s="401" t="s">
        <v>3363</v>
      </c>
      <c r="U805" s="450">
        <v>104900</v>
      </c>
      <c r="V805" s="403">
        <v>314700</v>
      </c>
      <c r="W805" s="554" t="s">
        <v>2521</v>
      </c>
      <c r="X805" s="554" t="s">
        <v>2721</v>
      </c>
      <c r="Y805" s="555" t="s">
        <v>2722</v>
      </c>
      <c r="Z805" s="556" t="s">
        <v>2723</v>
      </c>
    </row>
    <row r="806" spans="1:26" ht="29">
      <c r="A806" s="513">
        <v>804</v>
      </c>
      <c r="B806" s="390"/>
      <c r="C806" s="515" t="s">
        <v>3067</v>
      </c>
      <c r="D806" s="262" t="s">
        <v>1059</v>
      </c>
      <c r="E806" s="513">
        <v>805</v>
      </c>
      <c r="F806" s="544" t="s">
        <v>3067</v>
      </c>
      <c r="G806" s="543">
        <v>45506</v>
      </c>
      <c r="H806" s="543">
        <v>45507</v>
      </c>
      <c r="I806" s="517">
        <v>45538</v>
      </c>
      <c r="J806" s="517">
        <v>45538</v>
      </c>
      <c r="K806" s="517">
        <v>45538</v>
      </c>
      <c r="L806" s="518" t="s">
        <v>1127</v>
      </c>
      <c r="M806" s="264" t="s">
        <v>2646</v>
      </c>
      <c r="N806" s="262" t="s">
        <v>1126</v>
      </c>
      <c r="O806" s="518" t="s">
        <v>3068</v>
      </c>
      <c r="P806" s="264" t="s">
        <v>3069</v>
      </c>
      <c r="Q806" s="264" t="s">
        <v>3030</v>
      </c>
      <c r="R806" s="565" t="s">
        <v>3070</v>
      </c>
      <c r="S806" s="399">
        <v>10</v>
      </c>
      <c r="T806" s="348" t="s">
        <v>3371</v>
      </c>
      <c r="U806" s="520">
        <v>3900000</v>
      </c>
      <c r="V806" s="266">
        <v>39000000</v>
      </c>
      <c r="W806" s="521" t="s">
        <v>2521</v>
      </c>
      <c r="X806" s="521" t="s">
        <v>2721</v>
      </c>
      <c r="Y806" s="522" t="s">
        <v>2722</v>
      </c>
      <c r="Z806" s="523" t="s">
        <v>2723</v>
      </c>
    </row>
    <row r="807" spans="1:26" ht="29">
      <c r="A807" s="513">
        <v>805</v>
      </c>
      <c r="B807" s="390"/>
      <c r="C807" s="515" t="s">
        <v>3071</v>
      </c>
      <c r="D807" s="262" t="s">
        <v>1063</v>
      </c>
      <c r="E807" s="513">
        <v>806</v>
      </c>
      <c r="F807" s="544" t="s">
        <v>3071</v>
      </c>
      <c r="G807" s="577">
        <v>45536</v>
      </c>
      <c r="H807" s="577">
        <v>45537</v>
      </c>
      <c r="I807" s="577">
        <v>45537</v>
      </c>
      <c r="J807" s="577">
        <v>45537</v>
      </c>
      <c r="K807" s="517">
        <v>45538</v>
      </c>
      <c r="L807" s="518" t="s">
        <v>571</v>
      </c>
      <c r="M807" s="264" t="s">
        <v>2649</v>
      </c>
      <c r="N807" s="262" t="s">
        <v>2185</v>
      </c>
      <c r="O807" s="565" t="s">
        <v>2287</v>
      </c>
      <c r="P807" s="264" t="str">
        <f>O807</f>
        <v>Spanduk Uk. 1 x 6 meter-</v>
      </c>
      <c r="Q807" s="264" t="s">
        <v>2650</v>
      </c>
      <c r="R807" s="528" t="s">
        <v>2651</v>
      </c>
      <c r="S807" s="399">
        <v>2</v>
      </c>
      <c r="T807" s="348" t="s">
        <v>3363</v>
      </c>
      <c r="U807" s="520">
        <v>300000</v>
      </c>
      <c r="V807" s="266">
        <v>300000</v>
      </c>
      <c r="W807" s="521" t="s">
        <v>2652</v>
      </c>
      <c r="X807" s="521" t="s">
        <v>2653</v>
      </c>
      <c r="Y807" s="522" t="s">
        <v>2512</v>
      </c>
      <c r="Z807" s="523" t="s">
        <v>541</v>
      </c>
    </row>
    <row r="808" spans="1:26" ht="37.5">
      <c r="A808" s="513">
        <v>806</v>
      </c>
      <c r="B808" s="390"/>
      <c r="C808" s="515" t="s">
        <v>3072</v>
      </c>
      <c r="D808" s="262" t="s">
        <v>1065</v>
      </c>
      <c r="E808" s="513">
        <v>807</v>
      </c>
      <c r="F808" s="544" t="s">
        <v>3072</v>
      </c>
      <c r="G808" s="577">
        <v>45536</v>
      </c>
      <c r="H808" s="577">
        <v>45537</v>
      </c>
      <c r="I808" s="577">
        <v>45537</v>
      </c>
      <c r="J808" s="577">
        <v>45537</v>
      </c>
      <c r="K808" s="517">
        <v>45538</v>
      </c>
      <c r="L808" s="518" t="s">
        <v>2180</v>
      </c>
      <c r="M808" s="264" t="s">
        <v>2640</v>
      </c>
      <c r="N808" s="262" t="s">
        <v>2201</v>
      </c>
      <c r="O808" s="390" t="s">
        <v>2315</v>
      </c>
      <c r="P808" s="264" t="s">
        <v>2633</v>
      </c>
      <c r="Q808" s="264" t="s">
        <v>280</v>
      </c>
      <c r="R808" s="528" t="s">
        <v>165</v>
      </c>
      <c r="S808" s="399">
        <v>60</v>
      </c>
      <c r="T808" s="348" t="s">
        <v>3362</v>
      </c>
      <c r="U808" s="520">
        <v>15000</v>
      </c>
      <c r="V808" s="266">
        <v>900000</v>
      </c>
      <c r="W808" s="521" t="s">
        <v>10</v>
      </c>
      <c r="X808" s="521" t="s">
        <v>11</v>
      </c>
      <c r="Y808" s="522" t="s">
        <v>2092</v>
      </c>
      <c r="Z808" s="523" t="s">
        <v>2634</v>
      </c>
    </row>
    <row r="809" spans="1:26" ht="37.5">
      <c r="A809" s="513">
        <v>807</v>
      </c>
      <c r="B809" s="390"/>
      <c r="C809" s="515" t="s">
        <v>3073</v>
      </c>
      <c r="D809" s="262" t="s">
        <v>1067</v>
      </c>
      <c r="E809" s="513">
        <v>808</v>
      </c>
      <c r="F809" s="544" t="s">
        <v>3073</v>
      </c>
      <c r="G809" s="577">
        <v>45536</v>
      </c>
      <c r="H809" s="577">
        <v>45537</v>
      </c>
      <c r="I809" s="577">
        <v>45537</v>
      </c>
      <c r="J809" s="577">
        <v>45537</v>
      </c>
      <c r="K809" s="517">
        <v>45538</v>
      </c>
      <c r="L809" s="518" t="s">
        <v>2180</v>
      </c>
      <c r="M809" s="264" t="s">
        <v>2640</v>
      </c>
      <c r="N809" s="262" t="s">
        <v>2201</v>
      </c>
      <c r="O809" s="390" t="s">
        <v>2316</v>
      </c>
      <c r="P809" s="264" t="s">
        <v>467</v>
      </c>
      <c r="Q809" s="264" t="s">
        <v>8</v>
      </c>
      <c r="R809" s="519" t="s">
        <v>2635</v>
      </c>
      <c r="S809" s="399">
        <v>60</v>
      </c>
      <c r="T809" s="348" t="s">
        <v>3362</v>
      </c>
      <c r="U809" s="520">
        <v>40000</v>
      </c>
      <c r="V809" s="266">
        <v>2400000</v>
      </c>
      <c r="W809" s="521" t="s">
        <v>2507</v>
      </c>
      <c r="X809" s="521" t="s">
        <v>2508</v>
      </c>
      <c r="Y809" s="522" t="s">
        <v>2516</v>
      </c>
      <c r="Z809" s="523" t="s">
        <v>2636</v>
      </c>
    </row>
    <row r="810" spans="1:26" ht="29">
      <c r="A810" s="513">
        <v>808</v>
      </c>
      <c r="B810" s="390"/>
      <c r="C810" s="515" t="s">
        <v>3074</v>
      </c>
      <c r="D810" s="262" t="s">
        <v>1068</v>
      </c>
      <c r="E810" s="513">
        <v>809</v>
      </c>
      <c r="F810" s="544" t="s">
        <v>3074</v>
      </c>
      <c r="G810" s="577">
        <v>45536</v>
      </c>
      <c r="H810" s="577">
        <v>45537</v>
      </c>
      <c r="I810" s="577">
        <v>45537</v>
      </c>
      <c r="J810" s="577">
        <v>45537</v>
      </c>
      <c r="K810" s="517">
        <v>45548</v>
      </c>
      <c r="L810" s="518" t="s">
        <v>705</v>
      </c>
      <c r="M810" s="264" t="s">
        <v>2587</v>
      </c>
      <c r="N810" s="262" t="s">
        <v>2176</v>
      </c>
      <c r="O810" s="390" t="s">
        <v>255</v>
      </c>
      <c r="P810" s="264" t="str">
        <f>O810</f>
        <v>PAPER CLIP  Paper Clip No 1</v>
      </c>
      <c r="Q810" s="264" t="s">
        <v>710</v>
      </c>
      <c r="R810" s="519" t="s">
        <v>144</v>
      </c>
      <c r="S810" s="399">
        <v>5</v>
      </c>
      <c r="T810" s="348" t="s">
        <v>3362</v>
      </c>
      <c r="U810" s="520">
        <v>5000</v>
      </c>
      <c r="V810" s="266">
        <v>25000</v>
      </c>
      <c r="W810" s="521" t="s">
        <v>227</v>
      </c>
      <c r="X810" s="521" t="s">
        <v>3383</v>
      </c>
      <c r="Y810" s="522" t="s">
        <v>2512</v>
      </c>
      <c r="Z810" s="523" t="s">
        <v>541</v>
      </c>
    </row>
    <row r="811" spans="1:26" ht="29">
      <c r="A811" s="513">
        <v>809</v>
      </c>
      <c r="B811" s="390"/>
      <c r="C811" s="515" t="s">
        <v>3074</v>
      </c>
      <c r="D811" s="262" t="s">
        <v>1068</v>
      </c>
      <c r="E811" s="513">
        <v>810</v>
      </c>
      <c r="F811" s="544" t="s">
        <v>3074</v>
      </c>
      <c r="G811" s="577">
        <v>45536</v>
      </c>
      <c r="H811" s="577">
        <v>45537</v>
      </c>
      <c r="I811" s="577">
        <v>45537</v>
      </c>
      <c r="J811" s="577">
        <v>45537</v>
      </c>
      <c r="K811" s="517">
        <v>45548</v>
      </c>
      <c r="L811" s="518" t="s">
        <v>705</v>
      </c>
      <c r="M811" s="264" t="s">
        <v>2587</v>
      </c>
      <c r="N811" s="262" t="s">
        <v>2176</v>
      </c>
      <c r="O811" s="390" t="s">
        <v>2260</v>
      </c>
      <c r="P811" s="264" t="str">
        <f>O811</f>
        <v>Tinta Printer Canon 740 Hitam-740 Hitam</v>
      </c>
      <c r="Q811" s="264" t="s">
        <v>710</v>
      </c>
      <c r="R811" s="519" t="s">
        <v>159</v>
      </c>
      <c r="S811" s="399">
        <v>8</v>
      </c>
      <c r="T811" s="348" t="s">
        <v>3367</v>
      </c>
      <c r="U811" s="520">
        <v>30000</v>
      </c>
      <c r="V811" s="266">
        <v>240000</v>
      </c>
      <c r="W811" s="521" t="s">
        <v>227</v>
      </c>
      <c r="X811" s="521" t="s">
        <v>3383</v>
      </c>
      <c r="Y811" s="522" t="s">
        <v>2512</v>
      </c>
      <c r="Z811" s="523" t="s">
        <v>541</v>
      </c>
    </row>
    <row r="812" spans="1:26" ht="29">
      <c r="A812" s="513">
        <v>810</v>
      </c>
      <c r="B812" s="390"/>
      <c r="C812" s="515" t="s">
        <v>3074</v>
      </c>
      <c r="D812" s="262" t="s">
        <v>1068</v>
      </c>
      <c r="E812" s="513">
        <v>811</v>
      </c>
      <c r="F812" s="544" t="s">
        <v>3074</v>
      </c>
      <c r="G812" s="577">
        <v>45536</v>
      </c>
      <c r="H812" s="577">
        <v>45537</v>
      </c>
      <c r="I812" s="577">
        <v>45537</v>
      </c>
      <c r="J812" s="577">
        <v>45537</v>
      </c>
      <c r="K812" s="517">
        <v>45548</v>
      </c>
      <c r="L812" s="518" t="s">
        <v>705</v>
      </c>
      <c r="M812" s="264" t="s">
        <v>2587</v>
      </c>
      <c r="N812" s="262" t="s">
        <v>2176</v>
      </c>
      <c r="O812" s="390" t="s">
        <v>238</v>
      </c>
      <c r="P812" s="264" t="str">
        <f>O812</f>
        <v>Binder Klip  nomor 111</v>
      </c>
      <c r="Q812" s="264" t="s">
        <v>710</v>
      </c>
      <c r="R812" s="519" t="s">
        <v>109</v>
      </c>
      <c r="S812" s="399">
        <v>5</v>
      </c>
      <c r="T812" s="348" t="s">
        <v>3362</v>
      </c>
      <c r="U812" s="520">
        <v>11000</v>
      </c>
      <c r="V812" s="266">
        <v>55000</v>
      </c>
      <c r="W812" s="521" t="s">
        <v>227</v>
      </c>
      <c r="X812" s="521" t="s">
        <v>3383</v>
      </c>
      <c r="Y812" s="522" t="s">
        <v>2512</v>
      </c>
      <c r="Z812" s="523" t="s">
        <v>541</v>
      </c>
    </row>
    <row r="813" spans="1:26" ht="43.5">
      <c r="A813" s="513">
        <v>811</v>
      </c>
      <c r="B813" s="390"/>
      <c r="C813" s="515" t="s">
        <v>3074</v>
      </c>
      <c r="D813" s="262" t="s">
        <v>1068</v>
      </c>
      <c r="E813" s="513">
        <v>812</v>
      </c>
      <c r="F813" s="544" t="s">
        <v>3074</v>
      </c>
      <c r="G813" s="577">
        <v>45536</v>
      </c>
      <c r="H813" s="577">
        <v>45537</v>
      </c>
      <c r="I813" s="577">
        <v>45537</v>
      </c>
      <c r="J813" s="577">
        <v>45537</v>
      </c>
      <c r="K813" s="517">
        <v>45548</v>
      </c>
      <c r="L813" s="518" t="s">
        <v>705</v>
      </c>
      <c r="M813" s="264" t="s">
        <v>2587</v>
      </c>
      <c r="N813" s="262" t="s">
        <v>2176</v>
      </c>
      <c r="O813" s="390" t="s">
        <v>262</v>
      </c>
      <c r="P813" s="264" t="str">
        <f>O813</f>
        <v>Spidol White board</v>
      </c>
      <c r="Q813" s="264" t="s">
        <v>710</v>
      </c>
      <c r="R813" s="519" t="s">
        <v>151</v>
      </c>
      <c r="S813" s="399">
        <v>2</v>
      </c>
      <c r="T813" s="348" t="s">
        <v>3364</v>
      </c>
      <c r="U813" s="520">
        <v>120000</v>
      </c>
      <c r="V813" s="266">
        <v>240000</v>
      </c>
      <c r="W813" s="521" t="s">
        <v>227</v>
      </c>
      <c r="X813" s="521" t="s">
        <v>3383</v>
      </c>
      <c r="Y813" s="522" t="s">
        <v>2512</v>
      </c>
      <c r="Z813" s="523" t="s">
        <v>541</v>
      </c>
    </row>
    <row r="814" spans="1:26" ht="37.5">
      <c r="A814" s="513">
        <v>812</v>
      </c>
      <c r="B814" s="390"/>
      <c r="C814" s="515" t="s">
        <v>3074</v>
      </c>
      <c r="D814" s="262" t="s">
        <v>1068</v>
      </c>
      <c r="E814" s="513">
        <v>813</v>
      </c>
      <c r="F814" s="544" t="s">
        <v>3074</v>
      </c>
      <c r="G814" s="577">
        <v>45536</v>
      </c>
      <c r="H814" s="577">
        <v>45537</v>
      </c>
      <c r="I814" s="577">
        <v>45537</v>
      </c>
      <c r="J814" s="577">
        <v>45537</v>
      </c>
      <c r="K814" s="517">
        <v>45548</v>
      </c>
      <c r="L814" s="518" t="s">
        <v>705</v>
      </c>
      <c r="M814" s="264" t="s">
        <v>2587</v>
      </c>
      <c r="N814" s="262" t="s">
        <v>2176</v>
      </c>
      <c r="O814" s="390" t="s">
        <v>252</v>
      </c>
      <c r="P814" s="524" t="s">
        <v>2571</v>
      </c>
      <c r="Q814" s="264" t="s">
        <v>710</v>
      </c>
      <c r="R814" s="519" t="s">
        <v>136</v>
      </c>
      <c r="S814" s="399">
        <v>5</v>
      </c>
      <c r="T814" s="348" t="s">
        <v>2436</v>
      </c>
      <c r="U814" s="520">
        <v>15000</v>
      </c>
      <c r="V814" s="266">
        <v>75000</v>
      </c>
      <c r="W814" s="521" t="s">
        <v>227</v>
      </c>
      <c r="X814" s="521" t="s">
        <v>3383</v>
      </c>
      <c r="Y814" s="522" t="s">
        <v>2512</v>
      </c>
      <c r="Z814" s="523" t="s">
        <v>541</v>
      </c>
    </row>
    <row r="815" spans="1:26" ht="29">
      <c r="A815" s="513">
        <v>813</v>
      </c>
      <c r="B815" s="390"/>
      <c r="C815" s="515" t="s">
        <v>3074</v>
      </c>
      <c r="D815" s="262" t="s">
        <v>1068</v>
      </c>
      <c r="E815" s="513">
        <v>814</v>
      </c>
      <c r="F815" s="544" t="s">
        <v>3074</v>
      </c>
      <c r="G815" s="577">
        <v>45536</v>
      </c>
      <c r="H815" s="577">
        <v>45537</v>
      </c>
      <c r="I815" s="577">
        <v>45537</v>
      </c>
      <c r="J815" s="577">
        <v>45537</v>
      </c>
      <c r="K815" s="517">
        <v>45548</v>
      </c>
      <c r="L815" s="518" t="s">
        <v>705</v>
      </c>
      <c r="M815" s="264" t="s">
        <v>2587</v>
      </c>
      <c r="N815" s="262" t="s">
        <v>2176</v>
      </c>
      <c r="O815" s="390" t="s">
        <v>263</v>
      </c>
      <c r="P815" s="264" t="str">
        <f t="shared" ref="P815:P829" si="34">O815</f>
        <v>Stofmap Kertas</v>
      </c>
      <c r="Q815" s="264" t="s">
        <v>710</v>
      </c>
      <c r="R815" s="519" t="s">
        <v>156</v>
      </c>
      <c r="S815" s="399">
        <v>1</v>
      </c>
      <c r="T815" s="348" t="s">
        <v>3370</v>
      </c>
      <c r="U815" s="520">
        <v>87500</v>
      </c>
      <c r="V815" s="266">
        <v>87500</v>
      </c>
      <c r="W815" s="521" t="s">
        <v>227</v>
      </c>
      <c r="X815" s="521" t="s">
        <v>3383</v>
      </c>
      <c r="Y815" s="522" t="s">
        <v>2512</v>
      </c>
      <c r="Z815" s="523" t="s">
        <v>541</v>
      </c>
    </row>
    <row r="816" spans="1:26" ht="29">
      <c r="A816" s="513">
        <v>814</v>
      </c>
      <c r="B816" s="390"/>
      <c r="C816" s="515" t="s">
        <v>3074</v>
      </c>
      <c r="D816" s="262" t="s">
        <v>1068</v>
      </c>
      <c r="E816" s="513">
        <v>815</v>
      </c>
      <c r="F816" s="544" t="s">
        <v>3074</v>
      </c>
      <c r="G816" s="577">
        <v>45536</v>
      </c>
      <c r="H816" s="577">
        <v>45537</v>
      </c>
      <c r="I816" s="577">
        <v>45537</v>
      </c>
      <c r="J816" s="577">
        <v>45537</v>
      </c>
      <c r="K816" s="517">
        <v>45548</v>
      </c>
      <c r="L816" s="518" t="s">
        <v>705</v>
      </c>
      <c r="M816" s="264" t="s">
        <v>2587</v>
      </c>
      <c r="N816" s="262" t="s">
        <v>2176</v>
      </c>
      <c r="O816" s="390" t="s">
        <v>2254</v>
      </c>
      <c r="P816" s="264" t="str">
        <f t="shared" si="34"/>
        <v>USB FLASH DISK USB/Flash Disk 4GB</v>
      </c>
      <c r="Q816" s="264" t="s">
        <v>710</v>
      </c>
      <c r="R816" s="519" t="s">
        <v>162</v>
      </c>
      <c r="S816" s="399">
        <v>1</v>
      </c>
      <c r="T816" s="348" t="s">
        <v>3363</v>
      </c>
      <c r="U816" s="520">
        <v>80000</v>
      </c>
      <c r="V816" s="266">
        <v>80000</v>
      </c>
      <c r="W816" s="521" t="s">
        <v>227</v>
      </c>
      <c r="X816" s="521" t="s">
        <v>3383</v>
      </c>
      <c r="Y816" s="522" t="s">
        <v>2512</v>
      </c>
      <c r="Z816" s="523" t="s">
        <v>541</v>
      </c>
    </row>
    <row r="817" spans="1:26" ht="29">
      <c r="A817" s="513">
        <v>815</v>
      </c>
      <c r="B817" s="390"/>
      <c r="C817" s="515" t="s">
        <v>3074</v>
      </c>
      <c r="D817" s="262" t="s">
        <v>1068</v>
      </c>
      <c r="E817" s="513">
        <v>816</v>
      </c>
      <c r="F817" s="544" t="s">
        <v>3074</v>
      </c>
      <c r="G817" s="577">
        <v>45536</v>
      </c>
      <c r="H817" s="577">
        <v>45537</v>
      </c>
      <c r="I817" s="577">
        <v>45537</v>
      </c>
      <c r="J817" s="577">
        <v>45537</v>
      </c>
      <c r="K817" s="517">
        <v>45548</v>
      </c>
      <c r="L817" s="518" t="s">
        <v>705</v>
      </c>
      <c r="M817" s="264" t="s">
        <v>2587</v>
      </c>
      <c r="N817" s="262" t="s">
        <v>2176</v>
      </c>
      <c r="O817" s="390" t="s">
        <v>2246</v>
      </c>
      <c r="P817" s="264" t="str">
        <f t="shared" si="34"/>
        <v>Materai 10.000</v>
      </c>
      <c r="Q817" s="264" t="s">
        <v>710</v>
      </c>
      <c r="R817" s="519" t="s">
        <v>2603</v>
      </c>
      <c r="S817" s="399">
        <v>100</v>
      </c>
      <c r="T817" s="348" t="s">
        <v>3363</v>
      </c>
      <c r="U817" s="520">
        <v>12000</v>
      </c>
      <c r="V817" s="266">
        <v>1080000</v>
      </c>
      <c r="W817" s="521" t="s">
        <v>227</v>
      </c>
      <c r="X817" s="521" t="s">
        <v>3383</v>
      </c>
      <c r="Y817" s="522" t="s">
        <v>2512</v>
      </c>
      <c r="Z817" s="523" t="s">
        <v>541</v>
      </c>
    </row>
    <row r="818" spans="1:26" ht="29">
      <c r="A818" s="513">
        <v>816</v>
      </c>
      <c r="B818" s="390"/>
      <c r="C818" s="515" t="s">
        <v>3074</v>
      </c>
      <c r="D818" s="262" t="s">
        <v>1068</v>
      </c>
      <c r="E818" s="513">
        <v>817</v>
      </c>
      <c r="F818" s="544" t="s">
        <v>3074</v>
      </c>
      <c r="G818" s="577">
        <v>45536</v>
      </c>
      <c r="H818" s="577">
        <v>45537</v>
      </c>
      <c r="I818" s="577">
        <v>45537</v>
      </c>
      <c r="J818" s="577">
        <v>45537</v>
      </c>
      <c r="K818" s="517">
        <v>45548</v>
      </c>
      <c r="L818" s="518" t="s">
        <v>705</v>
      </c>
      <c r="M818" s="264" t="s">
        <v>2587</v>
      </c>
      <c r="N818" s="262" t="s">
        <v>2176</v>
      </c>
      <c r="O818" s="390" t="s">
        <v>246</v>
      </c>
      <c r="P818" s="264" t="str">
        <f t="shared" si="34"/>
        <v>C. Tinta Printer EPSON Tinta Printer Epson Yellow</v>
      </c>
      <c r="Q818" s="264" t="s">
        <v>710</v>
      </c>
      <c r="R818" s="519" t="s">
        <v>119</v>
      </c>
      <c r="S818" s="399">
        <v>4</v>
      </c>
      <c r="T818" s="348" t="s">
        <v>3367</v>
      </c>
      <c r="U818" s="520">
        <v>110000</v>
      </c>
      <c r="V818" s="266">
        <v>440000</v>
      </c>
      <c r="W818" s="521" t="s">
        <v>227</v>
      </c>
      <c r="X818" s="521" t="s">
        <v>3383</v>
      </c>
      <c r="Y818" s="522" t="s">
        <v>2512</v>
      </c>
      <c r="Z818" s="523" t="s">
        <v>541</v>
      </c>
    </row>
    <row r="819" spans="1:26" ht="29">
      <c r="A819" s="513">
        <v>817</v>
      </c>
      <c r="B819" s="390"/>
      <c r="C819" s="515" t="s">
        <v>3074</v>
      </c>
      <c r="D819" s="262" t="s">
        <v>1068</v>
      </c>
      <c r="E819" s="513">
        <v>818</v>
      </c>
      <c r="F819" s="544" t="s">
        <v>3074</v>
      </c>
      <c r="G819" s="577">
        <v>45536</v>
      </c>
      <c r="H819" s="577">
        <v>45537</v>
      </c>
      <c r="I819" s="577">
        <v>45537</v>
      </c>
      <c r="J819" s="577">
        <v>45537</v>
      </c>
      <c r="K819" s="517">
        <v>45548</v>
      </c>
      <c r="L819" s="518" t="s">
        <v>705</v>
      </c>
      <c r="M819" s="264" t="s">
        <v>2587</v>
      </c>
      <c r="N819" s="262" t="s">
        <v>2176</v>
      </c>
      <c r="O819" s="390" t="s">
        <v>2239</v>
      </c>
      <c r="P819" s="264" t="str">
        <f t="shared" si="34"/>
        <v>Tinta Printer Canon 741 Warna-741 Warna</v>
      </c>
      <c r="Q819" s="264" t="s">
        <v>710</v>
      </c>
      <c r="R819" s="519" t="s">
        <v>160</v>
      </c>
      <c r="S819" s="399">
        <v>12</v>
      </c>
      <c r="T819" s="348" t="s">
        <v>3367</v>
      </c>
      <c r="U819" s="520">
        <v>33000</v>
      </c>
      <c r="V819" s="266">
        <v>396000</v>
      </c>
      <c r="W819" s="521" t="s">
        <v>227</v>
      </c>
      <c r="X819" s="521" t="s">
        <v>3383</v>
      </c>
      <c r="Y819" s="522" t="s">
        <v>2512</v>
      </c>
      <c r="Z819" s="523" t="s">
        <v>541</v>
      </c>
    </row>
    <row r="820" spans="1:26" ht="29">
      <c r="A820" s="513">
        <v>818</v>
      </c>
      <c r="B820" s="390"/>
      <c r="C820" s="515" t="s">
        <v>3074</v>
      </c>
      <c r="D820" s="262" t="s">
        <v>1068</v>
      </c>
      <c r="E820" s="513">
        <v>819</v>
      </c>
      <c r="F820" s="544" t="s">
        <v>3074</v>
      </c>
      <c r="G820" s="577">
        <v>45536</v>
      </c>
      <c r="H820" s="577">
        <v>45537</v>
      </c>
      <c r="I820" s="577">
        <v>45537</v>
      </c>
      <c r="J820" s="577">
        <v>45537</v>
      </c>
      <c r="K820" s="517">
        <v>45548</v>
      </c>
      <c r="L820" s="518" t="s">
        <v>705</v>
      </c>
      <c r="M820" s="264" t="s">
        <v>2587</v>
      </c>
      <c r="N820" s="262" t="s">
        <v>2176</v>
      </c>
      <c r="O820" s="390" t="s">
        <v>248</v>
      </c>
      <c r="P820" s="264" t="str">
        <f t="shared" si="34"/>
        <v>Kertas Label</v>
      </c>
      <c r="Q820" s="264" t="s">
        <v>710</v>
      </c>
      <c r="R820" s="525" t="s">
        <v>2597</v>
      </c>
      <c r="S820" s="399">
        <v>5</v>
      </c>
      <c r="T820" s="348" t="s">
        <v>3368</v>
      </c>
      <c r="U820" s="520">
        <v>25000</v>
      </c>
      <c r="V820" s="266">
        <v>125000</v>
      </c>
      <c r="W820" s="521" t="s">
        <v>227</v>
      </c>
      <c r="X820" s="521" t="s">
        <v>3383</v>
      </c>
      <c r="Y820" s="522" t="s">
        <v>2512</v>
      </c>
      <c r="Z820" s="523" t="s">
        <v>541</v>
      </c>
    </row>
    <row r="821" spans="1:26" ht="43.5">
      <c r="A821" s="513">
        <v>819</v>
      </c>
      <c r="B821" s="390"/>
      <c r="C821" s="515" t="s">
        <v>3074</v>
      </c>
      <c r="D821" s="262" t="s">
        <v>1068</v>
      </c>
      <c r="E821" s="513">
        <v>820</v>
      </c>
      <c r="F821" s="544" t="s">
        <v>3074</v>
      </c>
      <c r="G821" s="577">
        <v>45536</v>
      </c>
      <c r="H821" s="577">
        <v>45537</v>
      </c>
      <c r="I821" s="577">
        <v>45537</v>
      </c>
      <c r="J821" s="577">
        <v>45537</v>
      </c>
      <c r="K821" s="517">
        <v>45548</v>
      </c>
      <c r="L821" s="518" t="s">
        <v>705</v>
      </c>
      <c r="M821" s="264" t="s">
        <v>2587</v>
      </c>
      <c r="N821" s="262" t="s">
        <v>2176</v>
      </c>
      <c r="O821" s="390" t="s">
        <v>261</v>
      </c>
      <c r="P821" s="264" t="str">
        <f t="shared" si="34"/>
        <v>Spidol Refil Spidol White Board Snowman</v>
      </c>
      <c r="Q821" s="264" t="s">
        <v>710</v>
      </c>
      <c r="R821" s="519" t="s">
        <v>150</v>
      </c>
      <c r="S821" s="399">
        <v>10</v>
      </c>
      <c r="T821" s="348" t="s">
        <v>3363</v>
      </c>
      <c r="U821" s="520">
        <v>20900</v>
      </c>
      <c r="V821" s="266">
        <v>209000</v>
      </c>
      <c r="W821" s="521" t="s">
        <v>227</v>
      </c>
      <c r="X821" s="521" t="s">
        <v>3383</v>
      </c>
      <c r="Y821" s="522" t="s">
        <v>2512</v>
      </c>
      <c r="Z821" s="523" t="s">
        <v>541</v>
      </c>
    </row>
    <row r="822" spans="1:26" ht="29">
      <c r="A822" s="513">
        <v>820</v>
      </c>
      <c r="B822" s="390"/>
      <c r="C822" s="515" t="s">
        <v>3074</v>
      </c>
      <c r="D822" s="262" t="s">
        <v>1068</v>
      </c>
      <c r="E822" s="513">
        <v>821</v>
      </c>
      <c r="F822" s="544" t="s">
        <v>3074</v>
      </c>
      <c r="G822" s="577">
        <v>45536</v>
      </c>
      <c r="H822" s="577">
        <v>45537</v>
      </c>
      <c r="I822" s="577">
        <v>45537</v>
      </c>
      <c r="J822" s="577">
        <v>45537</v>
      </c>
      <c r="K822" s="517">
        <v>45548</v>
      </c>
      <c r="L822" s="518" t="s">
        <v>705</v>
      </c>
      <c r="M822" s="264" t="s">
        <v>2587</v>
      </c>
      <c r="N822" s="262" t="s">
        <v>2176</v>
      </c>
      <c r="O822" s="390" t="s">
        <v>245</v>
      </c>
      <c r="P822" s="264" t="str">
        <f t="shared" si="34"/>
        <v>C. Tinta Printer EPSON Tinta Printer Epson Read</v>
      </c>
      <c r="Q822" s="264" t="s">
        <v>710</v>
      </c>
      <c r="R822" s="528" t="s">
        <v>118</v>
      </c>
      <c r="S822" s="399">
        <v>4</v>
      </c>
      <c r="T822" s="348" t="s">
        <v>3367</v>
      </c>
      <c r="U822" s="520">
        <v>110000</v>
      </c>
      <c r="V822" s="266">
        <v>440000</v>
      </c>
      <c r="W822" s="521" t="s">
        <v>227</v>
      </c>
      <c r="X822" s="521" t="s">
        <v>3383</v>
      </c>
      <c r="Y822" s="522" t="s">
        <v>2512</v>
      </c>
      <c r="Z822" s="523" t="s">
        <v>541</v>
      </c>
    </row>
    <row r="823" spans="1:26" ht="29">
      <c r="A823" s="513">
        <v>821</v>
      </c>
      <c r="B823" s="390"/>
      <c r="C823" s="515" t="s">
        <v>3074</v>
      </c>
      <c r="D823" s="262" t="s">
        <v>1068</v>
      </c>
      <c r="E823" s="513">
        <v>822</v>
      </c>
      <c r="F823" s="544" t="s">
        <v>3074</v>
      </c>
      <c r="G823" s="577">
        <v>45536</v>
      </c>
      <c r="H823" s="577">
        <v>45537</v>
      </c>
      <c r="I823" s="577">
        <v>45537</v>
      </c>
      <c r="J823" s="577">
        <v>45537</v>
      </c>
      <c r="K823" s="517">
        <v>45548</v>
      </c>
      <c r="L823" s="518" t="s">
        <v>705</v>
      </c>
      <c r="M823" s="264" t="s">
        <v>2587</v>
      </c>
      <c r="N823" s="262" t="s">
        <v>2176</v>
      </c>
      <c r="O823" s="390" t="s">
        <v>2261</v>
      </c>
      <c r="P823" s="264" t="str">
        <f t="shared" si="34"/>
        <v>Kertas HVS 60 gram Merk : Paper One HVS F4 uk. 8.27"x11.69"</v>
      </c>
      <c r="Q823" s="264" t="s">
        <v>710</v>
      </c>
      <c r="R823" s="519" t="s">
        <v>127</v>
      </c>
      <c r="S823" s="399">
        <v>10</v>
      </c>
      <c r="T823" s="348" t="s">
        <v>3369</v>
      </c>
      <c r="U823" s="520">
        <v>48500</v>
      </c>
      <c r="V823" s="266">
        <v>485000</v>
      </c>
      <c r="W823" s="521" t="s">
        <v>227</v>
      </c>
      <c r="X823" s="521" t="s">
        <v>3383</v>
      </c>
      <c r="Y823" s="522" t="s">
        <v>2512</v>
      </c>
      <c r="Z823" s="523" t="s">
        <v>541</v>
      </c>
    </row>
    <row r="824" spans="1:26" ht="29">
      <c r="A824" s="513">
        <v>822</v>
      </c>
      <c r="B824" s="390"/>
      <c r="C824" s="515" t="s">
        <v>3074</v>
      </c>
      <c r="D824" s="262" t="s">
        <v>1068</v>
      </c>
      <c r="E824" s="513">
        <v>823</v>
      </c>
      <c r="F824" s="544" t="s">
        <v>3074</v>
      </c>
      <c r="G824" s="577">
        <v>45536</v>
      </c>
      <c r="H824" s="577">
        <v>45537</v>
      </c>
      <c r="I824" s="577">
        <v>45537</v>
      </c>
      <c r="J824" s="577">
        <v>45537</v>
      </c>
      <c r="K824" s="517">
        <v>45548</v>
      </c>
      <c r="L824" s="518" t="s">
        <v>705</v>
      </c>
      <c r="M824" s="264" t="s">
        <v>2587</v>
      </c>
      <c r="N824" s="262" t="s">
        <v>2176</v>
      </c>
      <c r="O824" s="390" t="s">
        <v>260</v>
      </c>
      <c r="P824" s="264" t="str">
        <f t="shared" si="34"/>
        <v>Sampul Plastik</v>
      </c>
      <c r="Q824" s="264" t="s">
        <v>710</v>
      </c>
      <c r="R824" s="519" t="s">
        <v>149</v>
      </c>
      <c r="S824" s="399">
        <v>5</v>
      </c>
      <c r="T824" s="348" t="s">
        <v>3365</v>
      </c>
      <c r="U824" s="520">
        <v>65000</v>
      </c>
      <c r="V824" s="266">
        <v>325000</v>
      </c>
      <c r="W824" s="521" t="s">
        <v>227</v>
      </c>
      <c r="X824" s="521" t="s">
        <v>3383</v>
      </c>
      <c r="Y824" s="522" t="s">
        <v>2512</v>
      </c>
      <c r="Z824" s="523" t="s">
        <v>541</v>
      </c>
    </row>
    <row r="825" spans="1:26" ht="29">
      <c r="A825" s="513">
        <v>823</v>
      </c>
      <c r="B825" s="390"/>
      <c r="C825" s="515" t="s">
        <v>3074</v>
      </c>
      <c r="D825" s="262" t="s">
        <v>1068</v>
      </c>
      <c r="E825" s="513">
        <v>824</v>
      </c>
      <c r="F825" s="544" t="s">
        <v>3074</v>
      </c>
      <c r="G825" s="577">
        <v>45536</v>
      </c>
      <c r="H825" s="577">
        <v>45537</v>
      </c>
      <c r="I825" s="577">
        <v>45537</v>
      </c>
      <c r="J825" s="577">
        <v>45537</v>
      </c>
      <c r="K825" s="517">
        <v>45548</v>
      </c>
      <c r="L825" s="518" t="s">
        <v>705</v>
      </c>
      <c r="M825" s="264" t="s">
        <v>2587</v>
      </c>
      <c r="N825" s="262" t="s">
        <v>2176</v>
      </c>
      <c r="O825" s="390" t="s">
        <v>2247</v>
      </c>
      <c r="P825" s="264" t="str">
        <f t="shared" si="34"/>
        <v>Amplop Panjang Putih Polos Merk : Jaya Ukuran : 11 x 23 cm</v>
      </c>
      <c r="Q825" s="264" t="s">
        <v>710</v>
      </c>
      <c r="R825" s="519" t="s">
        <v>99</v>
      </c>
      <c r="S825" s="399">
        <v>1</v>
      </c>
      <c r="T825" s="348" t="s">
        <v>3362</v>
      </c>
      <c r="U825" s="520">
        <v>48000</v>
      </c>
      <c r="V825" s="266">
        <v>48000</v>
      </c>
      <c r="W825" s="521" t="s">
        <v>227</v>
      </c>
      <c r="X825" s="521" t="s">
        <v>3383</v>
      </c>
      <c r="Y825" s="522" t="s">
        <v>2512</v>
      </c>
      <c r="Z825" s="523" t="s">
        <v>541</v>
      </c>
    </row>
    <row r="826" spans="1:26" ht="29">
      <c r="A826" s="513">
        <v>824</v>
      </c>
      <c r="B826" s="390"/>
      <c r="C826" s="515" t="s">
        <v>3074</v>
      </c>
      <c r="D826" s="262" t="s">
        <v>1068</v>
      </c>
      <c r="E826" s="513">
        <v>825</v>
      </c>
      <c r="F826" s="544" t="s">
        <v>3074</v>
      </c>
      <c r="G826" s="577">
        <v>45536</v>
      </c>
      <c r="H826" s="577">
        <v>45537</v>
      </c>
      <c r="I826" s="577">
        <v>45537</v>
      </c>
      <c r="J826" s="577">
        <v>45537</v>
      </c>
      <c r="K826" s="517">
        <v>45548</v>
      </c>
      <c r="L826" s="518" t="s">
        <v>705</v>
      </c>
      <c r="M826" s="264" t="s">
        <v>2587</v>
      </c>
      <c r="N826" s="262" t="s">
        <v>2176</v>
      </c>
      <c r="O826" s="390" t="s">
        <v>259</v>
      </c>
      <c r="P826" s="264" t="str">
        <f t="shared" si="34"/>
        <v>Plastik Mika</v>
      </c>
      <c r="Q826" s="264" t="s">
        <v>710</v>
      </c>
      <c r="R826" s="519" t="s">
        <v>148</v>
      </c>
      <c r="S826" s="399">
        <v>5</v>
      </c>
      <c r="T826" s="348" t="s">
        <v>3365</v>
      </c>
      <c r="U826" s="520">
        <v>60000</v>
      </c>
      <c r="V826" s="266">
        <v>300000</v>
      </c>
      <c r="W826" s="521" t="s">
        <v>227</v>
      </c>
      <c r="X826" s="521" t="s">
        <v>3383</v>
      </c>
      <c r="Y826" s="522" t="s">
        <v>2512</v>
      </c>
      <c r="Z826" s="523" t="s">
        <v>541</v>
      </c>
    </row>
    <row r="827" spans="1:26" ht="29">
      <c r="A827" s="513">
        <v>825</v>
      </c>
      <c r="B827" s="390"/>
      <c r="C827" s="515" t="s">
        <v>3074</v>
      </c>
      <c r="D827" s="262" t="s">
        <v>1068</v>
      </c>
      <c r="E827" s="513">
        <v>826</v>
      </c>
      <c r="F827" s="544" t="s">
        <v>3074</v>
      </c>
      <c r="G827" s="577">
        <v>45536</v>
      </c>
      <c r="H827" s="577">
        <v>45537</v>
      </c>
      <c r="I827" s="577">
        <v>45537</v>
      </c>
      <c r="J827" s="577">
        <v>45537</v>
      </c>
      <c r="K827" s="517">
        <v>45548</v>
      </c>
      <c r="L827" s="518" t="s">
        <v>705</v>
      </c>
      <c r="M827" s="264" t="s">
        <v>2587</v>
      </c>
      <c r="N827" s="262" t="s">
        <v>2176</v>
      </c>
      <c r="O827" s="390" t="s">
        <v>2241</v>
      </c>
      <c r="P827" s="264" t="str">
        <f t="shared" si="34"/>
        <v>Stapler Stapler No, 50 MAX</v>
      </c>
      <c r="Q827" s="264" t="s">
        <v>710</v>
      </c>
      <c r="R827" s="519" t="s">
        <v>153</v>
      </c>
      <c r="S827" s="399">
        <v>2</v>
      </c>
      <c r="T827" s="348" t="s">
        <v>3363</v>
      </c>
      <c r="U827" s="520">
        <v>25000</v>
      </c>
      <c r="V827" s="266">
        <v>50000</v>
      </c>
      <c r="W827" s="521" t="s">
        <v>227</v>
      </c>
      <c r="X827" s="521" t="s">
        <v>3383</v>
      </c>
      <c r="Y827" s="522" t="s">
        <v>2512</v>
      </c>
      <c r="Z827" s="523" t="s">
        <v>541</v>
      </c>
    </row>
    <row r="828" spans="1:26" ht="29">
      <c r="A828" s="513">
        <v>826</v>
      </c>
      <c r="B828" s="390"/>
      <c r="C828" s="515" t="s">
        <v>3074</v>
      </c>
      <c r="D828" s="262" t="s">
        <v>1068</v>
      </c>
      <c r="E828" s="513">
        <v>827</v>
      </c>
      <c r="F828" s="544" t="s">
        <v>3074</v>
      </c>
      <c r="G828" s="577">
        <v>45536</v>
      </c>
      <c r="H828" s="577">
        <v>45537</v>
      </c>
      <c r="I828" s="577">
        <v>45537</v>
      </c>
      <c r="J828" s="577">
        <v>45537</v>
      </c>
      <c r="K828" s="517">
        <v>45548</v>
      </c>
      <c r="L828" s="518" t="s">
        <v>705</v>
      </c>
      <c r="M828" s="264" t="s">
        <v>2587</v>
      </c>
      <c r="N828" s="262" t="s">
        <v>2176</v>
      </c>
      <c r="O828" s="390" t="s">
        <v>264</v>
      </c>
      <c r="P828" s="264" t="str">
        <f t="shared" si="34"/>
        <v>Stofmap Transparan</v>
      </c>
      <c r="Q828" s="264" t="s">
        <v>710</v>
      </c>
      <c r="R828" s="519" t="s">
        <v>157</v>
      </c>
      <c r="S828" s="399">
        <v>100</v>
      </c>
      <c r="T828" s="348" t="s">
        <v>3363</v>
      </c>
      <c r="U828" s="520">
        <v>5500</v>
      </c>
      <c r="V828" s="266">
        <v>550000</v>
      </c>
      <c r="W828" s="521" t="s">
        <v>227</v>
      </c>
      <c r="X828" s="521" t="s">
        <v>3383</v>
      </c>
      <c r="Y828" s="522" t="s">
        <v>2512</v>
      </c>
      <c r="Z828" s="523" t="s">
        <v>541</v>
      </c>
    </row>
    <row r="829" spans="1:26" ht="29">
      <c r="A829" s="513">
        <v>827</v>
      </c>
      <c r="B829" s="390"/>
      <c r="C829" s="515" t="s">
        <v>3074</v>
      </c>
      <c r="D829" s="262" t="s">
        <v>1068</v>
      </c>
      <c r="E829" s="513">
        <v>828</v>
      </c>
      <c r="F829" s="544" t="s">
        <v>3074</v>
      </c>
      <c r="G829" s="577">
        <v>45536</v>
      </c>
      <c r="H829" s="577">
        <v>45537</v>
      </c>
      <c r="I829" s="577">
        <v>45537</v>
      </c>
      <c r="J829" s="577">
        <v>45537</v>
      </c>
      <c r="K829" s="517">
        <v>45548</v>
      </c>
      <c r="L829" s="518" t="s">
        <v>705</v>
      </c>
      <c r="M829" s="264" t="s">
        <v>2587</v>
      </c>
      <c r="N829" s="262" t="s">
        <v>2176</v>
      </c>
      <c r="O829" s="390" t="s">
        <v>234</v>
      </c>
      <c r="P829" s="264" t="str">
        <f t="shared" si="34"/>
        <v>Ballpoint Pilot G2</v>
      </c>
      <c r="Q829" s="264" t="s">
        <v>710</v>
      </c>
      <c r="R829" s="519" t="s">
        <v>102</v>
      </c>
      <c r="S829" s="399">
        <v>1</v>
      </c>
      <c r="T829" s="348" t="s">
        <v>3364</v>
      </c>
      <c r="U829" s="520">
        <v>235000</v>
      </c>
      <c r="V829" s="266">
        <v>235000</v>
      </c>
      <c r="W829" s="521" t="s">
        <v>227</v>
      </c>
      <c r="X829" s="521" t="s">
        <v>3383</v>
      </c>
      <c r="Y829" s="522" t="s">
        <v>2512</v>
      </c>
      <c r="Z829" s="523" t="s">
        <v>541</v>
      </c>
    </row>
    <row r="830" spans="1:26" ht="37.5">
      <c r="A830" s="513">
        <v>828</v>
      </c>
      <c r="B830" s="390"/>
      <c r="C830" s="515" t="s">
        <v>3074</v>
      </c>
      <c r="D830" s="262" t="s">
        <v>1068</v>
      </c>
      <c r="E830" s="513">
        <v>829</v>
      </c>
      <c r="F830" s="544" t="s">
        <v>3074</v>
      </c>
      <c r="G830" s="577">
        <v>45536</v>
      </c>
      <c r="H830" s="577">
        <v>45537</v>
      </c>
      <c r="I830" s="577">
        <v>45537</v>
      </c>
      <c r="J830" s="577">
        <v>45537</v>
      </c>
      <c r="K830" s="517">
        <v>45548</v>
      </c>
      <c r="L830" s="518" t="s">
        <v>705</v>
      </c>
      <c r="M830" s="264" t="s">
        <v>2587</v>
      </c>
      <c r="N830" s="262" t="s">
        <v>2176</v>
      </c>
      <c r="O830" s="390" t="s">
        <v>252</v>
      </c>
      <c r="P830" s="524" t="s">
        <v>2605</v>
      </c>
      <c r="Q830" s="264" t="s">
        <v>710</v>
      </c>
      <c r="R830" s="519" t="s">
        <v>134</v>
      </c>
      <c r="S830" s="399">
        <v>5</v>
      </c>
      <c r="T830" s="348" t="s">
        <v>2436</v>
      </c>
      <c r="U830" s="520">
        <v>10000</v>
      </c>
      <c r="V830" s="266">
        <v>50000</v>
      </c>
      <c r="W830" s="521" t="s">
        <v>227</v>
      </c>
      <c r="X830" s="521" t="s">
        <v>3383</v>
      </c>
      <c r="Y830" s="522" t="s">
        <v>2512</v>
      </c>
      <c r="Z830" s="523" t="s">
        <v>541</v>
      </c>
    </row>
    <row r="831" spans="1:26" ht="29">
      <c r="A831" s="513">
        <v>829</v>
      </c>
      <c r="B831" s="390"/>
      <c r="C831" s="515" t="s">
        <v>3074</v>
      </c>
      <c r="D831" s="262" t="s">
        <v>1068</v>
      </c>
      <c r="E831" s="513">
        <v>830</v>
      </c>
      <c r="F831" s="544" t="s">
        <v>3074</v>
      </c>
      <c r="G831" s="577">
        <v>45536</v>
      </c>
      <c r="H831" s="577">
        <v>45537</v>
      </c>
      <c r="I831" s="577">
        <v>45537</v>
      </c>
      <c r="J831" s="577">
        <v>45537</v>
      </c>
      <c r="K831" s="517">
        <v>45548</v>
      </c>
      <c r="L831" s="518" t="s">
        <v>705</v>
      </c>
      <c r="M831" s="264" t="s">
        <v>2587</v>
      </c>
      <c r="N831" s="262" t="s">
        <v>2176</v>
      </c>
      <c r="O831" s="390" t="s">
        <v>256</v>
      </c>
      <c r="P831" s="264" t="str">
        <f t="shared" ref="P831:P874" si="35">O831</f>
        <v>Paper Clip No 1  Paper Clip No 3</v>
      </c>
      <c r="Q831" s="264" t="s">
        <v>710</v>
      </c>
      <c r="R831" s="519" t="s">
        <v>145</v>
      </c>
      <c r="S831" s="399">
        <v>5</v>
      </c>
      <c r="T831" s="348" t="s">
        <v>3362</v>
      </c>
      <c r="U831" s="520">
        <v>6000</v>
      </c>
      <c r="V831" s="266">
        <v>30000</v>
      </c>
      <c r="W831" s="521" t="s">
        <v>227</v>
      </c>
      <c r="X831" s="521" t="s">
        <v>3383</v>
      </c>
      <c r="Y831" s="522" t="s">
        <v>2512</v>
      </c>
      <c r="Z831" s="523" t="s">
        <v>541</v>
      </c>
    </row>
    <row r="832" spans="1:26" ht="29">
      <c r="A832" s="513">
        <v>830</v>
      </c>
      <c r="B832" s="390"/>
      <c r="C832" s="515" t="s">
        <v>3074</v>
      </c>
      <c r="D832" s="262" t="s">
        <v>1068</v>
      </c>
      <c r="E832" s="513">
        <v>831</v>
      </c>
      <c r="F832" s="544" t="s">
        <v>3074</v>
      </c>
      <c r="G832" s="577">
        <v>45536</v>
      </c>
      <c r="H832" s="577">
        <v>45537</v>
      </c>
      <c r="I832" s="577">
        <v>45537</v>
      </c>
      <c r="J832" s="577">
        <v>45537</v>
      </c>
      <c r="K832" s="517">
        <v>45548</v>
      </c>
      <c r="L832" s="518" t="s">
        <v>705</v>
      </c>
      <c r="M832" s="264" t="s">
        <v>2587</v>
      </c>
      <c r="N832" s="262" t="s">
        <v>2176</v>
      </c>
      <c r="O832" s="390" t="s">
        <v>2243</v>
      </c>
      <c r="P832" s="264" t="str">
        <f t="shared" si="35"/>
        <v>Lakban Hitam uk 2 " Warna hitam uk. 2 "</v>
      </c>
      <c r="Q832" s="264" t="s">
        <v>710</v>
      </c>
      <c r="R832" s="519" t="s">
        <v>140</v>
      </c>
      <c r="S832" s="399">
        <v>5</v>
      </c>
      <c r="T832" s="348" t="s">
        <v>3363</v>
      </c>
      <c r="U832" s="520">
        <v>25000</v>
      </c>
      <c r="V832" s="266">
        <v>125000</v>
      </c>
      <c r="W832" s="521" t="s">
        <v>227</v>
      </c>
      <c r="X832" s="521" t="s">
        <v>3383</v>
      </c>
      <c r="Y832" s="522" t="s">
        <v>2512</v>
      </c>
      <c r="Z832" s="523" t="s">
        <v>541</v>
      </c>
    </row>
    <row r="833" spans="1:26" ht="29">
      <c r="A833" s="513">
        <v>831</v>
      </c>
      <c r="B833" s="390"/>
      <c r="C833" s="515" t="s">
        <v>3074</v>
      </c>
      <c r="D833" s="262" t="s">
        <v>1068</v>
      </c>
      <c r="E833" s="513">
        <v>832</v>
      </c>
      <c r="F833" s="544" t="s">
        <v>3074</v>
      </c>
      <c r="G833" s="577">
        <v>45536</v>
      </c>
      <c r="H833" s="577">
        <v>45537</v>
      </c>
      <c r="I833" s="577">
        <v>45537</v>
      </c>
      <c r="J833" s="577">
        <v>45537</v>
      </c>
      <c r="K833" s="517">
        <v>45548</v>
      </c>
      <c r="L833" s="518" t="s">
        <v>705</v>
      </c>
      <c r="M833" s="264" t="s">
        <v>2587</v>
      </c>
      <c r="N833" s="262" t="s">
        <v>2176</v>
      </c>
      <c r="O833" s="390" t="s">
        <v>242</v>
      </c>
      <c r="P833" s="264" t="str">
        <f t="shared" si="35"/>
        <v>Binder Klip Ordner</v>
      </c>
      <c r="Q833" s="264" t="s">
        <v>710</v>
      </c>
      <c r="R833" s="519" t="s">
        <v>113</v>
      </c>
      <c r="S833" s="399">
        <v>6</v>
      </c>
      <c r="T833" s="348" t="s">
        <v>3363</v>
      </c>
      <c r="U833" s="520">
        <v>49500</v>
      </c>
      <c r="V833" s="266">
        <v>297000</v>
      </c>
      <c r="W833" s="521" t="s">
        <v>227</v>
      </c>
      <c r="X833" s="521" t="s">
        <v>3383</v>
      </c>
      <c r="Y833" s="522" t="s">
        <v>2512</v>
      </c>
      <c r="Z833" s="523" t="s">
        <v>541</v>
      </c>
    </row>
    <row r="834" spans="1:26" ht="29">
      <c r="A834" s="513">
        <v>832</v>
      </c>
      <c r="B834" s="390"/>
      <c r="C834" s="515" t="s">
        <v>3074</v>
      </c>
      <c r="D834" s="262" t="s">
        <v>1068</v>
      </c>
      <c r="E834" s="513">
        <v>833</v>
      </c>
      <c r="F834" s="544" t="s">
        <v>3074</v>
      </c>
      <c r="G834" s="577">
        <v>45536</v>
      </c>
      <c r="H834" s="577">
        <v>45537</v>
      </c>
      <c r="I834" s="577">
        <v>45537</v>
      </c>
      <c r="J834" s="577">
        <v>45537</v>
      </c>
      <c r="K834" s="517">
        <v>45548</v>
      </c>
      <c r="L834" s="518" t="s">
        <v>705</v>
      </c>
      <c r="M834" s="264" t="s">
        <v>2587</v>
      </c>
      <c r="N834" s="262" t="s">
        <v>2176</v>
      </c>
      <c r="O834" s="390" t="s">
        <v>240</v>
      </c>
      <c r="P834" s="264" t="str">
        <f t="shared" si="35"/>
        <v>Binder Klip  nomor 260</v>
      </c>
      <c r="Q834" s="264" t="s">
        <v>710</v>
      </c>
      <c r="R834" s="525" t="s">
        <v>2602</v>
      </c>
      <c r="S834" s="399">
        <v>10</v>
      </c>
      <c r="T834" s="348" t="s">
        <v>3362</v>
      </c>
      <c r="U834" s="520">
        <v>20000</v>
      </c>
      <c r="V834" s="266">
        <v>200000</v>
      </c>
      <c r="W834" s="521" t="s">
        <v>227</v>
      </c>
      <c r="X834" s="521" t="s">
        <v>3383</v>
      </c>
      <c r="Y834" s="522" t="s">
        <v>2512</v>
      </c>
      <c r="Z834" s="523" t="s">
        <v>541</v>
      </c>
    </row>
    <row r="835" spans="1:26" ht="29">
      <c r="A835" s="513">
        <v>833</v>
      </c>
      <c r="B835" s="390"/>
      <c r="C835" s="515" t="s">
        <v>3074</v>
      </c>
      <c r="D835" s="262" t="s">
        <v>1068</v>
      </c>
      <c r="E835" s="513">
        <v>834</v>
      </c>
      <c r="F835" s="544" t="s">
        <v>3074</v>
      </c>
      <c r="G835" s="577">
        <v>45536</v>
      </c>
      <c r="H835" s="577">
        <v>45537</v>
      </c>
      <c r="I835" s="577">
        <v>45537</v>
      </c>
      <c r="J835" s="577">
        <v>45537</v>
      </c>
      <c r="K835" s="517">
        <v>45548</v>
      </c>
      <c r="L835" s="518" t="s">
        <v>705</v>
      </c>
      <c r="M835" s="264" t="s">
        <v>2587</v>
      </c>
      <c r="N835" s="262" t="s">
        <v>2176</v>
      </c>
      <c r="O835" s="390" t="s">
        <v>241</v>
      </c>
      <c r="P835" s="264" t="str">
        <f t="shared" si="35"/>
        <v>Binder Klip Merk : KENKO nomor 105</v>
      </c>
      <c r="Q835" s="264" t="s">
        <v>710</v>
      </c>
      <c r="R835" s="525" t="s">
        <v>2728</v>
      </c>
      <c r="S835" s="399">
        <v>2</v>
      </c>
      <c r="T835" s="348" t="s">
        <v>3362</v>
      </c>
      <c r="U835" s="520">
        <v>5000</v>
      </c>
      <c r="V835" s="266">
        <v>10000</v>
      </c>
      <c r="W835" s="521" t="s">
        <v>227</v>
      </c>
      <c r="X835" s="521" t="s">
        <v>3383</v>
      </c>
      <c r="Y835" s="522" t="s">
        <v>2512</v>
      </c>
      <c r="Z835" s="523" t="s">
        <v>541</v>
      </c>
    </row>
    <row r="836" spans="1:26" ht="29">
      <c r="A836" s="513">
        <v>834</v>
      </c>
      <c r="B836" s="390"/>
      <c r="C836" s="515" t="s">
        <v>3074</v>
      </c>
      <c r="D836" s="262" t="s">
        <v>1068</v>
      </c>
      <c r="E836" s="513">
        <v>835</v>
      </c>
      <c r="F836" s="544" t="s">
        <v>3074</v>
      </c>
      <c r="G836" s="577">
        <v>45536</v>
      </c>
      <c r="H836" s="577">
        <v>45537</v>
      </c>
      <c r="I836" s="577">
        <v>45537</v>
      </c>
      <c r="J836" s="577">
        <v>45537</v>
      </c>
      <c r="K836" s="517">
        <v>45548</v>
      </c>
      <c r="L836" s="518" t="s">
        <v>705</v>
      </c>
      <c r="M836" s="264" t="s">
        <v>2587</v>
      </c>
      <c r="N836" s="262" t="s">
        <v>2176</v>
      </c>
      <c r="O836" s="390" t="s">
        <v>2255</v>
      </c>
      <c r="P836" s="264" t="str">
        <f t="shared" si="35"/>
        <v>gunting kertas-ukuran : panjang 21cm x lebar 8cm, stainless steel</v>
      </c>
      <c r="Q836" s="264" t="s">
        <v>710</v>
      </c>
      <c r="R836" s="519" t="s">
        <v>123</v>
      </c>
      <c r="S836" s="399">
        <v>2</v>
      </c>
      <c r="T836" s="348" t="s">
        <v>3363</v>
      </c>
      <c r="U836" s="520">
        <v>20000</v>
      </c>
      <c r="V836" s="266">
        <v>40000</v>
      </c>
      <c r="W836" s="521" t="s">
        <v>227</v>
      </c>
      <c r="X836" s="521" t="s">
        <v>3383</v>
      </c>
      <c r="Y836" s="522" t="s">
        <v>2512</v>
      </c>
      <c r="Z836" s="523" t="s">
        <v>541</v>
      </c>
    </row>
    <row r="837" spans="1:26" ht="43.5">
      <c r="A837" s="513">
        <v>835</v>
      </c>
      <c r="B837" s="390"/>
      <c r="C837" s="515" t="s">
        <v>3074</v>
      </c>
      <c r="D837" s="262" t="s">
        <v>1068</v>
      </c>
      <c r="E837" s="513">
        <v>836</v>
      </c>
      <c r="F837" s="544" t="s">
        <v>3074</v>
      </c>
      <c r="G837" s="577">
        <v>45536</v>
      </c>
      <c r="H837" s="577">
        <v>45537</v>
      </c>
      <c r="I837" s="577">
        <v>45537</v>
      </c>
      <c r="J837" s="577">
        <v>45537</v>
      </c>
      <c r="K837" s="517">
        <v>45548</v>
      </c>
      <c r="L837" s="518" t="s">
        <v>705</v>
      </c>
      <c r="M837" s="264" t="s">
        <v>2587</v>
      </c>
      <c r="N837" s="262" t="s">
        <v>2176</v>
      </c>
      <c r="O837" s="390" t="s">
        <v>2253</v>
      </c>
      <c r="P837" s="264" t="str">
        <f t="shared" si="35"/>
        <v>Catridge Printer Epson T 014--</v>
      </c>
      <c r="Q837" s="264" t="s">
        <v>710</v>
      </c>
      <c r="R837" s="519" t="s">
        <v>122</v>
      </c>
      <c r="S837" s="399">
        <v>4</v>
      </c>
      <c r="T837" s="348" t="s">
        <v>3367</v>
      </c>
      <c r="U837" s="520">
        <v>310000</v>
      </c>
      <c r="V837" s="266">
        <v>1240000</v>
      </c>
      <c r="W837" s="521" t="s">
        <v>227</v>
      </c>
      <c r="X837" s="521" t="s">
        <v>3383</v>
      </c>
      <c r="Y837" s="522" t="s">
        <v>2512</v>
      </c>
      <c r="Z837" s="523" t="s">
        <v>541</v>
      </c>
    </row>
    <row r="838" spans="1:26" ht="29">
      <c r="A838" s="513">
        <v>836</v>
      </c>
      <c r="B838" s="390"/>
      <c r="C838" s="515" t="s">
        <v>3074</v>
      </c>
      <c r="D838" s="262" t="s">
        <v>1068</v>
      </c>
      <c r="E838" s="513">
        <v>837</v>
      </c>
      <c r="F838" s="544" t="s">
        <v>3074</v>
      </c>
      <c r="G838" s="577">
        <v>45536</v>
      </c>
      <c r="H838" s="577">
        <v>45537</v>
      </c>
      <c r="I838" s="577">
        <v>45537</v>
      </c>
      <c r="J838" s="577">
        <v>45537</v>
      </c>
      <c r="K838" s="517">
        <v>45548</v>
      </c>
      <c r="L838" s="518" t="s">
        <v>705</v>
      </c>
      <c r="M838" s="264" t="s">
        <v>2587</v>
      </c>
      <c r="N838" s="262" t="s">
        <v>2176</v>
      </c>
      <c r="O838" s="390" t="s">
        <v>237</v>
      </c>
      <c r="P838" s="264" t="str">
        <f t="shared" si="35"/>
        <v>Binder Klip  nomor 107</v>
      </c>
      <c r="Q838" s="264" t="s">
        <v>710</v>
      </c>
      <c r="R838" s="525" t="s">
        <v>2595</v>
      </c>
      <c r="S838" s="399">
        <v>5</v>
      </c>
      <c r="T838" s="348" t="s">
        <v>3362</v>
      </c>
      <c r="U838" s="520">
        <v>7500</v>
      </c>
      <c r="V838" s="266">
        <v>37500</v>
      </c>
      <c r="W838" s="521" t="s">
        <v>227</v>
      </c>
      <c r="X838" s="521" t="s">
        <v>3383</v>
      </c>
      <c r="Y838" s="522" t="s">
        <v>2512</v>
      </c>
      <c r="Z838" s="523" t="s">
        <v>541</v>
      </c>
    </row>
    <row r="839" spans="1:26" ht="29">
      <c r="A839" s="513">
        <v>837</v>
      </c>
      <c r="B839" s="390"/>
      <c r="C839" s="515" t="s">
        <v>3074</v>
      </c>
      <c r="D839" s="262" t="s">
        <v>1068</v>
      </c>
      <c r="E839" s="513">
        <v>838</v>
      </c>
      <c r="F839" s="544" t="s">
        <v>3074</v>
      </c>
      <c r="G839" s="577">
        <v>45536</v>
      </c>
      <c r="H839" s="577">
        <v>45537</v>
      </c>
      <c r="I839" s="577">
        <v>45537</v>
      </c>
      <c r="J839" s="577">
        <v>45537</v>
      </c>
      <c r="K839" s="517">
        <v>45548</v>
      </c>
      <c r="L839" s="518" t="s">
        <v>705</v>
      </c>
      <c r="M839" s="264" t="s">
        <v>2587</v>
      </c>
      <c r="N839" s="262" t="s">
        <v>2176</v>
      </c>
      <c r="O839" s="390" t="s">
        <v>233</v>
      </c>
      <c r="P839" s="264" t="str">
        <f t="shared" si="35"/>
        <v>Ballpoint Drawing Pen 0,1 Snowman</v>
      </c>
      <c r="Q839" s="264" t="s">
        <v>710</v>
      </c>
      <c r="R839" s="525" t="s">
        <v>2590</v>
      </c>
      <c r="S839" s="399">
        <v>1</v>
      </c>
      <c r="T839" s="348" t="s">
        <v>3364</v>
      </c>
      <c r="U839" s="520">
        <v>95000</v>
      </c>
      <c r="V839" s="266">
        <v>95000</v>
      </c>
      <c r="W839" s="521" t="s">
        <v>227</v>
      </c>
      <c r="X839" s="521" t="s">
        <v>3383</v>
      </c>
      <c r="Y839" s="522" t="s">
        <v>2512</v>
      </c>
      <c r="Z839" s="523" t="s">
        <v>541</v>
      </c>
    </row>
    <row r="840" spans="1:26" ht="29">
      <c r="A840" s="513">
        <v>838</v>
      </c>
      <c r="B840" s="390"/>
      <c r="C840" s="515" t="s">
        <v>3074</v>
      </c>
      <c r="D840" s="262" t="s">
        <v>1068</v>
      </c>
      <c r="E840" s="513">
        <v>839</v>
      </c>
      <c r="F840" s="544" t="s">
        <v>3074</v>
      </c>
      <c r="G840" s="577">
        <v>45536</v>
      </c>
      <c r="H840" s="577">
        <v>45537</v>
      </c>
      <c r="I840" s="577">
        <v>45537</v>
      </c>
      <c r="J840" s="577">
        <v>45537</v>
      </c>
      <c r="K840" s="517">
        <v>45548</v>
      </c>
      <c r="L840" s="518" t="s">
        <v>705</v>
      </c>
      <c r="M840" s="264" t="s">
        <v>2587</v>
      </c>
      <c r="N840" s="262" t="s">
        <v>2176</v>
      </c>
      <c r="O840" s="390" t="s">
        <v>2242</v>
      </c>
      <c r="P840" s="264" t="str">
        <f t="shared" si="35"/>
        <v>Lakban Hitam--</v>
      </c>
      <c r="Q840" s="264" t="s">
        <v>710</v>
      </c>
      <c r="R840" s="519" t="s">
        <v>137</v>
      </c>
      <c r="S840" s="399">
        <v>5</v>
      </c>
      <c r="T840" s="348" t="s">
        <v>3363</v>
      </c>
      <c r="U840" s="520">
        <v>15500</v>
      </c>
      <c r="V840" s="266">
        <v>77500</v>
      </c>
      <c r="W840" s="521" t="s">
        <v>227</v>
      </c>
      <c r="X840" s="521" t="s">
        <v>3383</v>
      </c>
      <c r="Y840" s="522" t="s">
        <v>2512</v>
      </c>
      <c r="Z840" s="523" t="s">
        <v>541</v>
      </c>
    </row>
    <row r="841" spans="1:26" ht="29">
      <c r="A841" s="513">
        <v>839</v>
      </c>
      <c r="B841" s="390"/>
      <c r="C841" s="515" t="s">
        <v>3074</v>
      </c>
      <c r="D841" s="262" t="s">
        <v>1068</v>
      </c>
      <c r="E841" s="513">
        <v>840</v>
      </c>
      <c r="F841" s="544" t="s">
        <v>3074</v>
      </c>
      <c r="G841" s="577">
        <v>45536</v>
      </c>
      <c r="H841" s="577">
        <v>45537</v>
      </c>
      <c r="I841" s="577">
        <v>45537</v>
      </c>
      <c r="J841" s="577">
        <v>45537</v>
      </c>
      <c r="K841" s="517">
        <v>45548</v>
      </c>
      <c r="L841" s="518" t="s">
        <v>705</v>
      </c>
      <c r="M841" s="264" t="s">
        <v>2587</v>
      </c>
      <c r="N841" s="262" t="s">
        <v>2176</v>
      </c>
      <c r="O841" s="390" t="s">
        <v>265</v>
      </c>
      <c r="P841" s="264" t="str">
        <f t="shared" si="35"/>
        <v>Tinta Stempel</v>
      </c>
      <c r="Q841" s="264" t="s">
        <v>710</v>
      </c>
      <c r="R841" s="519" t="s">
        <v>161</v>
      </c>
      <c r="S841" s="399">
        <v>5</v>
      </c>
      <c r="T841" s="348" t="s">
        <v>3367</v>
      </c>
      <c r="U841" s="520">
        <v>20000</v>
      </c>
      <c r="V841" s="266">
        <v>100000</v>
      </c>
      <c r="W841" s="521" t="s">
        <v>227</v>
      </c>
      <c r="X841" s="521" t="s">
        <v>3383</v>
      </c>
      <c r="Y841" s="522" t="s">
        <v>2512</v>
      </c>
      <c r="Z841" s="523" t="s">
        <v>541</v>
      </c>
    </row>
    <row r="842" spans="1:26" ht="29">
      <c r="A842" s="513">
        <v>840</v>
      </c>
      <c r="B842" s="390"/>
      <c r="C842" s="515" t="s">
        <v>3074</v>
      </c>
      <c r="D842" s="262" t="s">
        <v>1068</v>
      </c>
      <c r="E842" s="513">
        <v>841</v>
      </c>
      <c r="F842" s="544" t="s">
        <v>3074</v>
      </c>
      <c r="G842" s="577">
        <v>45536</v>
      </c>
      <c r="H842" s="577">
        <v>45537</v>
      </c>
      <c r="I842" s="577">
        <v>45537</v>
      </c>
      <c r="J842" s="577">
        <v>45537</v>
      </c>
      <c r="K842" s="517">
        <v>45548</v>
      </c>
      <c r="L842" s="518" t="s">
        <v>705</v>
      </c>
      <c r="M842" s="264" t="s">
        <v>2587</v>
      </c>
      <c r="N842" s="262" t="s">
        <v>2176</v>
      </c>
      <c r="O842" s="390" t="s">
        <v>2249</v>
      </c>
      <c r="P842" s="264" t="str">
        <f t="shared" si="35"/>
        <v>Baterey Tanggung</v>
      </c>
      <c r="Q842" s="264" t="s">
        <v>710</v>
      </c>
      <c r="R842" s="519" t="s">
        <v>107</v>
      </c>
      <c r="S842" s="399">
        <v>5</v>
      </c>
      <c r="T842" s="348" t="s">
        <v>3366</v>
      </c>
      <c r="U842" s="520">
        <v>20000</v>
      </c>
      <c r="V842" s="266">
        <v>100000</v>
      </c>
      <c r="W842" s="521" t="s">
        <v>227</v>
      </c>
      <c r="X842" s="521" t="s">
        <v>3383</v>
      </c>
      <c r="Y842" s="522" t="s">
        <v>2512</v>
      </c>
      <c r="Z842" s="523" t="s">
        <v>541</v>
      </c>
    </row>
    <row r="843" spans="1:26" ht="29">
      <c r="A843" s="513">
        <v>841</v>
      </c>
      <c r="B843" s="390"/>
      <c r="C843" s="515" t="s">
        <v>3074</v>
      </c>
      <c r="D843" s="262" t="s">
        <v>1068</v>
      </c>
      <c r="E843" s="513">
        <v>842</v>
      </c>
      <c r="F843" s="544" t="s">
        <v>3074</v>
      </c>
      <c r="G843" s="577">
        <v>45536</v>
      </c>
      <c r="H843" s="577">
        <v>45537</v>
      </c>
      <c r="I843" s="577">
        <v>45537</v>
      </c>
      <c r="J843" s="577">
        <v>45537</v>
      </c>
      <c r="K843" s="517">
        <v>45548</v>
      </c>
      <c r="L843" s="518" t="s">
        <v>705</v>
      </c>
      <c r="M843" s="264" t="s">
        <v>2587</v>
      </c>
      <c r="N843" s="262" t="s">
        <v>2176</v>
      </c>
      <c r="O843" s="390" t="s">
        <v>2256</v>
      </c>
      <c r="P843" s="264" t="str">
        <f t="shared" si="35"/>
        <v>Ballpoint Standard AE7</v>
      </c>
      <c r="Q843" s="264" t="s">
        <v>710</v>
      </c>
      <c r="R843" s="519" t="s">
        <v>103</v>
      </c>
      <c r="S843" s="399">
        <v>2</v>
      </c>
      <c r="T843" s="348" t="s">
        <v>3364</v>
      </c>
      <c r="U843" s="520">
        <v>20000</v>
      </c>
      <c r="V843" s="266">
        <v>40000</v>
      </c>
      <c r="W843" s="521" t="s">
        <v>227</v>
      </c>
      <c r="X843" s="521" t="s">
        <v>3383</v>
      </c>
      <c r="Y843" s="522" t="s">
        <v>2512</v>
      </c>
      <c r="Z843" s="523" t="s">
        <v>541</v>
      </c>
    </row>
    <row r="844" spans="1:26" ht="29">
      <c r="A844" s="513">
        <v>842</v>
      </c>
      <c r="B844" s="390"/>
      <c r="C844" s="515" t="s">
        <v>3074</v>
      </c>
      <c r="D844" s="262" t="s">
        <v>1068</v>
      </c>
      <c r="E844" s="513">
        <v>843</v>
      </c>
      <c r="F844" s="544" t="s">
        <v>3074</v>
      </c>
      <c r="G844" s="577">
        <v>45536</v>
      </c>
      <c r="H844" s="577">
        <v>45537</v>
      </c>
      <c r="I844" s="577">
        <v>45537</v>
      </c>
      <c r="J844" s="577">
        <v>45537</v>
      </c>
      <c r="K844" s="517">
        <v>45548</v>
      </c>
      <c r="L844" s="518" t="s">
        <v>705</v>
      </c>
      <c r="M844" s="264" t="s">
        <v>2587</v>
      </c>
      <c r="N844" s="262" t="s">
        <v>2176</v>
      </c>
      <c r="O844" s="390" t="s">
        <v>2257</v>
      </c>
      <c r="P844" s="264" t="str">
        <f t="shared" si="35"/>
        <v>lakban hitam-ukuran : lebar 2 inch, panjang 12m, bahan : kain</v>
      </c>
      <c r="Q844" s="264" t="s">
        <v>710</v>
      </c>
      <c r="R844" s="519" t="s">
        <v>137</v>
      </c>
      <c r="S844" s="399">
        <v>4</v>
      </c>
      <c r="T844" s="348" t="s">
        <v>3363</v>
      </c>
      <c r="U844" s="520">
        <v>12500</v>
      </c>
      <c r="V844" s="266">
        <v>50000</v>
      </c>
      <c r="W844" s="521" t="s">
        <v>227</v>
      </c>
      <c r="X844" s="521" t="s">
        <v>3383</v>
      </c>
      <c r="Y844" s="522" t="s">
        <v>2512</v>
      </c>
      <c r="Z844" s="523" t="s">
        <v>541</v>
      </c>
    </row>
    <row r="845" spans="1:26" ht="29">
      <c r="A845" s="513">
        <v>843</v>
      </c>
      <c r="B845" s="390"/>
      <c r="C845" s="515" t="s">
        <v>3074</v>
      </c>
      <c r="D845" s="262" t="s">
        <v>1068</v>
      </c>
      <c r="E845" s="513">
        <v>844</v>
      </c>
      <c r="F845" s="544" t="s">
        <v>3074</v>
      </c>
      <c r="G845" s="577">
        <v>45536</v>
      </c>
      <c r="H845" s="577">
        <v>45537</v>
      </c>
      <c r="I845" s="577">
        <v>45537</v>
      </c>
      <c r="J845" s="577">
        <v>45537</v>
      </c>
      <c r="K845" s="517">
        <v>45548</v>
      </c>
      <c r="L845" s="518" t="s">
        <v>705</v>
      </c>
      <c r="M845" s="264" t="s">
        <v>2587</v>
      </c>
      <c r="N845" s="262" t="s">
        <v>2176</v>
      </c>
      <c r="O845" s="390" t="s">
        <v>254</v>
      </c>
      <c r="P845" s="264" t="str">
        <f t="shared" si="35"/>
        <v>Map Binder</v>
      </c>
      <c r="Q845" s="264" t="s">
        <v>710</v>
      </c>
      <c r="R845" s="519" t="s">
        <v>142</v>
      </c>
      <c r="S845" s="399">
        <v>12</v>
      </c>
      <c r="T845" s="348" t="s">
        <v>3363</v>
      </c>
      <c r="U845" s="520">
        <v>35500</v>
      </c>
      <c r="V845" s="266">
        <v>426000</v>
      </c>
      <c r="W845" s="521" t="s">
        <v>227</v>
      </c>
      <c r="X845" s="521" t="s">
        <v>3383</v>
      </c>
      <c r="Y845" s="522" t="s">
        <v>2512</v>
      </c>
      <c r="Z845" s="523" t="s">
        <v>541</v>
      </c>
    </row>
    <row r="846" spans="1:26" ht="29">
      <c r="A846" s="513">
        <v>844</v>
      </c>
      <c r="B846" s="390"/>
      <c r="C846" s="515" t="s">
        <v>3074</v>
      </c>
      <c r="D846" s="262" t="s">
        <v>1068</v>
      </c>
      <c r="E846" s="513">
        <v>845</v>
      </c>
      <c r="F846" s="544" t="s">
        <v>3074</v>
      </c>
      <c r="G846" s="577">
        <v>45536</v>
      </c>
      <c r="H846" s="577">
        <v>45537</v>
      </c>
      <c r="I846" s="577">
        <v>45537</v>
      </c>
      <c r="J846" s="577">
        <v>45537</v>
      </c>
      <c r="K846" s="517">
        <v>45548</v>
      </c>
      <c r="L846" s="518" t="s">
        <v>705</v>
      </c>
      <c r="M846" s="264" t="s">
        <v>2587</v>
      </c>
      <c r="N846" s="262" t="s">
        <v>2176</v>
      </c>
      <c r="O846" s="390" t="s">
        <v>2235</v>
      </c>
      <c r="P846" s="264" t="str">
        <f t="shared" si="35"/>
        <v>Amplop Coklat Merk : GSU Ukuran Folio polos</v>
      </c>
      <c r="Q846" s="264" t="s">
        <v>710</v>
      </c>
      <c r="R846" s="529" t="s">
        <v>2593</v>
      </c>
      <c r="S846" s="399">
        <v>2</v>
      </c>
      <c r="T846" s="348" t="s">
        <v>3365</v>
      </c>
      <c r="U846" s="520">
        <v>60000</v>
      </c>
      <c r="V846" s="266">
        <v>120000</v>
      </c>
      <c r="W846" s="521" t="s">
        <v>227</v>
      </c>
      <c r="X846" s="521" t="s">
        <v>3383</v>
      </c>
      <c r="Y846" s="522" t="s">
        <v>2512</v>
      </c>
      <c r="Z846" s="523" t="s">
        <v>541</v>
      </c>
    </row>
    <row r="847" spans="1:26" ht="29">
      <c r="A847" s="513">
        <v>845</v>
      </c>
      <c r="B847" s="390"/>
      <c r="C847" s="515" t="s">
        <v>3074</v>
      </c>
      <c r="D847" s="262" t="s">
        <v>1068</v>
      </c>
      <c r="E847" s="513">
        <v>846</v>
      </c>
      <c r="F847" s="544" t="s">
        <v>3074</v>
      </c>
      <c r="G847" s="577">
        <v>45536</v>
      </c>
      <c r="H847" s="577">
        <v>45537</v>
      </c>
      <c r="I847" s="577">
        <v>45537</v>
      </c>
      <c r="J847" s="577">
        <v>45537</v>
      </c>
      <c r="K847" s="517">
        <v>45548</v>
      </c>
      <c r="L847" s="518" t="s">
        <v>705</v>
      </c>
      <c r="M847" s="264" t="s">
        <v>2587</v>
      </c>
      <c r="N847" s="262" t="s">
        <v>2176</v>
      </c>
      <c r="O847" s="390" t="s">
        <v>230</v>
      </c>
      <c r="P847" s="264" t="str">
        <f t="shared" si="35"/>
        <v>Amplop Coklat Merk : GSU Ukuran : 1/2 folio, bergaris</v>
      </c>
      <c r="Q847" s="264" t="s">
        <v>710</v>
      </c>
      <c r="R847" s="525" t="s">
        <v>2600</v>
      </c>
      <c r="S847" s="399">
        <v>1</v>
      </c>
      <c r="T847" s="348" t="s">
        <v>3365</v>
      </c>
      <c r="U847" s="520">
        <v>45000</v>
      </c>
      <c r="V847" s="266">
        <v>45000</v>
      </c>
      <c r="W847" s="521" t="s">
        <v>227</v>
      </c>
      <c r="X847" s="521" t="s">
        <v>3383</v>
      </c>
      <c r="Y847" s="522" t="s">
        <v>2512</v>
      </c>
      <c r="Z847" s="523" t="s">
        <v>541</v>
      </c>
    </row>
    <row r="848" spans="1:26" ht="29">
      <c r="A848" s="513">
        <v>846</v>
      </c>
      <c r="B848" s="390"/>
      <c r="C848" s="515" t="s">
        <v>3074</v>
      </c>
      <c r="D848" s="262" t="s">
        <v>1068</v>
      </c>
      <c r="E848" s="513">
        <v>847</v>
      </c>
      <c r="F848" s="544" t="s">
        <v>3074</v>
      </c>
      <c r="G848" s="577">
        <v>45536</v>
      </c>
      <c r="H848" s="577">
        <v>45537</v>
      </c>
      <c r="I848" s="577">
        <v>45537</v>
      </c>
      <c r="J848" s="577">
        <v>45537</v>
      </c>
      <c r="K848" s="517">
        <v>45548</v>
      </c>
      <c r="L848" s="518" t="s">
        <v>705</v>
      </c>
      <c r="M848" s="264" t="s">
        <v>2587</v>
      </c>
      <c r="N848" s="262" t="s">
        <v>2176</v>
      </c>
      <c r="O848" s="390" t="s">
        <v>2250</v>
      </c>
      <c r="P848" s="264" t="str">
        <f t="shared" si="35"/>
        <v>C. Tinta Printer EPSON Toner Epson 664 Black</v>
      </c>
      <c r="Q848" s="264" t="s">
        <v>710</v>
      </c>
      <c r="R848" s="519" t="s">
        <v>120</v>
      </c>
      <c r="S848" s="399">
        <v>6</v>
      </c>
      <c r="T848" s="348" t="s">
        <v>3367</v>
      </c>
      <c r="U848" s="520">
        <v>85000</v>
      </c>
      <c r="V848" s="266">
        <v>510000</v>
      </c>
      <c r="W848" s="521" t="s">
        <v>227</v>
      </c>
      <c r="X848" s="521" t="s">
        <v>3383</v>
      </c>
      <c r="Y848" s="522" t="s">
        <v>2512</v>
      </c>
      <c r="Z848" s="523" t="s">
        <v>541</v>
      </c>
    </row>
    <row r="849" spans="1:26" ht="29">
      <c r="A849" s="513">
        <v>847</v>
      </c>
      <c r="B849" s="390"/>
      <c r="C849" s="515" t="s">
        <v>3074</v>
      </c>
      <c r="D849" s="262" t="s">
        <v>1068</v>
      </c>
      <c r="E849" s="513">
        <v>848</v>
      </c>
      <c r="F849" s="544" t="s">
        <v>3074</v>
      </c>
      <c r="G849" s="577">
        <v>45536</v>
      </c>
      <c r="H849" s="577">
        <v>45537</v>
      </c>
      <c r="I849" s="577">
        <v>45537</v>
      </c>
      <c r="J849" s="577">
        <v>45537</v>
      </c>
      <c r="K849" s="517">
        <v>45548</v>
      </c>
      <c r="L849" s="518" t="s">
        <v>705</v>
      </c>
      <c r="M849" s="264" t="s">
        <v>2587</v>
      </c>
      <c r="N849" s="262" t="s">
        <v>2176</v>
      </c>
      <c r="O849" s="390" t="s">
        <v>2236</v>
      </c>
      <c r="P849" s="264" t="str">
        <f t="shared" si="35"/>
        <v>Stapler HD-10--</v>
      </c>
      <c r="Q849" s="264" t="s">
        <v>710</v>
      </c>
      <c r="R849" s="519" t="s">
        <v>152</v>
      </c>
      <c r="S849" s="399">
        <v>2</v>
      </c>
      <c r="T849" s="348" t="s">
        <v>3363</v>
      </c>
      <c r="U849" s="520">
        <v>20000</v>
      </c>
      <c r="V849" s="266">
        <v>40000</v>
      </c>
      <c r="W849" s="521" t="s">
        <v>227</v>
      </c>
      <c r="X849" s="521" t="s">
        <v>3383</v>
      </c>
      <c r="Y849" s="522" t="s">
        <v>2512</v>
      </c>
      <c r="Z849" s="523" t="s">
        <v>541</v>
      </c>
    </row>
    <row r="850" spans="1:26" ht="29">
      <c r="A850" s="513">
        <v>848</v>
      </c>
      <c r="B850" s="390"/>
      <c r="C850" s="515" t="s">
        <v>3074</v>
      </c>
      <c r="D850" s="262" t="s">
        <v>1068</v>
      </c>
      <c r="E850" s="513">
        <v>849</v>
      </c>
      <c r="F850" s="544" t="s">
        <v>3074</v>
      </c>
      <c r="G850" s="577">
        <v>45536</v>
      </c>
      <c r="H850" s="577">
        <v>45537</v>
      </c>
      <c r="I850" s="577">
        <v>45537</v>
      </c>
      <c r="J850" s="577">
        <v>45537</v>
      </c>
      <c r="K850" s="517">
        <v>45548</v>
      </c>
      <c r="L850" s="518" t="s">
        <v>705</v>
      </c>
      <c r="M850" s="264" t="s">
        <v>2587</v>
      </c>
      <c r="N850" s="262" t="s">
        <v>2176</v>
      </c>
      <c r="O850" s="390" t="s">
        <v>236</v>
      </c>
      <c r="P850" s="264" t="str">
        <f t="shared" si="35"/>
        <v>Baterey Kecil</v>
      </c>
      <c r="Q850" s="264" t="s">
        <v>710</v>
      </c>
      <c r="R850" s="519" t="s">
        <v>106</v>
      </c>
      <c r="S850" s="399">
        <v>2</v>
      </c>
      <c r="T850" s="348" t="s">
        <v>3366</v>
      </c>
      <c r="U850" s="520">
        <v>20000</v>
      </c>
      <c r="V850" s="266">
        <v>40000</v>
      </c>
      <c r="W850" s="521" t="s">
        <v>227</v>
      </c>
      <c r="X850" s="521" t="s">
        <v>3383</v>
      </c>
      <c r="Y850" s="522" t="s">
        <v>2512</v>
      </c>
      <c r="Z850" s="523" t="s">
        <v>541</v>
      </c>
    </row>
    <row r="851" spans="1:26" ht="29">
      <c r="A851" s="513">
        <v>849</v>
      </c>
      <c r="B851" s="390"/>
      <c r="C851" s="515" t="s">
        <v>3074</v>
      </c>
      <c r="D851" s="262" t="s">
        <v>1068</v>
      </c>
      <c r="E851" s="513">
        <v>850</v>
      </c>
      <c r="F851" s="544" t="s">
        <v>3074</v>
      </c>
      <c r="G851" s="577">
        <v>45536</v>
      </c>
      <c r="H851" s="577">
        <v>45537</v>
      </c>
      <c r="I851" s="577">
        <v>45537</v>
      </c>
      <c r="J851" s="577">
        <v>45537</v>
      </c>
      <c r="K851" s="517">
        <v>45548</v>
      </c>
      <c r="L851" s="518" t="s">
        <v>705</v>
      </c>
      <c r="M851" s="264" t="s">
        <v>2587</v>
      </c>
      <c r="N851" s="262" t="s">
        <v>2176</v>
      </c>
      <c r="O851" s="390" t="s">
        <v>228</v>
      </c>
      <c r="P851" s="264" t="str">
        <f t="shared" si="35"/>
        <v>Amplop Coklat Merk : Garda Ukuran Cabinet</v>
      </c>
      <c r="Q851" s="264" t="s">
        <v>710</v>
      </c>
      <c r="R851" s="525" t="s">
        <v>2596</v>
      </c>
      <c r="S851" s="399">
        <v>3</v>
      </c>
      <c r="T851" s="348" t="s">
        <v>3365</v>
      </c>
      <c r="U851" s="520">
        <v>23000</v>
      </c>
      <c r="V851" s="266">
        <v>69000</v>
      </c>
      <c r="W851" s="521" t="s">
        <v>227</v>
      </c>
      <c r="X851" s="521" t="s">
        <v>3383</v>
      </c>
      <c r="Y851" s="522" t="s">
        <v>2512</v>
      </c>
      <c r="Z851" s="523" t="s">
        <v>541</v>
      </c>
    </row>
    <row r="852" spans="1:26" ht="29">
      <c r="A852" s="513">
        <v>850</v>
      </c>
      <c r="B852" s="390"/>
      <c r="C852" s="515" t="s">
        <v>3074</v>
      </c>
      <c r="D852" s="262" t="s">
        <v>1068</v>
      </c>
      <c r="E852" s="513">
        <v>851</v>
      </c>
      <c r="F852" s="544" t="s">
        <v>3074</v>
      </c>
      <c r="G852" s="577">
        <v>45536</v>
      </c>
      <c r="H852" s="577">
        <v>45537</v>
      </c>
      <c r="I852" s="577">
        <v>45537</v>
      </c>
      <c r="J852" s="577">
        <v>45537</v>
      </c>
      <c r="K852" s="517">
        <v>45548</v>
      </c>
      <c r="L852" s="518" t="s">
        <v>705</v>
      </c>
      <c r="M852" s="264" t="s">
        <v>2587</v>
      </c>
      <c r="N852" s="262" t="s">
        <v>2176</v>
      </c>
      <c r="O852" s="390" t="s">
        <v>239</v>
      </c>
      <c r="P852" s="264" t="str">
        <f t="shared" si="35"/>
        <v>Binder Klip  nomor 200</v>
      </c>
      <c r="Q852" s="264" t="s">
        <v>710</v>
      </c>
      <c r="R852" s="519" t="s">
        <v>110</v>
      </c>
      <c r="S852" s="399">
        <v>10</v>
      </c>
      <c r="T852" s="348" t="s">
        <v>3362</v>
      </c>
      <c r="U852" s="520">
        <v>16500</v>
      </c>
      <c r="V852" s="266">
        <v>165000</v>
      </c>
      <c r="W852" s="521" t="s">
        <v>227</v>
      </c>
      <c r="X852" s="521" t="s">
        <v>3383</v>
      </c>
      <c r="Y852" s="522" t="s">
        <v>2512</v>
      </c>
      <c r="Z852" s="523" t="s">
        <v>541</v>
      </c>
    </row>
    <row r="853" spans="1:26" ht="29">
      <c r="A853" s="513">
        <v>851</v>
      </c>
      <c r="B853" s="390"/>
      <c r="C853" s="515" t="s">
        <v>3074</v>
      </c>
      <c r="D853" s="262" t="s">
        <v>1068</v>
      </c>
      <c r="E853" s="513">
        <v>852</v>
      </c>
      <c r="F853" s="544" t="s">
        <v>3074</v>
      </c>
      <c r="G853" s="577">
        <v>45536</v>
      </c>
      <c r="H853" s="577">
        <v>45537</v>
      </c>
      <c r="I853" s="577">
        <v>45537</v>
      </c>
      <c r="J853" s="577">
        <v>45537</v>
      </c>
      <c r="K853" s="517">
        <v>45548</v>
      </c>
      <c r="L853" s="518" t="s">
        <v>705</v>
      </c>
      <c r="M853" s="264" t="s">
        <v>2587</v>
      </c>
      <c r="N853" s="262" t="s">
        <v>2176</v>
      </c>
      <c r="O853" s="390" t="s">
        <v>2252</v>
      </c>
      <c r="P853" s="264" t="str">
        <f t="shared" si="35"/>
        <v>Box File Merk : Bantex Ukuran : 115x270x325 mm</v>
      </c>
      <c r="Q853" s="264" t="s">
        <v>710</v>
      </c>
      <c r="R853" s="524" t="s">
        <v>2606</v>
      </c>
      <c r="S853" s="399">
        <v>4</v>
      </c>
      <c r="T853" s="348" t="s">
        <v>3363</v>
      </c>
      <c r="U853" s="520">
        <v>59800</v>
      </c>
      <c r="V853" s="266">
        <v>239200</v>
      </c>
      <c r="W853" s="521" t="s">
        <v>227</v>
      </c>
      <c r="X853" s="521" t="s">
        <v>3383</v>
      </c>
      <c r="Y853" s="522" t="s">
        <v>2512</v>
      </c>
      <c r="Z853" s="523" t="s">
        <v>541</v>
      </c>
    </row>
    <row r="854" spans="1:26" ht="29">
      <c r="A854" s="513">
        <v>852</v>
      </c>
      <c r="B854" s="390"/>
      <c r="C854" s="515" t="s">
        <v>3074</v>
      </c>
      <c r="D854" s="262" t="s">
        <v>1068</v>
      </c>
      <c r="E854" s="513">
        <v>853</v>
      </c>
      <c r="F854" s="544" t="s">
        <v>3074</v>
      </c>
      <c r="G854" s="577">
        <v>45536</v>
      </c>
      <c r="H854" s="577">
        <v>45537</v>
      </c>
      <c r="I854" s="577">
        <v>45537</v>
      </c>
      <c r="J854" s="577">
        <v>45537</v>
      </c>
      <c r="K854" s="517">
        <v>45548</v>
      </c>
      <c r="L854" s="518" t="s">
        <v>705</v>
      </c>
      <c r="M854" s="264" t="s">
        <v>2587</v>
      </c>
      <c r="N854" s="262" t="s">
        <v>2176</v>
      </c>
      <c r="O854" s="390" t="s">
        <v>251</v>
      </c>
      <c r="P854" s="264" t="str">
        <f t="shared" si="35"/>
        <v>Kertas Warna Blank Folio, Ukuran : 8,5 x 14",  70 gram</v>
      </c>
      <c r="Q854" s="264" t="s">
        <v>710</v>
      </c>
      <c r="R854" s="519" t="s">
        <v>133</v>
      </c>
      <c r="S854" s="399">
        <v>2</v>
      </c>
      <c r="T854" s="348" t="s">
        <v>3369</v>
      </c>
      <c r="U854" s="520">
        <v>90000</v>
      </c>
      <c r="V854" s="266">
        <v>180000</v>
      </c>
      <c r="W854" s="521" t="s">
        <v>227</v>
      </c>
      <c r="X854" s="521" t="s">
        <v>3383</v>
      </c>
      <c r="Y854" s="522" t="s">
        <v>2512</v>
      </c>
      <c r="Z854" s="523" t="s">
        <v>541</v>
      </c>
    </row>
    <row r="855" spans="1:26" ht="29">
      <c r="A855" s="513">
        <v>853</v>
      </c>
      <c r="B855" s="390"/>
      <c r="C855" s="515" t="s">
        <v>3074</v>
      </c>
      <c r="D855" s="262" t="s">
        <v>1068</v>
      </c>
      <c r="E855" s="513">
        <v>854</v>
      </c>
      <c r="F855" s="544" t="s">
        <v>3074</v>
      </c>
      <c r="G855" s="577">
        <v>45536</v>
      </c>
      <c r="H855" s="577">
        <v>45537</v>
      </c>
      <c r="I855" s="577">
        <v>45537</v>
      </c>
      <c r="J855" s="577">
        <v>45537</v>
      </c>
      <c r="K855" s="517">
        <v>45548</v>
      </c>
      <c r="L855" s="518" t="s">
        <v>705</v>
      </c>
      <c r="M855" s="264" t="s">
        <v>2587</v>
      </c>
      <c r="N855" s="262" t="s">
        <v>2176</v>
      </c>
      <c r="O855" s="390" t="s">
        <v>253</v>
      </c>
      <c r="P855" s="264" t="str">
        <f t="shared" si="35"/>
        <v>Lakban warna Uk 2" Warna Coklat Cofiie</v>
      </c>
      <c r="Q855" s="264" t="s">
        <v>710</v>
      </c>
      <c r="R855" s="519" t="s">
        <v>140</v>
      </c>
      <c r="S855" s="399">
        <v>3</v>
      </c>
      <c r="T855" s="348" t="s">
        <v>3363</v>
      </c>
      <c r="U855" s="520">
        <v>20000</v>
      </c>
      <c r="V855" s="266">
        <v>60000</v>
      </c>
      <c r="W855" s="521" t="s">
        <v>227</v>
      </c>
      <c r="X855" s="521" t="s">
        <v>3383</v>
      </c>
      <c r="Y855" s="522" t="s">
        <v>2512</v>
      </c>
      <c r="Z855" s="523" t="s">
        <v>541</v>
      </c>
    </row>
    <row r="856" spans="1:26" ht="29">
      <c r="A856" s="513">
        <v>854</v>
      </c>
      <c r="B856" s="390"/>
      <c r="C856" s="515" t="s">
        <v>3074</v>
      </c>
      <c r="D856" s="262" t="s">
        <v>1068</v>
      </c>
      <c r="E856" s="513">
        <v>855</v>
      </c>
      <c r="F856" s="544" t="s">
        <v>3074</v>
      </c>
      <c r="G856" s="577">
        <v>45536</v>
      </c>
      <c r="H856" s="577">
        <v>45537</v>
      </c>
      <c r="I856" s="577">
        <v>45537</v>
      </c>
      <c r="J856" s="577">
        <v>45537</v>
      </c>
      <c r="K856" s="517">
        <v>45548</v>
      </c>
      <c r="L856" s="518" t="s">
        <v>705</v>
      </c>
      <c r="M856" s="264" t="s">
        <v>2587</v>
      </c>
      <c r="N856" s="262" t="s">
        <v>2176</v>
      </c>
      <c r="O856" s="390" t="s">
        <v>250</v>
      </c>
      <c r="P856" s="264" t="str">
        <f t="shared" si="35"/>
        <v>Kertas StensiI</v>
      </c>
      <c r="Q856" s="264" t="s">
        <v>710</v>
      </c>
      <c r="R856" s="519" t="s">
        <v>132</v>
      </c>
      <c r="S856" s="399">
        <v>10</v>
      </c>
      <c r="T856" s="348" t="s">
        <v>3365</v>
      </c>
      <c r="U856" s="520">
        <v>50000</v>
      </c>
      <c r="V856" s="266">
        <v>500000</v>
      </c>
      <c r="W856" s="521" t="s">
        <v>227</v>
      </c>
      <c r="X856" s="521" t="s">
        <v>3383</v>
      </c>
      <c r="Y856" s="522" t="s">
        <v>2512</v>
      </c>
      <c r="Z856" s="523" t="s">
        <v>541</v>
      </c>
    </row>
    <row r="857" spans="1:26" ht="29">
      <c r="A857" s="513">
        <v>855</v>
      </c>
      <c r="B857" s="390"/>
      <c r="C857" s="515" t="s">
        <v>3074</v>
      </c>
      <c r="D857" s="262" t="s">
        <v>1068</v>
      </c>
      <c r="E857" s="513">
        <v>856</v>
      </c>
      <c r="F857" s="544" t="s">
        <v>3074</v>
      </c>
      <c r="G857" s="577">
        <v>45536</v>
      </c>
      <c r="H857" s="577">
        <v>45537</v>
      </c>
      <c r="I857" s="577">
        <v>45537</v>
      </c>
      <c r="J857" s="577">
        <v>45537</v>
      </c>
      <c r="K857" s="517">
        <v>45548</v>
      </c>
      <c r="L857" s="518" t="s">
        <v>705</v>
      </c>
      <c r="M857" s="264" t="s">
        <v>2587</v>
      </c>
      <c r="N857" s="262" t="s">
        <v>2176</v>
      </c>
      <c r="O857" s="390" t="s">
        <v>2237</v>
      </c>
      <c r="P857" s="264" t="str">
        <f t="shared" si="35"/>
        <v>Kertas Lain-Lain Kertas Buffalo</v>
      </c>
      <c r="Q857" s="264" t="s">
        <v>710</v>
      </c>
      <c r="R857" s="519" t="s">
        <v>130</v>
      </c>
      <c r="S857" s="399">
        <v>5</v>
      </c>
      <c r="T857" s="348" t="s">
        <v>3365</v>
      </c>
      <c r="U857" s="520">
        <v>31000</v>
      </c>
      <c r="V857" s="266">
        <v>155000</v>
      </c>
      <c r="W857" s="521" t="s">
        <v>227</v>
      </c>
      <c r="X857" s="521" t="s">
        <v>3383</v>
      </c>
      <c r="Y857" s="522" t="s">
        <v>2512</v>
      </c>
      <c r="Z857" s="523" t="s">
        <v>541</v>
      </c>
    </row>
    <row r="858" spans="1:26" ht="29">
      <c r="A858" s="513">
        <v>856</v>
      </c>
      <c r="B858" s="390"/>
      <c r="C858" s="515" t="s">
        <v>3074</v>
      </c>
      <c r="D858" s="262" t="s">
        <v>1068</v>
      </c>
      <c r="E858" s="513">
        <v>857</v>
      </c>
      <c r="F858" s="544" t="s">
        <v>3074</v>
      </c>
      <c r="G858" s="577">
        <v>45536</v>
      </c>
      <c r="H858" s="577">
        <v>45537</v>
      </c>
      <c r="I858" s="577">
        <v>45537</v>
      </c>
      <c r="J858" s="577">
        <v>45537</v>
      </c>
      <c r="K858" s="517">
        <v>45548</v>
      </c>
      <c r="L858" s="518" t="s">
        <v>705</v>
      </c>
      <c r="M858" s="264" t="s">
        <v>2587</v>
      </c>
      <c r="N858" s="262" t="s">
        <v>2176</v>
      </c>
      <c r="O858" s="390" t="s">
        <v>243</v>
      </c>
      <c r="P858" s="264" t="str">
        <f t="shared" si="35"/>
        <v>C. Tinta Printer EPSON Tinta Printer Epson Blue</v>
      </c>
      <c r="Q858" s="264" t="s">
        <v>710</v>
      </c>
      <c r="R858" s="519" t="s">
        <v>117</v>
      </c>
      <c r="S858" s="399">
        <v>4</v>
      </c>
      <c r="T858" s="348" t="s">
        <v>3367</v>
      </c>
      <c r="U858" s="520">
        <v>110000</v>
      </c>
      <c r="V858" s="266">
        <v>440000</v>
      </c>
      <c r="W858" s="521" t="s">
        <v>227</v>
      </c>
      <c r="X858" s="521" t="s">
        <v>3383</v>
      </c>
      <c r="Y858" s="522" t="s">
        <v>2512</v>
      </c>
      <c r="Z858" s="523" t="s">
        <v>541</v>
      </c>
    </row>
    <row r="859" spans="1:26" ht="43.5">
      <c r="A859" s="513">
        <v>857</v>
      </c>
      <c r="B859" s="390"/>
      <c r="C859" s="515" t="s">
        <v>3074</v>
      </c>
      <c r="D859" s="262" t="s">
        <v>1068</v>
      </c>
      <c r="E859" s="513">
        <v>858</v>
      </c>
      <c r="F859" s="544" t="s">
        <v>3074</v>
      </c>
      <c r="G859" s="577">
        <v>45536</v>
      </c>
      <c r="H859" s="577">
        <v>45537</v>
      </c>
      <c r="I859" s="577">
        <v>45537</v>
      </c>
      <c r="J859" s="577">
        <v>45537</v>
      </c>
      <c r="K859" s="517">
        <v>45548</v>
      </c>
      <c r="L859" s="518" t="s">
        <v>705</v>
      </c>
      <c r="M859" s="264" t="s">
        <v>2587</v>
      </c>
      <c r="N859" s="262" t="s">
        <v>2176</v>
      </c>
      <c r="O859" s="390" t="s">
        <v>2240</v>
      </c>
      <c r="P859" s="264" t="str">
        <f t="shared" si="35"/>
        <v>Ballpoint Boldiner Standar</v>
      </c>
      <c r="Q859" s="264" t="s">
        <v>710</v>
      </c>
      <c r="R859" s="519" t="s">
        <v>100</v>
      </c>
      <c r="S859" s="399">
        <v>2</v>
      </c>
      <c r="T859" s="348" t="s">
        <v>3364</v>
      </c>
      <c r="U859" s="520">
        <v>225000</v>
      </c>
      <c r="V859" s="266">
        <v>450000</v>
      </c>
      <c r="W859" s="521" t="s">
        <v>227</v>
      </c>
      <c r="X859" s="521" t="s">
        <v>3383</v>
      </c>
      <c r="Y859" s="522" t="s">
        <v>2512</v>
      </c>
      <c r="Z859" s="523" t="s">
        <v>541</v>
      </c>
    </row>
    <row r="860" spans="1:26" ht="29">
      <c r="A860" s="513">
        <v>858</v>
      </c>
      <c r="B860" s="390"/>
      <c r="C860" s="515" t="s">
        <v>3074</v>
      </c>
      <c r="D860" s="262" t="s">
        <v>1068</v>
      </c>
      <c r="E860" s="513">
        <v>859</v>
      </c>
      <c r="F860" s="544" t="s">
        <v>3074</v>
      </c>
      <c r="G860" s="577">
        <v>45536</v>
      </c>
      <c r="H860" s="577">
        <v>45537</v>
      </c>
      <c r="I860" s="577">
        <v>45537</v>
      </c>
      <c r="J860" s="577">
        <v>45537</v>
      </c>
      <c r="K860" s="517">
        <v>45548</v>
      </c>
      <c r="L860" s="518" t="s">
        <v>705</v>
      </c>
      <c r="M860" s="264" t="s">
        <v>2587</v>
      </c>
      <c r="N860" s="262" t="s">
        <v>2176</v>
      </c>
      <c r="O860" s="390" t="s">
        <v>258</v>
      </c>
      <c r="P860" s="264" t="str">
        <f t="shared" si="35"/>
        <v>Pisau Cutter Kenko L-500</v>
      </c>
      <c r="Q860" s="264" t="s">
        <v>710</v>
      </c>
      <c r="R860" s="525" t="s">
        <v>2601</v>
      </c>
      <c r="S860" s="399">
        <v>2</v>
      </c>
      <c r="T860" s="348" t="s">
        <v>3363</v>
      </c>
      <c r="U860" s="520">
        <v>15000</v>
      </c>
      <c r="V860" s="266">
        <v>30000</v>
      </c>
      <c r="W860" s="521" t="s">
        <v>227</v>
      </c>
      <c r="X860" s="521" t="s">
        <v>3383</v>
      </c>
      <c r="Y860" s="522" t="s">
        <v>2512</v>
      </c>
      <c r="Z860" s="523" t="s">
        <v>541</v>
      </c>
    </row>
    <row r="861" spans="1:26" ht="29">
      <c r="A861" s="513">
        <v>859</v>
      </c>
      <c r="B861" s="390"/>
      <c r="C861" s="515" t="s">
        <v>3074</v>
      </c>
      <c r="D861" s="262" t="s">
        <v>1068</v>
      </c>
      <c r="E861" s="513">
        <v>860</v>
      </c>
      <c r="F861" s="544" t="s">
        <v>3074</v>
      </c>
      <c r="G861" s="577">
        <v>45536</v>
      </c>
      <c r="H861" s="577">
        <v>45537</v>
      </c>
      <c r="I861" s="577">
        <v>45537</v>
      </c>
      <c r="J861" s="577">
        <v>45537</v>
      </c>
      <c r="K861" s="517">
        <v>45548</v>
      </c>
      <c r="L861" s="518" t="s">
        <v>705</v>
      </c>
      <c r="M861" s="264" t="s">
        <v>2587</v>
      </c>
      <c r="N861" s="262" t="s">
        <v>2176</v>
      </c>
      <c r="O861" s="390" t="s">
        <v>247</v>
      </c>
      <c r="P861" s="264" t="str">
        <f t="shared" si="35"/>
        <v>Kertas HVS 80 gram Merk : Paper One A4, Ukuran : 8,27" x 11,69", Isi : 500 lembar</v>
      </c>
      <c r="Q861" s="264" t="s">
        <v>710</v>
      </c>
      <c r="R861" s="519" t="s">
        <v>1351</v>
      </c>
      <c r="S861" s="399">
        <v>40</v>
      </c>
      <c r="T861" s="348" t="s">
        <v>3369</v>
      </c>
      <c r="U861" s="520">
        <v>50000</v>
      </c>
      <c r="V861" s="266">
        <v>2000000</v>
      </c>
      <c r="W861" s="521" t="s">
        <v>227</v>
      </c>
      <c r="X861" s="521" t="s">
        <v>3383</v>
      </c>
      <c r="Y861" s="522" t="s">
        <v>2512</v>
      </c>
      <c r="Z861" s="523" t="s">
        <v>541</v>
      </c>
    </row>
    <row r="862" spans="1:26" ht="29">
      <c r="A862" s="513">
        <v>860</v>
      </c>
      <c r="B862" s="390"/>
      <c r="C862" s="515" t="s">
        <v>3074</v>
      </c>
      <c r="D862" s="262" t="s">
        <v>1068</v>
      </c>
      <c r="E862" s="513">
        <v>861</v>
      </c>
      <c r="F862" s="544" t="s">
        <v>3074</v>
      </c>
      <c r="G862" s="577">
        <v>45536</v>
      </c>
      <c r="H862" s="577">
        <v>45537</v>
      </c>
      <c r="I862" s="577">
        <v>45537</v>
      </c>
      <c r="J862" s="577">
        <v>45537</v>
      </c>
      <c r="K862" s="517">
        <v>45548</v>
      </c>
      <c r="L862" s="518" t="s">
        <v>705</v>
      </c>
      <c r="M862" s="264" t="s">
        <v>2587</v>
      </c>
      <c r="N862" s="262" t="s">
        <v>2176</v>
      </c>
      <c r="O862" s="390" t="s">
        <v>2258</v>
      </c>
      <c r="P862" s="264" t="str">
        <f t="shared" si="35"/>
        <v>Lakban Besar</v>
      </c>
      <c r="Q862" s="264" t="s">
        <v>710</v>
      </c>
      <c r="R862" s="519" t="s">
        <v>2607</v>
      </c>
      <c r="S862" s="399">
        <v>5</v>
      </c>
      <c r="T862" s="348" t="s">
        <v>3363</v>
      </c>
      <c r="U862" s="520">
        <v>25000</v>
      </c>
      <c r="V862" s="266">
        <v>125000</v>
      </c>
      <c r="W862" s="521" t="s">
        <v>227</v>
      </c>
      <c r="X862" s="521" t="s">
        <v>3383</v>
      </c>
      <c r="Y862" s="522" t="s">
        <v>2512</v>
      </c>
      <c r="Z862" s="523" t="s">
        <v>541</v>
      </c>
    </row>
    <row r="863" spans="1:26" ht="29">
      <c r="A863" s="513">
        <v>861</v>
      </c>
      <c r="B863" s="390"/>
      <c r="C863" s="515" t="s">
        <v>3074</v>
      </c>
      <c r="D863" s="262" t="s">
        <v>1068</v>
      </c>
      <c r="E863" s="513">
        <v>862</v>
      </c>
      <c r="F863" s="544" t="s">
        <v>3074</v>
      </c>
      <c r="G863" s="577">
        <v>45536</v>
      </c>
      <c r="H863" s="577">
        <v>45537</v>
      </c>
      <c r="I863" s="577">
        <v>45537</v>
      </c>
      <c r="J863" s="577">
        <v>45537</v>
      </c>
      <c r="K863" s="517">
        <v>45548</v>
      </c>
      <c r="L863" s="518" t="s">
        <v>705</v>
      </c>
      <c r="M863" s="264" t="s">
        <v>2587</v>
      </c>
      <c r="N863" s="262" t="s">
        <v>2176</v>
      </c>
      <c r="O863" s="390" t="s">
        <v>249</v>
      </c>
      <c r="P863" s="264" t="str">
        <f t="shared" si="35"/>
        <v>Kertas Post-It Warna Warni  Sign Here</v>
      </c>
      <c r="Q863" s="264" t="s">
        <v>710</v>
      </c>
      <c r="R863" s="525" t="s">
        <v>2604</v>
      </c>
      <c r="S863" s="399">
        <v>5</v>
      </c>
      <c r="T863" s="348" t="s">
        <v>3363</v>
      </c>
      <c r="U863" s="520">
        <v>22800</v>
      </c>
      <c r="V863" s="266">
        <v>114000</v>
      </c>
      <c r="W863" s="521" t="s">
        <v>227</v>
      </c>
      <c r="X863" s="521" t="s">
        <v>3383</v>
      </c>
      <c r="Y863" s="522" t="s">
        <v>2512</v>
      </c>
      <c r="Z863" s="523" t="s">
        <v>541</v>
      </c>
    </row>
    <row r="864" spans="1:26" ht="29">
      <c r="A864" s="513">
        <v>862</v>
      </c>
      <c r="B864" s="390"/>
      <c r="C864" s="515" t="s">
        <v>3074</v>
      </c>
      <c r="D864" s="262" t="s">
        <v>1068</v>
      </c>
      <c r="E864" s="513">
        <v>863</v>
      </c>
      <c r="F864" s="544" t="s">
        <v>3074</v>
      </c>
      <c r="G864" s="577">
        <v>45536</v>
      </c>
      <c r="H864" s="577">
        <v>45537</v>
      </c>
      <c r="I864" s="577">
        <v>45537</v>
      </c>
      <c r="J864" s="577">
        <v>45537</v>
      </c>
      <c r="K864" s="517">
        <v>45548</v>
      </c>
      <c r="L864" s="518" t="s">
        <v>705</v>
      </c>
      <c r="M864" s="264" t="s">
        <v>2587</v>
      </c>
      <c r="N864" s="262" t="s">
        <v>2176</v>
      </c>
      <c r="O864" s="390" t="s">
        <v>2234</v>
      </c>
      <c r="P864" s="264" t="str">
        <f t="shared" si="35"/>
        <v>Stofmap Transparan tali</v>
      </c>
      <c r="Q864" s="264" t="s">
        <v>710</v>
      </c>
      <c r="R864" s="519" t="s">
        <v>158</v>
      </c>
      <c r="S864" s="399">
        <v>100</v>
      </c>
      <c r="T864" s="348" t="s">
        <v>3363</v>
      </c>
      <c r="U864" s="520">
        <v>5500</v>
      </c>
      <c r="V864" s="266">
        <v>550000</v>
      </c>
      <c r="W864" s="521" t="s">
        <v>227</v>
      </c>
      <c r="X864" s="521" t="s">
        <v>3383</v>
      </c>
      <c r="Y864" s="522" t="s">
        <v>2512</v>
      </c>
      <c r="Z864" s="523" t="s">
        <v>541</v>
      </c>
    </row>
    <row r="865" spans="1:26" ht="29">
      <c r="A865" s="513">
        <v>863</v>
      </c>
      <c r="B865" s="390"/>
      <c r="C865" s="515" t="s">
        <v>3074</v>
      </c>
      <c r="D865" s="262" t="s">
        <v>1069</v>
      </c>
      <c r="E865" s="513">
        <v>864</v>
      </c>
      <c r="F865" s="544" t="s">
        <v>3074</v>
      </c>
      <c r="G865" s="577">
        <v>45536</v>
      </c>
      <c r="H865" s="577">
        <v>45537</v>
      </c>
      <c r="I865" s="577">
        <v>45537</v>
      </c>
      <c r="J865" s="577">
        <v>45537</v>
      </c>
      <c r="K865" s="517">
        <v>45548</v>
      </c>
      <c r="L865" s="518" t="s">
        <v>533</v>
      </c>
      <c r="M865" s="264" t="s">
        <v>2587</v>
      </c>
      <c r="N865" s="262" t="s">
        <v>2177</v>
      </c>
      <c r="O865" s="390" t="s">
        <v>2266</v>
      </c>
      <c r="P865" s="264" t="str">
        <f t="shared" si="35"/>
        <v>Perlengkapan Kebersihan Pembersih Lantai Super Pel Varian 800ml</v>
      </c>
      <c r="Q865" s="264" t="s">
        <v>2609</v>
      </c>
      <c r="R865" s="525" t="s">
        <v>2613</v>
      </c>
      <c r="S865" s="399">
        <v>15</v>
      </c>
      <c r="T865" s="348" t="s">
        <v>3363</v>
      </c>
      <c r="U865" s="520">
        <v>13700</v>
      </c>
      <c r="V865" s="266">
        <v>205500</v>
      </c>
      <c r="W865" s="521" t="s">
        <v>227</v>
      </c>
      <c r="X865" s="521" t="s">
        <v>3383</v>
      </c>
      <c r="Y865" s="522" t="s">
        <v>2512</v>
      </c>
      <c r="Z865" s="523" t="s">
        <v>541</v>
      </c>
    </row>
    <row r="866" spans="1:26" ht="29">
      <c r="A866" s="513">
        <v>864</v>
      </c>
      <c r="B866" s="390"/>
      <c r="C866" s="515" t="s">
        <v>3074</v>
      </c>
      <c r="D866" s="262" t="s">
        <v>1069</v>
      </c>
      <c r="E866" s="513">
        <v>865</v>
      </c>
      <c r="F866" s="544" t="s">
        <v>3074</v>
      </c>
      <c r="G866" s="577">
        <v>45536</v>
      </c>
      <c r="H866" s="577">
        <v>45537</v>
      </c>
      <c r="I866" s="577">
        <v>45537</v>
      </c>
      <c r="J866" s="577">
        <v>45537</v>
      </c>
      <c r="K866" s="517">
        <v>45548</v>
      </c>
      <c r="L866" s="518" t="s">
        <v>533</v>
      </c>
      <c r="M866" s="264" t="s">
        <v>2587</v>
      </c>
      <c r="N866" s="262" t="s">
        <v>2177</v>
      </c>
      <c r="O866" s="390" t="s">
        <v>2269</v>
      </c>
      <c r="P866" s="264" t="str">
        <f t="shared" si="35"/>
        <v>Tisu--</v>
      </c>
      <c r="Q866" s="264" t="s">
        <v>2609</v>
      </c>
      <c r="R866" s="519" t="s">
        <v>537</v>
      </c>
      <c r="S866" s="399">
        <v>12</v>
      </c>
      <c r="T866" s="348" t="s">
        <v>3363</v>
      </c>
      <c r="U866" s="520">
        <v>12500</v>
      </c>
      <c r="V866" s="266">
        <v>150000</v>
      </c>
      <c r="W866" s="521" t="s">
        <v>227</v>
      </c>
      <c r="X866" s="521" t="s">
        <v>3383</v>
      </c>
      <c r="Y866" s="522" t="s">
        <v>2512</v>
      </c>
      <c r="Z866" s="523" t="s">
        <v>541</v>
      </c>
    </row>
    <row r="867" spans="1:26" ht="29">
      <c r="A867" s="513">
        <v>865</v>
      </c>
      <c r="B867" s="390"/>
      <c r="C867" s="515" t="s">
        <v>3074</v>
      </c>
      <c r="D867" s="262" t="s">
        <v>1069</v>
      </c>
      <c r="E867" s="513">
        <v>866</v>
      </c>
      <c r="F867" s="544" t="s">
        <v>3074</v>
      </c>
      <c r="G867" s="577">
        <v>45536</v>
      </c>
      <c r="H867" s="577">
        <v>45537</v>
      </c>
      <c r="I867" s="577">
        <v>45537</v>
      </c>
      <c r="J867" s="577">
        <v>45537</v>
      </c>
      <c r="K867" s="517">
        <v>45548</v>
      </c>
      <c r="L867" s="518" t="s">
        <v>533</v>
      </c>
      <c r="M867" s="264" t="s">
        <v>2587</v>
      </c>
      <c r="N867" s="262" t="s">
        <v>2177</v>
      </c>
      <c r="O867" s="390" t="s">
        <v>2268</v>
      </c>
      <c r="P867" s="264" t="str">
        <f t="shared" si="35"/>
        <v>Perlengkapan Kebersihan Pembersih Pakaian Sunlight Refil 800ml</v>
      </c>
      <c r="Q867" s="264" t="s">
        <v>2609</v>
      </c>
      <c r="R867" s="525" t="s">
        <v>2616</v>
      </c>
      <c r="S867" s="399">
        <v>3</v>
      </c>
      <c r="T867" s="348" t="s">
        <v>3363</v>
      </c>
      <c r="U867" s="520">
        <v>15000</v>
      </c>
      <c r="V867" s="266">
        <v>45000</v>
      </c>
      <c r="W867" s="521" t="s">
        <v>227</v>
      </c>
      <c r="X867" s="521" t="s">
        <v>3383</v>
      </c>
      <c r="Y867" s="522" t="s">
        <v>2512</v>
      </c>
      <c r="Z867" s="523" t="s">
        <v>541</v>
      </c>
    </row>
    <row r="868" spans="1:26" ht="29">
      <c r="A868" s="513">
        <v>866</v>
      </c>
      <c r="B868" s="390"/>
      <c r="C868" s="515" t="s">
        <v>3074</v>
      </c>
      <c r="D868" s="262" t="s">
        <v>1069</v>
      </c>
      <c r="E868" s="513">
        <v>867</v>
      </c>
      <c r="F868" s="544" t="s">
        <v>3074</v>
      </c>
      <c r="G868" s="577">
        <v>45536</v>
      </c>
      <c r="H868" s="577">
        <v>45537</v>
      </c>
      <c r="I868" s="577">
        <v>45537</v>
      </c>
      <c r="J868" s="577">
        <v>45537</v>
      </c>
      <c r="K868" s="517">
        <v>45548</v>
      </c>
      <c r="L868" s="518" t="s">
        <v>533</v>
      </c>
      <c r="M868" s="264" t="s">
        <v>2587</v>
      </c>
      <c r="N868" s="262" t="s">
        <v>2177</v>
      </c>
      <c r="O868" s="390" t="s">
        <v>276</v>
      </c>
      <c r="P868" s="264" t="str">
        <f t="shared" si="35"/>
        <v>vixal 500ml</v>
      </c>
      <c r="Q868" s="264" t="s">
        <v>2609</v>
      </c>
      <c r="R868" s="519" t="s">
        <v>2566</v>
      </c>
      <c r="S868" s="399">
        <v>10</v>
      </c>
      <c r="T868" s="348" t="s">
        <v>3367</v>
      </c>
      <c r="U868" s="520">
        <v>30000</v>
      </c>
      <c r="V868" s="266">
        <v>300000</v>
      </c>
      <c r="W868" s="521" t="s">
        <v>227</v>
      </c>
      <c r="X868" s="521" t="s">
        <v>3383</v>
      </c>
      <c r="Y868" s="522" t="s">
        <v>2512</v>
      </c>
      <c r="Z868" s="523" t="s">
        <v>541</v>
      </c>
    </row>
    <row r="869" spans="1:26" ht="29">
      <c r="A869" s="513">
        <v>867</v>
      </c>
      <c r="B869" s="390"/>
      <c r="C869" s="515" t="s">
        <v>3074</v>
      </c>
      <c r="D869" s="262" t="s">
        <v>1069</v>
      </c>
      <c r="E869" s="513">
        <v>868</v>
      </c>
      <c r="F869" s="544" t="s">
        <v>3074</v>
      </c>
      <c r="G869" s="577">
        <v>45536</v>
      </c>
      <c r="H869" s="577">
        <v>45537</v>
      </c>
      <c r="I869" s="577">
        <v>45537</v>
      </c>
      <c r="J869" s="577">
        <v>45537</v>
      </c>
      <c r="K869" s="517">
        <v>45548</v>
      </c>
      <c r="L869" s="518" t="s">
        <v>533</v>
      </c>
      <c r="M869" s="264" t="s">
        <v>2587</v>
      </c>
      <c r="N869" s="262" t="s">
        <v>2177</v>
      </c>
      <c r="O869" s="390" t="s">
        <v>271</v>
      </c>
      <c r="P869" s="264" t="str">
        <f t="shared" si="35"/>
        <v>Pengharum Ruangan</v>
      </c>
      <c r="Q869" s="264" t="s">
        <v>2609</v>
      </c>
      <c r="R869" s="519" t="s">
        <v>2615</v>
      </c>
      <c r="S869" s="399">
        <v>10</v>
      </c>
      <c r="T869" s="348" t="s">
        <v>3363</v>
      </c>
      <c r="U869" s="520">
        <v>12100</v>
      </c>
      <c r="V869" s="266">
        <v>121000</v>
      </c>
      <c r="W869" s="521" t="s">
        <v>227</v>
      </c>
      <c r="X869" s="521" t="s">
        <v>3383</v>
      </c>
      <c r="Y869" s="522" t="s">
        <v>2512</v>
      </c>
      <c r="Z869" s="523" t="s">
        <v>541</v>
      </c>
    </row>
    <row r="870" spans="1:26" ht="29">
      <c r="A870" s="513">
        <v>868</v>
      </c>
      <c r="B870" s="390"/>
      <c r="C870" s="515" t="s">
        <v>3074</v>
      </c>
      <c r="D870" s="262" t="s">
        <v>1069</v>
      </c>
      <c r="E870" s="513">
        <v>869</v>
      </c>
      <c r="F870" s="544" t="s">
        <v>3074</v>
      </c>
      <c r="G870" s="577">
        <v>45536</v>
      </c>
      <c r="H870" s="577">
        <v>45537</v>
      </c>
      <c r="I870" s="577">
        <v>45537</v>
      </c>
      <c r="J870" s="577">
        <v>45537</v>
      </c>
      <c r="K870" s="517">
        <v>45548</v>
      </c>
      <c r="L870" s="518" t="s">
        <v>533</v>
      </c>
      <c r="M870" s="264" t="s">
        <v>2587</v>
      </c>
      <c r="N870" s="262" t="s">
        <v>2177</v>
      </c>
      <c r="O870" s="390" t="s">
        <v>2272</v>
      </c>
      <c r="P870" s="264" t="str">
        <f t="shared" si="35"/>
        <v>Hand Sanitizer-Unit</v>
      </c>
      <c r="Q870" s="264" t="s">
        <v>2609</v>
      </c>
      <c r="R870" s="524" t="s">
        <v>2621</v>
      </c>
      <c r="S870" s="399">
        <v>5</v>
      </c>
      <c r="T870" s="348" t="s">
        <v>3371</v>
      </c>
      <c r="U870" s="520">
        <v>70000</v>
      </c>
      <c r="V870" s="266">
        <v>350000</v>
      </c>
      <c r="W870" s="521" t="s">
        <v>227</v>
      </c>
      <c r="X870" s="521" t="s">
        <v>3383</v>
      </c>
      <c r="Y870" s="522" t="s">
        <v>2512</v>
      </c>
      <c r="Z870" s="523" t="s">
        <v>541</v>
      </c>
    </row>
    <row r="871" spans="1:26" ht="29">
      <c r="A871" s="513">
        <v>869</v>
      </c>
      <c r="B871" s="390"/>
      <c r="C871" s="515" t="s">
        <v>3074</v>
      </c>
      <c r="D871" s="262" t="s">
        <v>1069</v>
      </c>
      <c r="E871" s="513">
        <v>870</v>
      </c>
      <c r="F871" s="544" t="s">
        <v>3074</v>
      </c>
      <c r="G871" s="577">
        <v>45536</v>
      </c>
      <c r="H871" s="577">
        <v>45537</v>
      </c>
      <c r="I871" s="577">
        <v>45537</v>
      </c>
      <c r="J871" s="577">
        <v>45537</v>
      </c>
      <c r="K871" s="517">
        <v>45548</v>
      </c>
      <c r="L871" s="518" t="s">
        <v>533</v>
      </c>
      <c r="M871" s="264" t="s">
        <v>2587</v>
      </c>
      <c r="N871" s="262" t="s">
        <v>2177</v>
      </c>
      <c r="O871" s="390" t="s">
        <v>270</v>
      </c>
      <c r="P871" s="264" t="str">
        <f t="shared" si="35"/>
        <v>Handsoap/Pencuci Tangan</v>
      </c>
      <c r="Q871" s="264" t="s">
        <v>2609</v>
      </c>
      <c r="R871" s="519" t="s">
        <v>548</v>
      </c>
      <c r="S871" s="399">
        <v>5</v>
      </c>
      <c r="T871" s="348" t="s">
        <v>3367</v>
      </c>
      <c r="U871" s="520">
        <v>67000</v>
      </c>
      <c r="V871" s="266">
        <v>335000</v>
      </c>
      <c r="W871" s="521" t="s">
        <v>227</v>
      </c>
      <c r="X871" s="521" t="s">
        <v>3383</v>
      </c>
      <c r="Y871" s="522" t="s">
        <v>2512</v>
      </c>
      <c r="Z871" s="523" t="s">
        <v>541</v>
      </c>
    </row>
    <row r="872" spans="1:26" ht="29">
      <c r="A872" s="513">
        <v>870</v>
      </c>
      <c r="B872" s="390"/>
      <c r="C872" s="515" t="s">
        <v>3074</v>
      </c>
      <c r="D872" s="262" t="s">
        <v>1069</v>
      </c>
      <c r="E872" s="513">
        <v>871</v>
      </c>
      <c r="F872" s="544" t="s">
        <v>3074</v>
      </c>
      <c r="G872" s="577">
        <v>45536</v>
      </c>
      <c r="H872" s="577">
        <v>45537</v>
      </c>
      <c r="I872" s="577">
        <v>45537</v>
      </c>
      <c r="J872" s="577">
        <v>45537</v>
      </c>
      <c r="K872" s="517">
        <v>45548</v>
      </c>
      <c r="L872" s="518" t="s">
        <v>533</v>
      </c>
      <c r="M872" s="264" t="s">
        <v>2587</v>
      </c>
      <c r="N872" s="262" t="s">
        <v>2177</v>
      </c>
      <c r="O872" s="390" t="s">
        <v>2270</v>
      </c>
      <c r="P872" s="264" t="str">
        <f t="shared" si="35"/>
        <v>Cairan Pembersih Kaca</v>
      </c>
      <c r="Q872" s="264" t="s">
        <v>2609</v>
      </c>
      <c r="R872" s="525" t="s">
        <v>2618</v>
      </c>
      <c r="S872" s="399">
        <v>5</v>
      </c>
      <c r="T872" s="348" t="s">
        <v>3363</v>
      </c>
      <c r="U872" s="520">
        <v>12000</v>
      </c>
      <c r="V872" s="266">
        <v>60000</v>
      </c>
      <c r="W872" s="521" t="s">
        <v>227</v>
      </c>
      <c r="X872" s="521" t="s">
        <v>3383</v>
      </c>
      <c r="Y872" s="522" t="s">
        <v>2512</v>
      </c>
      <c r="Z872" s="523" t="s">
        <v>541</v>
      </c>
    </row>
    <row r="873" spans="1:26" ht="43.5">
      <c r="A873" s="513">
        <v>871</v>
      </c>
      <c r="B873" s="390"/>
      <c r="C873" s="515" t="s">
        <v>3074</v>
      </c>
      <c r="D873" s="262" t="s">
        <v>1069</v>
      </c>
      <c r="E873" s="513">
        <v>872</v>
      </c>
      <c r="F873" s="544" t="s">
        <v>3074</v>
      </c>
      <c r="G873" s="577">
        <v>45536</v>
      </c>
      <c r="H873" s="577">
        <v>45537</v>
      </c>
      <c r="I873" s="577">
        <v>45537</v>
      </c>
      <c r="J873" s="577">
        <v>45537</v>
      </c>
      <c r="K873" s="517">
        <v>45548</v>
      </c>
      <c r="L873" s="518" t="s">
        <v>533</v>
      </c>
      <c r="M873" s="264" t="s">
        <v>2587</v>
      </c>
      <c r="N873" s="262" t="s">
        <v>2177</v>
      </c>
      <c r="O873" s="390" t="s">
        <v>274</v>
      </c>
      <c r="P873" s="264" t="str">
        <f t="shared" si="35"/>
        <v>Spon Cuci</v>
      </c>
      <c r="Q873" s="264" t="s">
        <v>2609</v>
      </c>
      <c r="R873" s="519" t="s">
        <v>2617</v>
      </c>
      <c r="S873" s="399">
        <v>5</v>
      </c>
      <c r="T873" s="348" t="s">
        <v>3363</v>
      </c>
      <c r="U873" s="520">
        <v>12000</v>
      </c>
      <c r="V873" s="266">
        <v>60000</v>
      </c>
      <c r="W873" s="521" t="s">
        <v>227</v>
      </c>
      <c r="X873" s="521" t="s">
        <v>3383</v>
      </c>
      <c r="Y873" s="522" t="s">
        <v>2512</v>
      </c>
      <c r="Z873" s="523" t="s">
        <v>541</v>
      </c>
    </row>
    <row r="874" spans="1:26" ht="29">
      <c r="A874" s="513">
        <v>872</v>
      </c>
      <c r="B874" s="390"/>
      <c r="C874" s="515" t="s">
        <v>3075</v>
      </c>
      <c r="D874" s="262" t="s">
        <v>1070</v>
      </c>
      <c r="E874" s="513">
        <v>873</v>
      </c>
      <c r="F874" s="544" t="s">
        <v>3075</v>
      </c>
      <c r="G874" s="577">
        <v>45536</v>
      </c>
      <c r="H874" s="577">
        <v>45537</v>
      </c>
      <c r="I874" s="577">
        <v>45537</v>
      </c>
      <c r="J874" s="577">
        <v>45537</v>
      </c>
      <c r="K874" s="517">
        <v>45548</v>
      </c>
      <c r="L874" s="518" t="s">
        <v>694</v>
      </c>
      <c r="M874" s="264" t="s">
        <v>2646</v>
      </c>
      <c r="N874" s="262" t="s">
        <v>1126</v>
      </c>
      <c r="O874" s="390" t="s">
        <v>3076</v>
      </c>
      <c r="P874" s="264" t="str">
        <f t="shared" si="35"/>
        <v>Cat Vinilex Putih 25 kg--</v>
      </c>
      <c r="Q874" s="264" t="s">
        <v>3030</v>
      </c>
      <c r="R874" s="565" t="s">
        <v>3076</v>
      </c>
      <c r="S874" s="399">
        <v>15</v>
      </c>
      <c r="T874" s="348" t="s">
        <v>3363</v>
      </c>
      <c r="U874" s="520">
        <v>1113000</v>
      </c>
      <c r="V874" s="266">
        <v>16695000</v>
      </c>
      <c r="W874" s="521" t="s">
        <v>12</v>
      </c>
      <c r="X874" s="521" t="s">
        <v>13</v>
      </c>
      <c r="Y874" s="522" t="s">
        <v>2512</v>
      </c>
      <c r="Z874" s="523" t="s">
        <v>541</v>
      </c>
    </row>
    <row r="875" spans="1:26" ht="29">
      <c r="A875" s="513">
        <v>873</v>
      </c>
      <c r="B875" s="390"/>
      <c r="C875" s="515" t="s">
        <v>3077</v>
      </c>
      <c r="D875" s="262" t="s">
        <v>1072</v>
      </c>
      <c r="E875" s="513">
        <v>874</v>
      </c>
      <c r="F875" s="544" t="s">
        <v>3077</v>
      </c>
      <c r="G875" s="577">
        <v>45536</v>
      </c>
      <c r="H875" s="577">
        <v>45537</v>
      </c>
      <c r="I875" s="577">
        <v>45537</v>
      </c>
      <c r="J875" s="577">
        <v>45537</v>
      </c>
      <c r="K875" s="517">
        <v>45548</v>
      </c>
      <c r="L875" s="518" t="s">
        <v>1198</v>
      </c>
      <c r="M875" s="264" t="s">
        <v>2646</v>
      </c>
      <c r="N875" s="262" t="s">
        <v>1126</v>
      </c>
      <c r="O875" s="390" t="s">
        <v>3078</v>
      </c>
      <c r="P875" s="264" t="s">
        <v>3079</v>
      </c>
      <c r="Q875" s="264" t="s">
        <v>3030</v>
      </c>
      <c r="R875" s="528" t="s">
        <v>3080</v>
      </c>
      <c r="S875" s="399">
        <v>12</v>
      </c>
      <c r="T875" s="348" t="s">
        <v>3378</v>
      </c>
      <c r="U875" s="520">
        <v>170000</v>
      </c>
      <c r="V875" s="266">
        <v>2040000</v>
      </c>
      <c r="W875" s="521" t="s">
        <v>3081</v>
      </c>
      <c r="X875" s="521" t="s">
        <v>3081</v>
      </c>
      <c r="Y875" s="522" t="s">
        <v>3082</v>
      </c>
      <c r="Z875" s="528" t="s">
        <v>3083</v>
      </c>
    </row>
    <row r="876" spans="1:26" ht="37.5">
      <c r="A876" s="513">
        <v>874</v>
      </c>
      <c r="B876" s="390"/>
      <c r="C876" s="515" t="s">
        <v>3084</v>
      </c>
      <c r="D876" s="262" t="s">
        <v>1073</v>
      </c>
      <c r="E876" s="513">
        <v>875</v>
      </c>
      <c r="F876" s="544" t="s">
        <v>3084</v>
      </c>
      <c r="G876" s="577">
        <v>45537</v>
      </c>
      <c r="H876" s="577">
        <v>45538</v>
      </c>
      <c r="I876" s="577">
        <v>45538</v>
      </c>
      <c r="J876" s="577">
        <v>45538</v>
      </c>
      <c r="K876" s="517">
        <v>45548</v>
      </c>
      <c r="L876" s="518" t="s">
        <v>2180</v>
      </c>
      <c r="M876" s="264" t="s">
        <v>2640</v>
      </c>
      <c r="N876" s="262" t="s">
        <v>2202</v>
      </c>
      <c r="O876" s="390" t="s">
        <v>2317</v>
      </c>
      <c r="P876" s="264" t="s">
        <v>2633</v>
      </c>
      <c r="Q876" s="264" t="s">
        <v>280</v>
      </c>
      <c r="R876" s="528" t="s">
        <v>165</v>
      </c>
      <c r="S876" s="399">
        <v>60</v>
      </c>
      <c r="T876" s="348" t="s">
        <v>3362</v>
      </c>
      <c r="U876" s="520">
        <v>15000</v>
      </c>
      <c r="V876" s="266">
        <v>900000</v>
      </c>
      <c r="W876" s="521" t="s">
        <v>10</v>
      </c>
      <c r="X876" s="521" t="s">
        <v>11</v>
      </c>
      <c r="Y876" s="522" t="s">
        <v>2092</v>
      </c>
      <c r="Z876" s="523" t="s">
        <v>2634</v>
      </c>
    </row>
    <row r="877" spans="1:26" ht="37.5">
      <c r="A877" s="513">
        <v>875</v>
      </c>
      <c r="B877" s="390"/>
      <c r="C877" s="515" t="s">
        <v>3085</v>
      </c>
      <c r="D877" s="262" t="s">
        <v>1074</v>
      </c>
      <c r="E877" s="513">
        <v>876</v>
      </c>
      <c r="F877" s="544" t="s">
        <v>3085</v>
      </c>
      <c r="G877" s="577">
        <v>45537</v>
      </c>
      <c r="H877" s="577">
        <v>45538</v>
      </c>
      <c r="I877" s="577">
        <v>45538</v>
      </c>
      <c r="J877" s="577">
        <v>45538</v>
      </c>
      <c r="K877" s="517">
        <v>45548</v>
      </c>
      <c r="L877" s="518" t="s">
        <v>2180</v>
      </c>
      <c r="M877" s="264" t="s">
        <v>2640</v>
      </c>
      <c r="N877" s="262" t="s">
        <v>2202</v>
      </c>
      <c r="O877" s="390" t="s">
        <v>2318</v>
      </c>
      <c r="P877" s="264" t="s">
        <v>467</v>
      </c>
      <c r="Q877" s="264" t="s">
        <v>8</v>
      </c>
      <c r="R877" s="519" t="s">
        <v>2635</v>
      </c>
      <c r="S877" s="399">
        <v>60</v>
      </c>
      <c r="T877" s="348" t="s">
        <v>3362</v>
      </c>
      <c r="U877" s="520">
        <v>40000</v>
      </c>
      <c r="V877" s="266">
        <v>2400000</v>
      </c>
      <c r="W877" s="521" t="s">
        <v>2507</v>
      </c>
      <c r="X877" s="521" t="s">
        <v>2508</v>
      </c>
      <c r="Y877" s="522" t="s">
        <v>2516</v>
      </c>
      <c r="Z877" s="523" t="s">
        <v>2636</v>
      </c>
    </row>
    <row r="878" spans="1:26" ht="29">
      <c r="A878" s="513">
        <v>876</v>
      </c>
      <c r="B878" s="390"/>
      <c r="C878" s="515" t="s">
        <v>3086</v>
      </c>
      <c r="D878" s="262" t="s">
        <v>1076</v>
      </c>
      <c r="E878" s="513">
        <v>877</v>
      </c>
      <c r="F878" s="544" t="s">
        <v>3086</v>
      </c>
      <c r="G878" s="577">
        <v>45538</v>
      </c>
      <c r="H878" s="577">
        <v>45539</v>
      </c>
      <c r="I878" s="577">
        <v>45539</v>
      </c>
      <c r="J878" s="577">
        <v>45539</v>
      </c>
      <c r="K878" s="517">
        <v>45548</v>
      </c>
      <c r="L878" s="518" t="s">
        <v>2180</v>
      </c>
      <c r="M878" s="264" t="s">
        <v>2643</v>
      </c>
      <c r="N878" s="262" t="s">
        <v>2183</v>
      </c>
      <c r="O878" s="390" t="s">
        <v>2285</v>
      </c>
      <c r="P878" s="264" t="s">
        <v>2442</v>
      </c>
      <c r="Q878" s="264" t="s">
        <v>1545</v>
      </c>
      <c r="R878" s="519" t="s">
        <v>163</v>
      </c>
      <c r="S878" s="399">
        <v>25</v>
      </c>
      <c r="T878" s="348" t="s">
        <v>3372</v>
      </c>
      <c r="U878" s="520">
        <v>50000</v>
      </c>
      <c r="V878" s="266">
        <v>1250000</v>
      </c>
      <c r="W878" s="521" t="s">
        <v>10</v>
      </c>
      <c r="X878" s="521" t="s">
        <v>11</v>
      </c>
      <c r="Y878" s="522" t="s">
        <v>2092</v>
      </c>
      <c r="Z878" s="523" t="s">
        <v>2634</v>
      </c>
    </row>
    <row r="879" spans="1:26">
      <c r="A879" s="406">
        <v>877</v>
      </c>
      <c r="B879" s="389"/>
      <c r="C879" s="515" t="s">
        <v>3087</v>
      </c>
      <c r="D879" s="435" t="s">
        <v>3088</v>
      </c>
      <c r="E879" s="406">
        <v>878</v>
      </c>
      <c r="F879" s="549" t="s">
        <v>3087</v>
      </c>
      <c r="G879" s="578">
        <v>45540</v>
      </c>
      <c r="H879" s="578">
        <v>45541</v>
      </c>
      <c r="I879" s="578">
        <v>45541</v>
      </c>
      <c r="J879" s="578">
        <v>45541</v>
      </c>
      <c r="K879" s="550">
        <v>45548</v>
      </c>
      <c r="L879" s="552" t="s">
        <v>571</v>
      </c>
      <c r="M879" s="264" t="s">
        <v>2587</v>
      </c>
      <c r="N879" s="435" t="s">
        <v>1004</v>
      </c>
      <c r="O879" s="389" t="s">
        <v>3089</v>
      </c>
      <c r="P879" s="355" t="str">
        <f t="shared" ref="P879:P910" si="36">O879</f>
        <v>Sampul Rapor/Buku rapor</v>
      </c>
      <c r="Q879" s="355"/>
      <c r="R879" s="355"/>
      <c r="S879" s="400">
        <v>350</v>
      </c>
      <c r="T879" s="440" t="s">
        <v>3363</v>
      </c>
      <c r="U879" s="450">
        <v>75000</v>
      </c>
      <c r="V879" s="403">
        <v>26250000</v>
      </c>
      <c r="W879" s="554" t="s">
        <v>2521</v>
      </c>
      <c r="X879" s="554" t="s">
        <v>2721</v>
      </c>
      <c r="Y879" s="555" t="s">
        <v>2722</v>
      </c>
      <c r="Z879" s="554" t="s">
        <v>2723</v>
      </c>
    </row>
    <row r="880" spans="1:26" ht="29">
      <c r="A880" s="513">
        <v>878</v>
      </c>
      <c r="B880" s="390"/>
      <c r="C880" s="515" t="s">
        <v>3090</v>
      </c>
      <c r="D880" s="262" t="s">
        <v>1077</v>
      </c>
      <c r="E880" s="513">
        <v>879</v>
      </c>
      <c r="F880" s="544" t="s">
        <v>3090</v>
      </c>
      <c r="G880" s="577">
        <v>45550</v>
      </c>
      <c r="H880" s="577">
        <v>45551</v>
      </c>
      <c r="I880" s="577">
        <v>45551</v>
      </c>
      <c r="J880" s="577">
        <v>45551</v>
      </c>
      <c r="K880" s="517">
        <v>45551</v>
      </c>
      <c r="L880" s="518" t="s">
        <v>3091</v>
      </c>
      <c r="M880" s="537" t="s">
        <v>3035</v>
      </c>
      <c r="N880" s="262" t="s">
        <v>3092</v>
      </c>
      <c r="O880" s="390" t="s">
        <v>3093</v>
      </c>
      <c r="P880" s="264" t="str">
        <f t="shared" si="36"/>
        <v>Sampul Buku Transparan</v>
      </c>
      <c r="Q880" s="264" t="s">
        <v>3094</v>
      </c>
      <c r="R880" s="264" t="s">
        <v>3095</v>
      </c>
      <c r="S880" s="399">
        <v>1850</v>
      </c>
      <c r="T880" s="348" t="s">
        <v>3368</v>
      </c>
      <c r="U880" s="520">
        <v>3500</v>
      </c>
      <c r="V880" s="266">
        <v>6475000</v>
      </c>
      <c r="W880" s="521" t="s">
        <v>227</v>
      </c>
      <c r="X880" s="521" t="s">
        <v>3383</v>
      </c>
      <c r="Y880" s="522" t="s">
        <v>2512</v>
      </c>
      <c r="Z880" s="523" t="s">
        <v>541</v>
      </c>
    </row>
    <row r="881" spans="1:26" ht="29">
      <c r="A881" s="513">
        <v>879</v>
      </c>
      <c r="B881" s="390"/>
      <c r="C881" s="515" t="s">
        <v>3096</v>
      </c>
      <c r="D881" s="262" t="s">
        <v>1078</v>
      </c>
      <c r="E881" s="513">
        <v>880</v>
      </c>
      <c r="F881" s="544" t="s">
        <v>3096</v>
      </c>
      <c r="G881" s="577">
        <v>45551</v>
      </c>
      <c r="H881" s="577">
        <v>45552</v>
      </c>
      <c r="I881" s="577">
        <v>45552</v>
      </c>
      <c r="J881" s="577">
        <v>45552</v>
      </c>
      <c r="K881" s="517">
        <v>45552</v>
      </c>
      <c r="L881" s="518" t="s">
        <v>3097</v>
      </c>
      <c r="M881" s="264" t="s">
        <v>2587</v>
      </c>
      <c r="N881" s="262" t="s">
        <v>2197</v>
      </c>
      <c r="O881" s="390" t="s">
        <v>3098</v>
      </c>
      <c r="P881" s="264" t="str">
        <f t="shared" si="36"/>
        <v>Pita ukuran (meteran)</v>
      </c>
      <c r="Q881" s="264" t="s">
        <v>3099</v>
      </c>
      <c r="R881" s="524" t="s">
        <v>3100</v>
      </c>
      <c r="S881" s="399">
        <v>2</v>
      </c>
      <c r="T881" s="348" t="s">
        <v>3379</v>
      </c>
      <c r="U881" s="520">
        <v>166000</v>
      </c>
      <c r="V881" s="266">
        <v>332000</v>
      </c>
      <c r="W881" s="521" t="s">
        <v>2521</v>
      </c>
      <c r="X881" s="521" t="s">
        <v>2721</v>
      </c>
      <c r="Y881" s="522" t="s">
        <v>2722</v>
      </c>
      <c r="Z881" s="523" t="s">
        <v>2723</v>
      </c>
    </row>
    <row r="882" spans="1:26" ht="43.5">
      <c r="A882" s="513">
        <v>880</v>
      </c>
      <c r="B882" s="390"/>
      <c r="C882" s="515" t="s">
        <v>3096</v>
      </c>
      <c r="D882" s="262" t="s">
        <v>1078</v>
      </c>
      <c r="E882" s="513">
        <v>881</v>
      </c>
      <c r="F882" s="544" t="s">
        <v>3096</v>
      </c>
      <c r="G882" s="577">
        <v>45551</v>
      </c>
      <c r="H882" s="577">
        <v>45552</v>
      </c>
      <c r="I882" s="577">
        <v>45552</v>
      </c>
      <c r="J882" s="577">
        <v>45552</v>
      </c>
      <c r="K882" s="517">
        <v>45552</v>
      </c>
      <c r="L882" s="518" t="s">
        <v>3097</v>
      </c>
      <c r="M882" s="264" t="s">
        <v>2587</v>
      </c>
      <c r="N882" s="262" t="s">
        <v>2197</v>
      </c>
      <c r="O882" s="390" t="s">
        <v>3101</v>
      </c>
      <c r="P882" s="264" t="str">
        <f t="shared" si="36"/>
        <v>Alat Perekal Alumunium Foil</v>
      </c>
      <c r="Q882" s="264" t="s">
        <v>3099</v>
      </c>
      <c r="R882" s="528" t="s">
        <v>3102</v>
      </c>
      <c r="S882" s="399">
        <v>2</v>
      </c>
      <c r="T882" s="348" t="s">
        <v>3379</v>
      </c>
      <c r="U882" s="520">
        <v>1404000</v>
      </c>
      <c r="V882" s="266">
        <v>2808000</v>
      </c>
      <c r="W882" s="521" t="s">
        <v>2521</v>
      </c>
      <c r="X882" s="521" t="s">
        <v>2721</v>
      </c>
      <c r="Y882" s="522" t="s">
        <v>2722</v>
      </c>
      <c r="Z882" s="523" t="s">
        <v>2723</v>
      </c>
    </row>
    <row r="883" spans="1:26" ht="29">
      <c r="A883" s="513">
        <v>881</v>
      </c>
      <c r="B883" s="390"/>
      <c r="C883" s="515" t="s">
        <v>3096</v>
      </c>
      <c r="D883" s="262" t="s">
        <v>1078</v>
      </c>
      <c r="E883" s="513">
        <v>882</v>
      </c>
      <c r="F883" s="544" t="s">
        <v>3096</v>
      </c>
      <c r="G883" s="577">
        <v>45551</v>
      </c>
      <c r="H883" s="577">
        <v>45552</v>
      </c>
      <c r="I883" s="577">
        <v>45552</v>
      </c>
      <c r="J883" s="577">
        <v>45552</v>
      </c>
      <c r="K883" s="517">
        <v>45552</v>
      </c>
      <c r="L883" s="518" t="s">
        <v>3097</v>
      </c>
      <c r="M883" s="264" t="s">
        <v>2587</v>
      </c>
      <c r="N883" s="262" t="s">
        <v>2197</v>
      </c>
      <c r="O883" s="390" t="s">
        <v>3103</v>
      </c>
      <c r="P883" s="264" t="str">
        <f t="shared" si="36"/>
        <v>Voltmeter</v>
      </c>
      <c r="Q883" s="264" t="s">
        <v>3099</v>
      </c>
      <c r="R883" s="528" t="s">
        <v>3104</v>
      </c>
      <c r="S883" s="399">
        <v>6</v>
      </c>
      <c r="T883" s="348" t="s">
        <v>3363</v>
      </c>
      <c r="U883" s="520">
        <v>485000</v>
      </c>
      <c r="V883" s="266">
        <v>2910000</v>
      </c>
      <c r="W883" s="521" t="s">
        <v>2521</v>
      </c>
      <c r="X883" s="521" t="s">
        <v>2721</v>
      </c>
      <c r="Y883" s="522" t="s">
        <v>2722</v>
      </c>
      <c r="Z883" s="523" t="s">
        <v>2723</v>
      </c>
    </row>
    <row r="884" spans="1:26" ht="29">
      <c r="A884" s="513">
        <v>882</v>
      </c>
      <c r="B884" s="390"/>
      <c r="C884" s="515" t="s">
        <v>3096</v>
      </c>
      <c r="D884" s="262" t="s">
        <v>1079</v>
      </c>
      <c r="E884" s="513">
        <v>883</v>
      </c>
      <c r="F884" s="544" t="s">
        <v>3096</v>
      </c>
      <c r="G884" s="577">
        <v>45551</v>
      </c>
      <c r="H884" s="577">
        <v>45552</v>
      </c>
      <c r="I884" s="577">
        <v>45552</v>
      </c>
      <c r="J884" s="577">
        <v>45552</v>
      </c>
      <c r="K884" s="517">
        <v>45552</v>
      </c>
      <c r="L884" s="518" t="s">
        <v>3105</v>
      </c>
      <c r="M884" s="264" t="s">
        <v>2587</v>
      </c>
      <c r="N884" s="262" t="s">
        <v>2197</v>
      </c>
      <c r="O884" s="390" t="s">
        <v>3106</v>
      </c>
      <c r="P884" s="264" t="str">
        <f t="shared" si="36"/>
        <v>Buret/Peralatan Titrasi</v>
      </c>
      <c r="Q884" s="264" t="s">
        <v>3099</v>
      </c>
      <c r="R884" s="524" t="s">
        <v>3107</v>
      </c>
      <c r="S884" s="399">
        <v>2</v>
      </c>
      <c r="T884" s="348" t="s">
        <v>3371</v>
      </c>
      <c r="U884" s="520">
        <v>655525</v>
      </c>
      <c r="V884" s="266">
        <v>1311050</v>
      </c>
      <c r="W884" s="521" t="s">
        <v>2521</v>
      </c>
      <c r="X884" s="521" t="s">
        <v>2721</v>
      </c>
      <c r="Y884" s="522" t="s">
        <v>2722</v>
      </c>
      <c r="Z884" s="523" t="s">
        <v>2723</v>
      </c>
    </row>
    <row r="885" spans="1:26" ht="25">
      <c r="A885" s="513">
        <v>883</v>
      </c>
      <c r="B885" s="390"/>
      <c r="C885" s="515" t="s">
        <v>3108</v>
      </c>
      <c r="D885" s="262" t="s">
        <v>1083</v>
      </c>
      <c r="E885" s="513">
        <v>884</v>
      </c>
      <c r="F885" s="544" t="s">
        <v>3108</v>
      </c>
      <c r="G885" s="543">
        <v>45505</v>
      </c>
      <c r="H885" s="543">
        <v>45505</v>
      </c>
      <c r="I885" s="517">
        <v>45554</v>
      </c>
      <c r="J885" s="517">
        <v>45554</v>
      </c>
      <c r="K885" s="517">
        <v>45554</v>
      </c>
      <c r="L885" s="518" t="s">
        <v>3109</v>
      </c>
      <c r="M885" s="264" t="s">
        <v>2646</v>
      </c>
      <c r="N885" s="262" t="s">
        <v>2192</v>
      </c>
      <c r="O885" s="390" t="s">
        <v>3110</v>
      </c>
      <c r="P885" s="264" t="str">
        <f t="shared" si="36"/>
        <v>Biaya Jasa Perbaikan dan Penukaran Sperpat Baru Proyektor yang Rusak</v>
      </c>
      <c r="Q885" s="264" t="s">
        <v>3111</v>
      </c>
      <c r="R885" s="390" t="s">
        <v>3110</v>
      </c>
      <c r="S885" s="399" t="e">
        <v>#N/A</v>
      </c>
      <c r="T885" s="348" t="e">
        <v>#N/A</v>
      </c>
      <c r="U885" s="520" t="e">
        <v>#N/A</v>
      </c>
      <c r="V885" s="266">
        <v>18900000</v>
      </c>
      <c r="W885" s="521" t="s">
        <v>3112</v>
      </c>
      <c r="X885" s="521" t="s">
        <v>3113</v>
      </c>
      <c r="Y885" s="579" t="s">
        <v>3114</v>
      </c>
      <c r="Z885" s="528" t="s">
        <v>3115</v>
      </c>
    </row>
    <row r="886" spans="1:26">
      <c r="A886" s="513">
        <v>884</v>
      </c>
      <c r="B886" s="390"/>
      <c r="C886" s="515" t="s">
        <v>3116</v>
      </c>
      <c r="D886" s="262" t="s">
        <v>3117</v>
      </c>
      <c r="E886" s="513">
        <v>885</v>
      </c>
      <c r="F886" s="544" t="s">
        <v>3116</v>
      </c>
      <c r="G886" s="360">
        <v>45500</v>
      </c>
      <c r="H886" s="360">
        <v>45500</v>
      </c>
      <c r="I886" s="360">
        <v>45500</v>
      </c>
      <c r="J886" s="360">
        <v>45500</v>
      </c>
      <c r="K886" s="517">
        <v>45554</v>
      </c>
      <c r="L886" s="518" t="s">
        <v>2678</v>
      </c>
      <c r="M886" s="264" t="s">
        <v>2679</v>
      </c>
      <c r="N886" s="262" t="s">
        <v>2680</v>
      </c>
      <c r="O886" s="390" t="s">
        <v>2681</v>
      </c>
      <c r="P886" s="264" t="str">
        <f t="shared" si="36"/>
        <v>Selatieli Nehe</v>
      </c>
      <c r="Q886" s="264" t="s">
        <v>2682</v>
      </c>
      <c r="R886" s="528" t="s">
        <v>2683</v>
      </c>
      <c r="S886" s="399">
        <v>33</v>
      </c>
      <c r="T886" s="348" t="s">
        <v>3374</v>
      </c>
      <c r="U886" s="520">
        <v>75000</v>
      </c>
      <c r="V886" s="266">
        <v>2700000</v>
      </c>
      <c r="W886" s="521" t="s">
        <v>2684</v>
      </c>
      <c r="X886" s="264"/>
      <c r="Y886" s="264"/>
      <c r="Z886" s="528"/>
    </row>
    <row r="887" spans="1:26">
      <c r="A887" s="513">
        <v>885</v>
      </c>
      <c r="B887" s="390"/>
      <c r="C887" s="515" t="s">
        <v>3118</v>
      </c>
      <c r="D887" s="262" t="s">
        <v>3117</v>
      </c>
      <c r="E887" s="513">
        <v>886</v>
      </c>
      <c r="F887" s="544" t="s">
        <v>3118</v>
      </c>
      <c r="G887" s="543">
        <v>45531</v>
      </c>
      <c r="H887" s="543">
        <v>45531</v>
      </c>
      <c r="I887" s="543">
        <v>45531</v>
      </c>
      <c r="J887" s="543">
        <v>45531</v>
      </c>
      <c r="K887" s="517">
        <v>45554</v>
      </c>
      <c r="L887" s="518" t="s">
        <v>2678</v>
      </c>
      <c r="M887" s="264" t="s">
        <v>2679</v>
      </c>
      <c r="N887" s="262" t="s">
        <v>2680</v>
      </c>
      <c r="O887" s="390" t="s">
        <v>2681</v>
      </c>
      <c r="P887" s="264" t="str">
        <f t="shared" si="36"/>
        <v>Selatieli Nehe</v>
      </c>
      <c r="Q887" s="264" t="s">
        <v>2682</v>
      </c>
      <c r="R887" s="528" t="s">
        <v>2683</v>
      </c>
      <c r="S887" s="399">
        <v>33</v>
      </c>
      <c r="T887" s="348" t="s">
        <v>3374</v>
      </c>
      <c r="U887" s="520">
        <v>75000</v>
      </c>
      <c r="V887" s="266">
        <v>2700000</v>
      </c>
      <c r="W887" s="521" t="s">
        <v>2684</v>
      </c>
      <c r="X887" s="264"/>
      <c r="Y887" s="264"/>
      <c r="Z887" s="528"/>
    </row>
    <row r="888" spans="1:26">
      <c r="A888" s="513">
        <v>886</v>
      </c>
      <c r="B888" s="390"/>
      <c r="C888" s="515" t="s">
        <v>3119</v>
      </c>
      <c r="D888" s="262" t="s">
        <v>3117</v>
      </c>
      <c r="E888" s="513">
        <v>887</v>
      </c>
      <c r="F888" s="544" t="s">
        <v>3119</v>
      </c>
      <c r="G888" s="577">
        <v>45554</v>
      </c>
      <c r="H888" s="577">
        <v>45554</v>
      </c>
      <c r="I888" s="577">
        <v>45554</v>
      </c>
      <c r="J888" s="577">
        <v>45554</v>
      </c>
      <c r="K888" s="517">
        <v>45554</v>
      </c>
      <c r="L888" s="518" t="s">
        <v>2678</v>
      </c>
      <c r="M888" s="264" t="s">
        <v>2679</v>
      </c>
      <c r="N888" s="262" t="s">
        <v>2680</v>
      </c>
      <c r="O888" s="390" t="s">
        <v>2681</v>
      </c>
      <c r="P888" s="264" t="str">
        <f t="shared" si="36"/>
        <v>Selatieli Nehe</v>
      </c>
      <c r="Q888" s="264" t="s">
        <v>2682</v>
      </c>
      <c r="R888" s="528" t="s">
        <v>2683</v>
      </c>
      <c r="S888" s="399">
        <v>33</v>
      </c>
      <c r="T888" s="348" t="s">
        <v>3374</v>
      </c>
      <c r="U888" s="520">
        <v>75000</v>
      </c>
      <c r="V888" s="266">
        <v>2700000</v>
      </c>
      <c r="W888" s="521" t="s">
        <v>2684</v>
      </c>
      <c r="X888" s="264"/>
      <c r="Y888" s="264"/>
      <c r="Z888" s="528"/>
    </row>
    <row r="889" spans="1:26">
      <c r="A889" s="513">
        <v>887</v>
      </c>
      <c r="B889" s="390"/>
      <c r="C889" s="515" t="s">
        <v>3120</v>
      </c>
      <c r="D889" s="262" t="s">
        <v>3121</v>
      </c>
      <c r="E889" s="513">
        <v>888</v>
      </c>
      <c r="F889" s="544" t="s">
        <v>3120</v>
      </c>
      <c r="G889" s="360">
        <v>45500</v>
      </c>
      <c r="H889" s="360">
        <v>45500</v>
      </c>
      <c r="I889" s="360">
        <v>45500</v>
      </c>
      <c r="J889" s="360">
        <v>45500</v>
      </c>
      <c r="K889" s="517">
        <v>45554</v>
      </c>
      <c r="L889" s="518" t="s">
        <v>2678</v>
      </c>
      <c r="M889" s="264" t="s">
        <v>2679</v>
      </c>
      <c r="N889" s="262" t="s">
        <v>2680</v>
      </c>
      <c r="O889" s="390" t="s">
        <v>2686</v>
      </c>
      <c r="P889" s="264" t="str">
        <f t="shared" si="36"/>
        <v>Arifin Metodi Bate'e</v>
      </c>
      <c r="Q889" s="264" t="s">
        <v>2682</v>
      </c>
      <c r="R889" s="528" t="s">
        <v>2683</v>
      </c>
      <c r="S889" s="399">
        <v>34</v>
      </c>
      <c r="T889" s="348" t="s">
        <v>3374</v>
      </c>
      <c r="U889" s="520">
        <v>75000</v>
      </c>
      <c r="V889" s="266">
        <v>2400000</v>
      </c>
      <c r="W889" s="521" t="s">
        <v>2684</v>
      </c>
      <c r="X889" s="264"/>
      <c r="Y889" s="264"/>
      <c r="Z889" s="528"/>
    </row>
    <row r="890" spans="1:26">
      <c r="A890" s="513">
        <v>888</v>
      </c>
      <c r="B890" s="390"/>
      <c r="C890" s="515" t="s">
        <v>3122</v>
      </c>
      <c r="D890" s="262" t="s">
        <v>3121</v>
      </c>
      <c r="E890" s="513">
        <v>889</v>
      </c>
      <c r="F890" s="544" t="s">
        <v>3122</v>
      </c>
      <c r="G890" s="543">
        <v>45531</v>
      </c>
      <c r="H890" s="543">
        <v>45531</v>
      </c>
      <c r="I890" s="543">
        <v>45531</v>
      </c>
      <c r="J890" s="543">
        <v>45531</v>
      </c>
      <c r="K890" s="517">
        <v>45554</v>
      </c>
      <c r="L890" s="518" t="s">
        <v>2678</v>
      </c>
      <c r="M890" s="264" t="s">
        <v>2679</v>
      </c>
      <c r="N890" s="262" t="s">
        <v>2680</v>
      </c>
      <c r="O890" s="390" t="s">
        <v>2686</v>
      </c>
      <c r="P890" s="264" t="str">
        <f t="shared" si="36"/>
        <v>Arifin Metodi Bate'e</v>
      </c>
      <c r="Q890" s="264" t="s">
        <v>2682</v>
      </c>
      <c r="R890" s="528" t="s">
        <v>2683</v>
      </c>
      <c r="S890" s="399">
        <v>34</v>
      </c>
      <c r="T890" s="348" t="s">
        <v>3374</v>
      </c>
      <c r="U890" s="520">
        <v>75000</v>
      </c>
      <c r="V890" s="266">
        <v>2400000</v>
      </c>
      <c r="W890" s="521" t="s">
        <v>2684</v>
      </c>
      <c r="X890" s="264"/>
      <c r="Y890" s="264"/>
      <c r="Z890" s="528"/>
    </row>
    <row r="891" spans="1:26">
      <c r="A891" s="513">
        <v>889</v>
      </c>
      <c r="B891" s="390"/>
      <c r="C891" s="515" t="s">
        <v>3123</v>
      </c>
      <c r="D891" s="262" t="s">
        <v>3121</v>
      </c>
      <c r="E891" s="513">
        <v>890</v>
      </c>
      <c r="F891" s="544" t="s">
        <v>3123</v>
      </c>
      <c r="G891" s="577">
        <v>45554</v>
      </c>
      <c r="H891" s="577">
        <v>45554</v>
      </c>
      <c r="I891" s="577">
        <v>45554</v>
      </c>
      <c r="J891" s="577">
        <v>45554</v>
      </c>
      <c r="K891" s="517">
        <v>45554</v>
      </c>
      <c r="L891" s="518" t="s">
        <v>2678</v>
      </c>
      <c r="M891" s="264" t="s">
        <v>2679</v>
      </c>
      <c r="N891" s="262" t="s">
        <v>2680</v>
      </c>
      <c r="O891" s="390" t="s">
        <v>2686</v>
      </c>
      <c r="P891" s="264" t="str">
        <f t="shared" si="36"/>
        <v>Arifin Metodi Bate'e</v>
      </c>
      <c r="Q891" s="264" t="s">
        <v>2682</v>
      </c>
      <c r="R891" s="528" t="s">
        <v>2683</v>
      </c>
      <c r="S891" s="399">
        <v>34</v>
      </c>
      <c r="T891" s="348" t="s">
        <v>3374</v>
      </c>
      <c r="U891" s="520">
        <v>75000</v>
      </c>
      <c r="V891" s="266">
        <v>2400000</v>
      </c>
      <c r="W891" s="521" t="s">
        <v>2684</v>
      </c>
      <c r="X891" s="264"/>
      <c r="Y891" s="264"/>
      <c r="Z891" s="528"/>
    </row>
    <row r="892" spans="1:26">
      <c r="A892" s="513">
        <v>890</v>
      </c>
      <c r="B892" s="390"/>
      <c r="C892" s="515" t="s">
        <v>3124</v>
      </c>
      <c r="D892" s="262" t="s">
        <v>3125</v>
      </c>
      <c r="E892" s="513">
        <v>891</v>
      </c>
      <c r="F892" s="544" t="s">
        <v>3124</v>
      </c>
      <c r="G892" s="360">
        <v>45500</v>
      </c>
      <c r="H892" s="360">
        <v>45500</v>
      </c>
      <c r="I892" s="360">
        <v>45500</v>
      </c>
      <c r="J892" s="360">
        <v>45500</v>
      </c>
      <c r="K892" s="517">
        <v>45554</v>
      </c>
      <c r="L892" s="518" t="s">
        <v>2678</v>
      </c>
      <c r="M892" s="264" t="s">
        <v>2679</v>
      </c>
      <c r="N892" s="262" t="s">
        <v>2680</v>
      </c>
      <c r="O892" s="390" t="s">
        <v>2688</v>
      </c>
      <c r="P892" s="264" t="str">
        <f t="shared" si="36"/>
        <v>Ferdiwati Wau</v>
      </c>
      <c r="Q892" s="264" t="s">
        <v>2682</v>
      </c>
      <c r="R892" s="528" t="s">
        <v>2683</v>
      </c>
      <c r="S892" s="399">
        <v>30</v>
      </c>
      <c r="T892" s="348" t="s">
        <v>3374</v>
      </c>
      <c r="U892" s="520">
        <v>75000</v>
      </c>
      <c r="V892" s="266">
        <v>2175000</v>
      </c>
      <c r="W892" s="521" t="s">
        <v>2684</v>
      </c>
      <c r="X892" s="264"/>
      <c r="Y892" s="264"/>
      <c r="Z892" s="528"/>
    </row>
    <row r="893" spans="1:26">
      <c r="A893" s="513">
        <v>891</v>
      </c>
      <c r="B893" s="390"/>
      <c r="C893" s="515" t="s">
        <v>3126</v>
      </c>
      <c r="D893" s="262" t="s">
        <v>3125</v>
      </c>
      <c r="E893" s="513">
        <v>892</v>
      </c>
      <c r="F893" s="544" t="s">
        <v>3126</v>
      </c>
      <c r="G893" s="543">
        <v>45531</v>
      </c>
      <c r="H893" s="543">
        <v>45531</v>
      </c>
      <c r="I893" s="543">
        <v>45531</v>
      </c>
      <c r="J893" s="543">
        <v>45531</v>
      </c>
      <c r="K893" s="517">
        <v>45554</v>
      </c>
      <c r="L893" s="518" t="s">
        <v>2678</v>
      </c>
      <c r="M893" s="264" t="s">
        <v>2679</v>
      </c>
      <c r="N893" s="262" t="s">
        <v>2680</v>
      </c>
      <c r="O893" s="390" t="s">
        <v>2688</v>
      </c>
      <c r="P893" s="264" t="str">
        <f t="shared" si="36"/>
        <v>Ferdiwati Wau</v>
      </c>
      <c r="Q893" s="264" t="s">
        <v>2682</v>
      </c>
      <c r="R893" s="528" t="s">
        <v>2683</v>
      </c>
      <c r="S893" s="399">
        <v>30</v>
      </c>
      <c r="T893" s="348" t="s">
        <v>3374</v>
      </c>
      <c r="U893" s="520">
        <v>75000</v>
      </c>
      <c r="V893" s="266">
        <v>2175000</v>
      </c>
      <c r="W893" s="521" t="s">
        <v>2684</v>
      </c>
      <c r="X893" s="264"/>
      <c r="Y893" s="264"/>
      <c r="Z893" s="528"/>
    </row>
    <row r="894" spans="1:26">
      <c r="A894" s="513">
        <v>892</v>
      </c>
      <c r="B894" s="390"/>
      <c r="C894" s="515" t="s">
        <v>3127</v>
      </c>
      <c r="D894" s="262" t="s">
        <v>3125</v>
      </c>
      <c r="E894" s="513">
        <v>893</v>
      </c>
      <c r="F894" s="544" t="s">
        <v>3127</v>
      </c>
      <c r="G894" s="577">
        <v>45554</v>
      </c>
      <c r="H894" s="577">
        <v>45554</v>
      </c>
      <c r="I894" s="577">
        <v>45554</v>
      </c>
      <c r="J894" s="577">
        <v>45554</v>
      </c>
      <c r="K894" s="517">
        <v>45554</v>
      </c>
      <c r="L894" s="518" t="s">
        <v>2678</v>
      </c>
      <c r="M894" s="264" t="s">
        <v>2679</v>
      </c>
      <c r="N894" s="262" t="s">
        <v>2680</v>
      </c>
      <c r="O894" s="390" t="s">
        <v>2688</v>
      </c>
      <c r="P894" s="264" t="str">
        <f t="shared" si="36"/>
        <v>Ferdiwati Wau</v>
      </c>
      <c r="Q894" s="264" t="s">
        <v>2682</v>
      </c>
      <c r="R894" s="528" t="s">
        <v>2683</v>
      </c>
      <c r="S894" s="399">
        <v>30</v>
      </c>
      <c r="T894" s="348" t="s">
        <v>3374</v>
      </c>
      <c r="U894" s="520">
        <v>75000</v>
      </c>
      <c r="V894" s="266">
        <v>2175000</v>
      </c>
      <c r="W894" s="521" t="s">
        <v>2684</v>
      </c>
      <c r="X894" s="264"/>
      <c r="Y894" s="264"/>
      <c r="Z894" s="528"/>
    </row>
    <row r="895" spans="1:26">
      <c r="A895" s="513">
        <v>893</v>
      </c>
      <c r="B895" s="390"/>
      <c r="C895" s="515" t="s">
        <v>3128</v>
      </c>
      <c r="D895" s="262" t="s">
        <v>3129</v>
      </c>
      <c r="E895" s="513">
        <v>894</v>
      </c>
      <c r="F895" s="544" t="s">
        <v>3128</v>
      </c>
      <c r="G895" s="360">
        <v>45500</v>
      </c>
      <c r="H895" s="360">
        <v>45500</v>
      </c>
      <c r="I895" s="360">
        <v>45500</v>
      </c>
      <c r="J895" s="360">
        <v>45500</v>
      </c>
      <c r="K895" s="517">
        <v>45554</v>
      </c>
      <c r="L895" s="518" t="s">
        <v>2678</v>
      </c>
      <c r="M895" s="264" t="s">
        <v>2679</v>
      </c>
      <c r="N895" s="262" t="s">
        <v>2680</v>
      </c>
      <c r="O895" s="390" t="s">
        <v>2690</v>
      </c>
      <c r="P895" s="264" t="str">
        <f t="shared" si="36"/>
        <v>Noni Alfanita Sarumaha, S.Pd</v>
      </c>
      <c r="Q895" s="264" t="s">
        <v>2682</v>
      </c>
      <c r="R895" s="528" t="s">
        <v>2683</v>
      </c>
      <c r="S895" s="399">
        <v>33</v>
      </c>
      <c r="T895" s="348" t="s">
        <v>3374</v>
      </c>
      <c r="U895" s="520">
        <v>75000</v>
      </c>
      <c r="V895" s="266">
        <v>2625000</v>
      </c>
      <c r="W895" s="521" t="s">
        <v>2684</v>
      </c>
      <c r="X895" s="264"/>
      <c r="Y895" s="264"/>
      <c r="Z895" s="528"/>
    </row>
    <row r="896" spans="1:26">
      <c r="A896" s="513">
        <v>894</v>
      </c>
      <c r="B896" s="390"/>
      <c r="C896" s="515" t="s">
        <v>3130</v>
      </c>
      <c r="D896" s="262" t="s">
        <v>3129</v>
      </c>
      <c r="E896" s="513">
        <v>895</v>
      </c>
      <c r="F896" s="544" t="s">
        <v>3130</v>
      </c>
      <c r="G896" s="543">
        <v>45531</v>
      </c>
      <c r="H896" s="543">
        <v>45531</v>
      </c>
      <c r="I896" s="543">
        <v>45531</v>
      </c>
      <c r="J896" s="543">
        <v>45531</v>
      </c>
      <c r="K896" s="517">
        <v>45554</v>
      </c>
      <c r="L896" s="518" t="s">
        <v>2678</v>
      </c>
      <c r="M896" s="264" t="s">
        <v>2679</v>
      </c>
      <c r="N896" s="262" t="s">
        <v>2680</v>
      </c>
      <c r="O896" s="390" t="s">
        <v>2690</v>
      </c>
      <c r="P896" s="264" t="str">
        <f t="shared" si="36"/>
        <v>Noni Alfanita Sarumaha, S.Pd</v>
      </c>
      <c r="Q896" s="264" t="s">
        <v>2682</v>
      </c>
      <c r="R896" s="528" t="s">
        <v>2683</v>
      </c>
      <c r="S896" s="399">
        <v>33</v>
      </c>
      <c r="T896" s="348" t="s">
        <v>3374</v>
      </c>
      <c r="U896" s="520">
        <v>75000</v>
      </c>
      <c r="V896" s="266">
        <v>2625000</v>
      </c>
      <c r="W896" s="521" t="s">
        <v>2684</v>
      </c>
      <c r="X896" s="264"/>
      <c r="Y896" s="264"/>
      <c r="Z896" s="528"/>
    </row>
    <row r="897" spans="1:26">
      <c r="A897" s="513">
        <v>895</v>
      </c>
      <c r="B897" s="390"/>
      <c r="C897" s="515" t="s">
        <v>3131</v>
      </c>
      <c r="D897" s="262" t="s">
        <v>3129</v>
      </c>
      <c r="E897" s="513">
        <v>896</v>
      </c>
      <c r="F897" s="544" t="s">
        <v>3131</v>
      </c>
      <c r="G897" s="577">
        <v>45554</v>
      </c>
      <c r="H897" s="577">
        <v>45554</v>
      </c>
      <c r="I897" s="577">
        <v>45554</v>
      </c>
      <c r="J897" s="577">
        <v>45554</v>
      </c>
      <c r="K897" s="517">
        <v>45554</v>
      </c>
      <c r="L897" s="518" t="s">
        <v>2678</v>
      </c>
      <c r="M897" s="264" t="s">
        <v>2679</v>
      </c>
      <c r="N897" s="262" t="s">
        <v>2680</v>
      </c>
      <c r="O897" s="390" t="s">
        <v>2690</v>
      </c>
      <c r="P897" s="264" t="str">
        <f t="shared" si="36"/>
        <v>Noni Alfanita Sarumaha, S.Pd</v>
      </c>
      <c r="Q897" s="264" t="s">
        <v>2682</v>
      </c>
      <c r="R897" s="528" t="s">
        <v>2683</v>
      </c>
      <c r="S897" s="399">
        <v>33</v>
      </c>
      <c r="T897" s="348" t="s">
        <v>3374</v>
      </c>
      <c r="U897" s="520">
        <v>75000</v>
      </c>
      <c r="V897" s="266">
        <v>2625000</v>
      </c>
      <c r="W897" s="521" t="s">
        <v>2684</v>
      </c>
      <c r="X897" s="264"/>
      <c r="Y897" s="264"/>
      <c r="Z897" s="528"/>
    </row>
    <row r="898" spans="1:26">
      <c r="A898" s="513">
        <v>896</v>
      </c>
      <c r="B898" s="390"/>
      <c r="C898" s="515" t="s">
        <v>3132</v>
      </c>
      <c r="D898" s="262" t="s">
        <v>3133</v>
      </c>
      <c r="E898" s="513">
        <v>897</v>
      </c>
      <c r="F898" s="544" t="s">
        <v>3132</v>
      </c>
      <c r="G898" s="360">
        <v>45500</v>
      </c>
      <c r="H898" s="360">
        <v>45500</v>
      </c>
      <c r="I898" s="360">
        <v>45500</v>
      </c>
      <c r="J898" s="360">
        <v>45500</v>
      </c>
      <c r="K898" s="517">
        <v>45554</v>
      </c>
      <c r="L898" s="518" t="s">
        <v>2678</v>
      </c>
      <c r="M898" s="264" t="s">
        <v>2679</v>
      </c>
      <c r="N898" s="262" t="s">
        <v>2680</v>
      </c>
      <c r="O898" s="390" t="s">
        <v>2692</v>
      </c>
      <c r="P898" s="264" t="str">
        <f t="shared" si="36"/>
        <v>EMILA HAFO</v>
      </c>
      <c r="Q898" s="264" t="s">
        <v>2682</v>
      </c>
      <c r="R898" s="528" t="s">
        <v>2683</v>
      </c>
      <c r="S898" s="399">
        <v>28</v>
      </c>
      <c r="T898" s="348" t="s">
        <v>3374</v>
      </c>
      <c r="U898" s="520">
        <v>75000</v>
      </c>
      <c r="V898" s="266">
        <v>2475000</v>
      </c>
      <c r="W898" s="521" t="s">
        <v>2684</v>
      </c>
      <c r="X898" s="264"/>
      <c r="Y898" s="264"/>
      <c r="Z898" s="528"/>
    </row>
    <row r="899" spans="1:26">
      <c r="A899" s="513">
        <v>897</v>
      </c>
      <c r="B899" s="390"/>
      <c r="C899" s="515" t="s">
        <v>3134</v>
      </c>
      <c r="D899" s="262" t="s">
        <v>3133</v>
      </c>
      <c r="E899" s="513">
        <v>898</v>
      </c>
      <c r="F899" s="544" t="s">
        <v>3134</v>
      </c>
      <c r="G899" s="543">
        <v>45531</v>
      </c>
      <c r="H899" s="543">
        <v>45531</v>
      </c>
      <c r="I899" s="543">
        <v>45531</v>
      </c>
      <c r="J899" s="543">
        <v>45531</v>
      </c>
      <c r="K899" s="517">
        <v>45554</v>
      </c>
      <c r="L899" s="518" t="s">
        <v>2678</v>
      </c>
      <c r="M899" s="264" t="s">
        <v>2679</v>
      </c>
      <c r="N899" s="262" t="s">
        <v>2680</v>
      </c>
      <c r="O899" s="390" t="s">
        <v>2692</v>
      </c>
      <c r="P899" s="264" t="str">
        <f t="shared" si="36"/>
        <v>EMILA HAFO</v>
      </c>
      <c r="Q899" s="264" t="s">
        <v>2682</v>
      </c>
      <c r="R899" s="528" t="s">
        <v>2683</v>
      </c>
      <c r="S899" s="399">
        <v>28</v>
      </c>
      <c r="T899" s="348" t="s">
        <v>3374</v>
      </c>
      <c r="U899" s="520">
        <v>75000</v>
      </c>
      <c r="V899" s="266">
        <v>2475000</v>
      </c>
      <c r="W899" s="521" t="s">
        <v>2684</v>
      </c>
      <c r="X899" s="264"/>
      <c r="Y899" s="264"/>
      <c r="Z899" s="528"/>
    </row>
    <row r="900" spans="1:26">
      <c r="A900" s="513">
        <v>898</v>
      </c>
      <c r="B900" s="390"/>
      <c r="C900" s="515" t="s">
        <v>3135</v>
      </c>
      <c r="D900" s="262" t="s">
        <v>3133</v>
      </c>
      <c r="E900" s="513">
        <v>899</v>
      </c>
      <c r="F900" s="544" t="s">
        <v>3135</v>
      </c>
      <c r="G900" s="577">
        <v>45554</v>
      </c>
      <c r="H900" s="577">
        <v>45554</v>
      </c>
      <c r="I900" s="577">
        <v>45554</v>
      </c>
      <c r="J900" s="577">
        <v>45554</v>
      </c>
      <c r="K900" s="517">
        <v>45554</v>
      </c>
      <c r="L900" s="518" t="s">
        <v>2678</v>
      </c>
      <c r="M900" s="264" t="s">
        <v>2679</v>
      </c>
      <c r="N900" s="262" t="s">
        <v>2680</v>
      </c>
      <c r="O900" s="390" t="s">
        <v>2692</v>
      </c>
      <c r="P900" s="264" t="str">
        <f t="shared" si="36"/>
        <v>EMILA HAFO</v>
      </c>
      <c r="Q900" s="264" t="s">
        <v>2682</v>
      </c>
      <c r="R900" s="528" t="s">
        <v>2683</v>
      </c>
      <c r="S900" s="399">
        <v>28</v>
      </c>
      <c r="T900" s="348" t="s">
        <v>3374</v>
      </c>
      <c r="U900" s="520">
        <v>75000</v>
      </c>
      <c r="V900" s="266">
        <v>2475000</v>
      </c>
      <c r="W900" s="521" t="s">
        <v>2684</v>
      </c>
      <c r="X900" s="264"/>
      <c r="Y900" s="264"/>
      <c r="Z900" s="528"/>
    </row>
    <row r="901" spans="1:26">
      <c r="A901" s="513">
        <v>899</v>
      </c>
      <c r="B901" s="390"/>
      <c r="C901" s="515" t="s">
        <v>3136</v>
      </c>
      <c r="D901" s="262" t="s">
        <v>3137</v>
      </c>
      <c r="E901" s="513">
        <v>900</v>
      </c>
      <c r="F901" s="544" t="s">
        <v>3136</v>
      </c>
      <c r="G901" s="360">
        <v>45500</v>
      </c>
      <c r="H901" s="360">
        <v>45500</v>
      </c>
      <c r="I901" s="360">
        <v>45500</v>
      </c>
      <c r="J901" s="360">
        <v>45500</v>
      </c>
      <c r="K901" s="517">
        <v>45554</v>
      </c>
      <c r="L901" s="518" t="s">
        <v>2678</v>
      </c>
      <c r="M901" s="264" t="s">
        <v>2679</v>
      </c>
      <c r="N901" s="262" t="s">
        <v>2680</v>
      </c>
      <c r="O901" s="390" t="s">
        <v>2694</v>
      </c>
      <c r="P901" s="264" t="str">
        <f t="shared" si="36"/>
        <v>Asep Nurhidayat</v>
      </c>
      <c r="Q901" s="264" t="s">
        <v>2682</v>
      </c>
      <c r="R901" s="528" t="s">
        <v>2683</v>
      </c>
      <c r="S901" s="399">
        <v>33</v>
      </c>
      <c r="T901" s="348" t="s">
        <v>3374</v>
      </c>
      <c r="U901" s="520">
        <v>75000</v>
      </c>
      <c r="V901" s="266">
        <v>1575000</v>
      </c>
      <c r="W901" s="521" t="s">
        <v>2684</v>
      </c>
      <c r="X901" s="264"/>
      <c r="Y901" s="264"/>
      <c r="Z901" s="528"/>
    </row>
    <row r="902" spans="1:26">
      <c r="A902" s="513">
        <v>900</v>
      </c>
      <c r="B902" s="390"/>
      <c r="C902" s="515" t="s">
        <v>3138</v>
      </c>
      <c r="D902" s="262" t="s">
        <v>3137</v>
      </c>
      <c r="E902" s="513">
        <v>901</v>
      </c>
      <c r="F902" s="544" t="s">
        <v>3138</v>
      </c>
      <c r="G902" s="543">
        <v>45531</v>
      </c>
      <c r="H902" s="543">
        <v>45531</v>
      </c>
      <c r="I902" s="543">
        <v>45531</v>
      </c>
      <c r="J902" s="543">
        <v>45531</v>
      </c>
      <c r="K902" s="517">
        <v>45554</v>
      </c>
      <c r="L902" s="518" t="s">
        <v>2678</v>
      </c>
      <c r="M902" s="264" t="s">
        <v>2679</v>
      </c>
      <c r="N902" s="262" t="s">
        <v>2680</v>
      </c>
      <c r="O902" s="390" t="s">
        <v>2694</v>
      </c>
      <c r="P902" s="264" t="str">
        <f t="shared" si="36"/>
        <v>Asep Nurhidayat</v>
      </c>
      <c r="Q902" s="264" t="s">
        <v>2682</v>
      </c>
      <c r="R902" s="528" t="s">
        <v>2683</v>
      </c>
      <c r="S902" s="399">
        <v>33</v>
      </c>
      <c r="T902" s="348" t="s">
        <v>3374</v>
      </c>
      <c r="U902" s="520">
        <v>75000</v>
      </c>
      <c r="V902" s="580">
        <v>1575000</v>
      </c>
      <c r="W902" s="521" t="s">
        <v>2684</v>
      </c>
      <c r="X902" s="264"/>
      <c r="Y902" s="264"/>
      <c r="Z902" s="528"/>
    </row>
    <row r="903" spans="1:26">
      <c r="A903" s="513">
        <v>901</v>
      </c>
      <c r="B903" s="390"/>
      <c r="C903" s="515" t="s">
        <v>3139</v>
      </c>
      <c r="D903" s="262" t="s">
        <v>3137</v>
      </c>
      <c r="E903" s="513">
        <v>902</v>
      </c>
      <c r="F903" s="544" t="s">
        <v>3139</v>
      </c>
      <c r="G903" s="577">
        <v>45554</v>
      </c>
      <c r="H903" s="577">
        <v>45554</v>
      </c>
      <c r="I903" s="577">
        <v>45554</v>
      </c>
      <c r="J903" s="577">
        <v>45554</v>
      </c>
      <c r="K903" s="517">
        <v>45554</v>
      </c>
      <c r="L903" s="518" t="s">
        <v>2678</v>
      </c>
      <c r="M903" s="264" t="s">
        <v>2679</v>
      </c>
      <c r="N903" s="262" t="s">
        <v>2680</v>
      </c>
      <c r="O903" s="390" t="s">
        <v>2694</v>
      </c>
      <c r="P903" s="264" t="str">
        <f t="shared" si="36"/>
        <v>Asep Nurhidayat</v>
      </c>
      <c r="Q903" s="264" t="s">
        <v>2682</v>
      </c>
      <c r="R903" s="528" t="s">
        <v>2683</v>
      </c>
      <c r="S903" s="399">
        <v>33</v>
      </c>
      <c r="T903" s="348" t="s">
        <v>3374</v>
      </c>
      <c r="U903" s="520">
        <v>75000</v>
      </c>
      <c r="V903" s="580">
        <v>1575000</v>
      </c>
      <c r="W903" s="521" t="s">
        <v>2684</v>
      </c>
      <c r="X903" s="264"/>
      <c r="Y903" s="264"/>
      <c r="Z903" s="528"/>
    </row>
    <row r="904" spans="1:26">
      <c r="A904" s="513">
        <v>902</v>
      </c>
      <c r="B904" s="390"/>
      <c r="C904" s="515" t="s">
        <v>3140</v>
      </c>
      <c r="D904" s="262" t="s">
        <v>3141</v>
      </c>
      <c r="E904" s="513">
        <v>903</v>
      </c>
      <c r="F904" s="544" t="s">
        <v>3140</v>
      </c>
      <c r="G904" s="543">
        <v>45531</v>
      </c>
      <c r="H904" s="543">
        <v>45531</v>
      </c>
      <c r="I904" s="543">
        <v>45531</v>
      </c>
      <c r="J904" s="543">
        <v>45531</v>
      </c>
      <c r="K904" s="517">
        <v>45554</v>
      </c>
      <c r="L904" s="518" t="s">
        <v>2696</v>
      </c>
      <c r="M904" s="264" t="s">
        <v>2679</v>
      </c>
      <c r="N904" s="262" t="s">
        <v>2697</v>
      </c>
      <c r="O904" s="390" t="s">
        <v>2698</v>
      </c>
      <c r="P904" s="264" t="str">
        <f t="shared" si="36"/>
        <v>Estera Nehe</v>
      </c>
      <c r="Q904" s="264" t="s">
        <v>2699</v>
      </c>
      <c r="R904" s="528" t="s">
        <v>2700</v>
      </c>
      <c r="S904" s="399">
        <v>1</v>
      </c>
      <c r="T904" s="348" t="s">
        <v>3373</v>
      </c>
      <c r="U904" s="520">
        <v>2000000</v>
      </c>
      <c r="V904" s="580">
        <v>2000000</v>
      </c>
      <c r="W904" s="521" t="s">
        <v>2684</v>
      </c>
      <c r="X904" s="264"/>
      <c r="Y904" s="264"/>
      <c r="Z904" s="528"/>
    </row>
    <row r="905" spans="1:26">
      <c r="A905" s="513">
        <v>903</v>
      </c>
      <c r="B905" s="390"/>
      <c r="C905" s="515" t="s">
        <v>3142</v>
      </c>
      <c r="D905" s="262" t="s">
        <v>3141</v>
      </c>
      <c r="E905" s="513">
        <v>904</v>
      </c>
      <c r="F905" s="544" t="s">
        <v>3142</v>
      </c>
      <c r="G905" s="577">
        <v>45554</v>
      </c>
      <c r="H905" s="577">
        <v>45554</v>
      </c>
      <c r="I905" s="577">
        <v>45554</v>
      </c>
      <c r="J905" s="577">
        <v>45554</v>
      </c>
      <c r="K905" s="517">
        <v>45554</v>
      </c>
      <c r="L905" s="518" t="s">
        <v>2696</v>
      </c>
      <c r="M905" s="264" t="s">
        <v>2679</v>
      </c>
      <c r="N905" s="262" t="s">
        <v>2697</v>
      </c>
      <c r="O905" s="390" t="s">
        <v>2698</v>
      </c>
      <c r="P905" s="264" t="str">
        <f t="shared" si="36"/>
        <v>Estera Nehe</v>
      </c>
      <c r="Q905" s="264" t="s">
        <v>2699</v>
      </c>
      <c r="R905" s="528" t="s">
        <v>2700</v>
      </c>
      <c r="S905" s="399">
        <v>1</v>
      </c>
      <c r="T905" s="348" t="s">
        <v>3373</v>
      </c>
      <c r="U905" s="520">
        <v>2000000</v>
      </c>
      <c r="V905" s="580">
        <v>2000000</v>
      </c>
      <c r="W905" s="521" t="s">
        <v>2684</v>
      </c>
      <c r="X905" s="264"/>
      <c r="Y905" s="264"/>
      <c r="Z905" s="528"/>
    </row>
    <row r="906" spans="1:26">
      <c r="A906" s="513">
        <v>904</v>
      </c>
      <c r="B906" s="390"/>
      <c r="C906" s="515" t="s">
        <v>3143</v>
      </c>
      <c r="D906" s="262" t="s">
        <v>3144</v>
      </c>
      <c r="E906" s="513">
        <v>905</v>
      </c>
      <c r="F906" s="544" t="s">
        <v>3143</v>
      </c>
      <c r="G906" s="543">
        <v>45531</v>
      </c>
      <c r="H906" s="543">
        <v>45531</v>
      </c>
      <c r="I906" s="543">
        <v>45531</v>
      </c>
      <c r="J906" s="543">
        <v>45531</v>
      </c>
      <c r="K906" s="517">
        <v>45554</v>
      </c>
      <c r="L906" s="518" t="s">
        <v>2696</v>
      </c>
      <c r="M906" s="264" t="s">
        <v>2679</v>
      </c>
      <c r="N906" s="262" t="s">
        <v>2697</v>
      </c>
      <c r="O906" s="390" t="s">
        <v>2702</v>
      </c>
      <c r="P906" s="264" t="str">
        <f t="shared" si="36"/>
        <v>Hatieli Buulolo</v>
      </c>
      <c r="Q906" s="264" t="s">
        <v>2699</v>
      </c>
      <c r="R906" s="528" t="s">
        <v>2700</v>
      </c>
      <c r="S906" s="399">
        <v>1</v>
      </c>
      <c r="T906" s="348" t="s">
        <v>3373</v>
      </c>
      <c r="U906" s="520">
        <v>2000000</v>
      </c>
      <c r="V906" s="580">
        <v>2000000</v>
      </c>
      <c r="W906" s="521" t="s">
        <v>2684</v>
      </c>
      <c r="X906" s="264"/>
      <c r="Y906" s="264"/>
      <c r="Z906" s="528"/>
    </row>
    <row r="907" spans="1:26">
      <c r="A907" s="513">
        <v>905</v>
      </c>
      <c r="B907" s="390"/>
      <c r="C907" s="515" t="s">
        <v>3145</v>
      </c>
      <c r="D907" s="262" t="s">
        <v>3144</v>
      </c>
      <c r="E907" s="513">
        <v>906</v>
      </c>
      <c r="F907" s="544" t="s">
        <v>3145</v>
      </c>
      <c r="G907" s="577">
        <v>45554</v>
      </c>
      <c r="H907" s="577">
        <v>45554</v>
      </c>
      <c r="I907" s="577">
        <v>45554</v>
      </c>
      <c r="J907" s="577">
        <v>45554</v>
      </c>
      <c r="K907" s="517">
        <v>45554</v>
      </c>
      <c r="L907" s="518" t="s">
        <v>2696</v>
      </c>
      <c r="M907" s="264" t="s">
        <v>2679</v>
      </c>
      <c r="N907" s="262" t="s">
        <v>2697</v>
      </c>
      <c r="O907" s="390" t="s">
        <v>2702</v>
      </c>
      <c r="P907" s="264" t="str">
        <f t="shared" si="36"/>
        <v>Hatieli Buulolo</v>
      </c>
      <c r="Q907" s="264" t="s">
        <v>2699</v>
      </c>
      <c r="R907" s="528" t="s">
        <v>2700</v>
      </c>
      <c r="S907" s="399">
        <v>1</v>
      </c>
      <c r="T907" s="348" t="s">
        <v>3373</v>
      </c>
      <c r="U907" s="520">
        <v>2000000</v>
      </c>
      <c r="V907" s="580">
        <v>2000000</v>
      </c>
      <c r="W907" s="521" t="s">
        <v>2684</v>
      </c>
      <c r="X907" s="264"/>
      <c r="Y907" s="264"/>
      <c r="Z907" s="528"/>
    </row>
    <row r="908" spans="1:26">
      <c r="A908" s="513">
        <v>906</v>
      </c>
      <c r="B908" s="390"/>
      <c r="C908" s="515" t="s">
        <v>3146</v>
      </c>
      <c r="D908" s="262" t="s">
        <v>3147</v>
      </c>
      <c r="E908" s="513">
        <v>907</v>
      </c>
      <c r="F908" s="544" t="s">
        <v>3146</v>
      </c>
      <c r="G908" s="543">
        <v>45531</v>
      </c>
      <c r="H908" s="543">
        <v>45531</v>
      </c>
      <c r="I908" s="543">
        <v>45531</v>
      </c>
      <c r="J908" s="543">
        <v>45531</v>
      </c>
      <c r="K908" s="517">
        <v>45554</v>
      </c>
      <c r="L908" s="518" t="s">
        <v>2696</v>
      </c>
      <c r="M908" s="264" t="s">
        <v>2679</v>
      </c>
      <c r="N908" s="262" t="s">
        <v>2697</v>
      </c>
      <c r="O908" s="390" t="s">
        <v>2704</v>
      </c>
      <c r="P908" s="264" t="str">
        <f t="shared" si="36"/>
        <v>David J. Sitinjak</v>
      </c>
      <c r="Q908" s="264" t="s">
        <v>2699</v>
      </c>
      <c r="R908" s="528" t="s">
        <v>2700</v>
      </c>
      <c r="S908" s="399">
        <v>1</v>
      </c>
      <c r="T908" s="348" t="s">
        <v>3373</v>
      </c>
      <c r="U908" s="520">
        <v>2000000</v>
      </c>
      <c r="V908" s="580">
        <v>2000000</v>
      </c>
      <c r="W908" s="521" t="s">
        <v>2684</v>
      </c>
      <c r="X908" s="264"/>
      <c r="Y908" s="264"/>
      <c r="Z908" s="528"/>
    </row>
    <row r="909" spans="1:26">
      <c r="A909" s="513">
        <v>907</v>
      </c>
      <c r="B909" s="390"/>
      <c r="C909" s="515" t="s">
        <v>3148</v>
      </c>
      <c r="D909" s="262" t="s">
        <v>3147</v>
      </c>
      <c r="E909" s="513">
        <v>908</v>
      </c>
      <c r="F909" s="544" t="s">
        <v>3148</v>
      </c>
      <c r="G909" s="577">
        <v>45554</v>
      </c>
      <c r="H909" s="577">
        <v>45554</v>
      </c>
      <c r="I909" s="577">
        <v>45554</v>
      </c>
      <c r="J909" s="577">
        <v>45554</v>
      </c>
      <c r="K909" s="517">
        <v>45554</v>
      </c>
      <c r="L909" s="518" t="s">
        <v>2696</v>
      </c>
      <c r="M909" s="264" t="s">
        <v>2679</v>
      </c>
      <c r="N909" s="262" t="s">
        <v>2697</v>
      </c>
      <c r="O909" s="390" t="s">
        <v>2704</v>
      </c>
      <c r="P909" s="264" t="str">
        <f t="shared" si="36"/>
        <v>David J. Sitinjak</v>
      </c>
      <c r="Q909" s="264" t="s">
        <v>2699</v>
      </c>
      <c r="R909" s="528" t="s">
        <v>2700</v>
      </c>
      <c r="S909" s="399">
        <v>1</v>
      </c>
      <c r="T909" s="348" t="s">
        <v>3373</v>
      </c>
      <c r="U909" s="520">
        <v>2000000</v>
      </c>
      <c r="V909" s="580">
        <v>2000000</v>
      </c>
      <c r="W909" s="521" t="s">
        <v>2684</v>
      </c>
      <c r="X909" s="264"/>
      <c r="Y909" s="264"/>
      <c r="Z909" s="528"/>
    </row>
    <row r="910" spans="1:26">
      <c r="A910" s="513">
        <v>908</v>
      </c>
      <c r="B910" s="390"/>
      <c r="C910" s="515" t="s">
        <v>3149</v>
      </c>
      <c r="D910" s="262" t="s">
        <v>3150</v>
      </c>
      <c r="E910" s="513">
        <v>909</v>
      </c>
      <c r="F910" s="544" t="s">
        <v>3149</v>
      </c>
      <c r="G910" s="543">
        <v>45531</v>
      </c>
      <c r="H910" s="543">
        <v>45531</v>
      </c>
      <c r="I910" s="543">
        <v>45531</v>
      </c>
      <c r="J910" s="543">
        <v>45531</v>
      </c>
      <c r="K910" s="517">
        <v>45554</v>
      </c>
      <c r="L910" s="518" t="s">
        <v>2696</v>
      </c>
      <c r="M910" s="264" t="s">
        <v>2679</v>
      </c>
      <c r="N910" s="262" t="s">
        <v>2697</v>
      </c>
      <c r="O910" s="390" t="s">
        <v>2706</v>
      </c>
      <c r="P910" s="264" t="str">
        <f t="shared" si="36"/>
        <v>Siona Ziraluo</v>
      </c>
      <c r="Q910" s="264" t="s">
        <v>2699</v>
      </c>
      <c r="R910" s="528" t="s">
        <v>2700</v>
      </c>
      <c r="S910" s="399">
        <v>1</v>
      </c>
      <c r="T910" s="348" t="s">
        <v>3373</v>
      </c>
      <c r="U910" s="520">
        <v>2000000</v>
      </c>
      <c r="V910" s="580">
        <v>2000000</v>
      </c>
      <c r="W910" s="521" t="s">
        <v>2684</v>
      </c>
      <c r="X910" s="264"/>
      <c r="Y910" s="264"/>
      <c r="Z910" s="528"/>
    </row>
    <row r="911" spans="1:26">
      <c r="A911" s="513">
        <v>909</v>
      </c>
      <c r="B911" s="390"/>
      <c r="C911" s="515" t="s">
        <v>3151</v>
      </c>
      <c r="D911" s="262" t="s">
        <v>3150</v>
      </c>
      <c r="E911" s="513">
        <v>910</v>
      </c>
      <c r="F911" s="544" t="s">
        <v>3151</v>
      </c>
      <c r="G911" s="577">
        <v>45554</v>
      </c>
      <c r="H911" s="577">
        <v>45554</v>
      </c>
      <c r="I911" s="577">
        <v>45554</v>
      </c>
      <c r="J911" s="577">
        <v>45554</v>
      </c>
      <c r="K911" s="517">
        <v>45554</v>
      </c>
      <c r="L911" s="518" t="s">
        <v>2696</v>
      </c>
      <c r="M911" s="264" t="s">
        <v>2679</v>
      </c>
      <c r="N911" s="262" t="s">
        <v>2697</v>
      </c>
      <c r="O911" s="390" t="s">
        <v>2706</v>
      </c>
      <c r="P911" s="264" t="str">
        <f t="shared" ref="P911:P929" si="37">O911</f>
        <v>Siona Ziraluo</v>
      </c>
      <c r="Q911" s="264" t="s">
        <v>2699</v>
      </c>
      <c r="R911" s="528" t="s">
        <v>2700</v>
      </c>
      <c r="S911" s="399">
        <v>1</v>
      </c>
      <c r="T911" s="348" t="s">
        <v>3373</v>
      </c>
      <c r="U911" s="520">
        <v>2000000</v>
      </c>
      <c r="V911" s="580">
        <v>2000000</v>
      </c>
      <c r="W911" s="521" t="s">
        <v>2684</v>
      </c>
      <c r="X911" s="264"/>
      <c r="Y911" s="264"/>
      <c r="Z911" s="528"/>
    </row>
    <row r="912" spans="1:26">
      <c r="A912" s="513">
        <v>910</v>
      </c>
      <c r="B912" s="390"/>
      <c r="C912" s="515" t="s">
        <v>3152</v>
      </c>
      <c r="D912" s="262" t="s">
        <v>3153</v>
      </c>
      <c r="E912" s="513">
        <v>911</v>
      </c>
      <c r="F912" s="544" t="s">
        <v>3152</v>
      </c>
      <c r="G912" s="543">
        <v>45531</v>
      </c>
      <c r="H912" s="543">
        <v>45531</v>
      </c>
      <c r="I912" s="543">
        <v>45531</v>
      </c>
      <c r="J912" s="543">
        <v>45531</v>
      </c>
      <c r="K912" s="517">
        <v>45554</v>
      </c>
      <c r="L912" s="518" t="s">
        <v>2696</v>
      </c>
      <c r="M912" s="264" t="s">
        <v>2679</v>
      </c>
      <c r="N912" s="262" t="s">
        <v>2697</v>
      </c>
      <c r="O912" s="390" t="s">
        <v>2708</v>
      </c>
      <c r="P912" s="264" t="str">
        <f t="shared" si="37"/>
        <v>Merdina Ziraluo</v>
      </c>
      <c r="Q912" s="264" t="s">
        <v>2699</v>
      </c>
      <c r="R912" s="528" t="s">
        <v>2700</v>
      </c>
      <c r="S912" s="399">
        <v>1</v>
      </c>
      <c r="T912" s="348" t="s">
        <v>3373</v>
      </c>
      <c r="U912" s="520">
        <v>2000000</v>
      </c>
      <c r="V912" s="580">
        <v>2000000</v>
      </c>
      <c r="W912" s="521" t="s">
        <v>2684</v>
      </c>
      <c r="X912" s="264"/>
      <c r="Y912" s="264"/>
      <c r="Z912" s="528"/>
    </row>
    <row r="913" spans="1:26">
      <c r="A913" s="513">
        <v>911</v>
      </c>
      <c r="B913" s="390"/>
      <c r="C913" s="515" t="s">
        <v>3154</v>
      </c>
      <c r="D913" s="262" t="s">
        <v>3153</v>
      </c>
      <c r="E913" s="513">
        <v>912</v>
      </c>
      <c r="F913" s="544" t="s">
        <v>3154</v>
      </c>
      <c r="G913" s="577">
        <v>45554</v>
      </c>
      <c r="H913" s="577">
        <v>45554</v>
      </c>
      <c r="I913" s="577">
        <v>45554</v>
      </c>
      <c r="J913" s="577">
        <v>45554</v>
      </c>
      <c r="K913" s="517">
        <v>45554</v>
      </c>
      <c r="L913" s="518" t="s">
        <v>2696</v>
      </c>
      <c r="M913" s="264" t="s">
        <v>2679</v>
      </c>
      <c r="N913" s="262" t="s">
        <v>2697</v>
      </c>
      <c r="O913" s="390" t="s">
        <v>2708</v>
      </c>
      <c r="P913" s="264" t="str">
        <f t="shared" si="37"/>
        <v>Merdina Ziraluo</v>
      </c>
      <c r="Q913" s="264" t="s">
        <v>2699</v>
      </c>
      <c r="R913" s="528" t="s">
        <v>2700</v>
      </c>
      <c r="S913" s="399">
        <v>1</v>
      </c>
      <c r="T913" s="348" t="s">
        <v>3373</v>
      </c>
      <c r="U913" s="520">
        <v>2000000</v>
      </c>
      <c r="V913" s="580">
        <v>2000000</v>
      </c>
      <c r="W913" s="521" t="s">
        <v>2684</v>
      </c>
      <c r="X913" s="264"/>
      <c r="Y913" s="264"/>
      <c r="Z913" s="528"/>
    </row>
    <row r="914" spans="1:26">
      <c r="A914" s="513">
        <v>912</v>
      </c>
      <c r="B914" s="390"/>
      <c r="C914" s="515" t="s">
        <v>3155</v>
      </c>
      <c r="D914" s="262" t="s">
        <v>3156</v>
      </c>
      <c r="E914" s="513">
        <v>913</v>
      </c>
      <c r="F914" s="544" t="s">
        <v>3155</v>
      </c>
      <c r="G914" s="360">
        <v>45500</v>
      </c>
      <c r="H914" s="360">
        <v>45500</v>
      </c>
      <c r="I914" s="360">
        <v>45500</v>
      </c>
      <c r="J914" s="360">
        <v>45500</v>
      </c>
      <c r="K914" s="517">
        <v>45554</v>
      </c>
      <c r="L914" s="518" t="s">
        <v>2696</v>
      </c>
      <c r="M914" s="264" t="s">
        <v>2679</v>
      </c>
      <c r="N914" s="262" t="s">
        <v>2697</v>
      </c>
      <c r="O914" s="390" t="s">
        <v>3157</v>
      </c>
      <c r="P914" s="264" t="str">
        <f t="shared" si="37"/>
        <v>Oksilia Buulolo, S.S</v>
      </c>
      <c r="Q914" s="264" t="s">
        <v>2699</v>
      </c>
      <c r="R914" s="528" t="s">
        <v>2700</v>
      </c>
      <c r="S914" s="399">
        <v>1</v>
      </c>
      <c r="T914" s="348" t="s">
        <v>3373</v>
      </c>
      <c r="U914" s="520">
        <v>2000000</v>
      </c>
      <c r="V914" s="580">
        <v>2000000</v>
      </c>
      <c r="W914" s="521" t="s">
        <v>2684</v>
      </c>
      <c r="X914" s="264"/>
      <c r="Y914" s="264"/>
      <c r="Z914" s="528"/>
    </row>
    <row r="915" spans="1:26">
      <c r="A915" s="513">
        <v>913</v>
      </c>
      <c r="B915" s="390"/>
      <c r="C915" s="515" t="s">
        <v>3158</v>
      </c>
      <c r="D915" s="262" t="s">
        <v>3156</v>
      </c>
      <c r="E915" s="513">
        <v>914</v>
      </c>
      <c r="F915" s="544" t="s">
        <v>3158</v>
      </c>
      <c r="G915" s="543">
        <v>45531</v>
      </c>
      <c r="H915" s="543">
        <v>45531</v>
      </c>
      <c r="I915" s="543">
        <v>45531</v>
      </c>
      <c r="J915" s="543">
        <v>45531</v>
      </c>
      <c r="K915" s="517">
        <v>45554</v>
      </c>
      <c r="L915" s="518" t="s">
        <v>2696</v>
      </c>
      <c r="M915" s="264" t="s">
        <v>2679</v>
      </c>
      <c r="N915" s="262" t="s">
        <v>2697</v>
      </c>
      <c r="O915" s="390" t="s">
        <v>3157</v>
      </c>
      <c r="P915" s="264" t="str">
        <f t="shared" si="37"/>
        <v>Oksilia Buulolo, S.S</v>
      </c>
      <c r="Q915" s="264" t="s">
        <v>2699</v>
      </c>
      <c r="R915" s="528" t="s">
        <v>2700</v>
      </c>
      <c r="S915" s="399">
        <v>1</v>
      </c>
      <c r="T915" s="348" t="s">
        <v>3373</v>
      </c>
      <c r="U915" s="520">
        <v>2000000</v>
      </c>
      <c r="V915" s="580">
        <v>2000000</v>
      </c>
      <c r="W915" s="521" t="s">
        <v>2684</v>
      </c>
      <c r="X915" s="264"/>
      <c r="Y915" s="264"/>
      <c r="Z915" s="528"/>
    </row>
    <row r="916" spans="1:26">
      <c r="A916" s="513">
        <v>914</v>
      </c>
      <c r="B916" s="390"/>
      <c r="C916" s="515" t="s">
        <v>3159</v>
      </c>
      <c r="D916" s="262" t="s">
        <v>3156</v>
      </c>
      <c r="E916" s="513">
        <v>915</v>
      </c>
      <c r="F916" s="544" t="s">
        <v>3159</v>
      </c>
      <c r="G916" s="577">
        <v>45554</v>
      </c>
      <c r="H916" s="577">
        <v>45554</v>
      </c>
      <c r="I916" s="577">
        <v>45554</v>
      </c>
      <c r="J916" s="577">
        <v>45554</v>
      </c>
      <c r="K916" s="517">
        <v>45554</v>
      </c>
      <c r="L916" s="518" t="s">
        <v>2696</v>
      </c>
      <c r="M916" s="264" t="s">
        <v>2679</v>
      </c>
      <c r="N916" s="262" t="s">
        <v>2697</v>
      </c>
      <c r="O916" s="390" t="s">
        <v>3157</v>
      </c>
      <c r="P916" s="264" t="str">
        <f t="shared" si="37"/>
        <v>Oksilia Buulolo, S.S</v>
      </c>
      <c r="Q916" s="264" t="s">
        <v>2699</v>
      </c>
      <c r="R916" s="528" t="s">
        <v>2700</v>
      </c>
      <c r="S916" s="399">
        <v>1</v>
      </c>
      <c r="T916" s="348" t="s">
        <v>3373</v>
      </c>
      <c r="U916" s="520">
        <v>2000000</v>
      </c>
      <c r="V916" s="580">
        <v>2000000</v>
      </c>
      <c r="W916" s="521" t="s">
        <v>2684</v>
      </c>
      <c r="X916" s="264"/>
      <c r="Y916" s="264"/>
      <c r="Z916" s="528"/>
    </row>
    <row r="917" spans="1:26">
      <c r="A917" s="513">
        <v>915</v>
      </c>
      <c r="B917" s="390"/>
      <c r="C917" s="515" t="s">
        <v>3160</v>
      </c>
      <c r="D917" s="262" t="s">
        <v>3161</v>
      </c>
      <c r="E917" s="513">
        <v>916</v>
      </c>
      <c r="F917" s="544" t="s">
        <v>3160</v>
      </c>
      <c r="G917" s="360">
        <v>45500</v>
      </c>
      <c r="H917" s="360">
        <v>45500</v>
      </c>
      <c r="I917" s="360">
        <v>45500</v>
      </c>
      <c r="J917" s="360">
        <v>45500</v>
      </c>
      <c r="K917" s="517">
        <v>45554</v>
      </c>
      <c r="L917" s="518" t="s">
        <v>2696</v>
      </c>
      <c r="M917" s="264" t="s">
        <v>2679</v>
      </c>
      <c r="N917" s="262" t="s">
        <v>2697</v>
      </c>
      <c r="O917" s="390" t="s">
        <v>3162</v>
      </c>
      <c r="P917" s="264" t="str">
        <f t="shared" si="37"/>
        <v>Novika Efdimasari Halawa, S.S.I</v>
      </c>
      <c r="Q917" s="264" t="s">
        <v>2699</v>
      </c>
      <c r="R917" s="528" t="s">
        <v>2700</v>
      </c>
      <c r="S917" s="399">
        <v>1</v>
      </c>
      <c r="T917" s="348" t="s">
        <v>3373</v>
      </c>
      <c r="U917" s="520">
        <v>2000000</v>
      </c>
      <c r="V917" s="580">
        <v>2000000</v>
      </c>
      <c r="W917" s="521" t="s">
        <v>2684</v>
      </c>
      <c r="X917" s="264"/>
      <c r="Y917" s="264"/>
      <c r="Z917" s="528"/>
    </row>
    <row r="918" spans="1:26">
      <c r="A918" s="513">
        <v>916</v>
      </c>
      <c r="B918" s="390"/>
      <c r="C918" s="515" t="s">
        <v>3163</v>
      </c>
      <c r="D918" s="262" t="s">
        <v>3161</v>
      </c>
      <c r="E918" s="513">
        <v>917</v>
      </c>
      <c r="F918" s="544" t="s">
        <v>3163</v>
      </c>
      <c r="G918" s="543">
        <v>45531</v>
      </c>
      <c r="H918" s="543">
        <v>45531</v>
      </c>
      <c r="I918" s="543">
        <v>45531</v>
      </c>
      <c r="J918" s="543">
        <v>45531</v>
      </c>
      <c r="K918" s="517">
        <v>45554</v>
      </c>
      <c r="L918" s="518" t="s">
        <v>2696</v>
      </c>
      <c r="M918" s="264" t="s">
        <v>2679</v>
      </c>
      <c r="N918" s="262" t="s">
        <v>2697</v>
      </c>
      <c r="O918" s="390" t="s">
        <v>3162</v>
      </c>
      <c r="P918" s="264" t="str">
        <f t="shared" si="37"/>
        <v>Novika Efdimasari Halawa, S.S.I</v>
      </c>
      <c r="Q918" s="264" t="s">
        <v>2699</v>
      </c>
      <c r="R918" s="528" t="s">
        <v>2700</v>
      </c>
      <c r="S918" s="399">
        <v>1</v>
      </c>
      <c r="T918" s="348" t="s">
        <v>3373</v>
      </c>
      <c r="U918" s="520">
        <v>2000000</v>
      </c>
      <c r="V918" s="580">
        <v>2000000</v>
      </c>
      <c r="W918" s="521" t="s">
        <v>2684</v>
      </c>
      <c r="X918" s="264"/>
      <c r="Y918" s="264"/>
      <c r="Z918" s="528"/>
    </row>
    <row r="919" spans="1:26">
      <c r="A919" s="513">
        <v>917</v>
      </c>
      <c r="B919" s="390"/>
      <c r="C919" s="515" t="s">
        <v>3164</v>
      </c>
      <c r="D919" s="262" t="s">
        <v>3161</v>
      </c>
      <c r="E919" s="513">
        <v>918</v>
      </c>
      <c r="F919" s="544" t="s">
        <v>3164</v>
      </c>
      <c r="G919" s="577">
        <v>45554</v>
      </c>
      <c r="H919" s="577">
        <v>45554</v>
      </c>
      <c r="I919" s="577">
        <v>45554</v>
      </c>
      <c r="J919" s="577">
        <v>45554</v>
      </c>
      <c r="K919" s="517">
        <v>45554</v>
      </c>
      <c r="L919" s="518" t="s">
        <v>2696</v>
      </c>
      <c r="M919" s="264" t="s">
        <v>2679</v>
      </c>
      <c r="N919" s="262" t="s">
        <v>2697</v>
      </c>
      <c r="O919" s="390" t="s">
        <v>3162</v>
      </c>
      <c r="P919" s="264" t="str">
        <f t="shared" si="37"/>
        <v>Novika Efdimasari Halawa, S.S.I</v>
      </c>
      <c r="Q919" s="264" t="s">
        <v>2699</v>
      </c>
      <c r="R919" s="528" t="s">
        <v>2700</v>
      </c>
      <c r="S919" s="399">
        <v>1</v>
      </c>
      <c r="T919" s="348" t="s">
        <v>3373</v>
      </c>
      <c r="U919" s="520">
        <v>2000000</v>
      </c>
      <c r="V919" s="580">
        <v>2000000</v>
      </c>
      <c r="W919" s="521" t="s">
        <v>2684</v>
      </c>
      <c r="X919" s="264"/>
      <c r="Y919" s="264"/>
      <c r="Z919" s="528"/>
    </row>
    <row r="920" spans="1:26">
      <c r="A920" s="513">
        <v>918</v>
      </c>
      <c r="B920" s="390"/>
      <c r="C920" s="515" t="s">
        <v>3165</v>
      </c>
      <c r="D920" s="262" t="s">
        <v>3166</v>
      </c>
      <c r="E920" s="513">
        <v>919</v>
      </c>
      <c r="F920" s="544" t="s">
        <v>3165</v>
      </c>
      <c r="G920" s="360">
        <v>45500</v>
      </c>
      <c r="H920" s="360">
        <v>45500</v>
      </c>
      <c r="I920" s="360">
        <v>45500</v>
      </c>
      <c r="J920" s="360">
        <v>45500</v>
      </c>
      <c r="K920" s="517">
        <v>45554</v>
      </c>
      <c r="L920" s="518" t="s">
        <v>1198</v>
      </c>
      <c r="M920" s="264" t="s">
        <v>2679</v>
      </c>
      <c r="N920" s="262" t="s">
        <v>2711</v>
      </c>
      <c r="O920" s="390" t="s">
        <v>3167</v>
      </c>
      <c r="P920" s="264" t="str">
        <f t="shared" si="37"/>
        <v>Zefrianus Zai</v>
      </c>
      <c r="Q920" s="264" t="s">
        <v>2699</v>
      </c>
      <c r="R920" s="528" t="s">
        <v>2700</v>
      </c>
      <c r="S920" s="399">
        <v>1</v>
      </c>
      <c r="T920" s="348" t="s">
        <v>3373</v>
      </c>
      <c r="U920" s="520">
        <v>2000000</v>
      </c>
      <c r="V920" s="580">
        <v>2000000</v>
      </c>
      <c r="W920" s="521" t="s">
        <v>3168</v>
      </c>
      <c r="X920" s="264"/>
      <c r="Y920" s="264"/>
      <c r="Z920" s="528"/>
    </row>
    <row r="921" spans="1:26">
      <c r="A921" s="513">
        <v>919</v>
      </c>
      <c r="B921" s="390"/>
      <c r="C921" s="515" t="s">
        <v>3169</v>
      </c>
      <c r="D921" s="262" t="s">
        <v>3166</v>
      </c>
      <c r="E921" s="513">
        <v>920</v>
      </c>
      <c r="F921" s="544" t="s">
        <v>3169</v>
      </c>
      <c r="G921" s="543">
        <v>45531</v>
      </c>
      <c r="H921" s="543">
        <v>45531</v>
      </c>
      <c r="I921" s="543">
        <v>45531</v>
      </c>
      <c r="J921" s="543">
        <v>45531</v>
      </c>
      <c r="K921" s="517">
        <v>45554</v>
      </c>
      <c r="L921" s="518" t="s">
        <v>1198</v>
      </c>
      <c r="M921" s="264" t="s">
        <v>2679</v>
      </c>
      <c r="N921" s="262" t="s">
        <v>2711</v>
      </c>
      <c r="O921" s="390" t="s">
        <v>3167</v>
      </c>
      <c r="P921" s="264" t="str">
        <f t="shared" si="37"/>
        <v>Zefrianus Zai</v>
      </c>
      <c r="Q921" s="264" t="s">
        <v>2699</v>
      </c>
      <c r="R921" s="528" t="s">
        <v>2700</v>
      </c>
      <c r="S921" s="399">
        <v>1</v>
      </c>
      <c r="T921" s="348" t="s">
        <v>3373</v>
      </c>
      <c r="U921" s="520">
        <v>2000000</v>
      </c>
      <c r="V921" s="580">
        <v>2000000</v>
      </c>
      <c r="W921" s="521" t="s">
        <v>3168</v>
      </c>
      <c r="X921" s="264"/>
      <c r="Y921" s="264"/>
      <c r="Z921" s="528"/>
    </row>
    <row r="922" spans="1:26">
      <c r="A922" s="513">
        <v>920</v>
      </c>
      <c r="B922" s="390"/>
      <c r="C922" s="515" t="s">
        <v>3170</v>
      </c>
      <c r="D922" s="262" t="s">
        <v>3166</v>
      </c>
      <c r="E922" s="513">
        <v>921</v>
      </c>
      <c r="F922" s="544" t="s">
        <v>3170</v>
      </c>
      <c r="G922" s="577">
        <v>45554</v>
      </c>
      <c r="H922" s="577">
        <v>45554</v>
      </c>
      <c r="I922" s="577">
        <v>45554</v>
      </c>
      <c r="J922" s="577">
        <v>45554</v>
      </c>
      <c r="K922" s="517">
        <v>45554</v>
      </c>
      <c r="L922" s="518" t="s">
        <v>1198</v>
      </c>
      <c r="M922" s="264" t="s">
        <v>2679</v>
      </c>
      <c r="N922" s="262" t="s">
        <v>2711</v>
      </c>
      <c r="O922" s="390" t="s">
        <v>3167</v>
      </c>
      <c r="P922" s="264" t="str">
        <f t="shared" si="37"/>
        <v>Zefrianus Zai</v>
      </c>
      <c r="Q922" s="264" t="s">
        <v>2699</v>
      </c>
      <c r="R922" s="528" t="s">
        <v>2700</v>
      </c>
      <c r="S922" s="399">
        <v>1</v>
      </c>
      <c r="T922" s="348" t="s">
        <v>3373</v>
      </c>
      <c r="U922" s="520">
        <v>2000000</v>
      </c>
      <c r="V922" s="580">
        <v>2000000</v>
      </c>
      <c r="W922" s="521" t="s">
        <v>3168</v>
      </c>
      <c r="X922" s="264"/>
      <c r="Y922" s="264"/>
      <c r="Z922" s="528"/>
    </row>
    <row r="923" spans="1:26" ht="29">
      <c r="A923" s="513">
        <v>921</v>
      </c>
      <c r="B923" s="390"/>
      <c r="C923" s="515" t="s">
        <v>3171</v>
      </c>
      <c r="D923" s="262" t="s">
        <v>1086</v>
      </c>
      <c r="E923" s="513">
        <v>922</v>
      </c>
      <c r="F923" s="544" t="s">
        <v>3171</v>
      </c>
      <c r="G923" s="577">
        <v>45554</v>
      </c>
      <c r="H923" s="577">
        <v>45554</v>
      </c>
      <c r="I923" s="577">
        <v>45554</v>
      </c>
      <c r="J923" s="577">
        <v>45554</v>
      </c>
      <c r="K923" s="517">
        <v>45554</v>
      </c>
      <c r="L923" s="518" t="s">
        <v>611</v>
      </c>
      <c r="M923" s="264" t="s">
        <v>2587</v>
      </c>
      <c r="N923" s="262" t="s">
        <v>2189</v>
      </c>
      <c r="O923" s="390" t="s">
        <v>2294</v>
      </c>
      <c r="P923" s="264" t="str">
        <f t="shared" si="37"/>
        <v>Belanja Jasa Tenaga Operator Komputer--</v>
      </c>
      <c r="Q923" s="264" t="s">
        <v>2672</v>
      </c>
      <c r="R923" s="528" t="s">
        <v>2673</v>
      </c>
      <c r="S923" s="399">
        <v>1</v>
      </c>
      <c r="T923" s="348" t="s">
        <v>3373</v>
      </c>
      <c r="U923" s="520">
        <v>1000000</v>
      </c>
      <c r="V923" s="266">
        <v>1000000</v>
      </c>
      <c r="W923" s="521" t="s">
        <v>2659</v>
      </c>
      <c r="X923" s="521" t="s">
        <v>2659</v>
      </c>
      <c r="Y923" s="522" t="s">
        <v>2660</v>
      </c>
      <c r="Z923" s="523" t="s">
        <v>2661</v>
      </c>
    </row>
    <row r="924" spans="1:26">
      <c r="A924" s="513">
        <v>922</v>
      </c>
      <c r="B924" s="390"/>
      <c r="C924" s="515" t="s">
        <v>3172</v>
      </c>
      <c r="D924" s="262" t="s">
        <v>1089</v>
      </c>
      <c r="E924" s="513">
        <v>923</v>
      </c>
      <c r="F924" s="544" t="s">
        <v>3172</v>
      </c>
      <c r="G924" s="360">
        <v>45500</v>
      </c>
      <c r="H924" s="360">
        <v>45500</v>
      </c>
      <c r="I924" s="360">
        <v>45500</v>
      </c>
      <c r="J924" s="360">
        <v>45500</v>
      </c>
      <c r="K924" s="517">
        <v>45554</v>
      </c>
      <c r="L924" s="518" t="s">
        <v>2710</v>
      </c>
      <c r="M924" s="264" t="s">
        <v>2679</v>
      </c>
      <c r="N924" s="262" t="s">
        <v>2711</v>
      </c>
      <c r="O924" s="390" t="s">
        <v>3173</v>
      </c>
      <c r="P924" s="264" t="str">
        <f t="shared" si="37"/>
        <v>Thomas Hondro</v>
      </c>
      <c r="Q924" s="264" t="s">
        <v>2713</v>
      </c>
      <c r="R924" s="528" t="s">
        <v>2714</v>
      </c>
      <c r="S924" s="399">
        <v>1</v>
      </c>
      <c r="T924" s="348" t="s">
        <v>3373</v>
      </c>
      <c r="U924" s="520">
        <v>1000000</v>
      </c>
      <c r="V924" s="266">
        <v>1000000</v>
      </c>
      <c r="W924" s="521" t="s">
        <v>2715</v>
      </c>
      <c r="X924" s="264"/>
      <c r="Y924" s="264"/>
      <c r="Z924" s="528"/>
    </row>
    <row r="925" spans="1:26">
      <c r="A925" s="513">
        <v>923</v>
      </c>
      <c r="B925" s="390"/>
      <c r="C925" s="515" t="s">
        <v>3174</v>
      </c>
      <c r="D925" s="262" t="s">
        <v>1089</v>
      </c>
      <c r="E925" s="513">
        <v>924</v>
      </c>
      <c r="F925" s="544" t="s">
        <v>3174</v>
      </c>
      <c r="G925" s="543">
        <v>45531</v>
      </c>
      <c r="H925" s="543">
        <v>45531</v>
      </c>
      <c r="I925" s="543">
        <v>45531</v>
      </c>
      <c r="J925" s="543">
        <v>45531</v>
      </c>
      <c r="K925" s="517">
        <v>45554</v>
      </c>
      <c r="L925" s="518" t="s">
        <v>2710</v>
      </c>
      <c r="M925" s="264" t="s">
        <v>2679</v>
      </c>
      <c r="N925" s="262" t="s">
        <v>2711</v>
      </c>
      <c r="O925" s="390" t="s">
        <v>3173</v>
      </c>
      <c r="P925" s="264" t="str">
        <f t="shared" si="37"/>
        <v>Thomas Hondro</v>
      </c>
      <c r="Q925" s="264" t="s">
        <v>2713</v>
      </c>
      <c r="R925" s="528" t="s">
        <v>2714</v>
      </c>
      <c r="S925" s="399">
        <v>1</v>
      </c>
      <c r="T925" s="348" t="s">
        <v>3373</v>
      </c>
      <c r="U925" s="520">
        <v>1000000</v>
      </c>
      <c r="V925" s="266">
        <v>1000000</v>
      </c>
      <c r="W925" s="521" t="s">
        <v>2715</v>
      </c>
      <c r="X925" s="264"/>
      <c r="Y925" s="264"/>
      <c r="Z925" s="528"/>
    </row>
    <row r="926" spans="1:26">
      <c r="A926" s="513">
        <v>924</v>
      </c>
      <c r="B926" s="390"/>
      <c r="C926" s="515" t="s">
        <v>3175</v>
      </c>
      <c r="D926" s="262" t="s">
        <v>1089</v>
      </c>
      <c r="E926" s="513">
        <v>925</v>
      </c>
      <c r="F926" s="544" t="s">
        <v>3175</v>
      </c>
      <c r="G926" s="577">
        <v>45554</v>
      </c>
      <c r="H926" s="577">
        <v>45554</v>
      </c>
      <c r="I926" s="577">
        <v>45554</v>
      </c>
      <c r="J926" s="577">
        <v>45554</v>
      </c>
      <c r="K926" s="517">
        <v>45554</v>
      </c>
      <c r="L926" s="518" t="s">
        <v>2710</v>
      </c>
      <c r="M926" s="264" t="s">
        <v>2679</v>
      </c>
      <c r="N926" s="262" t="s">
        <v>2711</v>
      </c>
      <c r="O926" s="390" t="s">
        <v>3173</v>
      </c>
      <c r="P926" s="264" t="str">
        <f t="shared" si="37"/>
        <v>Thomas Hondro</v>
      </c>
      <c r="Q926" s="264" t="s">
        <v>2713</v>
      </c>
      <c r="R926" s="528" t="s">
        <v>2714</v>
      </c>
      <c r="S926" s="399">
        <v>1</v>
      </c>
      <c r="T926" s="348" t="s">
        <v>3373</v>
      </c>
      <c r="U926" s="520">
        <v>1000000</v>
      </c>
      <c r="V926" s="266">
        <v>1000000</v>
      </c>
      <c r="W926" s="521" t="s">
        <v>2715</v>
      </c>
      <c r="X926" s="264"/>
      <c r="Y926" s="264"/>
      <c r="Z926" s="528"/>
    </row>
    <row r="927" spans="1:26" ht="29">
      <c r="A927" s="513">
        <v>925</v>
      </c>
      <c r="B927" s="390"/>
      <c r="C927" s="515" t="s">
        <v>3176</v>
      </c>
      <c r="D927" s="262" t="s">
        <v>1092</v>
      </c>
      <c r="E927" s="513">
        <v>926</v>
      </c>
      <c r="F927" s="544" t="s">
        <v>3176</v>
      </c>
      <c r="G927" s="577">
        <v>45555</v>
      </c>
      <c r="H927" s="577">
        <v>45555</v>
      </c>
      <c r="I927" s="577">
        <v>45555</v>
      </c>
      <c r="J927" s="577">
        <v>45555</v>
      </c>
      <c r="K927" s="517">
        <v>45555</v>
      </c>
      <c r="L927" s="518" t="s">
        <v>584</v>
      </c>
      <c r="M927" s="264" t="s">
        <v>2663</v>
      </c>
      <c r="N927" s="262" t="s">
        <v>2186</v>
      </c>
      <c r="O927" s="390" t="s">
        <v>2291</v>
      </c>
      <c r="P927" s="264" t="str">
        <f t="shared" si="37"/>
        <v>Biaya Rekening Listrik--</v>
      </c>
      <c r="Q927" s="264" t="s">
        <v>2664</v>
      </c>
      <c r="R927" s="519" t="s">
        <v>2665</v>
      </c>
      <c r="S927" s="399">
        <v>1</v>
      </c>
      <c r="T927" s="348" t="s">
        <v>3373</v>
      </c>
      <c r="U927" s="520">
        <v>2000000</v>
      </c>
      <c r="V927" s="266">
        <v>2000000</v>
      </c>
      <c r="W927" s="521" t="s">
        <v>2666</v>
      </c>
      <c r="X927" s="521" t="s">
        <v>2659</v>
      </c>
      <c r="Y927" s="522" t="s">
        <v>2660</v>
      </c>
      <c r="Z927" s="523" t="s">
        <v>2661</v>
      </c>
    </row>
    <row r="928" spans="1:26" ht="29">
      <c r="A928" s="513">
        <v>926</v>
      </c>
      <c r="B928" s="390"/>
      <c r="C928" s="515" t="s">
        <v>3177</v>
      </c>
      <c r="D928" s="262" t="s">
        <v>1094</v>
      </c>
      <c r="E928" s="513">
        <v>927</v>
      </c>
      <c r="F928" s="544" t="s">
        <v>3177</v>
      </c>
      <c r="G928" s="577">
        <v>45555</v>
      </c>
      <c r="H928" s="577">
        <v>45555</v>
      </c>
      <c r="I928" s="577">
        <v>45555</v>
      </c>
      <c r="J928" s="577">
        <v>45555</v>
      </c>
      <c r="K928" s="517">
        <v>45555</v>
      </c>
      <c r="L928" s="518" t="s">
        <v>590</v>
      </c>
      <c r="M928" s="264" t="s">
        <v>2663</v>
      </c>
      <c r="N928" s="262" t="s">
        <v>2187</v>
      </c>
      <c r="O928" s="390" t="s">
        <v>2292</v>
      </c>
      <c r="P928" s="264" t="str">
        <f t="shared" si="37"/>
        <v>Biaya Langganan Internet--</v>
      </c>
      <c r="Q928" s="264" t="s">
        <v>2668</v>
      </c>
      <c r="R928" s="519" t="s">
        <v>2669</v>
      </c>
      <c r="S928" s="399">
        <v>1</v>
      </c>
      <c r="T928" s="348" t="s">
        <v>3373</v>
      </c>
      <c r="U928" s="520">
        <v>1500000</v>
      </c>
      <c r="V928" s="266">
        <v>1176600</v>
      </c>
      <c r="W928" s="521" t="s">
        <v>3381</v>
      </c>
      <c r="X928" s="521" t="s">
        <v>2659</v>
      </c>
      <c r="Y928" s="522" t="s">
        <v>2660</v>
      </c>
      <c r="Z928" s="523" t="s">
        <v>2661</v>
      </c>
    </row>
    <row r="929" spans="1:26" ht="29">
      <c r="A929" s="513">
        <v>927</v>
      </c>
      <c r="B929" s="390"/>
      <c r="C929" s="515" t="s">
        <v>3178</v>
      </c>
      <c r="D929" s="262" t="s">
        <v>1095</v>
      </c>
      <c r="E929" s="513">
        <v>928</v>
      </c>
      <c r="F929" s="544" t="s">
        <v>3178</v>
      </c>
      <c r="G929" s="577">
        <v>45560</v>
      </c>
      <c r="H929" s="577">
        <v>45560</v>
      </c>
      <c r="I929" s="577">
        <v>45560</v>
      </c>
      <c r="J929" s="577">
        <v>45560</v>
      </c>
      <c r="K929" s="517">
        <v>45560</v>
      </c>
      <c r="L929" s="518" t="s">
        <v>571</v>
      </c>
      <c r="M929" s="264" t="s">
        <v>2587</v>
      </c>
      <c r="N929" s="262" t="s">
        <v>2176</v>
      </c>
      <c r="O929" s="390" t="s">
        <v>9</v>
      </c>
      <c r="P929" s="264" t="str">
        <f t="shared" si="37"/>
        <v>Foto Copy Filio dan Kuarto</v>
      </c>
      <c r="Q929" s="525" t="s">
        <v>2675</v>
      </c>
      <c r="R929" s="525" t="s">
        <v>2676</v>
      </c>
      <c r="S929" s="399">
        <v>4739</v>
      </c>
      <c r="T929" s="348" t="s">
        <v>3368</v>
      </c>
      <c r="U929" s="520">
        <v>350</v>
      </c>
      <c r="V929" s="266">
        <v>1575000</v>
      </c>
      <c r="W929" s="521" t="s">
        <v>227</v>
      </c>
      <c r="X929" s="521" t="s">
        <v>3383</v>
      </c>
      <c r="Y929" s="522" t="s">
        <v>2512</v>
      </c>
      <c r="Z929" s="523" t="s">
        <v>541</v>
      </c>
    </row>
    <row r="930" spans="1:26" ht="29">
      <c r="A930" s="513">
        <v>928</v>
      </c>
      <c r="B930" s="547"/>
      <c r="C930" s="515" t="s">
        <v>3179</v>
      </c>
      <c r="D930" s="545" t="s">
        <v>1096</v>
      </c>
      <c r="E930" s="513">
        <v>929</v>
      </c>
      <c r="F930" s="544" t="s">
        <v>3179</v>
      </c>
      <c r="G930" s="577">
        <v>45564</v>
      </c>
      <c r="H930" s="577">
        <v>45565</v>
      </c>
      <c r="I930" s="577">
        <v>45565</v>
      </c>
      <c r="J930" s="577">
        <v>45565</v>
      </c>
      <c r="K930" s="546">
        <v>45565</v>
      </c>
      <c r="L930" s="518" t="s">
        <v>2180</v>
      </c>
      <c r="M930" s="264" t="s">
        <v>2587</v>
      </c>
      <c r="N930" s="545" t="s">
        <v>1004</v>
      </c>
      <c r="O930" s="547" t="s">
        <v>2297</v>
      </c>
      <c r="P930" s="264" t="s">
        <v>2633</v>
      </c>
      <c r="Q930" s="264" t="s">
        <v>280</v>
      </c>
      <c r="R930" s="528" t="s">
        <v>165</v>
      </c>
      <c r="S930" s="399">
        <v>60</v>
      </c>
      <c r="T930" s="348" t="s">
        <v>3363</v>
      </c>
      <c r="U930" s="520">
        <v>15000</v>
      </c>
      <c r="V930" s="548">
        <v>900000</v>
      </c>
      <c r="W930" s="521" t="s">
        <v>10</v>
      </c>
      <c r="X930" s="521" t="s">
        <v>3383</v>
      </c>
      <c r="Y930" s="522" t="s">
        <v>2092</v>
      </c>
      <c r="Z930" s="523" t="s">
        <v>2634</v>
      </c>
    </row>
    <row r="931" spans="1:26" ht="29">
      <c r="A931" s="513">
        <v>929</v>
      </c>
      <c r="B931" s="390"/>
      <c r="C931" s="515" t="s">
        <v>3180</v>
      </c>
      <c r="D931" s="262" t="s">
        <v>1103</v>
      </c>
      <c r="E931" s="513">
        <v>930</v>
      </c>
      <c r="F931" s="544" t="s">
        <v>3180</v>
      </c>
      <c r="G931" s="543">
        <v>45566</v>
      </c>
      <c r="H931" s="543">
        <v>45566</v>
      </c>
      <c r="I931" s="543">
        <v>45566</v>
      </c>
      <c r="J931" s="543">
        <v>45566</v>
      </c>
      <c r="K931" s="517">
        <v>45566</v>
      </c>
      <c r="L931" s="518" t="s">
        <v>533</v>
      </c>
      <c r="M931" s="264" t="s">
        <v>2587</v>
      </c>
      <c r="N931" s="262" t="s">
        <v>2177</v>
      </c>
      <c r="O931" s="390" t="s">
        <v>2266</v>
      </c>
      <c r="P931" s="264" t="str">
        <f t="shared" ref="P931:P945" si="38">O931</f>
        <v>Perlengkapan Kebersihan Pembersih Lantai Super Pel Varian 800ml</v>
      </c>
      <c r="Q931" s="264" t="s">
        <v>2609</v>
      </c>
      <c r="R931" s="525" t="s">
        <v>2613</v>
      </c>
      <c r="S931" s="399">
        <v>15</v>
      </c>
      <c r="T931" s="348" t="s">
        <v>3363</v>
      </c>
      <c r="U931" s="520">
        <v>13700</v>
      </c>
      <c r="V931" s="266">
        <v>205500</v>
      </c>
      <c r="W931" s="521" t="s">
        <v>227</v>
      </c>
      <c r="X931" s="521" t="s">
        <v>3383</v>
      </c>
      <c r="Y931" s="522" t="s">
        <v>2512</v>
      </c>
      <c r="Z931" s="523" t="s">
        <v>541</v>
      </c>
    </row>
    <row r="932" spans="1:26" ht="29">
      <c r="A932" s="513">
        <v>930</v>
      </c>
      <c r="B932" s="390"/>
      <c r="C932" s="515" t="s">
        <v>3180</v>
      </c>
      <c r="D932" s="262" t="s">
        <v>1103</v>
      </c>
      <c r="E932" s="513">
        <v>931</v>
      </c>
      <c r="F932" s="544" t="s">
        <v>3180</v>
      </c>
      <c r="G932" s="543">
        <v>45566</v>
      </c>
      <c r="H932" s="543">
        <v>45566</v>
      </c>
      <c r="I932" s="543">
        <v>45566</v>
      </c>
      <c r="J932" s="543">
        <v>45566</v>
      </c>
      <c r="K932" s="517">
        <v>45566</v>
      </c>
      <c r="L932" s="518" t="s">
        <v>533</v>
      </c>
      <c r="M932" s="264" t="s">
        <v>2587</v>
      </c>
      <c r="N932" s="262" t="s">
        <v>2177</v>
      </c>
      <c r="O932" s="390" t="s">
        <v>2269</v>
      </c>
      <c r="P932" s="264" t="str">
        <f t="shared" si="38"/>
        <v>Tisu--</v>
      </c>
      <c r="Q932" s="264" t="s">
        <v>2609</v>
      </c>
      <c r="R932" s="519" t="s">
        <v>537</v>
      </c>
      <c r="S932" s="399">
        <v>12</v>
      </c>
      <c r="T932" s="348" t="s">
        <v>3363</v>
      </c>
      <c r="U932" s="520">
        <v>12500</v>
      </c>
      <c r="V932" s="266">
        <v>150000</v>
      </c>
      <c r="W932" s="521" t="s">
        <v>227</v>
      </c>
      <c r="X932" s="521" t="s">
        <v>3383</v>
      </c>
      <c r="Y932" s="522" t="s">
        <v>2512</v>
      </c>
      <c r="Z932" s="523" t="s">
        <v>541</v>
      </c>
    </row>
    <row r="933" spans="1:26" ht="29">
      <c r="A933" s="513">
        <v>931</v>
      </c>
      <c r="B933" s="390"/>
      <c r="C933" s="515" t="s">
        <v>3180</v>
      </c>
      <c r="D933" s="262" t="s">
        <v>1103</v>
      </c>
      <c r="E933" s="513">
        <v>932</v>
      </c>
      <c r="F933" s="544" t="s">
        <v>3180</v>
      </c>
      <c r="G933" s="543">
        <v>45566</v>
      </c>
      <c r="H933" s="543">
        <v>45566</v>
      </c>
      <c r="I933" s="543">
        <v>45566</v>
      </c>
      <c r="J933" s="543">
        <v>45566</v>
      </c>
      <c r="K933" s="517">
        <v>45566</v>
      </c>
      <c r="L933" s="518" t="s">
        <v>533</v>
      </c>
      <c r="M933" s="264" t="s">
        <v>2587</v>
      </c>
      <c r="N933" s="262" t="s">
        <v>2177</v>
      </c>
      <c r="O933" s="390" t="s">
        <v>2268</v>
      </c>
      <c r="P933" s="264" t="str">
        <f t="shared" si="38"/>
        <v>Perlengkapan Kebersihan Pembersih Pakaian Sunlight Refil 800ml</v>
      </c>
      <c r="Q933" s="264" t="s">
        <v>2609</v>
      </c>
      <c r="R933" s="525" t="s">
        <v>2616</v>
      </c>
      <c r="S933" s="399">
        <v>3</v>
      </c>
      <c r="T933" s="348" t="s">
        <v>3363</v>
      </c>
      <c r="U933" s="520">
        <v>15000</v>
      </c>
      <c r="V933" s="266">
        <v>45000</v>
      </c>
      <c r="W933" s="521" t="s">
        <v>227</v>
      </c>
      <c r="X933" s="521" t="s">
        <v>3383</v>
      </c>
      <c r="Y933" s="522" t="s">
        <v>2512</v>
      </c>
      <c r="Z933" s="523" t="s">
        <v>541</v>
      </c>
    </row>
    <row r="934" spans="1:26" ht="29">
      <c r="A934" s="513">
        <v>932</v>
      </c>
      <c r="B934" s="390"/>
      <c r="C934" s="515" t="s">
        <v>3180</v>
      </c>
      <c r="D934" s="262" t="s">
        <v>1103</v>
      </c>
      <c r="E934" s="513">
        <v>933</v>
      </c>
      <c r="F934" s="544" t="s">
        <v>3180</v>
      </c>
      <c r="G934" s="543">
        <v>45566</v>
      </c>
      <c r="H934" s="543">
        <v>45566</v>
      </c>
      <c r="I934" s="543">
        <v>45566</v>
      </c>
      <c r="J934" s="543">
        <v>45566</v>
      </c>
      <c r="K934" s="517">
        <v>45566</v>
      </c>
      <c r="L934" s="518" t="s">
        <v>533</v>
      </c>
      <c r="M934" s="264" t="s">
        <v>2587</v>
      </c>
      <c r="N934" s="262" t="s">
        <v>2177</v>
      </c>
      <c r="O934" s="390" t="s">
        <v>276</v>
      </c>
      <c r="P934" s="264" t="str">
        <f t="shared" si="38"/>
        <v>vixal 500ml</v>
      </c>
      <c r="Q934" s="264" t="s">
        <v>2609</v>
      </c>
      <c r="R934" s="519" t="s">
        <v>2566</v>
      </c>
      <c r="S934" s="399">
        <v>10</v>
      </c>
      <c r="T934" s="348" t="s">
        <v>3367</v>
      </c>
      <c r="U934" s="520">
        <v>30000</v>
      </c>
      <c r="V934" s="266">
        <v>300000</v>
      </c>
      <c r="W934" s="521" t="s">
        <v>227</v>
      </c>
      <c r="X934" s="521" t="s">
        <v>3383</v>
      </c>
      <c r="Y934" s="522" t="s">
        <v>2512</v>
      </c>
      <c r="Z934" s="523" t="s">
        <v>541</v>
      </c>
    </row>
    <row r="935" spans="1:26" ht="29">
      <c r="A935" s="513">
        <v>933</v>
      </c>
      <c r="B935" s="390"/>
      <c r="C935" s="515" t="s">
        <v>3180</v>
      </c>
      <c r="D935" s="262" t="s">
        <v>1103</v>
      </c>
      <c r="E935" s="513">
        <v>934</v>
      </c>
      <c r="F935" s="544" t="s">
        <v>3180</v>
      </c>
      <c r="G935" s="543">
        <v>45566</v>
      </c>
      <c r="H935" s="543">
        <v>45566</v>
      </c>
      <c r="I935" s="543">
        <v>45566</v>
      </c>
      <c r="J935" s="543">
        <v>45566</v>
      </c>
      <c r="K935" s="517">
        <v>45566</v>
      </c>
      <c r="L935" s="518" t="s">
        <v>533</v>
      </c>
      <c r="M935" s="264" t="s">
        <v>2587</v>
      </c>
      <c r="N935" s="262" t="s">
        <v>2177</v>
      </c>
      <c r="O935" s="390" t="s">
        <v>271</v>
      </c>
      <c r="P935" s="264" t="str">
        <f t="shared" si="38"/>
        <v>Pengharum Ruangan</v>
      </c>
      <c r="Q935" s="264" t="s">
        <v>2609</v>
      </c>
      <c r="R935" s="519" t="s">
        <v>2615</v>
      </c>
      <c r="S935" s="399">
        <v>10</v>
      </c>
      <c r="T935" s="348" t="s">
        <v>3363</v>
      </c>
      <c r="U935" s="520">
        <v>12100</v>
      </c>
      <c r="V935" s="266">
        <v>121000</v>
      </c>
      <c r="W935" s="521" t="s">
        <v>227</v>
      </c>
      <c r="X935" s="521" t="s">
        <v>3383</v>
      </c>
      <c r="Y935" s="522" t="s">
        <v>2512</v>
      </c>
      <c r="Z935" s="523" t="s">
        <v>541</v>
      </c>
    </row>
    <row r="936" spans="1:26" ht="29">
      <c r="A936" s="513">
        <v>934</v>
      </c>
      <c r="B936" s="390"/>
      <c r="C936" s="515" t="s">
        <v>3180</v>
      </c>
      <c r="D936" s="262" t="s">
        <v>1103</v>
      </c>
      <c r="E936" s="513">
        <v>935</v>
      </c>
      <c r="F936" s="544" t="s">
        <v>3180</v>
      </c>
      <c r="G936" s="543">
        <v>45566</v>
      </c>
      <c r="H936" s="543">
        <v>45566</v>
      </c>
      <c r="I936" s="543">
        <v>45566</v>
      </c>
      <c r="J936" s="543">
        <v>45566</v>
      </c>
      <c r="K936" s="517">
        <v>45566</v>
      </c>
      <c r="L936" s="518" t="s">
        <v>533</v>
      </c>
      <c r="M936" s="264" t="s">
        <v>2587</v>
      </c>
      <c r="N936" s="262" t="s">
        <v>2177</v>
      </c>
      <c r="O936" s="390" t="s">
        <v>2272</v>
      </c>
      <c r="P936" s="264" t="str">
        <f t="shared" si="38"/>
        <v>Hand Sanitizer-Unit</v>
      </c>
      <c r="Q936" s="264" t="s">
        <v>2609</v>
      </c>
      <c r="R936" s="524" t="s">
        <v>2621</v>
      </c>
      <c r="S936" s="399">
        <v>5</v>
      </c>
      <c r="T936" s="348" t="s">
        <v>3371</v>
      </c>
      <c r="U936" s="520">
        <v>70000</v>
      </c>
      <c r="V936" s="266">
        <v>350000</v>
      </c>
      <c r="W936" s="521" t="s">
        <v>227</v>
      </c>
      <c r="X936" s="521" t="s">
        <v>3383</v>
      </c>
      <c r="Y936" s="522" t="s">
        <v>2512</v>
      </c>
      <c r="Z936" s="523" t="s">
        <v>541</v>
      </c>
    </row>
    <row r="937" spans="1:26" ht="29">
      <c r="A937" s="513">
        <v>935</v>
      </c>
      <c r="B937" s="390"/>
      <c r="C937" s="515" t="s">
        <v>3180</v>
      </c>
      <c r="D937" s="262" t="s">
        <v>1103</v>
      </c>
      <c r="E937" s="513">
        <v>936</v>
      </c>
      <c r="F937" s="544" t="s">
        <v>3180</v>
      </c>
      <c r="G937" s="543">
        <v>45566</v>
      </c>
      <c r="H937" s="543">
        <v>45566</v>
      </c>
      <c r="I937" s="543">
        <v>45566</v>
      </c>
      <c r="J937" s="543">
        <v>45566</v>
      </c>
      <c r="K937" s="517">
        <v>45566</v>
      </c>
      <c r="L937" s="518" t="s">
        <v>533</v>
      </c>
      <c r="M937" s="264" t="s">
        <v>2587</v>
      </c>
      <c r="N937" s="262" t="s">
        <v>2177</v>
      </c>
      <c r="O937" s="390" t="s">
        <v>270</v>
      </c>
      <c r="P937" s="264" t="str">
        <f t="shared" si="38"/>
        <v>Handsoap/Pencuci Tangan</v>
      </c>
      <c r="Q937" s="264" t="s">
        <v>2609</v>
      </c>
      <c r="R937" s="519" t="s">
        <v>548</v>
      </c>
      <c r="S937" s="399">
        <v>5</v>
      </c>
      <c r="T937" s="348" t="s">
        <v>3367</v>
      </c>
      <c r="U937" s="520">
        <v>67000</v>
      </c>
      <c r="V937" s="266">
        <v>335000</v>
      </c>
      <c r="W937" s="521" t="s">
        <v>227</v>
      </c>
      <c r="X937" s="521" t="s">
        <v>3383</v>
      </c>
      <c r="Y937" s="522" t="s">
        <v>2512</v>
      </c>
      <c r="Z937" s="523" t="s">
        <v>541</v>
      </c>
    </row>
    <row r="938" spans="1:26" ht="29">
      <c r="A938" s="513">
        <v>936</v>
      </c>
      <c r="B938" s="390"/>
      <c r="C938" s="515" t="s">
        <v>3180</v>
      </c>
      <c r="D938" s="262" t="s">
        <v>1103</v>
      </c>
      <c r="E938" s="513">
        <v>937</v>
      </c>
      <c r="F938" s="544" t="s">
        <v>3180</v>
      </c>
      <c r="G938" s="543">
        <v>45566</v>
      </c>
      <c r="H938" s="543">
        <v>45566</v>
      </c>
      <c r="I938" s="543">
        <v>45566</v>
      </c>
      <c r="J938" s="543">
        <v>45566</v>
      </c>
      <c r="K938" s="517">
        <v>45566</v>
      </c>
      <c r="L938" s="518" t="s">
        <v>533</v>
      </c>
      <c r="M938" s="264" t="s">
        <v>2587</v>
      </c>
      <c r="N938" s="262" t="s">
        <v>2177</v>
      </c>
      <c r="O938" s="390" t="s">
        <v>2270</v>
      </c>
      <c r="P938" s="264" t="str">
        <f t="shared" si="38"/>
        <v>Cairan Pembersih Kaca</v>
      </c>
      <c r="Q938" s="264" t="s">
        <v>2609</v>
      </c>
      <c r="R938" s="525" t="s">
        <v>2618</v>
      </c>
      <c r="S938" s="399">
        <v>5</v>
      </c>
      <c r="T938" s="348" t="s">
        <v>3363</v>
      </c>
      <c r="U938" s="520">
        <v>12000</v>
      </c>
      <c r="V938" s="266">
        <v>60000</v>
      </c>
      <c r="W938" s="521" t="s">
        <v>227</v>
      </c>
      <c r="X938" s="521" t="s">
        <v>3383</v>
      </c>
      <c r="Y938" s="522" t="s">
        <v>2512</v>
      </c>
      <c r="Z938" s="523" t="s">
        <v>541</v>
      </c>
    </row>
    <row r="939" spans="1:26" ht="43.5">
      <c r="A939" s="513">
        <v>937</v>
      </c>
      <c r="B939" s="390"/>
      <c r="C939" s="515" t="s">
        <v>3180</v>
      </c>
      <c r="D939" s="262" t="s">
        <v>1103</v>
      </c>
      <c r="E939" s="513">
        <v>938</v>
      </c>
      <c r="F939" s="544" t="s">
        <v>3180</v>
      </c>
      <c r="G939" s="543">
        <v>45566</v>
      </c>
      <c r="H939" s="543">
        <v>45566</v>
      </c>
      <c r="I939" s="543">
        <v>45566</v>
      </c>
      <c r="J939" s="543">
        <v>45566</v>
      </c>
      <c r="K939" s="517">
        <v>45566</v>
      </c>
      <c r="L939" s="518" t="s">
        <v>533</v>
      </c>
      <c r="M939" s="264" t="s">
        <v>2587</v>
      </c>
      <c r="N939" s="262" t="s">
        <v>2177</v>
      </c>
      <c r="O939" s="390" t="s">
        <v>274</v>
      </c>
      <c r="P939" s="264" t="str">
        <f t="shared" si="38"/>
        <v>Spon Cuci</v>
      </c>
      <c r="Q939" s="264" t="s">
        <v>2609</v>
      </c>
      <c r="R939" s="519" t="s">
        <v>2617</v>
      </c>
      <c r="S939" s="399">
        <v>5</v>
      </c>
      <c r="T939" s="348" t="s">
        <v>3363</v>
      </c>
      <c r="U939" s="520">
        <v>12000</v>
      </c>
      <c r="V939" s="266">
        <v>60000</v>
      </c>
      <c r="W939" s="521" t="s">
        <v>227</v>
      </c>
      <c r="X939" s="521" t="s">
        <v>3383</v>
      </c>
      <c r="Y939" s="522" t="s">
        <v>2512</v>
      </c>
      <c r="Z939" s="523" t="s">
        <v>541</v>
      </c>
    </row>
    <row r="940" spans="1:26" ht="29">
      <c r="A940" s="513">
        <v>938</v>
      </c>
      <c r="B940" s="390"/>
      <c r="C940" s="515" t="s">
        <v>3181</v>
      </c>
      <c r="D940" s="262" t="s">
        <v>1107</v>
      </c>
      <c r="E940" s="513">
        <v>939</v>
      </c>
      <c r="F940" s="544" t="s">
        <v>3181</v>
      </c>
      <c r="G940" s="543">
        <v>45566</v>
      </c>
      <c r="H940" s="543">
        <v>45567</v>
      </c>
      <c r="I940" s="543">
        <v>45567</v>
      </c>
      <c r="J940" s="543">
        <v>45567</v>
      </c>
      <c r="K940" s="517">
        <v>45567</v>
      </c>
      <c r="L940" s="518" t="s">
        <v>796</v>
      </c>
      <c r="M940" s="264" t="s">
        <v>2646</v>
      </c>
      <c r="N940" s="262" t="s">
        <v>2192</v>
      </c>
      <c r="O940" s="390" t="s">
        <v>930</v>
      </c>
      <c r="P940" s="264" t="str">
        <f t="shared" si="38"/>
        <v>Kabel Listrik</v>
      </c>
      <c r="Q940" s="264" t="s">
        <v>3182</v>
      </c>
      <c r="R940" s="528"/>
      <c r="S940" s="399">
        <v>1</v>
      </c>
      <c r="T940" s="348" t="s">
        <v>3379</v>
      </c>
      <c r="U940" s="520">
        <v>1200400</v>
      </c>
      <c r="V940" s="266">
        <v>1281400</v>
      </c>
      <c r="W940" s="521" t="s">
        <v>227</v>
      </c>
      <c r="X940" s="521" t="s">
        <v>3383</v>
      </c>
      <c r="Y940" s="522" t="s">
        <v>2512</v>
      </c>
      <c r="Z940" s="523" t="s">
        <v>541</v>
      </c>
    </row>
    <row r="941" spans="1:26" ht="29">
      <c r="A941" s="513">
        <v>939</v>
      </c>
      <c r="B941" s="390"/>
      <c r="C941" s="515" t="s">
        <v>3183</v>
      </c>
      <c r="D941" s="262" t="s">
        <v>1109</v>
      </c>
      <c r="E941" s="513">
        <v>940</v>
      </c>
      <c r="F941" s="544" t="s">
        <v>3183</v>
      </c>
      <c r="G941" s="543">
        <v>45566</v>
      </c>
      <c r="H941" s="543">
        <v>45567</v>
      </c>
      <c r="I941" s="543">
        <v>45567</v>
      </c>
      <c r="J941" s="543">
        <v>45567</v>
      </c>
      <c r="K941" s="517">
        <v>45588</v>
      </c>
      <c r="L941" s="518" t="s">
        <v>705</v>
      </c>
      <c r="M941" s="264" t="s">
        <v>2587</v>
      </c>
      <c r="N941" s="262" t="s">
        <v>2176</v>
      </c>
      <c r="O941" s="390" t="s">
        <v>255</v>
      </c>
      <c r="P941" s="264" t="str">
        <f t="shared" si="38"/>
        <v>PAPER CLIP  Paper Clip No 1</v>
      </c>
      <c r="Q941" s="264" t="s">
        <v>710</v>
      </c>
      <c r="R941" s="519" t="s">
        <v>144</v>
      </c>
      <c r="S941" s="399">
        <v>5</v>
      </c>
      <c r="T941" s="348" t="s">
        <v>3362</v>
      </c>
      <c r="U941" s="520">
        <v>5000</v>
      </c>
      <c r="V941" s="266">
        <v>25000</v>
      </c>
      <c r="W941" s="521" t="s">
        <v>227</v>
      </c>
      <c r="X941" s="521" t="s">
        <v>3383</v>
      </c>
      <c r="Y941" s="522" t="s">
        <v>2512</v>
      </c>
      <c r="Z941" s="523" t="s">
        <v>541</v>
      </c>
    </row>
    <row r="942" spans="1:26" ht="29">
      <c r="A942" s="513">
        <v>940</v>
      </c>
      <c r="B942" s="390"/>
      <c r="C942" s="515" t="s">
        <v>3183</v>
      </c>
      <c r="D942" s="262" t="s">
        <v>1109</v>
      </c>
      <c r="E942" s="513">
        <v>941</v>
      </c>
      <c r="F942" s="544" t="s">
        <v>3183</v>
      </c>
      <c r="G942" s="543">
        <v>45566</v>
      </c>
      <c r="H942" s="543">
        <v>45567</v>
      </c>
      <c r="I942" s="543">
        <v>45567</v>
      </c>
      <c r="J942" s="543">
        <v>45567</v>
      </c>
      <c r="K942" s="517">
        <v>45588</v>
      </c>
      <c r="L942" s="518" t="s">
        <v>705</v>
      </c>
      <c r="M942" s="264" t="s">
        <v>2587</v>
      </c>
      <c r="N942" s="262" t="s">
        <v>2176</v>
      </c>
      <c r="O942" s="390" t="s">
        <v>2244</v>
      </c>
      <c r="P942" s="264" t="str">
        <f t="shared" si="38"/>
        <v>Lem Fox isi 500 gram--</v>
      </c>
      <c r="Q942" s="264" t="s">
        <v>710</v>
      </c>
      <c r="R942" s="519" t="s">
        <v>141</v>
      </c>
      <c r="S942" s="399">
        <v>2</v>
      </c>
      <c r="T942" s="348" t="s">
        <v>3363</v>
      </c>
      <c r="U942" s="520">
        <v>35400</v>
      </c>
      <c r="V942" s="266">
        <v>70800</v>
      </c>
      <c r="W942" s="521" t="s">
        <v>227</v>
      </c>
      <c r="X942" s="521" t="s">
        <v>3383</v>
      </c>
      <c r="Y942" s="522" t="s">
        <v>2512</v>
      </c>
      <c r="Z942" s="523" t="s">
        <v>541</v>
      </c>
    </row>
    <row r="943" spans="1:26" ht="29">
      <c r="A943" s="513">
        <v>941</v>
      </c>
      <c r="B943" s="390"/>
      <c r="C943" s="515" t="s">
        <v>3183</v>
      </c>
      <c r="D943" s="262" t="s">
        <v>1109</v>
      </c>
      <c r="E943" s="513">
        <v>942</v>
      </c>
      <c r="F943" s="544" t="s">
        <v>3183</v>
      </c>
      <c r="G943" s="543">
        <v>45566</v>
      </c>
      <c r="H943" s="543">
        <v>45567</v>
      </c>
      <c r="I943" s="543">
        <v>45567</v>
      </c>
      <c r="J943" s="543">
        <v>45567</v>
      </c>
      <c r="K943" s="517">
        <v>45588</v>
      </c>
      <c r="L943" s="518" t="s">
        <v>705</v>
      </c>
      <c r="M943" s="264" t="s">
        <v>2587</v>
      </c>
      <c r="N943" s="262" t="s">
        <v>2176</v>
      </c>
      <c r="O943" s="390" t="s">
        <v>2260</v>
      </c>
      <c r="P943" s="264" t="str">
        <f t="shared" si="38"/>
        <v>Tinta Printer Canon 740 Hitam-740 Hitam</v>
      </c>
      <c r="Q943" s="264" t="s">
        <v>710</v>
      </c>
      <c r="R943" s="519" t="s">
        <v>159</v>
      </c>
      <c r="S943" s="399">
        <v>8</v>
      </c>
      <c r="T943" s="348" t="s">
        <v>3367</v>
      </c>
      <c r="U943" s="520">
        <v>30000</v>
      </c>
      <c r="V943" s="266">
        <v>240000</v>
      </c>
      <c r="W943" s="521" t="s">
        <v>227</v>
      </c>
      <c r="X943" s="521" t="s">
        <v>3383</v>
      </c>
      <c r="Y943" s="522" t="s">
        <v>2512</v>
      </c>
      <c r="Z943" s="523" t="s">
        <v>541</v>
      </c>
    </row>
    <row r="944" spans="1:26" ht="29">
      <c r="A944" s="513">
        <v>942</v>
      </c>
      <c r="B944" s="390"/>
      <c r="C944" s="515" t="s">
        <v>3183</v>
      </c>
      <c r="D944" s="262" t="s">
        <v>1109</v>
      </c>
      <c r="E944" s="513">
        <v>943</v>
      </c>
      <c r="F944" s="544" t="s">
        <v>3183</v>
      </c>
      <c r="G944" s="543">
        <v>45566</v>
      </c>
      <c r="H944" s="543">
        <v>45567</v>
      </c>
      <c r="I944" s="543">
        <v>45567</v>
      </c>
      <c r="J944" s="543">
        <v>45567</v>
      </c>
      <c r="K944" s="517">
        <v>45588</v>
      </c>
      <c r="L944" s="518" t="s">
        <v>705</v>
      </c>
      <c r="M944" s="264" t="s">
        <v>2587</v>
      </c>
      <c r="N944" s="262" t="s">
        <v>2176</v>
      </c>
      <c r="O944" s="390" t="s">
        <v>238</v>
      </c>
      <c r="P944" s="264" t="str">
        <f t="shared" si="38"/>
        <v>Binder Klip  nomor 111</v>
      </c>
      <c r="Q944" s="264" t="s">
        <v>710</v>
      </c>
      <c r="R944" s="519" t="s">
        <v>109</v>
      </c>
      <c r="S944" s="399">
        <v>5</v>
      </c>
      <c r="T944" s="348" t="s">
        <v>3362</v>
      </c>
      <c r="U944" s="520">
        <v>11000</v>
      </c>
      <c r="V944" s="266">
        <v>55000</v>
      </c>
      <c r="W944" s="521" t="s">
        <v>227</v>
      </c>
      <c r="X944" s="521" t="s">
        <v>3383</v>
      </c>
      <c r="Y944" s="522" t="s">
        <v>2512</v>
      </c>
      <c r="Z944" s="523" t="s">
        <v>541</v>
      </c>
    </row>
    <row r="945" spans="1:26" ht="43.5">
      <c r="A945" s="513">
        <v>943</v>
      </c>
      <c r="B945" s="390"/>
      <c r="C945" s="515" t="s">
        <v>3183</v>
      </c>
      <c r="D945" s="262" t="s">
        <v>1109</v>
      </c>
      <c r="E945" s="513">
        <v>944</v>
      </c>
      <c r="F945" s="544" t="s">
        <v>3183</v>
      </c>
      <c r="G945" s="543">
        <v>45566</v>
      </c>
      <c r="H945" s="543">
        <v>45567</v>
      </c>
      <c r="I945" s="543">
        <v>45567</v>
      </c>
      <c r="J945" s="543">
        <v>45567</v>
      </c>
      <c r="K945" s="517">
        <v>45588</v>
      </c>
      <c r="L945" s="518" t="s">
        <v>705</v>
      </c>
      <c r="M945" s="264" t="s">
        <v>2587</v>
      </c>
      <c r="N945" s="262" t="s">
        <v>2176</v>
      </c>
      <c r="O945" s="390" t="s">
        <v>262</v>
      </c>
      <c r="P945" s="264" t="str">
        <f t="shared" si="38"/>
        <v>Spidol White board</v>
      </c>
      <c r="Q945" s="264" t="s">
        <v>710</v>
      </c>
      <c r="R945" s="519" t="s">
        <v>151</v>
      </c>
      <c r="S945" s="399">
        <v>2</v>
      </c>
      <c r="T945" s="348" t="s">
        <v>3364</v>
      </c>
      <c r="U945" s="520">
        <v>120000</v>
      </c>
      <c r="V945" s="266">
        <v>240000</v>
      </c>
      <c r="W945" s="521" t="s">
        <v>227</v>
      </c>
      <c r="X945" s="521" t="s">
        <v>3383</v>
      </c>
      <c r="Y945" s="522" t="s">
        <v>2512</v>
      </c>
      <c r="Z945" s="523" t="s">
        <v>541</v>
      </c>
    </row>
    <row r="946" spans="1:26" ht="37.5">
      <c r="A946" s="513">
        <v>944</v>
      </c>
      <c r="B946" s="390"/>
      <c r="C946" s="515" t="s">
        <v>3183</v>
      </c>
      <c r="D946" s="262" t="s">
        <v>1109</v>
      </c>
      <c r="E946" s="513">
        <v>945</v>
      </c>
      <c r="F946" s="544" t="s">
        <v>3183</v>
      </c>
      <c r="G946" s="543">
        <v>45566</v>
      </c>
      <c r="H946" s="543">
        <v>45567</v>
      </c>
      <c r="I946" s="543">
        <v>45567</v>
      </c>
      <c r="J946" s="543">
        <v>45567</v>
      </c>
      <c r="K946" s="517">
        <v>45588</v>
      </c>
      <c r="L946" s="518" t="s">
        <v>705</v>
      </c>
      <c r="M946" s="264" t="s">
        <v>2587</v>
      </c>
      <c r="N946" s="262" t="s">
        <v>2176</v>
      </c>
      <c r="O946" s="390" t="s">
        <v>252</v>
      </c>
      <c r="P946" s="524" t="s">
        <v>2571</v>
      </c>
      <c r="Q946" s="264" t="s">
        <v>710</v>
      </c>
      <c r="R946" s="519" t="s">
        <v>136</v>
      </c>
      <c r="S946" s="399">
        <v>5</v>
      </c>
      <c r="T946" s="348" t="s">
        <v>2436</v>
      </c>
      <c r="U946" s="520">
        <v>15000</v>
      </c>
      <c r="V946" s="266">
        <v>75000</v>
      </c>
      <c r="W946" s="521" t="s">
        <v>227</v>
      </c>
      <c r="X946" s="521" t="s">
        <v>3383</v>
      </c>
      <c r="Y946" s="522" t="s">
        <v>2512</v>
      </c>
      <c r="Z946" s="523" t="s">
        <v>541</v>
      </c>
    </row>
    <row r="947" spans="1:26" ht="29">
      <c r="A947" s="513">
        <v>945</v>
      </c>
      <c r="B947" s="390"/>
      <c r="C947" s="515" t="s">
        <v>3183</v>
      </c>
      <c r="D947" s="262" t="s">
        <v>1109</v>
      </c>
      <c r="E947" s="513">
        <v>946</v>
      </c>
      <c r="F947" s="544" t="s">
        <v>3183</v>
      </c>
      <c r="G947" s="543">
        <v>45566</v>
      </c>
      <c r="H947" s="543">
        <v>45567</v>
      </c>
      <c r="I947" s="543">
        <v>45567</v>
      </c>
      <c r="J947" s="543">
        <v>45567</v>
      </c>
      <c r="K947" s="517">
        <v>45588</v>
      </c>
      <c r="L947" s="518" t="s">
        <v>705</v>
      </c>
      <c r="M947" s="264" t="s">
        <v>2587</v>
      </c>
      <c r="N947" s="262" t="s">
        <v>2176</v>
      </c>
      <c r="O947" s="390" t="s">
        <v>263</v>
      </c>
      <c r="P947" s="264" t="str">
        <f t="shared" ref="P947:P960" si="39">O947</f>
        <v>Stofmap Kertas</v>
      </c>
      <c r="Q947" s="264" t="s">
        <v>710</v>
      </c>
      <c r="R947" s="519" t="s">
        <v>156</v>
      </c>
      <c r="S947" s="399">
        <v>1</v>
      </c>
      <c r="T947" s="348" t="s">
        <v>3370</v>
      </c>
      <c r="U947" s="520">
        <v>87500</v>
      </c>
      <c r="V947" s="266">
        <v>87500</v>
      </c>
      <c r="W947" s="521" t="s">
        <v>227</v>
      </c>
      <c r="X947" s="521" t="s">
        <v>3383</v>
      </c>
      <c r="Y947" s="522" t="s">
        <v>2512</v>
      </c>
      <c r="Z947" s="523" t="s">
        <v>541</v>
      </c>
    </row>
    <row r="948" spans="1:26" ht="29">
      <c r="A948" s="513">
        <v>946</v>
      </c>
      <c r="B948" s="390"/>
      <c r="C948" s="515" t="s">
        <v>3183</v>
      </c>
      <c r="D948" s="262" t="s">
        <v>1109</v>
      </c>
      <c r="E948" s="513">
        <v>947</v>
      </c>
      <c r="F948" s="544" t="s">
        <v>3183</v>
      </c>
      <c r="G948" s="543">
        <v>45566</v>
      </c>
      <c r="H948" s="543">
        <v>45567</v>
      </c>
      <c r="I948" s="543">
        <v>45567</v>
      </c>
      <c r="J948" s="543">
        <v>45567</v>
      </c>
      <c r="K948" s="517">
        <v>45588</v>
      </c>
      <c r="L948" s="518" t="s">
        <v>705</v>
      </c>
      <c r="M948" s="264" t="s">
        <v>2587</v>
      </c>
      <c r="N948" s="262" t="s">
        <v>2176</v>
      </c>
      <c r="O948" s="390" t="s">
        <v>246</v>
      </c>
      <c r="P948" s="264" t="str">
        <f t="shared" si="39"/>
        <v>C. Tinta Printer EPSON Tinta Printer Epson Yellow</v>
      </c>
      <c r="Q948" s="264" t="s">
        <v>710</v>
      </c>
      <c r="R948" s="519" t="s">
        <v>119</v>
      </c>
      <c r="S948" s="399">
        <v>4</v>
      </c>
      <c r="T948" s="348" t="s">
        <v>3367</v>
      </c>
      <c r="U948" s="520">
        <v>110000</v>
      </c>
      <c r="V948" s="266">
        <v>440000</v>
      </c>
      <c r="W948" s="521" t="s">
        <v>227</v>
      </c>
      <c r="X948" s="521" t="s">
        <v>3383</v>
      </c>
      <c r="Y948" s="522" t="s">
        <v>2512</v>
      </c>
      <c r="Z948" s="523" t="s">
        <v>541</v>
      </c>
    </row>
    <row r="949" spans="1:26" ht="29">
      <c r="A949" s="513">
        <v>947</v>
      </c>
      <c r="B949" s="390"/>
      <c r="C949" s="515" t="s">
        <v>3183</v>
      </c>
      <c r="D949" s="262" t="s">
        <v>1109</v>
      </c>
      <c r="E949" s="513">
        <v>948</v>
      </c>
      <c r="F949" s="544" t="s">
        <v>3183</v>
      </c>
      <c r="G949" s="543">
        <v>45566</v>
      </c>
      <c r="H949" s="543">
        <v>45567</v>
      </c>
      <c r="I949" s="543">
        <v>45567</v>
      </c>
      <c r="J949" s="543">
        <v>45567</v>
      </c>
      <c r="K949" s="517">
        <v>45588</v>
      </c>
      <c r="L949" s="518" t="s">
        <v>705</v>
      </c>
      <c r="M949" s="264" t="s">
        <v>2587</v>
      </c>
      <c r="N949" s="262" t="s">
        <v>2176</v>
      </c>
      <c r="O949" s="390" t="s">
        <v>2251</v>
      </c>
      <c r="P949" s="264" t="str">
        <f t="shared" si="39"/>
        <v>Isi Staples Sedang</v>
      </c>
      <c r="Q949" s="264" t="s">
        <v>710</v>
      </c>
      <c r="R949" s="519" t="s">
        <v>126</v>
      </c>
      <c r="S949" s="399">
        <v>2</v>
      </c>
      <c r="T949" s="348" t="s">
        <v>3362</v>
      </c>
      <c r="U949" s="520">
        <v>40000</v>
      </c>
      <c r="V949" s="266">
        <v>80000</v>
      </c>
      <c r="W949" s="521" t="s">
        <v>227</v>
      </c>
      <c r="X949" s="521" t="s">
        <v>3383</v>
      </c>
      <c r="Y949" s="522" t="s">
        <v>2512</v>
      </c>
      <c r="Z949" s="523" t="s">
        <v>541</v>
      </c>
    </row>
    <row r="950" spans="1:26" ht="29">
      <c r="A950" s="513">
        <v>948</v>
      </c>
      <c r="B950" s="390"/>
      <c r="C950" s="515" t="s">
        <v>3183</v>
      </c>
      <c r="D950" s="262" t="s">
        <v>1109</v>
      </c>
      <c r="E950" s="513">
        <v>949</v>
      </c>
      <c r="F950" s="544" t="s">
        <v>3183</v>
      </c>
      <c r="G950" s="543">
        <v>45566</v>
      </c>
      <c r="H950" s="543">
        <v>45567</v>
      </c>
      <c r="I950" s="543">
        <v>45567</v>
      </c>
      <c r="J950" s="543">
        <v>45567</v>
      </c>
      <c r="K950" s="517">
        <v>45588</v>
      </c>
      <c r="L950" s="518" t="s">
        <v>705</v>
      </c>
      <c r="M950" s="264" t="s">
        <v>2587</v>
      </c>
      <c r="N950" s="262" t="s">
        <v>2176</v>
      </c>
      <c r="O950" s="390" t="s">
        <v>2239</v>
      </c>
      <c r="P950" s="264" t="str">
        <f t="shared" si="39"/>
        <v>Tinta Printer Canon 741 Warna-741 Warna</v>
      </c>
      <c r="Q950" s="264" t="s">
        <v>710</v>
      </c>
      <c r="R950" s="519" t="s">
        <v>160</v>
      </c>
      <c r="S950" s="399">
        <v>12</v>
      </c>
      <c r="T950" s="348" t="s">
        <v>3367</v>
      </c>
      <c r="U950" s="520">
        <v>33000</v>
      </c>
      <c r="V950" s="266">
        <v>396000</v>
      </c>
      <c r="W950" s="521" t="s">
        <v>227</v>
      </c>
      <c r="X950" s="521" t="s">
        <v>3383</v>
      </c>
      <c r="Y950" s="522" t="s">
        <v>2512</v>
      </c>
      <c r="Z950" s="523" t="s">
        <v>541</v>
      </c>
    </row>
    <row r="951" spans="1:26" ht="29">
      <c r="A951" s="513">
        <v>949</v>
      </c>
      <c r="B951" s="390"/>
      <c r="C951" s="515" t="s">
        <v>3183</v>
      </c>
      <c r="D951" s="262" t="s">
        <v>1109</v>
      </c>
      <c r="E951" s="513">
        <v>950</v>
      </c>
      <c r="F951" s="544" t="s">
        <v>3183</v>
      </c>
      <c r="G951" s="543">
        <v>45566</v>
      </c>
      <c r="H951" s="543">
        <v>45567</v>
      </c>
      <c r="I951" s="543">
        <v>45567</v>
      </c>
      <c r="J951" s="543">
        <v>45567</v>
      </c>
      <c r="K951" s="517">
        <v>45588</v>
      </c>
      <c r="L951" s="518" t="s">
        <v>705</v>
      </c>
      <c r="M951" s="264" t="s">
        <v>2587</v>
      </c>
      <c r="N951" s="262" t="s">
        <v>2176</v>
      </c>
      <c r="O951" s="390" t="s">
        <v>248</v>
      </c>
      <c r="P951" s="264" t="str">
        <f t="shared" si="39"/>
        <v>Kertas Label</v>
      </c>
      <c r="Q951" s="264" t="s">
        <v>710</v>
      </c>
      <c r="R951" s="525" t="s">
        <v>2597</v>
      </c>
      <c r="S951" s="399">
        <v>5</v>
      </c>
      <c r="T951" s="348" t="s">
        <v>3368</v>
      </c>
      <c r="U951" s="520">
        <v>25000</v>
      </c>
      <c r="V951" s="266">
        <v>125000</v>
      </c>
      <c r="W951" s="521" t="s">
        <v>227</v>
      </c>
      <c r="X951" s="521" t="s">
        <v>3383</v>
      </c>
      <c r="Y951" s="522" t="s">
        <v>2512</v>
      </c>
      <c r="Z951" s="523" t="s">
        <v>541</v>
      </c>
    </row>
    <row r="952" spans="1:26" ht="43.5">
      <c r="A952" s="513">
        <v>950</v>
      </c>
      <c r="B952" s="390"/>
      <c r="C952" s="515" t="s">
        <v>3183</v>
      </c>
      <c r="D952" s="262" t="s">
        <v>1109</v>
      </c>
      <c r="E952" s="513">
        <v>951</v>
      </c>
      <c r="F952" s="544" t="s">
        <v>3183</v>
      </c>
      <c r="G952" s="543">
        <v>45566</v>
      </c>
      <c r="H952" s="543">
        <v>45567</v>
      </c>
      <c r="I952" s="543">
        <v>45567</v>
      </c>
      <c r="J952" s="543">
        <v>45567</v>
      </c>
      <c r="K952" s="517">
        <v>45588</v>
      </c>
      <c r="L952" s="518" t="s">
        <v>705</v>
      </c>
      <c r="M952" s="264" t="s">
        <v>2587</v>
      </c>
      <c r="N952" s="262" t="s">
        <v>2176</v>
      </c>
      <c r="O952" s="390" t="s">
        <v>261</v>
      </c>
      <c r="P952" s="264" t="str">
        <f t="shared" si="39"/>
        <v>Spidol Refil Spidol White Board Snowman</v>
      </c>
      <c r="Q952" s="264" t="s">
        <v>710</v>
      </c>
      <c r="R952" s="519" t="s">
        <v>150</v>
      </c>
      <c r="S952" s="399">
        <v>10</v>
      </c>
      <c r="T952" s="348" t="s">
        <v>3363</v>
      </c>
      <c r="U952" s="520">
        <v>20900</v>
      </c>
      <c r="V952" s="266">
        <v>209000</v>
      </c>
      <c r="W952" s="521" t="s">
        <v>227</v>
      </c>
      <c r="X952" s="521" t="s">
        <v>3383</v>
      </c>
      <c r="Y952" s="522" t="s">
        <v>2512</v>
      </c>
      <c r="Z952" s="523" t="s">
        <v>541</v>
      </c>
    </row>
    <row r="953" spans="1:26" ht="29">
      <c r="A953" s="513">
        <v>951</v>
      </c>
      <c r="B953" s="390"/>
      <c r="C953" s="515" t="s">
        <v>3183</v>
      </c>
      <c r="D953" s="262" t="s">
        <v>1109</v>
      </c>
      <c r="E953" s="513">
        <v>952</v>
      </c>
      <c r="F953" s="544" t="s">
        <v>3183</v>
      </c>
      <c r="G953" s="543">
        <v>45566</v>
      </c>
      <c r="H953" s="543">
        <v>45567</v>
      </c>
      <c r="I953" s="543">
        <v>45567</v>
      </c>
      <c r="J953" s="543">
        <v>45567</v>
      </c>
      <c r="K953" s="517">
        <v>45588</v>
      </c>
      <c r="L953" s="518" t="s">
        <v>705</v>
      </c>
      <c r="M953" s="264" t="s">
        <v>2587</v>
      </c>
      <c r="N953" s="262" t="s">
        <v>2176</v>
      </c>
      <c r="O953" s="390" t="s">
        <v>245</v>
      </c>
      <c r="P953" s="264" t="str">
        <f t="shared" si="39"/>
        <v>C. Tinta Printer EPSON Tinta Printer Epson Read</v>
      </c>
      <c r="Q953" s="264" t="s">
        <v>710</v>
      </c>
      <c r="R953" s="528" t="s">
        <v>118</v>
      </c>
      <c r="S953" s="399">
        <v>4</v>
      </c>
      <c r="T953" s="348" t="s">
        <v>3367</v>
      </c>
      <c r="U953" s="520">
        <v>110000</v>
      </c>
      <c r="V953" s="266">
        <v>440000</v>
      </c>
      <c r="W953" s="521" t="s">
        <v>227</v>
      </c>
      <c r="X953" s="521" t="s">
        <v>3383</v>
      </c>
      <c r="Y953" s="522" t="s">
        <v>2512</v>
      </c>
      <c r="Z953" s="523" t="s">
        <v>541</v>
      </c>
    </row>
    <row r="954" spans="1:26" ht="29">
      <c r="A954" s="513">
        <v>952</v>
      </c>
      <c r="B954" s="390"/>
      <c r="C954" s="515" t="s">
        <v>3183</v>
      </c>
      <c r="D954" s="262" t="s">
        <v>1109</v>
      </c>
      <c r="E954" s="513">
        <v>953</v>
      </c>
      <c r="F954" s="544" t="s">
        <v>3183</v>
      </c>
      <c r="G954" s="543">
        <v>45566</v>
      </c>
      <c r="H954" s="543">
        <v>45567</v>
      </c>
      <c r="I954" s="543">
        <v>45567</v>
      </c>
      <c r="J954" s="543">
        <v>45567</v>
      </c>
      <c r="K954" s="517">
        <v>45588</v>
      </c>
      <c r="L954" s="518" t="s">
        <v>705</v>
      </c>
      <c r="M954" s="264" t="s">
        <v>2587</v>
      </c>
      <c r="N954" s="262" t="s">
        <v>2176</v>
      </c>
      <c r="O954" s="390" t="s">
        <v>2261</v>
      </c>
      <c r="P954" s="264" t="str">
        <f t="shared" si="39"/>
        <v>Kertas HVS 60 gram Merk : Paper One HVS F4 uk. 8.27"x11.69"</v>
      </c>
      <c r="Q954" s="264" t="s">
        <v>710</v>
      </c>
      <c r="R954" s="519" t="s">
        <v>127</v>
      </c>
      <c r="S954" s="399">
        <v>10</v>
      </c>
      <c r="T954" s="348" t="s">
        <v>3369</v>
      </c>
      <c r="U954" s="520">
        <v>48500</v>
      </c>
      <c r="V954" s="266">
        <v>485000</v>
      </c>
      <c r="W954" s="521" t="s">
        <v>227</v>
      </c>
      <c r="X954" s="521" t="s">
        <v>3383</v>
      </c>
      <c r="Y954" s="522" t="s">
        <v>2512</v>
      </c>
      <c r="Z954" s="523" t="s">
        <v>541</v>
      </c>
    </row>
    <row r="955" spans="1:26" ht="29">
      <c r="A955" s="513">
        <v>953</v>
      </c>
      <c r="B955" s="390"/>
      <c r="C955" s="515" t="s">
        <v>3183</v>
      </c>
      <c r="D955" s="262" t="s">
        <v>1109</v>
      </c>
      <c r="E955" s="513">
        <v>954</v>
      </c>
      <c r="F955" s="544" t="s">
        <v>3183</v>
      </c>
      <c r="G955" s="543">
        <v>45566</v>
      </c>
      <c r="H955" s="543">
        <v>45567</v>
      </c>
      <c r="I955" s="543">
        <v>45567</v>
      </c>
      <c r="J955" s="543">
        <v>45567</v>
      </c>
      <c r="K955" s="517">
        <v>45588</v>
      </c>
      <c r="L955" s="518" t="s">
        <v>705</v>
      </c>
      <c r="M955" s="264" t="s">
        <v>2587</v>
      </c>
      <c r="N955" s="262" t="s">
        <v>2176</v>
      </c>
      <c r="O955" s="390" t="s">
        <v>260</v>
      </c>
      <c r="P955" s="264" t="str">
        <f t="shared" si="39"/>
        <v>Sampul Plastik</v>
      </c>
      <c r="Q955" s="264" t="s">
        <v>710</v>
      </c>
      <c r="R955" s="519" t="s">
        <v>149</v>
      </c>
      <c r="S955" s="399">
        <v>5</v>
      </c>
      <c r="T955" s="348" t="s">
        <v>3365</v>
      </c>
      <c r="U955" s="520">
        <v>65000</v>
      </c>
      <c r="V955" s="266">
        <v>325000</v>
      </c>
      <c r="W955" s="521" t="s">
        <v>227</v>
      </c>
      <c r="X955" s="521" t="s">
        <v>3383</v>
      </c>
      <c r="Y955" s="522" t="s">
        <v>2512</v>
      </c>
      <c r="Z955" s="523" t="s">
        <v>541</v>
      </c>
    </row>
    <row r="956" spans="1:26" ht="29">
      <c r="A956" s="513">
        <v>954</v>
      </c>
      <c r="B956" s="390"/>
      <c r="C956" s="515" t="s">
        <v>3183</v>
      </c>
      <c r="D956" s="262" t="s">
        <v>1109</v>
      </c>
      <c r="E956" s="513">
        <v>955</v>
      </c>
      <c r="F956" s="544" t="s">
        <v>3183</v>
      </c>
      <c r="G956" s="543">
        <v>45566</v>
      </c>
      <c r="H956" s="543">
        <v>45567</v>
      </c>
      <c r="I956" s="543">
        <v>45567</v>
      </c>
      <c r="J956" s="543">
        <v>45567</v>
      </c>
      <c r="K956" s="517">
        <v>45588</v>
      </c>
      <c r="L956" s="518" t="s">
        <v>705</v>
      </c>
      <c r="M956" s="264" t="s">
        <v>2587</v>
      </c>
      <c r="N956" s="262" t="s">
        <v>2176</v>
      </c>
      <c r="O956" s="390" t="s">
        <v>2247</v>
      </c>
      <c r="P956" s="264" t="str">
        <f t="shared" si="39"/>
        <v>Amplop Panjang Putih Polos Merk : Jaya Ukuran : 11 x 23 cm</v>
      </c>
      <c r="Q956" s="264" t="s">
        <v>710</v>
      </c>
      <c r="R956" s="519" t="s">
        <v>99</v>
      </c>
      <c r="S956" s="399">
        <v>1</v>
      </c>
      <c r="T956" s="348" t="s">
        <v>3362</v>
      </c>
      <c r="U956" s="520">
        <v>48000</v>
      </c>
      <c r="V956" s="266">
        <v>48000</v>
      </c>
      <c r="W956" s="521" t="s">
        <v>227</v>
      </c>
      <c r="X956" s="521" t="s">
        <v>3383</v>
      </c>
      <c r="Y956" s="522" t="s">
        <v>2512</v>
      </c>
      <c r="Z956" s="523" t="s">
        <v>541</v>
      </c>
    </row>
    <row r="957" spans="1:26" ht="29">
      <c r="A957" s="513">
        <v>955</v>
      </c>
      <c r="B957" s="390"/>
      <c r="C957" s="515" t="s">
        <v>3183</v>
      </c>
      <c r="D957" s="262" t="s">
        <v>1109</v>
      </c>
      <c r="E957" s="513">
        <v>956</v>
      </c>
      <c r="F957" s="544" t="s">
        <v>3183</v>
      </c>
      <c r="G957" s="543">
        <v>45566</v>
      </c>
      <c r="H957" s="543">
        <v>45567</v>
      </c>
      <c r="I957" s="543">
        <v>45567</v>
      </c>
      <c r="J957" s="543">
        <v>45567</v>
      </c>
      <c r="K957" s="517">
        <v>45588</v>
      </c>
      <c r="L957" s="518" t="s">
        <v>705</v>
      </c>
      <c r="M957" s="264" t="s">
        <v>2587</v>
      </c>
      <c r="N957" s="262" t="s">
        <v>2176</v>
      </c>
      <c r="O957" s="390" t="s">
        <v>259</v>
      </c>
      <c r="P957" s="264" t="str">
        <f t="shared" si="39"/>
        <v>Plastik Mika</v>
      </c>
      <c r="Q957" s="264" t="s">
        <v>710</v>
      </c>
      <c r="R957" s="519" t="s">
        <v>148</v>
      </c>
      <c r="S957" s="399">
        <v>5</v>
      </c>
      <c r="T957" s="348" t="s">
        <v>3365</v>
      </c>
      <c r="U957" s="520">
        <v>60000</v>
      </c>
      <c r="V957" s="266">
        <v>300000</v>
      </c>
      <c r="W957" s="521" t="s">
        <v>227</v>
      </c>
      <c r="X957" s="521" t="s">
        <v>3383</v>
      </c>
      <c r="Y957" s="522" t="s">
        <v>2512</v>
      </c>
      <c r="Z957" s="523" t="s">
        <v>541</v>
      </c>
    </row>
    <row r="958" spans="1:26" ht="29">
      <c r="A958" s="513">
        <v>956</v>
      </c>
      <c r="B958" s="390"/>
      <c r="C958" s="515" t="s">
        <v>3183</v>
      </c>
      <c r="D958" s="262" t="s">
        <v>1109</v>
      </c>
      <c r="E958" s="513">
        <v>957</v>
      </c>
      <c r="F958" s="544" t="s">
        <v>3183</v>
      </c>
      <c r="G958" s="543">
        <v>45566</v>
      </c>
      <c r="H958" s="543">
        <v>45567</v>
      </c>
      <c r="I958" s="543">
        <v>45567</v>
      </c>
      <c r="J958" s="543">
        <v>45567</v>
      </c>
      <c r="K958" s="517">
        <v>45588</v>
      </c>
      <c r="L958" s="518" t="s">
        <v>705</v>
      </c>
      <c r="M958" s="264" t="s">
        <v>2587</v>
      </c>
      <c r="N958" s="262" t="s">
        <v>2176</v>
      </c>
      <c r="O958" s="390" t="s">
        <v>2241</v>
      </c>
      <c r="P958" s="264" t="str">
        <f t="shared" si="39"/>
        <v>Stapler Stapler No, 50 MAX</v>
      </c>
      <c r="Q958" s="264" t="s">
        <v>710</v>
      </c>
      <c r="R958" s="519" t="s">
        <v>153</v>
      </c>
      <c r="S958" s="399">
        <v>2</v>
      </c>
      <c r="T958" s="348" t="s">
        <v>3363</v>
      </c>
      <c r="U958" s="520">
        <v>25000</v>
      </c>
      <c r="V958" s="266">
        <v>50000</v>
      </c>
      <c r="W958" s="521" t="s">
        <v>227</v>
      </c>
      <c r="X958" s="521" t="s">
        <v>3383</v>
      </c>
      <c r="Y958" s="522" t="s">
        <v>2512</v>
      </c>
      <c r="Z958" s="523" t="s">
        <v>541</v>
      </c>
    </row>
    <row r="959" spans="1:26" ht="29">
      <c r="A959" s="513">
        <v>957</v>
      </c>
      <c r="B959" s="390"/>
      <c r="C959" s="515" t="s">
        <v>3183</v>
      </c>
      <c r="D959" s="262" t="s">
        <v>1109</v>
      </c>
      <c r="E959" s="513">
        <v>958</v>
      </c>
      <c r="F959" s="544" t="s">
        <v>3183</v>
      </c>
      <c r="G959" s="543">
        <v>45566</v>
      </c>
      <c r="H959" s="543">
        <v>45567</v>
      </c>
      <c r="I959" s="543">
        <v>45567</v>
      </c>
      <c r="J959" s="543">
        <v>45567</v>
      </c>
      <c r="K959" s="517">
        <v>45588</v>
      </c>
      <c r="L959" s="518" t="s">
        <v>705</v>
      </c>
      <c r="M959" s="264" t="s">
        <v>2587</v>
      </c>
      <c r="N959" s="262" t="s">
        <v>2176</v>
      </c>
      <c r="O959" s="390" t="s">
        <v>264</v>
      </c>
      <c r="P959" s="264" t="str">
        <f t="shared" si="39"/>
        <v>Stofmap Transparan</v>
      </c>
      <c r="Q959" s="264" t="s">
        <v>710</v>
      </c>
      <c r="R959" s="519" t="s">
        <v>157</v>
      </c>
      <c r="S959" s="399">
        <v>100</v>
      </c>
      <c r="T959" s="348" t="s">
        <v>3363</v>
      </c>
      <c r="U959" s="520">
        <v>5500</v>
      </c>
      <c r="V959" s="266">
        <v>550000</v>
      </c>
      <c r="W959" s="521" t="s">
        <v>227</v>
      </c>
      <c r="X959" s="521" t="s">
        <v>3383</v>
      </c>
      <c r="Y959" s="522" t="s">
        <v>2512</v>
      </c>
      <c r="Z959" s="523" t="s">
        <v>541</v>
      </c>
    </row>
    <row r="960" spans="1:26" ht="29">
      <c r="A960" s="513">
        <v>958</v>
      </c>
      <c r="B960" s="390"/>
      <c r="C960" s="515" t="s">
        <v>3183</v>
      </c>
      <c r="D960" s="262" t="s">
        <v>1109</v>
      </c>
      <c r="E960" s="513">
        <v>959</v>
      </c>
      <c r="F960" s="544" t="s">
        <v>3183</v>
      </c>
      <c r="G960" s="543">
        <v>45566</v>
      </c>
      <c r="H960" s="543">
        <v>45567</v>
      </c>
      <c r="I960" s="543">
        <v>45567</v>
      </c>
      <c r="J960" s="543">
        <v>45567</v>
      </c>
      <c r="K960" s="517">
        <v>45588</v>
      </c>
      <c r="L960" s="518" t="s">
        <v>705</v>
      </c>
      <c r="M960" s="264" t="s">
        <v>2587</v>
      </c>
      <c r="N960" s="262" t="s">
        <v>2176</v>
      </c>
      <c r="O960" s="390" t="s">
        <v>234</v>
      </c>
      <c r="P960" s="264" t="str">
        <f t="shared" si="39"/>
        <v>Ballpoint Pilot G2</v>
      </c>
      <c r="Q960" s="264" t="s">
        <v>710</v>
      </c>
      <c r="R960" s="519" t="s">
        <v>102</v>
      </c>
      <c r="S960" s="399">
        <v>1</v>
      </c>
      <c r="T960" s="348" t="s">
        <v>3364</v>
      </c>
      <c r="U960" s="520">
        <v>235000</v>
      </c>
      <c r="V960" s="266">
        <v>235000</v>
      </c>
      <c r="W960" s="521" t="s">
        <v>227</v>
      </c>
      <c r="X960" s="521" t="s">
        <v>3383</v>
      </c>
      <c r="Y960" s="522" t="s">
        <v>2512</v>
      </c>
      <c r="Z960" s="523" t="s">
        <v>541</v>
      </c>
    </row>
    <row r="961" spans="1:26" ht="37.5">
      <c r="A961" s="513">
        <v>959</v>
      </c>
      <c r="B961" s="390"/>
      <c r="C961" s="515" t="s">
        <v>3183</v>
      </c>
      <c r="D961" s="262" t="s">
        <v>1109</v>
      </c>
      <c r="E961" s="513">
        <v>960</v>
      </c>
      <c r="F961" s="544" t="s">
        <v>3183</v>
      </c>
      <c r="G961" s="543">
        <v>45566</v>
      </c>
      <c r="H961" s="543">
        <v>45567</v>
      </c>
      <c r="I961" s="543">
        <v>45567</v>
      </c>
      <c r="J961" s="543">
        <v>45567</v>
      </c>
      <c r="K961" s="517">
        <v>45588</v>
      </c>
      <c r="L961" s="518" t="s">
        <v>705</v>
      </c>
      <c r="M961" s="264" t="s">
        <v>2587</v>
      </c>
      <c r="N961" s="262" t="s">
        <v>2176</v>
      </c>
      <c r="O961" s="390" t="s">
        <v>252</v>
      </c>
      <c r="P961" s="524" t="s">
        <v>2605</v>
      </c>
      <c r="Q961" s="264" t="s">
        <v>710</v>
      </c>
      <c r="R961" s="519" t="s">
        <v>134</v>
      </c>
      <c r="S961" s="399">
        <v>5</v>
      </c>
      <c r="T961" s="348" t="s">
        <v>2436</v>
      </c>
      <c r="U961" s="520">
        <v>10000</v>
      </c>
      <c r="V961" s="266">
        <v>50000</v>
      </c>
      <c r="W961" s="521" t="s">
        <v>227</v>
      </c>
      <c r="X961" s="521" t="s">
        <v>3383</v>
      </c>
      <c r="Y961" s="522" t="s">
        <v>2512</v>
      </c>
      <c r="Z961" s="523" t="s">
        <v>541</v>
      </c>
    </row>
    <row r="962" spans="1:26" ht="29">
      <c r="A962" s="513">
        <v>960</v>
      </c>
      <c r="B962" s="390"/>
      <c r="C962" s="515" t="s">
        <v>3183</v>
      </c>
      <c r="D962" s="262" t="s">
        <v>1109</v>
      </c>
      <c r="E962" s="513">
        <v>961</v>
      </c>
      <c r="F962" s="544" t="s">
        <v>3183</v>
      </c>
      <c r="G962" s="543">
        <v>45566</v>
      </c>
      <c r="H962" s="543">
        <v>45567</v>
      </c>
      <c r="I962" s="543">
        <v>45567</v>
      </c>
      <c r="J962" s="543">
        <v>45567</v>
      </c>
      <c r="K962" s="517">
        <v>45588</v>
      </c>
      <c r="L962" s="518" t="s">
        <v>705</v>
      </c>
      <c r="M962" s="264" t="s">
        <v>2587</v>
      </c>
      <c r="N962" s="262" t="s">
        <v>2176</v>
      </c>
      <c r="O962" s="390" t="s">
        <v>256</v>
      </c>
      <c r="P962" s="264" t="str">
        <f t="shared" ref="P962:P992" si="40">O962</f>
        <v>Paper Clip No 1  Paper Clip No 3</v>
      </c>
      <c r="Q962" s="264" t="s">
        <v>710</v>
      </c>
      <c r="R962" s="519" t="s">
        <v>145</v>
      </c>
      <c r="S962" s="399">
        <v>5</v>
      </c>
      <c r="T962" s="348" t="s">
        <v>3362</v>
      </c>
      <c r="U962" s="520">
        <v>6000</v>
      </c>
      <c r="V962" s="266">
        <v>30000</v>
      </c>
      <c r="W962" s="521" t="s">
        <v>227</v>
      </c>
      <c r="X962" s="521" t="s">
        <v>3383</v>
      </c>
      <c r="Y962" s="522" t="s">
        <v>2512</v>
      </c>
      <c r="Z962" s="523" t="s">
        <v>541</v>
      </c>
    </row>
    <row r="963" spans="1:26" ht="29">
      <c r="A963" s="513">
        <v>961</v>
      </c>
      <c r="B963" s="390"/>
      <c r="C963" s="515" t="s">
        <v>3183</v>
      </c>
      <c r="D963" s="262" t="s">
        <v>1109</v>
      </c>
      <c r="E963" s="513">
        <v>962</v>
      </c>
      <c r="F963" s="544" t="s">
        <v>3183</v>
      </c>
      <c r="G963" s="543">
        <v>45566</v>
      </c>
      <c r="H963" s="543">
        <v>45567</v>
      </c>
      <c r="I963" s="543">
        <v>45567</v>
      </c>
      <c r="J963" s="543">
        <v>45567</v>
      </c>
      <c r="K963" s="517">
        <v>45588</v>
      </c>
      <c r="L963" s="518" t="s">
        <v>705</v>
      </c>
      <c r="M963" s="264" t="s">
        <v>2587</v>
      </c>
      <c r="N963" s="262" t="s">
        <v>2176</v>
      </c>
      <c r="O963" s="390" t="s">
        <v>2243</v>
      </c>
      <c r="P963" s="264" t="str">
        <f t="shared" si="40"/>
        <v>Lakban Hitam uk 2 " Warna hitam uk. 2 "</v>
      </c>
      <c r="Q963" s="264" t="s">
        <v>710</v>
      </c>
      <c r="R963" s="519" t="s">
        <v>140</v>
      </c>
      <c r="S963" s="399">
        <v>5</v>
      </c>
      <c r="T963" s="348" t="s">
        <v>3363</v>
      </c>
      <c r="U963" s="520">
        <v>25000</v>
      </c>
      <c r="V963" s="266">
        <v>125000</v>
      </c>
      <c r="W963" s="521" t="s">
        <v>227</v>
      </c>
      <c r="X963" s="521" t="s">
        <v>3383</v>
      </c>
      <c r="Y963" s="522" t="s">
        <v>2512</v>
      </c>
      <c r="Z963" s="523" t="s">
        <v>541</v>
      </c>
    </row>
    <row r="964" spans="1:26" ht="29">
      <c r="A964" s="513">
        <v>962</v>
      </c>
      <c r="B964" s="390"/>
      <c r="C964" s="515" t="s">
        <v>3183</v>
      </c>
      <c r="D964" s="262" t="s">
        <v>1109</v>
      </c>
      <c r="E964" s="513">
        <v>963</v>
      </c>
      <c r="F964" s="544" t="s">
        <v>3183</v>
      </c>
      <c r="G964" s="543">
        <v>45566</v>
      </c>
      <c r="H964" s="543">
        <v>45567</v>
      </c>
      <c r="I964" s="543">
        <v>45567</v>
      </c>
      <c r="J964" s="543">
        <v>45567</v>
      </c>
      <c r="K964" s="517">
        <v>45588</v>
      </c>
      <c r="L964" s="518" t="s">
        <v>705</v>
      </c>
      <c r="M964" s="264" t="s">
        <v>2587</v>
      </c>
      <c r="N964" s="262" t="s">
        <v>2176</v>
      </c>
      <c r="O964" s="390" t="s">
        <v>242</v>
      </c>
      <c r="P964" s="264" t="str">
        <f t="shared" si="40"/>
        <v>Binder Klip Ordner</v>
      </c>
      <c r="Q964" s="264" t="s">
        <v>710</v>
      </c>
      <c r="R964" s="519" t="s">
        <v>113</v>
      </c>
      <c r="S964" s="399">
        <v>6</v>
      </c>
      <c r="T964" s="348" t="s">
        <v>3363</v>
      </c>
      <c r="U964" s="520">
        <v>49500</v>
      </c>
      <c r="V964" s="266">
        <v>297000</v>
      </c>
      <c r="W964" s="521" t="s">
        <v>227</v>
      </c>
      <c r="X964" s="521" t="s">
        <v>3383</v>
      </c>
      <c r="Y964" s="522" t="s">
        <v>2512</v>
      </c>
      <c r="Z964" s="523" t="s">
        <v>541</v>
      </c>
    </row>
    <row r="965" spans="1:26" ht="29">
      <c r="A965" s="513">
        <v>963</v>
      </c>
      <c r="B965" s="390"/>
      <c r="C965" s="515" t="s">
        <v>3183</v>
      </c>
      <c r="D965" s="262" t="s">
        <v>1109</v>
      </c>
      <c r="E965" s="513">
        <v>964</v>
      </c>
      <c r="F965" s="544" t="s">
        <v>3183</v>
      </c>
      <c r="G965" s="543">
        <v>45566</v>
      </c>
      <c r="H965" s="543">
        <v>45567</v>
      </c>
      <c r="I965" s="543">
        <v>45567</v>
      </c>
      <c r="J965" s="543">
        <v>45567</v>
      </c>
      <c r="K965" s="517">
        <v>45588</v>
      </c>
      <c r="L965" s="518" t="s">
        <v>705</v>
      </c>
      <c r="M965" s="264" t="s">
        <v>2587</v>
      </c>
      <c r="N965" s="262" t="s">
        <v>2176</v>
      </c>
      <c r="O965" s="390" t="s">
        <v>2262</v>
      </c>
      <c r="P965" s="264" t="str">
        <f t="shared" si="40"/>
        <v>Isi Staples besar</v>
      </c>
      <c r="Q965" s="264" t="s">
        <v>710</v>
      </c>
      <c r="R965" s="519" t="s">
        <v>125</v>
      </c>
      <c r="S965" s="399">
        <v>2</v>
      </c>
      <c r="T965" s="348" t="s">
        <v>3362</v>
      </c>
      <c r="U965" s="520">
        <v>80000</v>
      </c>
      <c r="V965" s="266">
        <v>160000</v>
      </c>
      <c r="W965" s="521" t="s">
        <v>227</v>
      </c>
      <c r="X965" s="521" t="s">
        <v>3383</v>
      </c>
      <c r="Y965" s="522" t="s">
        <v>2512</v>
      </c>
      <c r="Z965" s="523" t="s">
        <v>541</v>
      </c>
    </row>
    <row r="966" spans="1:26" ht="29">
      <c r="A966" s="513">
        <v>964</v>
      </c>
      <c r="B966" s="390"/>
      <c r="C966" s="515" t="s">
        <v>3183</v>
      </c>
      <c r="D966" s="262" t="s">
        <v>1109</v>
      </c>
      <c r="E966" s="513">
        <v>965</v>
      </c>
      <c r="F966" s="544" t="s">
        <v>3183</v>
      </c>
      <c r="G966" s="543">
        <v>45566</v>
      </c>
      <c r="H966" s="543">
        <v>45567</v>
      </c>
      <c r="I966" s="543">
        <v>45567</v>
      </c>
      <c r="J966" s="543">
        <v>45567</v>
      </c>
      <c r="K966" s="517">
        <v>45588</v>
      </c>
      <c r="L966" s="518" t="s">
        <v>705</v>
      </c>
      <c r="M966" s="264" t="s">
        <v>2587</v>
      </c>
      <c r="N966" s="262" t="s">
        <v>2176</v>
      </c>
      <c r="O966" s="390" t="s">
        <v>240</v>
      </c>
      <c r="P966" s="264" t="str">
        <f t="shared" si="40"/>
        <v>Binder Klip  nomor 260</v>
      </c>
      <c r="Q966" s="264" t="s">
        <v>710</v>
      </c>
      <c r="R966" s="525" t="s">
        <v>2602</v>
      </c>
      <c r="S966" s="399">
        <v>10</v>
      </c>
      <c r="T966" s="348" t="s">
        <v>3362</v>
      </c>
      <c r="U966" s="520">
        <v>20000</v>
      </c>
      <c r="V966" s="266">
        <v>200000</v>
      </c>
      <c r="W966" s="521" t="s">
        <v>227</v>
      </c>
      <c r="X966" s="521" t="s">
        <v>3383</v>
      </c>
      <c r="Y966" s="522" t="s">
        <v>2512</v>
      </c>
      <c r="Z966" s="523" t="s">
        <v>541</v>
      </c>
    </row>
    <row r="967" spans="1:26" ht="29">
      <c r="A967" s="513">
        <v>965</v>
      </c>
      <c r="B967" s="390"/>
      <c r="C967" s="515" t="s">
        <v>3183</v>
      </c>
      <c r="D967" s="262" t="s">
        <v>1109</v>
      </c>
      <c r="E967" s="513">
        <v>966</v>
      </c>
      <c r="F967" s="544" t="s">
        <v>3183</v>
      </c>
      <c r="G967" s="543">
        <v>45566</v>
      </c>
      <c r="H967" s="543">
        <v>45567</v>
      </c>
      <c r="I967" s="543">
        <v>45567</v>
      </c>
      <c r="J967" s="543">
        <v>45567</v>
      </c>
      <c r="K967" s="517">
        <v>45588</v>
      </c>
      <c r="L967" s="518" t="s">
        <v>705</v>
      </c>
      <c r="M967" s="264" t="s">
        <v>2587</v>
      </c>
      <c r="N967" s="262" t="s">
        <v>2176</v>
      </c>
      <c r="O967" s="390" t="s">
        <v>241</v>
      </c>
      <c r="P967" s="264" t="str">
        <f t="shared" si="40"/>
        <v>Binder Klip Merk : KENKO nomor 105</v>
      </c>
      <c r="Q967" s="264" t="s">
        <v>710</v>
      </c>
      <c r="R967" s="525" t="s">
        <v>2728</v>
      </c>
      <c r="S967" s="399">
        <v>2</v>
      </c>
      <c r="T967" s="348" t="s">
        <v>3362</v>
      </c>
      <c r="U967" s="520">
        <v>5000</v>
      </c>
      <c r="V967" s="266">
        <v>10000</v>
      </c>
      <c r="W967" s="521" t="s">
        <v>227</v>
      </c>
      <c r="X967" s="521" t="s">
        <v>3383</v>
      </c>
      <c r="Y967" s="522" t="s">
        <v>2512</v>
      </c>
      <c r="Z967" s="523" t="s">
        <v>541</v>
      </c>
    </row>
    <row r="968" spans="1:26" ht="29">
      <c r="A968" s="513">
        <v>966</v>
      </c>
      <c r="B968" s="390"/>
      <c r="C968" s="515" t="s">
        <v>3183</v>
      </c>
      <c r="D968" s="262" t="s">
        <v>1109</v>
      </c>
      <c r="E968" s="513">
        <v>967</v>
      </c>
      <c r="F968" s="544" t="s">
        <v>3183</v>
      </c>
      <c r="G968" s="543">
        <v>45566</v>
      </c>
      <c r="H968" s="543">
        <v>45567</v>
      </c>
      <c r="I968" s="543">
        <v>45567</v>
      </c>
      <c r="J968" s="543">
        <v>45567</v>
      </c>
      <c r="K968" s="517">
        <v>45588</v>
      </c>
      <c r="L968" s="518" t="s">
        <v>705</v>
      </c>
      <c r="M968" s="264" t="s">
        <v>2587</v>
      </c>
      <c r="N968" s="262" t="s">
        <v>2176</v>
      </c>
      <c r="O968" s="390" t="s">
        <v>2255</v>
      </c>
      <c r="P968" s="264" t="str">
        <f t="shared" si="40"/>
        <v>gunting kertas-ukuran : panjang 21cm x lebar 8cm, stainless steel</v>
      </c>
      <c r="Q968" s="264" t="s">
        <v>710</v>
      </c>
      <c r="R968" s="519" t="s">
        <v>123</v>
      </c>
      <c r="S968" s="399">
        <v>2</v>
      </c>
      <c r="T968" s="348" t="s">
        <v>3363</v>
      </c>
      <c r="U968" s="520">
        <v>20000</v>
      </c>
      <c r="V968" s="266">
        <v>40000</v>
      </c>
      <c r="W968" s="521" t="s">
        <v>227</v>
      </c>
      <c r="X968" s="521" t="s">
        <v>3383</v>
      </c>
      <c r="Y968" s="522" t="s">
        <v>2512</v>
      </c>
      <c r="Z968" s="523" t="s">
        <v>541</v>
      </c>
    </row>
    <row r="969" spans="1:26" ht="29">
      <c r="A969" s="513">
        <v>967</v>
      </c>
      <c r="B969" s="390"/>
      <c r="C969" s="515" t="s">
        <v>3183</v>
      </c>
      <c r="D969" s="262" t="s">
        <v>1109</v>
      </c>
      <c r="E969" s="513">
        <v>968</v>
      </c>
      <c r="F969" s="544" t="s">
        <v>3183</v>
      </c>
      <c r="G969" s="543">
        <v>45566</v>
      </c>
      <c r="H969" s="543">
        <v>45567</v>
      </c>
      <c r="I969" s="543">
        <v>45567</v>
      </c>
      <c r="J969" s="543">
        <v>45567</v>
      </c>
      <c r="K969" s="517">
        <v>45588</v>
      </c>
      <c r="L969" s="518" t="s">
        <v>705</v>
      </c>
      <c r="M969" s="264" t="s">
        <v>2587</v>
      </c>
      <c r="N969" s="262" t="s">
        <v>2176</v>
      </c>
      <c r="O969" s="390" t="s">
        <v>237</v>
      </c>
      <c r="P969" s="264" t="str">
        <f t="shared" si="40"/>
        <v>Binder Klip  nomor 107</v>
      </c>
      <c r="Q969" s="264" t="s">
        <v>710</v>
      </c>
      <c r="R969" s="525" t="s">
        <v>2595</v>
      </c>
      <c r="S969" s="399">
        <v>5</v>
      </c>
      <c r="T969" s="348" t="s">
        <v>3362</v>
      </c>
      <c r="U969" s="520">
        <v>7500</v>
      </c>
      <c r="V969" s="266">
        <v>37500</v>
      </c>
      <c r="W969" s="521" t="s">
        <v>227</v>
      </c>
      <c r="X969" s="521" t="s">
        <v>3383</v>
      </c>
      <c r="Y969" s="522" t="s">
        <v>2512</v>
      </c>
      <c r="Z969" s="523" t="s">
        <v>541</v>
      </c>
    </row>
    <row r="970" spans="1:26" ht="29">
      <c r="A970" s="513">
        <v>968</v>
      </c>
      <c r="B970" s="390"/>
      <c r="C970" s="515" t="s">
        <v>3183</v>
      </c>
      <c r="D970" s="262" t="s">
        <v>1109</v>
      </c>
      <c r="E970" s="513">
        <v>969</v>
      </c>
      <c r="F970" s="544" t="s">
        <v>3183</v>
      </c>
      <c r="G970" s="543">
        <v>45566</v>
      </c>
      <c r="H970" s="543">
        <v>45567</v>
      </c>
      <c r="I970" s="543">
        <v>45567</v>
      </c>
      <c r="J970" s="543">
        <v>45567</v>
      </c>
      <c r="K970" s="517">
        <v>45588</v>
      </c>
      <c r="L970" s="518" t="s">
        <v>705</v>
      </c>
      <c r="M970" s="264" t="s">
        <v>2587</v>
      </c>
      <c r="N970" s="262" t="s">
        <v>2176</v>
      </c>
      <c r="O970" s="390" t="s">
        <v>233</v>
      </c>
      <c r="P970" s="264" t="str">
        <f t="shared" si="40"/>
        <v>Ballpoint Drawing Pen 0,1 Snowman</v>
      </c>
      <c r="Q970" s="264" t="s">
        <v>710</v>
      </c>
      <c r="R970" s="525" t="s">
        <v>2590</v>
      </c>
      <c r="S970" s="399">
        <v>1</v>
      </c>
      <c r="T970" s="348" t="s">
        <v>3364</v>
      </c>
      <c r="U970" s="520">
        <v>95000</v>
      </c>
      <c r="V970" s="266">
        <v>95000</v>
      </c>
      <c r="W970" s="521" t="s">
        <v>227</v>
      </c>
      <c r="X970" s="521" t="s">
        <v>3383</v>
      </c>
      <c r="Y970" s="522" t="s">
        <v>2512</v>
      </c>
      <c r="Z970" s="523" t="s">
        <v>541</v>
      </c>
    </row>
    <row r="971" spans="1:26" ht="29">
      <c r="A971" s="513">
        <v>969</v>
      </c>
      <c r="B971" s="390"/>
      <c r="C971" s="515" t="s">
        <v>3183</v>
      </c>
      <c r="D971" s="262" t="s">
        <v>1109</v>
      </c>
      <c r="E971" s="513">
        <v>970</v>
      </c>
      <c r="F971" s="544" t="s">
        <v>3183</v>
      </c>
      <c r="G971" s="543">
        <v>45566</v>
      </c>
      <c r="H971" s="543">
        <v>45567</v>
      </c>
      <c r="I971" s="543">
        <v>45567</v>
      </c>
      <c r="J971" s="543">
        <v>45567</v>
      </c>
      <c r="K971" s="517">
        <v>45588</v>
      </c>
      <c r="L971" s="518" t="s">
        <v>705</v>
      </c>
      <c r="M971" s="264" t="s">
        <v>2587</v>
      </c>
      <c r="N971" s="262" t="s">
        <v>2176</v>
      </c>
      <c r="O971" s="390" t="s">
        <v>2242</v>
      </c>
      <c r="P971" s="264" t="str">
        <f t="shared" si="40"/>
        <v>Lakban Hitam--</v>
      </c>
      <c r="Q971" s="264" t="s">
        <v>710</v>
      </c>
      <c r="R971" s="519" t="s">
        <v>137</v>
      </c>
      <c r="S971" s="399">
        <v>5</v>
      </c>
      <c r="T971" s="348" t="s">
        <v>3363</v>
      </c>
      <c r="U971" s="520">
        <v>15500</v>
      </c>
      <c r="V971" s="266">
        <v>77500</v>
      </c>
      <c r="W971" s="521" t="s">
        <v>227</v>
      </c>
      <c r="X971" s="521" t="s">
        <v>3383</v>
      </c>
      <c r="Y971" s="522" t="s">
        <v>2512</v>
      </c>
      <c r="Z971" s="523" t="s">
        <v>541</v>
      </c>
    </row>
    <row r="972" spans="1:26" ht="29">
      <c r="A972" s="513">
        <v>970</v>
      </c>
      <c r="B972" s="390"/>
      <c r="C972" s="515" t="s">
        <v>3183</v>
      </c>
      <c r="D972" s="262" t="s">
        <v>1109</v>
      </c>
      <c r="E972" s="513">
        <v>971</v>
      </c>
      <c r="F972" s="544" t="s">
        <v>3183</v>
      </c>
      <c r="G972" s="543">
        <v>45566</v>
      </c>
      <c r="H972" s="543">
        <v>45567</v>
      </c>
      <c r="I972" s="543">
        <v>45567</v>
      </c>
      <c r="J972" s="543">
        <v>45567</v>
      </c>
      <c r="K972" s="517">
        <v>45588</v>
      </c>
      <c r="L972" s="518" t="s">
        <v>705</v>
      </c>
      <c r="M972" s="264" t="s">
        <v>2587</v>
      </c>
      <c r="N972" s="262" t="s">
        <v>2176</v>
      </c>
      <c r="O972" s="390" t="s">
        <v>2256</v>
      </c>
      <c r="P972" s="264" t="str">
        <f t="shared" si="40"/>
        <v>Ballpoint Standard AE7</v>
      </c>
      <c r="Q972" s="264" t="s">
        <v>710</v>
      </c>
      <c r="R972" s="519" t="s">
        <v>103</v>
      </c>
      <c r="S972" s="399">
        <v>2</v>
      </c>
      <c r="T972" s="348" t="s">
        <v>3364</v>
      </c>
      <c r="U972" s="520">
        <v>20000</v>
      </c>
      <c r="V972" s="266">
        <v>40000</v>
      </c>
      <c r="W972" s="521" t="s">
        <v>227</v>
      </c>
      <c r="X972" s="521" t="s">
        <v>3383</v>
      </c>
      <c r="Y972" s="522" t="s">
        <v>2512</v>
      </c>
      <c r="Z972" s="523" t="s">
        <v>541</v>
      </c>
    </row>
    <row r="973" spans="1:26" ht="29">
      <c r="A973" s="513">
        <v>971</v>
      </c>
      <c r="B973" s="390"/>
      <c r="C973" s="515" t="s">
        <v>3183</v>
      </c>
      <c r="D973" s="262" t="s">
        <v>1109</v>
      </c>
      <c r="E973" s="513">
        <v>972</v>
      </c>
      <c r="F973" s="544" t="s">
        <v>3183</v>
      </c>
      <c r="G973" s="543">
        <v>45566</v>
      </c>
      <c r="H973" s="543">
        <v>45567</v>
      </c>
      <c r="I973" s="543">
        <v>45567</v>
      </c>
      <c r="J973" s="543">
        <v>45567</v>
      </c>
      <c r="K973" s="517">
        <v>45588</v>
      </c>
      <c r="L973" s="518" t="s">
        <v>705</v>
      </c>
      <c r="M973" s="264" t="s">
        <v>2587</v>
      </c>
      <c r="N973" s="262" t="s">
        <v>2176</v>
      </c>
      <c r="O973" s="390" t="s">
        <v>2257</v>
      </c>
      <c r="P973" s="264" t="str">
        <f t="shared" si="40"/>
        <v>lakban hitam-ukuran : lebar 2 inch, panjang 12m, bahan : kain</v>
      </c>
      <c r="Q973" s="264" t="s">
        <v>710</v>
      </c>
      <c r="R973" s="519" t="s">
        <v>137</v>
      </c>
      <c r="S973" s="399">
        <v>4</v>
      </c>
      <c r="T973" s="348" t="s">
        <v>3363</v>
      </c>
      <c r="U973" s="520">
        <v>12500</v>
      </c>
      <c r="V973" s="266">
        <v>50000</v>
      </c>
      <c r="W973" s="521" t="s">
        <v>227</v>
      </c>
      <c r="X973" s="521" t="s">
        <v>3383</v>
      </c>
      <c r="Y973" s="522" t="s">
        <v>2512</v>
      </c>
      <c r="Z973" s="523" t="s">
        <v>541</v>
      </c>
    </row>
    <row r="974" spans="1:26" ht="29">
      <c r="A974" s="513">
        <v>972</v>
      </c>
      <c r="B974" s="390"/>
      <c r="C974" s="515" t="s">
        <v>3183</v>
      </c>
      <c r="D974" s="262" t="s">
        <v>1109</v>
      </c>
      <c r="E974" s="513">
        <v>973</v>
      </c>
      <c r="F974" s="544" t="s">
        <v>3183</v>
      </c>
      <c r="G974" s="543">
        <v>45566</v>
      </c>
      <c r="H974" s="543">
        <v>45567</v>
      </c>
      <c r="I974" s="543">
        <v>45567</v>
      </c>
      <c r="J974" s="543">
        <v>45567</v>
      </c>
      <c r="K974" s="517">
        <v>45588</v>
      </c>
      <c r="L974" s="518" t="s">
        <v>705</v>
      </c>
      <c r="M974" s="264" t="s">
        <v>2587</v>
      </c>
      <c r="N974" s="262" t="s">
        <v>2176</v>
      </c>
      <c r="O974" s="390" t="s">
        <v>254</v>
      </c>
      <c r="P974" s="264" t="str">
        <f t="shared" si="40"/>
        <v>Map Binder</v>
      </c>
      <c r="Q974" s="264" t="s">
        <v>710</v>
      </c>
      <c r="R974" s="519" t="s">
        <v>142</v>
      </c>
      <c r="S974" s="399">
        <v>12</v>
      </c>
      <c r="T974" s="348" t="s">
        <v>3363</v>
      </c>
      <c r="U974" s="520">
        <v>35500</v>
      </c>
      <c r="V974" s="266">
        <v>426000</v>
      </c>
      <c r="W974" s="521" t="s">
        <v>227</v>
      </c>
      <c r="X974" s="521" t="s">
        <v>3383</v>
      </c>
      <c r="Y974" s="522" t="s">
        <v>2512</v>
      </c>
      <c r="Z974" s="523" t="s">
        <v>541</v>
      </c>
    </row>
    <row r="975" spans="1:26" ht="29">
      <c r="A975" s="513">
        <v>973</v>
      </c>
      <c r="B975" s="390"/>
      <c r="C975" s="515" t="s">
        <v>3183</v>
      </c>
      <c r="D975" s="262" t="s">
        <v>1109</v>
      </c>
      <c r="E975" s="513">
        <v>974</v>
      </c>
      <c r="F975" s="544" t="s">
        <v>3183</v>
      </c>
      <c r="G975" s="543">
        <v>45566</v>
      </c>
      <c r="H975" s="543">
        <v>45567</v>
      </c>
      <c r="I975" s="543">
        <v>45567</v>
      </c>
      <c r="J975" s="543">
        <v>45567</v>
      </c>
      <c r="K975" s="517">
        <v>45588</v>
      </c>
      <c r="L975" s="518" t="s">
        <v>705</v>
      </c>
      <c r="M975" s="264" t="s">
        <v>2587</v>
      </c>
      <c r="N975" s="262" t="s">
        <v>2176</v>
      </c>
      <c r="O975" s="390" t="s">
        <v>2235</v>
      </c>
      <c r="P975" s="264" t="str">
        <f t="shared" si="40"/>
        <v>Amplop Coklat Merk : GSU Ukuran Folio polos</v>
      </c>
      <c r="Q975" s="264" t="s">
        <v>710</v>
      </c>
      <c r="R975" s="529" t="s">
        <v>2593</v>
      </c>
      <c r="S975" s="399">
        <v>2</v>
      </c>
      <c r="T975" s="348" t="s">
        <v>3365</v>
      </c>
      <c r="U975" s="520">
        <v>60000</v>
      </c>
      <c r="V975" s="266">
        <v>120000</v>
      </c>
      <c r="W975" s="521" t="s">
        <v>227</v>
      </c>
      <c r="X975" s="521" t="s">
        <v>3383</v>
      </c>
      <c r="Y975" s="522" t="s">
        <v>2512</v>
      </c>
      <c r="Z975" s="523" t="s">
        <v>541</v>
      </c>
    </row>
    <row r="976" spans="1:26" ht="29">
      <c r="A976" s="513">
        <v>974</v>
      </c>
      <c r="B976" s="390"/>
      <c r="C976" s="515" t="s">
        <v>3183</v>
      </c>
      <c r="D976" s="262" t="s">
        <v>1109</v>
      </c>
      <c r="E976" s="513">
        <v>975</v>
      </c>
      <c r="F976" s="544" t="s">
        <v>3183</v>
      </c>
      <c r="G976" s="543">
        <v>45566</v>
      </c>
      <c r="H976" s="543">
        <v>45567</v>
      </c>
      <c r="I976" s="543">
        <v>45567</v>
      </c>
      <c r="J976" s="543">
        <v>45567</v>
      </c>
      <c r="K976" s="517">
        <v>45588</v>
      </c>
      <c r="L976" s="518" t="s">
        <v>705</v>
      </c>
      <c r="M976" s="264" t="s">
        <v>2587</v>
      </c>
      <c r="N976" s="262" t="s">
        <v>2176</v>
      </c>
      <c r="O976" s="390" t="s">
        <v>230</v>
      </c>
      <c r="P976" s="264" t="str">
        <f t="shared" si="40"/>
        <v>Amplop Coklat Merk : GSU Ukuran : 1/2 folio, bergaris</v>
      </c>
      <c r="Q976" s="264" t="s">
        <v>710</v>
      </c>
      <c r="R976" s="525" t="s">
        <v>2600</v>
      </c>
      <c r="S976" s="399">
        <v>1</v>
      </c>
      <c r="T976" s="348" t="s">
        <v>3365</v>
      </c>
      <c r="U976" s="520">
        <v>45000</v>
      </c>
      <c r="V976" s="266">
        <v>45000</v>
      </c>
      <c r="W976" s="521" t="s">
        <v>227</v>
      </c>
      <c r="X976" s="521" t="s">
        <v>3383</v>
      </c>
      <c r="Y976" s="522" t="s">
        <v>2512</v>
      </c>
      <c r="Z976" s="523" t="s">
        <v>541</v>
      </c>
    </row>
    <row r="977" spans="1:26" ht="29">
      <c r="A977" s="513">
        <v>975</v>
      </c>
      <c r="B977" s="390"/>
      <c r="C977" s="515" t="s">
        <v>3183</v>
      </c>
      <c r="D977" s="262" t="s">
        <v>1109</v>
      </c>
      <c r="E977" s="513">
        <v>976</v>
      </c>
      <c r="F977" s="544" t="s">
        <v>3183</v>
      </c>
      <c r="G977" s="543">
        <v>45566</v>
      </c>
      <c r="H977" s="543">
        <v>45567</v>
      </c>
      <c r="I977" s="543">
        <v>45567</v>
      </c>
      <c r="J977" s="543">
        <v>45567</v>
      </c>
      <c r="K977" s="517">
        <v>45588</v>
      </c>
      <c r="L977" s="518" t="s">
        <v>705</v>
      </c>
      <c r="M977" s="264" t="s">
        <v>2587</v>
      </c>
      <c r="N977" s="262" t="s">
        <v>2176</v>
      </c>
      <c r="O977" s="390" t="s">
        <v>2250</v>
      </c>
      <c r="P977" s="264" t="str">
        <f t="shared" si="40"/>
        <v>C. Tinta Printer EPSON Toner Epson 664 Black</v>
      </c>
      <c r="Q977" s="264" t="s">
        <v>710</v>
      </c>
      <c r="R977" s="519" t="s">
        <v>120</v>
      </c>
      <c r="S977" s="399">
        <v>6</v>
      </c>
      <c r="T977" s="348" t="s">
        <v>3367</v>
      </c>
      <c r="U977" s="520">
        <v>85000</v>
      </c>
      <c r="V977" s="266">
        <v>510000</v>
      </c>
      <c r="W977" s="521" t="s">
        <v>227</v>
      </c>
      <c r="X977" s="521" t="s">
        <v>3383</v>
      </c>
      <c r="Y977" s="522" t="s">
        <v>2512</v>
      </c>
      <c r="Z977" s="523" t="s">
        <v>541</v>
      </c>
    </row>
    <row r="978" spans="1:26" ht="29">
      <c r="A978" s="513">
        <v>976</v>
      </c>
      <c r="B978" s="390"/>
      <c r="C978" s="515" t="s">
        <v>3183</v>
      </c>
      <c r="D978" s="262" t="s">
        <v>1109</v>
      </c>
      <c r="E978" s="513">
        <v>977</v>
      </c>
      <c r="F978" s="544" t="s">
        <v>3183</v>
      </c>
      <c r="G978" s="543">
        <v>45566</v>
      </c>
      <c r="H978" s="543">
        <v>45567</v>
      </c>
      <c r="I978" s="543">
        <v>45567</v>
      </c>
      <c r="J978" s="543">
        <v>45567</v>
      </c>
      <c r="K978" s="517">
        <v>45588</v>
      </c>
      <c r="L978" s="518" t="s">
        <v>705</v>
      </c>
      <c r="M978" s="264" t="s">
        <v>2587</v>
      </c>
      <c r="N978" s="262" t="s">
        <v>2176</v>
      </c>
      <c r="O978" s="390" t="s">
        <v>2236</v>
      </c>
      <c r="P978" s="264" t="str">
        <f t="shared" si="40"/>
        <v>Stapler HD-10--</v>
      </c>
      <c r="Q978" s="264" t="s">
        <v>710</v>
      </c>
      <c r="R978" s="519" t="s">
        <v>152</v>
      </c>
      <c r="S978" s="399">
        <v>2</v>
      </c>
      <c r="T978" s="348" t="s">
        <v>3363</v>
      </c>
      <c r="U978" s="520">
        <v>20000</v>
      </c>
      <c r="V978" s="266">
        <v>40000</v>
      </c>
      <c r="W978" s="521" t="s">
        <v>227</v>
      </c>
      <c r="X978" s="521" t="s">
        <v>3383</v>
      </c>
      <c r="Y978" s="522" t="s">
        <v>2512</v>
      </c>
      <c r="Z978" s="523" t="s">
        <v>541</v>
      </c>
    </row>
    <row r="979" spans="1:26" ht="29">
      <c r="A979" s="513">
        <v>977</v>
      </c>
      <c r="B979" s="390"/>
      <c r="C979" s="515" t="s">
        <v>3183</v>
      </c>
      <c r="D979" s="262" t="s">
        <v>1109</v>
      </c>
      <c r="E979" s="513">
        <v>978</v>
      </c>
      <c r="F979" s="544" t="s">
        <v>3183</v>
      </c>
      <c r="G979" s="543">
        <v>45566</v>
      </c>
      <c r="H979" s="543">
        <v>45567</v>
      </c>
      <c r="I979" s="543">
        <v>45567</v>
      </c>
      <c r="J979" s="543">
        <v>45567</v>
      </c>
      <c r="K979" s="517">
        <v>45588</v>
      </c>
      <c r="L979" s="518" t="s">
        <v>705</v>
      </c>
      <c r="M979" s="264" t="s">
        <v>2587</v>
      </c>
      <c r="N979" s="262" t="s">
        <v>2176</v>
      </c>
      <c r="O979" s="390" t="s">
        <v>236</v>
      </c>
      <c r="P979" s="264" t="str">
        <f t="shared" si="40"/>
        <v>Baterey Kecil</v>
      </c>
      <c r="Q979" s="264" t="s">
        <v>710</v>
      </c>
      <c r="R979" s="519" t="s">
        <v>106</v>
      </c>
      <c r="S979" s="399">
        <v>2</v>
      </c>
      <c r="T979" s="348" t="s">
        <v>3366</v>
      </c>
      <c r="U979" s="520">
        <v>20000</v>
      </c>
      <c r="V979" s="266">
        <v>40000</v>
      </c>
      <c r="W979" s="521" t="s">
        <v>227</v>
      </c>
      <c r="X979" s="521" t="s">
        <v>3383</v>
      </c>
      <c r="Y979" s="522" t="s">
        <v>2512</v>
      </c>
      <c r="Z979" s="523" t="s">
        <v>541</v>
      </c>
    </row>
    <row r="980" spans="1:26" ht="29">
      <c r="A980" s="513">
        <v>978</v>
      </c>
      <c r="B980" s="390"/>
      <c r="C980" s="515" t="s">
        <v>3183</v>
      </c>
      <c r="D980" s="262" t="s">
        <v>1109</v>
      </c>
      <c r="E980" s="513">
        <v>979</v>
      </c>
      <c r="F980" s="544" t="s">
        <v>3183</v>
      </c>
      <c r="G980" s="543">
        <v>45566</v>
      </c>
      <c r="H980" s="543">
        <v>45567</v>
      </c>
      <c r="I980" s="543">
        <v>45567</v>
      </c>
      <c r="J980" s="543">
        <v>45567</v>
      </c>
      <c r="K980" s="517">
        <v>45588</v>
      </c>
      <c r="L980" s="518" t="s">
        <v>705</v>
      </c>
      <c r="M980" s="264" t="s">
        <v>2587</v>
      </c>
      <c r="N980" s="262" t="s">
        <v>2176</v>
      </c>
      <c r="O980" s="390" t="s">
        <v>228</v>
      </c>
      <c r="P980" s="264" t="str">
        <f t="shared" si="40"/>
        <v>Amplop Coklat Merk : Garda Ukuran Cabinet</v>
      </c>
      <c r="Q980" s="264" t="s">
        <v>710</v>
      </c>
      <c r="R980" s="525" t="s">
        <v>2596</v>
      </c>
      <c r="S980" s="399">
        <v>3</v>
      </c>
      <c r="T980" s="348" t="s">
        <v>3365</v>
      </c>
      <c r="U980" s="520">
        <v>23000</v>
      </c>
      <c r="V980" s="266">
        <v>69000</v>
      </c>
      <c r="W980" s="521" t="s">
        <v>227</v>
      </c>
      <c r="X980" s="521" t="s">
        <v>3383</v>
      </c>
      <c r="Y980" s="522" t="s">
        <v>2512</v>
      </c>
      <c r="Z980" s="523" t="s">
        <v>541</v>
      </c>
    </row>
    <row r="981" spans="1:26" ht="29">
      <c r="A981" s="513">
        <v>979</v>
      </c>
      <c r="B981" s="390"/>
      <c r="C981" s="515" t="s">
        <v>3183</v>
      </c>
      <c r="D981" s="262" t="s">
        <v>1109</v>
      </c>
      <c r="E981" s="513">
        <v>980</v>
      </c>
      <c r="F981" s="544" t="s">
        <v>3183</v>
      </c>
      <c r="G981" s="543">
        <v>45566</v>
      </c>
      <c r="H981" s="543">
        <v>45567</v>
      </c>
      <c r="I981" s="543">
        <v>45567</v>
      </c>
      <c r="J981" s="543">
        <v>45567</v>
      </c>
      <c r="K981" s="517">
        <v>45588</v>
      </c>
      <c r="L981" s="518" t="s">
        <v>705</v>
      </c>
      <c r="M981" s="264" t="s">
        <v>2587</v>
      </c>
      <c r="N981" s="262" t="s">
        <v>2176</v>
      </c>
      <c r="O981" s="390" t="s">
        <v>239</v>
      </c>
      <c r="P981" s="264" t="str">
        <f t="shared" si="40"/>
        <v>Binder Klip  nomor 200</v>
      </c>
      <c r="Q981" s="264" t="s">
        <v>710</v>
      </c>
      <c r="R981" s="519" t="s">
        <v>110</v>
      </c>
      <c r="S981" s="399">
        <v>10</v>
      </c>
      <c r="T981" s="348" t="s">
        <v>3362</v>
      </c>
      <c r="U981" s="520">
        <v>16500</v>
      </c>
      <c r="V981" s="266">
        <v>165000</v>
      </c>
      <c r="W981" s="521" t="s">
        <v>227</v>
      </c>
      <c r="X981" s="521" t="s">
        <v>3383</v>
      </c>
      <c r="Y981" s="522" t="s">
        <v>2512</v>
      </c>
      <c r="Z981" s="523" t="s">
        <v>541</v>
      </c>
    </row>
    <row r="982" spans="1:26" ht="29">
      <c r="A982" s="513">
        <v>980</v>
      </c>
      <c r="B982" s="390"/>
      <c r="C982" s="515" t="s">
        <v>3183</v>
      </c>
      <c r="D982" s="262" t="s">
        <v>1109</v>
      </c>
      <c r="E982" s="513">
        <v>981</v>
      </c>
      <c r="F982" s="544" t="s">
        <v>3183</v>
      </c>
      <c r="G982" s="543">
        <v>45566</v>
      </c>
      <c r="H982" s="543">
        <v>45567</v>
      </c>
      <c r="I982" s="543">
        <v>45567</v>
      </c>
      <c r="J982" s="543">
        <v>45567</v>
      </c>
      <c r="K982" s="517">
        <v>45588</v>
      </c>
      <c r="L982" s="518" t="s">
        <v>705</v>
      </c>
      <c r="M982" s="264" t="s">
        <v>2587</v>
      </c>
      <c r="N982" s="262" t="s">
        <v>2176</v>
      </c>
      <c r="O982" s="390" t="s">
        <v>2252</v>
      </c>
      <c r="P982" s="264" t="str">
        <f t="shared" si="40"/>
        <v>Box File Merk : Bantex Ukuran : 115x270x325 mm</v>
      </c>
      <c r="Q982" s="264" t="s">
        <v>710</v>
      </c>
      <c r="R982" s="524" t="s">
        <v>2606</v>
      </c>
      <c r="S982" s="399">
        <v>4</v>
      </c>
      <c r="T982" s="348" t="s">
        <v>3363</v>
      </c>
      <c r="U982" s="520">
        <v>59800</v>
      </c>
      <c r="V982" s="266">
        <v>239200</v>
      </c>
      <c r="W982" s="521" t="s">
        <v>227</v>
      </c>
      <c r="X982" s="521" t="s">
        <v>3383</v>
      </c>
      <c r="Y982" s="522" t="s">
        <v>2512</v>
      </c>
      <c r="Z982" s="523" t="s">
        <v>541</v>
      </c>
    </row>
    <row r="983" spans="1:26" ht="29">
      <c r="A983" s="513">
        <v>981</v>
      </c>
      <c r="B983" s="390"/>
      <c r="C983" s="515" t="s">
        <v>3183</v>
      </c>
      <c r="D983" s="262" t="s">
        <v>1109</v>
      </c>
      <c r="E983" s="513">
        <v>982</v>
      </c>
      <c r="F983" s="544" t="s">
        <v>3183</v>
      </c>
      <c r="G983" s="543">
        <v>45566</v>
      </c>
      <c r="H983" s="543">
        <v>45567</v>
      </c>
      <c r="I983" s="543">
        <v>45567</v>
      </c>
      <c r="J983" s="543">
        <v>45567</v>
      </c>
      <c r="K983" s="517">
        <v>45588</v>
      </c>
      <c r="L983" s="518" t="s">
        <v>705</v>
      </c>
      <c r="M983" s="264" t="s">
        <v>2587</v>
      </c>
      <c r="N983" s="262" t="s">
        <v>2176</v>
      </c>
      <c r="O983" s="390" t="s">
        <v>251</v>
      </c>
      <c r="P983" s="264" t="str">
        <f t="shared" si="40"/>
        <v>Kertas Warna Blank Folio, Ukuran : 8,5 x 14",  70 gram</v>
      </c>
      <c r="Q983" s="264" t="s">
        <v>710</v>
      </c>
      <c r="R983" s="519" t="s">
        <v>133</v>
      </c>
      <c r="S983" s="399">
        <v>2</v>
      </c>
      <c r="T983" s="348" t="s">
        <v>3369</v>
      </c>
      <c r="U983" s="520">
        <v>90000</v>
      </c>
      <c r="V983" s="266">
        <v>180000</v>
      </c>
      <c r="W983" s="521" t="s">
        <v>227</v>
      </c>
      <c r="X983" s="521" t="s">
        <v>3383</v>
      </c>
      <c r="Y983" s="522" t="s">
        <v>2512</v>
      </c>
      <c r="Z983" s="523" t="s">
        <v>541</v>
      </c>
    </row>
    <row r="984" spans="1:26" ht="29">
      <c r="A984" s="513">
        <v>982</v>
      </c>
      <c r="B984" s="390"/>
      <c r="C984" s="515" t="s">
        <v>3183</v>
      </c>
      <c r="D984" s="262" t="s">
        <v>1109</v>
      </c>
      <c r="E984" s="513">
        <v>983</v>
      </c>
      <c r="F984" s="544" t="s">
        <v>3183</v>
      </c>
      <c r="G984" s="543">
        <v>45566</v>
      </c>
      <c r="H984" s="543">
        <v>45567</v>
      </c>
      <c r="I984" s="543">
        <v>45567</v>
      </c>
      <c r="J984" s="543">
        <v>45567</v>
      </c>
      <c r="K984" s="517">
        <v>45588</v>
      </c>
      <c r="L984" s="518" t="s">
        <v>705</v>
      </c>
      <c r="M984" s="264" t="s">
        <v>2587</v>
      </c>
      <c r="N984" s="262" t="s">
        <v>2176</v>
      </c>
      <c r="O984" s="390" t="s">
        <v>253</v>
      </c>
      <c r="P984" s="264" t="str">
        <f t="shared" si="40"/>
        <v>Lakban warna Uk 2" Warna Coklat Cofiie</v>
      </c>
      <c r="Q984" s="264" t="s">
        <v>710</v>
      </c>
      <c r="R984" s="519" t="s">
        <v>140</v>
      </c>
      <c r="S984" s="399">
        <v>3</v>
      </c>
      <c r="T984" s="348" t="s">
        <v>3363</v>
      </c>
      <c r="U984" s="520">
        <v>20000</v>
      </c>
      <c r="V984" s="266">
        <v>60000</v>
      </c>
      <c r="W984" s="521" t="s">
        <v>227</v>
      </c>
      <c r="X984" s="521" t="s">
        <v>3383</v>
      </c>
      <c r="Y984" s="522" t="s">
        <v>2512</v>
      </c>
      <c r="Z984" s="523" t="s">
        <v>541</v>
      </c>
    </row>
    <row r="985" spans="1:26" ht="29">
      <c r="A985" s="513">
        <v>983</v>
      </c>
      <c r="B985" s="390"/>
      <c r="C985" s="515" t="s">
        <v>3183</v>
      </c>
      <c r="D985" s="262" t="s">
        <v>1109</v>
      </c>
      <c r="E985" s="513">
        <v>984</v>
      </c>
      <c r="F985" s="544" t="s">
        <v>3183</v>
      </c>
      <c r="G985" s="543">
        <v>45566</v>
      </c>
      <c r="H985" s="543">
        <v>45567</v>
      </c>
      <c r="I985" s="543">
        <v>45567</v>
      </c>
      <c r="J985" s="543">
        <v>45567</v>
      </c>
      <c r="K985" s="517">
        <v>45588</v>
      </c>
      <c r="L985" s="518" t="s">
        <v>705</v>
      </c>
      <c r="M985" s="264" t="s">
        <v>2587</v>
      </c>
      <c r="N985" s="262" t="s">
        <v>2176</v>
      </c>
      <c r="O985" s="390" t="s">
        <v>250</v>
      </c>
      <c r="P985" s="264" t="str">
        <f t="shared" si="40"/>
        <v>Kertas StensiI</v>
      </c>
      <c r="Q985" s="264" t="s">
        <v>710</v>
      </c>
      <c r="R985" s="519" t="s">
        <v>132</v>
      </c>
      <c r="S985" s="399">
        <v>10</v>
      </c>
      <c r="T985" s="348" t="s">
        <v>3365</v>
      </c>
      <c r="U985" s="520">
        <v>50000</v>
      </c>
      <c r="V985" s="266">
        <v>500000</v>
      </c>
      <c r="W985" s="521" t="s">
        <v>227</v>
      </c>
      <c r="X985" s="521" t="s">
        <v>3383</v>
      </c>
      <c r="Y985" s="522" t="s">
        <v>2512</v>
      </c>
      <c r="Z985" s="523" t="s">
        <v>541</v>
      </c>
    </row>
    <row r="986" spans="1:26" ht="29">
      <c r="A986" s="513">
        <v>984</v>
      </c>
      <c r="B986" s="390"/>
      <c r="C986" s="515" t="s">
        <v>3183</v>
      </c>
      <c r="D986" s="262" t="s">
        <v>1109</v>
      </c>
      <c r="E986" s="513">
        <v>985</v>
      </c>
      <c r="F986" s="544" t="s">
        <v>3183</v>
      </c>
      <c r="G986" s="543">
        <v>45566</v>
      </c>
      <c r="H986" s="543">
        <v>45567</v>
      </c>
      <c r="I986" s="543">
        <v>45567</v>
      </c>
      <c r="J986" s="543">
        <v>45567</v>
      </c>
      <c r="K986" s="517">
        <v>45588</v>
      </c>
      <c r="L986" s="518" t="s">
        <v>705</v>
      </c>
      <c r="M986" s="264" t="s">
        <v>2587</v>
      </c>
      <c r="N986" s="262" t="s">
        <v>2176</v>
      </c>
      <c r="O986" s="390" t="s">
        <v>2237</v>
      </c>
      <c r="P986" s="264" t="str">
        <f t="shared" si="40"/>
        <v>Kertas Lain-Lain Kertas Buffalo</v>
      </c>
      <c r="Q986" s="264" t="s">
        <v>710</v>
      </c>
      <c r="R986" s="519" t="s">
        <v>130</v>
      </c>
      <c r="S986" s="399">
        <v>5</v>
      </c>
      <c r="T986" s="348" t="s">
        <v>3365</v>
      </c>
      <c r="U986" s="520">
        <v>31000</v>
      </c>
      <c r="V986" s="266">
        <v>155000</v>
      </c>
      <c r="W986" s="521" t="s">
        <v>227</v>
      </c>
      <c r="X986" s="521" t="s">
        <v>3383</v>
      </c>
      <c r="Y986" s="522" t="s">
        <v>2512</v>
      </c>
      <c r="Z986" s="523" t="s">
        <v>541</v>
      </c>
    </row>
    <row r="987" spans="1:26" ht="29">
      <c r="A987" s="513">
        <v>985</v>
      </c>
      <c r="B987" s="390"/>
      <c r="C987" s="515" t="s">
        <v>3183</v>
      </c>
      <c r="D987" s="262" t="s">
        <v>1109</v>
      </c>
      <c r="E987" s="513">
        <v>986</v>
      </c>
      <c r="F987" s="544" t="s">
        <v>3183</v>
      </c>
      <c r="G987" s="543">
        <v>45566</v>
      </c>
      <c r="H987" s="543">
        <v>45567</v>
      </c>
      <c r="I987" s="543">
        <v>45567</v>
      </c>
      <c r="J987" s="543">
        <v>45567</v>
      </c>
      <c r="K987" s="517">
        <v>45588</v>
      </c>
      <c r="L987" s="518" t="s">
        <v>705</v>
      </c>
      <c r="M987" s="264" t="s">
        <v>2587</v>
      </c>
      <c r="N987" s="262" t="s">
        <v>2176</v>
      </c>
      <c r="O987" s="390" t="s">
        <v>243</v>
      </c>
      <c r="P987" s="264" t="str">
        <f t="shared" si="40"/>
        <v>C. Tinta Printer EPSON Tinta Printer Epson Blue</v>
      </c>
      <c r="Q987" s="264" t="s">
        <v>710</v>
      </c>
      <c r="R987" s="519" t="s">
        <v>117</v>
      </c>
      <c r="S987" s="399">
        <v>4</v>
      </c>
      <c r="T987" s="348" t="s">
        <v>3367</v>
      </c>
      <c r="U987" s="520">
        <v>110000</v>
      </c>
      <c r="V987" s="266">
        <v>440000</v>
      </c>
      <c r="W987" s="521" t="s">
        <v>227</v>
      </c>
      <c r="X987" s="521" t="s">
        <v>3383</v>
      </c>
      <c r="Y987" s="522" t="s">
        <v>2512</v>
      </c>
      <c r="Z987" s="523" t="s">
        <v>541</v>
      </c>
    </row>
    <row r="988" spans="1:26" ht="29">
      <c r="A988" s="513">
        <v>986</v>
      </c>
      <c r="B988" s="390"/>
      <c r="C988" s="515" t="s">
        <v>3183</v>
      </c>
      <c r="D988" s="262" t="s">
        <v>1109</v>
      </c>
      <c r="E988" s="513">
        <v>987</v>
      </c>
      <c r="F988" s="544" t="s">
        <v>3183</v>
      </c>
      <c r="G988" s="543">
        <v>45566</v>
      </c>
      <c r="H988" s="543">
        <v>45567</v>
      </c>
      <c r="I988" s="543">
        <v>45567</v>
      </c>
      <c r="J988" s="543">
        <v>45567</v>
      </c>
      <c r="K988" s="517">
        <v>45588</v>
      </c>
      <c r="L988" s="518" t="s">
        <v>705</v>
      </c>
      <c r="M988" s="264" t="s">
        <v>2587</v>
      </c>
      <c r="N988" s="262" t="s">
        <v>2176</v>
      </c>
      <c r="O988" s="390" t="s">
        <v>258</v>
      </c>
      <c r="P988" s="264" t="str">
        <f t="shared" si="40"/>
        <v>Pisau Cutter Kenko L-500</v>
      </c>
      <c r="Q988" s="264" t="s">
        <v>710</v>
      </c>
      <c r="R988" s="525" t="s">
        <v>2601</v>
      </c>
      <c r="S988" s="399">
        <v>2</v>
      </c>
      <c r="T988" s="348" t="s">
        <v>3363</v>
      </c>
      <c r="U988" s="520">
        <v>15000</v>
      </c>
      <c r="V988" s="266">
        <v>30000</v>
      </c>
      <c r="W988" s="521" t="s">
        <v>227</v>
      </c>
      <c r="X988" s="521" t="s">
        <v>3383</v>
      </c>
      <c r="Y988" s="522" t="s">
        <v>2512</v>
      </c>
      <c r="Z988" s="523" t="s">
        <v>541</v>
      </c>
    </row>
    <row r="989" spans="1:26" ht="29">
      <c r="A989" s="513">
        <v>987</v>
      </c>
      <c r="B989" s="390"/>
      <c r="C989" s="515" t="s">
        <v>3183</v>
      </c>
      <c r="D989" s="262" t="s">
        <v>1109</v>
      </c>
      <c r="E989" s="513">
        <v>988</v>
      </c>
      <c r="F989" s="544" t="s">
        <v>3183</v>
      </c>
      <c r="G989" s="543">
        <v>45566</v>
      </c>
      <c r="H989" s="543">
        <v>45567</v>
      </c>
      <c r="I989" s="543">
        <v>45567</v>
      </c>
      <c r="J989" s="543">
        <v>45567</v>
      </c>
      <c r="K989" s="517">
        <v>45588</v>
      </c>
      <c r="L989" s="518" t="s">
        <v>705</v>
      </c>
      <c r="M989" s="264" t="s">
        <v>2587</v>
      </c>
      <c r="N989" s="262" t="s">
        <v>2176</v>
      </c>
      <c r="O989" s="390" t="s">
        <v>247</v>
      </c>
      <c r="P989" s="264" t="str">
        <f t="shared" si="40"/>
        <v>Kertas HVS 80 gram Merk : Paper One A4, Ukuran : 8,27" x 11,69", Isi : 500 lembar</v>
      </c>
      <c r="Q989" s="264" t="s">
        <v>710</v>
      </c>
      <c r="R989" s="519" t="s">
        <v>1351</v>
      </c>
      <c r="S989" s="399">
        <v>40</v>
      </c>
      <c r="T989" s="348" t="s">
        <v>3369</v>
      </c>
      <c r="U989" s="520">
        <v>50000</v>
      </c>
      <c r="V989" s="266">
        <v>2000000</v>
      </c>
      <c r="W989" s="521" t="s">
        <v>227</v>
      </c>
      <c r="X989" s="521" t="s">
        <v>3383</v>
      </c>
      <c r="Y989" s="522" t="s">
        <v>2512</v>
      </c>
      <c r="Z989" s="523" t="s">
        <v>541</v>
      </c>
    </row>
    <row r="990" spans="1:26" ht="29">
      <c r="A990" s="513">
        <v>988</v>
      </c>
      <c r="B990" s="390"/>
      <c r="C990" s="515" t="s">
        <v>3183</v>
      </c>
      <c r="D990" s="262" t="s">
        <v>1109</v>
      </c>
      <c r="E990" s="513">
        <v>989</v>
      </c>
      <c r="F990" s="544" t="s">
        <v>3183</v>
      </c>
      <c r="G990" s="543">
        <v>45566</v>
      </c>
      <c r="H990" s="543">
        <v>45567</v>
      </c>
      <c r="I990" s="543">
        <v>45567</v>
      </c>
      <c r="J990" s="543">
        <v>45567</v>
      </c>
      <c r="K990" s="517">
        <v>45588</v>
      </c>
      <c r="L990" s="518" t="s">
        <v>705</v>
      </c>
      <c r="M990" s="264" t="s">
        <v>2587</v>
      </c>
      <c r="N990" s="262" t="s">
        <v>2176</v>
      </c>
      <c r="O990" s="390" t="s">
        <v>2258</v>
      </c>
      <c r="P990" s="264" t="str">
        <f t="shared" si="40"/>
        <v>Lakban Besar</v>
      </c>
      <c r="Q990" s="264" t="s">
        <v>710</v>
      </c>
      <c r="R990" s="519" t="s">
        <v>2607</v>
      </c>
      <c r="S990" s="399">
        <v>5</v>
      </c>
      <c r="T990" s="348" t="s">
        <v>3363</v>
      </c>
      <c r="U990" s="520">
        <v>25000</v>
      </c>
      <c r="V990" s="266">
        <v>125000</v>
      </c>
      <c r="W990" s="521" t="s">
        <v>227</v>
      </c>
      <c r="X990" s="521" t="s">
        <v>3383</v>
      </c>
      <c r="Y990" s="522" t="s">
        <v>2512</v>
      </c>
      <c r="Z990" s="523" t="s">
        <v>541</v>
      </c>
    </row>
    <row r="991" spans="1:26" ht="29">
      <c r="A991" s="513">
        <v>989</v>
      </c>
      <c r="B991" s="390"/>
      <c r="C991" s="515" t="s">
        <v>3183</v>
      </c>
      <c r="D991" s="262" t="s">
        <v>1109</v>
      </c>
      <c r="E991" s="513">
        <v>990</v>
      </c>
      <c r="F991" s="544" t="s">
        <v>3183</v>
      </c>
      <c r="G991" s="543">
        <v>45566</v>
      </c>
      <c r="H991" s="543">
        <v>45567</v>
      </c>
      <c r="I991" s="543">
        <v>45567</v>
      </c>
      <c r="J991" s="543">
        <v>45567</v>
      </c>
      <c r="K991" s="517">
        <v>45588</v>
      </c>
      <c r="L991" s="518" t="s">
        <v>705</v>
      </c>
      <c r="M991" s="264" t="s">
        <v>2587</v>
      </c>
      <c r="N991" s="262" t="s">
        <v>2176</v>
      </c>
      <c r="O991" s="390" t="s">
        <v>249</v>
      </c>
      <c r="P991" s="264" t="str">
        <f t="shared" si="40"/>
        <v>Kertas Post-It Warna Warni  Sign Here</v>
      </c>
      <c r="Q991" s="264" t="s">
        <v>710</v>
      </c>
      <c r="R991" s="525" t="s">
        <v>2604</v>
      </c>
      <c r="S991" s="399">
        <v>5</v>
      </c>
      <c r="T991" s="348" t="s">
        <v>3363</v>
      </c>
      <c r="U991" s="520">
        <v>22800</v>
      </c>
      <c r="V991" s="266">
        <v>114000</v>
      </c>
      <c r="W991" s="521" t="s">
        <v>227</v>
      </c>
      <c r="X991" s="521" t="s">
        <v>3383</v>
      </c>
      <c r="Y991" s="522" t="s">
        <v>2512</v>
      </c>
      <c r="Z991" s="523" t="s">
        <v>541</v>
      </c>
    </row>
    <row r="992" spans="1:26" ht="29">
      <c r="A992" s="513">
        <v>990</v>
      </c>
      <c r="B992" s="390"/>
      <c r="C992" s="515" t="s">
        <v>3183</v>
      </c>
      <c r="D992" s="262" t="s">
        <v>1109</v>
      </c>
      <c r="E992" s="513">
        <v>991</v>
      </c>
      <c r="F992" s="544" t="s">
        <v>3183</v>
      </c>
      <c r="G992" s="543">
        <v>45566</v>
      </c>
      <c r="H992" s="543">
        <v>45567</v>
      </c>
      <c r="I992" s="543">
        <v>45567</v>
      </c>
      <c r="J992" s="543">
        <v>45567</v>
      </c>
      <c r="K992" s="517">
        <v>45588</v>
      </c>
      <c r="L992" s="518" t="s">
        <v>705</v>
      </c>
      <c r="M992" s="264" t="s">
        <v>2587</v>
      </c>
      <c r="N992" s="262" t="s">
        <v>2176</v>
      </c>
      <c r="O992" s="390" t="s">
        <v>2234</v>
      </c>
      <c r="P992" s="264" t="str">
        <f t="shared" si="40"/>
        <v>Stofmap Transparan tali</v>
      </c>
      <c r="Q992" s="264" t="s">
        <v>710</v>
      </c>
      <c r="R992" s="519" t="s">
        <v>158</v>
      </c>
      <c r="S992" s="399">
        <v>100</v>
      </c>
      <c r="T992" s="348" t="s">
        <v>3363</v>
      </c>
      <c r="U992" s="520">
        <v>5500</v>
      </c>
      <c r="V992" s="266">
        <v>550000</v>
      </c>
      <c r="W992" s="521" t="s">
        <v>227</v>
      </c>
      <c r="X992" s="521" t="s">
        <v>3383</v>
      </c>
      <c r="Y992" s="522" t="s">
        <v>2512</v>
      </c>
      <c r="Z992" s="523" t="s">
        <v>541</v>
      </c>
    </row>
    <row r="993" spans="1:26" ht="29">
      <c r="A993" s="513">
        <v>991</v>
      </c>
      <c r="B993" s="390"/>
      <c r="C993" s="515" t="s">
        <v>3184</v>
      </c>
      <c r="D993" s="262" t="s">
        <v>1112</v>
      </c>
      <c r="E993" s="513">
        <v>992</v>
      </c>
      <c r="F993" s="544" t="s">
        <v>3184</v>
      </c>
      <c r="G993" s="543">
        <v>45578</v>
      </c>
      <c r="H993" s="543" t="s">
        <v>2232</v>
      </c>
      <c r="I993" s="543" t="s">
        <v>2232</v>
      </c>
      <c r="J993" s="543" t="s">
        <v>2232</v>
      </c>
      <c r="K993" s="517">
        <v>45588</v>
      </c>
      <c r="L993" s="518" t="s">
        <v>2180</v>
      </c>
      <c r="M993" s="264" t="s">
        <v>2649</v>
      </c>
      <c r="N993" s="262" t="s">
        <v>3185</v>
      </c>
      <c r="O993" s="390" t="s">
        <v>3186</v>
      </c>
      <c r="P993" s="264" t="s">
        <v>2633</v>
      </c>
      <c r="Q993" s="264" t="s">
        <v>280</v>
      </c>
      <c r="R993" s="528" t="s">
        <v>165</v>
      </c>
      <c r="S993" s="399">
        <v>60</v>
      </c>
      <c r="T993" s="348" t="s">
        <v>3363</v>
      </c>
      <c r="U993" s="520">
        <v>15000</v>
      </c>
      <c r="V993" s="266">
        <v>900000</v>
      </c>
      <c r="W993" s="521" t="s">
        <v>10</v>
      </c>
      <c r="X993" s="264" t="s">
        <v>11</v>
      </c>
      <c r="Y993" s="522" t="s">
        <v>2092</v>
      </c>
      <c r="Z993" s="523" t="s">
        <v>2634</v>
      </c>
    </row>
    <row r="994" spans="1:26" ht="29">
      <c r="A994" s="513">
        <v>992</v>
      </c>
      <c r="B994" s="390"/>
      <c r="C994" s="515" t="s">
        <v>3187</v>
      </c>
      <c r="D994" s="262" t="s">
        <v>1115</v>
      </c>
      <c r="E994" s="513">
        <v>993</v>
      </c>
      <c r="F994" s="544" t="s">
        <v>3187</v>
      </c>
      <c r="G994" s="543">
        <v>45578</v>
      </c>
      <c r="H994" s="543" t="s">
        <v>2232</v>
      </c>
      <c r="I994" s="543" t="s">
        <v>2232</v>
      </c>
      <c r="J994" s="543" t="s">
        <v>2232</v>
      </c>
      <c r="K994" s="517">
        <v>45588</v>
      </c>
      <c r="L994" s="518" t="s">
        <v>2180</v>
      </c>
      <c r="M994" s="264" t="s">
        <v>2649</v>
      </c>
      <c r="N994" s="262" t="s">
        <v>3185</v>
      </c>
      <c r="O994" s="390" t="s">
        <v>3188</v>
      </c>
      <c r="P994" s="264" t="s">
        <v>467</v>
      </c>
      <c r="Q994" s="264" t="s">
        <v>8</v>
      </c>
      <c r="R994" s="519" t="s">
        <v>2635</v>
      </c>
      <c r="S994" s="399">
        <v>60</v>
      </c>
      <c r="T994" s="348" t="s">
        <v>3363</v>
      </c>
      <c r="U994" s="520">
        <v>40000</v>
      </c>
      <c r="V994" s="266">
        <v>2400000</v>
      </c>
      <c r="W994" s="521" t="s">
        <v>2507</v>
      </c>
      <c r="X994" s="264" t="s">
        <v>2508</v>
      </c>
      <c r="Y994" s="522" t="s">
        <v>2516</v>
      </c>
      <c r="Z994" s="523" t="s">
        <v>2636</v>
      </c>
    </row>
    <row r="995" spans="1:26" ht="29">
      <c r="A995" s="513">
        <v>993</v>
      </c>
      <c r="B995" s="390"/>
      <c r="C995" s="515" t="s">
        <v>3189</v>
      </c>
      <c r="D995" s="262" t="s">
        <v>1118</v>
      </c>
      <c r="E995" s="513">
        <v>994</v>
      </c>
      <c r="F995" s="544" t="s">
        <v>3189</v>
      </c>
      <c r="G995" s="543">
        <v>45578</v>
      </c>
      <c r="H995" s="543" t="s">
        <v>2232</v>
      </c>
      <c r="I995" s="543" t="s">
        <v>2232</v>
      </c>
      <c r="J995" s="543" t="s">
        <v>2232</v>
      </c>
      <c r="K995" s="517">
        <v>45588</v>
      </c>
      <c r="L995" s="518" t="s">
        <v>571</v>
      </c>
      <c r="M995" s="264" t="s">
        <v>2649</v>
      </c>
      <c r="N995" s="262" t="s">
        <v>2185</v>
      </c>
      <c r="O995" s="390" t="s">
        <v>2287</v>
      </c>
      <c r="P995" s="264" t="str">
        <f>O995</f>
        <v>Spanduk Uk. 1 x 6 meter-</v>
      </c>
      <c r="Q995" s="264" t="s">
        <v>2650</v>
      </c>
      <c r="R995" s="528" t="s">
        <v>2651</v>
      </c>
      <c r="S995" s="399">
        <v>2</v>
      </c>
      <c r="T995" s="348" t="s">
        <v>3363</v>
      </c>
      <c r="U995" s="520">
        <v>300000</v>
      </c>
      <c r="V995" s="266">
        <v>600000</v>
      </c>
      <c r="W995" s="521" t="s">
        <v>2652</v>
      </c>
      <c r="X995" s="521" t="s">
        <v>2653</v>
      </c>
      <c r="Y995" s="522" t="s">
        <v>2512</v>
      </c>
      <c r="Z995" s="523" t="s">
        <v>541</v>
      </c>
    </row>
    <row r="996" spans="1:26" ht="29">
      <c r="A996" s="513">
        <v>994</v>
      </c>
      <c r="B996" s="390"/>
      <c r="C996" s="515" t="s">
        <v>3190</v>
      </c>
      <c r="D996" s="262" t="s">
        <v>1119</v>
      </c>
      <c r="E996" s="513">
        <v>995</v>
      </c>
      <c r="F996" s="544" t="s">
        <v>3190</v>
      </c>
      <c r="G996" s="543">
        <v>45584</v>
      </c>
      <c r="H996" s="543">
        <v>45585</v>
      </c>
      <c r="I996" s="543">
        <v>45585</v>
      </c>
      <c r="J996" s="543">
        <v>45585</v>
      </c>
      <c r="K996" s="517">
        <v>45588</v>
      </c>
      <c r="L996" s="518" t="s">
        <v>584</v>
      </c>
      <c r="M996" s="264" t="s">
        <v>2663</v>
      </c>
      <c r="N996" s="262" t="s">
        <v>2186</v>
      </c>
      <c r="O996" s="390" t="s">
        <v>2291</v>
      </c>
      <c r="P996" s="264" t="str">
        <f>O996</f>
        <v>Biaya Rekening Listrik--</v>
      </c>
      <c r="Q996" s="264" t="s">
        <v>2664</v>
      </c>
      <c r="R996" s="519" t="s">
        <v>2665</v>
      </c>
      <c r="S996" s="399">
        <v>1</v>
      </c>
      <c r="T996" s="348" t="s">
        <v>3373</v>
      </c>
      <c r="U996" s="520">
        <v>2000000</v>
      </c>
      <c r="V996" s="266">
        <v>2000000</v>
      </c>
      <c r="W996" s="521" t="s">
        <v>2666</v>
      </c>
      <c r="X996" s="521" t="s">
        <v>2659</v>
      </c>
      <c r="Y996" s="522" t="s">
        <v>2660</v>
      </c>
      <c r="Z996" s="523" t="s">
        <v>2661</v>
      </c>
    </row>
    <row r="997" spans="1:26" ht="29">
      <c r="A997" s="513">
        <v>995</v>
      </c>
      <c r="B997" s="390"/>
      <c r="C997" s="515" t="s">
        <v>3191</v>
      </c>
      <c r="D997" s="262" t="s">
        <v>1120</v>
      </c>
      <c r="E997" s="513">
        <v>996</v>
      </c>
      <c r="F997" s="544" t="s">
        <v>3191</v>
      </c>
      <c r="G997" s="543">
        <v>45585</v>
      </c>
      <c r="H997" s="543">
        <v>45586</v>
      </c>
      <c r="I997" s="543">
        <v>45586</v>
      </c>
      <c r="J997" s="543">
        <v>45586</v>
      </c>
      <c r="K997" s="517">
        <v>45588</v>
      </c>
      <c r="L997" s="518" t="s">
        <v>590</v>
      </c>
      <c r="M997" s="264" t="s">
        <v>2663</v>
      </c>
      <c r="N997" s="262" t="s">
        <v>2187</v>
      </c>
      <c r="O997" s="390" t="s">
        <v>2292</v>
      </c>
      <c r="P997" s="264" t="str">
        <f>O997</f>
        <v>Biaya Langganan Internet--</v>
      </c>
      <c r="Q997" s="264" t="s">
        <v>2668</v>
      </c>
      <c r="R997" s="519" t="s">
        <v>2669</v>
      </c>
      <c r="S997" s="399">
        <v>1</v>
      </c>
      <c r="T997" s="348" t="s">
        <v>3373</v>
      </c>
      <c r="U997" s="520">
        <v>1500000</v>
      </c>
      <c r="V997" s="266">
        <v>1233350</v>
      </c>
      <c r="W997" s="521" t="s">
        <v>3381</v>
      </c>
      <c r="X997" s="521" t="s">
        <v>2659</v>
      </c>
      <c r="Y997" s="522" t="s">
        <v>2660</v>
      </c>
      <c r="Z997" s="523" t="s">
        <v>2661</v>
      </c>
    </row>
    <row r="998" spans="1:26" ht="37.5">
      <c r="A998" s="513">
        <v>996</v>
      </c>
      <c r="B998" s="390"/>
      <c r="C998" s="515" t="s">
        <v>3192</v>
      </c>
      <c r="D998" s="262" t="s">
        <v>1121</v>
      </c>
      <c r="E998" s="513">
        <v>997</v>
      </c>
      <c r="F998" s="544" t="s">
        <v>3192</v>
      </c>
      <c r="G998" s="543">
        <v>45585</v>
      </c>
      <c r="H998" s="543">
        <v>45586</v>
      </c>
      <c r="I998" s="543">
        <v>45586</v>
      </c>
      <c r="J998" s="543">
        <v>45586</v>
      </c>
      <c r="K998" s="517">
        <v>45588</v>
      </c>
      <c r="L998" s="518" t="s">
        <v>464</v>
      </c>
      <c r="M998" s="264" t="s">
        <v>2844</v>
      </c>
      <c r="N998" s="262" t="s">
        <v>2200</v>
      </c>
      <c r="O998" s="390" t="s">
        <v>2296</v>
      </c>
      <c r="P998" s="264" t="s">
        <v>2633</v>
      </c>
      <c r="Q998" s="264" t="s">
        <v>280</v>
      </c>
      <c r="R998" s="528" t="s">
        <v>165</v>
      </c>
      <c r="S998" s="399">
        <v>80</v>
      </c>
      <c r="T998" s="348" t="s">
        <v>3362</v>
      </c>
      <c r="U998" s="520">
        <v>15000</v>
      </c>
      <c r="V998" s="266">
        <v>900000</v>
      </c>
      <c r="W998" s="521" t="s">
        <v>10</v>
      </c>
      <c r="X998" s="521" t="s">
        <v>11</v>
      </c>
      <c r="Y998" s="522" t="s">
        <v>2092</v>
      </c>
      <c r="Z998" s="523" t="s">
        <v>2634</v>
      </c>
    </row>
    <row r="999" spans="1:26" ht="37.5">
      <c r="A999" s="513">
        <v>997</v>
      </c>
      <c r="B999" s="390"/>
      <c r="C999" s="515" t="s">
        <v>3193</v>
      </c>
      <c r="D999" s="262" t="s">
        <v>1122</v>
      </c>
      <c r="E999" s="513">
        <v>998</v>
      </c>
      <c r="F999" s="544" t="s">
        <v>3193</v>
      </c>
      <c r="G999" s="543">
        <v>45585</v>
      </c>
      <c r="H999" s="543">
        <v>45586</v>
      </c>
      <c r="I999" s="543">
        <v>45586</v>
      </c>
      <c r="J999" s="543">
        <v>45586</v>
      </c>
      <c r="K999" s="517">
        <v>45588</v>
      </c>
      <c r="L999" s="518" t="s">
        <v>464</v>
      </c>
      <c r="M999" s="264" t="s">
        <v>2844</v>
      </c>
      <c r="N999" s="262" t="s">
        <v>2200</v>
      </c>
      <c r="O999" s="390" t="s">
        <v>2295</v>
      </c>
      <c r="P999" s="264" t="s">
        <v>467</v>
      </c>
      <c r="Q999" s="264" t="s">
        <v>8</v>
      </c>
      <c r="R999" s="519" t="s">
        <v>2635</v>
      </c>
      <c r="S999" s="399">
        <v>80</v>
      </c>
      <c r="T999" s="348" t="s">
        <v>3362</v>
      </c>
      <c r="U999" s="520">
        <v>40000</v>
      </c>
      <c r="V999" s="266">
        <v>2400000</v>
      </c>
      <c r="W999" s="521" t="s">
        <v>2507</v>
      </c>
      <c r="X999" s="521" t="s">
        <v>2508</v>
      </c>
      <c r="Y999" s="522" t="s">
        <v>2516</v>
      </c>
      <c r="Z999" s="523" t="s">
        <v>2636</v>
      </c>
    </row>
    <row r="1000" spans="1:26" ht="29">
      <c r="A1000" s="513">
        <v>998</v>
      </c>
      <c r="B1000" s="390"/>
      <c r="C1000" s="515" t="s">
        <v>3194</v>
      </c>
      <c r="D1000" s="262" t="s">
        <v>1124</v>
      </c>
      <c r="E1000" s="513">
        <v>999</v>
      </c>
      <c r="F1000" s="544" t="s">
        <v>3194</v>
      </c>
      <c r="G1000" s="543">
        <v>45589</v>
      </c>
      <c r="H1000" s="543">
        <v>45590</v>
      </c>
      <c r="I1000" s="543">
        <v>45590</v>
      </c>
      <c r="J1000" s="543">
        <v>45590</v>
      </c>
      <c r="K1000" s="517">
        <v>45590</v>
      </c>
      <c r="L1000" s="518" t="s">
        <v>2180</v>
      </c>
      <c r="M1000" s="264" t="s">
        <v>2643</v>
      </c>
      <c r="N1000" s="262" t="s">
        <v>2183</v>
      </c>
      <c r="O1000" s="390" t="s">
        <v>2285</v>
      </c>
      <c r="P1000" s="264" t="s">
        <v>2442</v>
      </c>
      <c r="Q1000" s="264" t="s">
        <v>1545</v>
      </c>
      <c r="R1000" s="519" t="s">
        <v>163</v>
      </c>
      <c r="S1000" s="399">
        <v>25</v>
      </c>
      <c r="T1000" s="348" t="s">
        <v>3372</v>
      </c>
      <c r="U1000" s="520">
        <v>50000</v>
      </c>
      <c r="V1000" s="266">
        <v>1250000</v>
      </c>
      <c r="W1000" s="521" t="s">
        <v>10</v>
      </c>
      <c r="X1000" s="521" t="s">
        <v>11</v>
      </c>
      <c r="Y1000" s="522" t="s">
        <v>2092</v>
      </c>
      <c r="Z1000" s="523" t="s">
        <v>2634</v>
      </c>
    </row>
    <row r="1001" spans="1:26" ht="29">
      <c r="A1001" s="513">
        <v>999</v>
      </c>
      <c r="B1001" s="390"/>
      <c r="C1001" s="515" t="s">
        <v>3195</v>
      </c>
      <c r="D1001" s="262" t="s">
        <v>1125</v>
      </c>
      <c r="E1001" s="513">
        <v>1000</v>
      </c>
      <c r="F1001" s="544" t="s">
        <v>3195</v>
      </c>
      <c r="G1001" s="543">
        <v>45589</v>
      </c>
      <c r="H1001" s="543">
        <v>45590</v>
      </c>
      <c r="I1001" s="543">
        <v>45590</v>
      </c>
      <c r="J1001" s="543">
        <v>45590</v>
      </c>
      <c r="K1001" s="517">
        <v>45590</v>
      </c>
      <c r="L1001" s="518" t="s">
        <v>611</v>
      </c>
      <c r="M1001" s="264" t="s">
        <v>2587</v>
      </c>
      <c r="N1001" s="262" t="s">
        <v>2189</v>
      </c>
      <c r="O1001" s="390" t="s">
        <v>2294</v>
      </c>
      <c r="P1001" s="264" t="str">
        <f t="shared" ref="P1001:P1017" si="41">O1001</f>
        <v>Belanja Jasa Tenaga Operator Komputer--</v>
      </c>
      <c r="Q1001" s="264" t="s">
        <v>2672</v>
      </c>
      <c r="R1001" s="528" t="s">
        <v>2673</v>
      </c>
      <c r="S1001" s="399">
        <v>1</v>
      </c>
      <c r="T1001" s="348" t="s">
        <v>3373</v>
      </c>
      <c r="U1001" s="520">
        <v>1000000</v>
      </c>
      <c r="V1001" s="266">
        <v>1000000</v>
      </c>
      <c r="W1001" s="521" t="s">
        <v>2659</v>
      </c>
      <c r="X1001" s="521" t="s">
        <v>2659</v>
      </c>
      <c r="Y1001" s="522" t="s">
        <v>2660</v>
      </c>
      <c r="Z1001" s="523" t="s">
        <v>2661</v>
      </c>
    </row>
    <row r="1002" spans="1:26" ht="29">
      <c r="A1002" s="513">
        <v>1000</v>
      </c>
      <c r="B1002" s="390"/>
      <c r="C1002" s="515" t="s">
        <v>3196</v>
      </c>
      <c r="D1002" s="262" t="s">
        <v>1130</v>
      </c>
      <c r="E1002" s="513">
        <v>1001</v>
      </c>
      <c r="F1002" s="544" t="s">
        <v>3196</v>
      </c>
      <c r="G1002" s="543">
        <v>45590</v>
      </c>
      <c r="H1002" s="543">
        <v>45591</v>
      </c>
      <c r="I1002" s="543">
        <v>45591</v>
      </c>
      <c r="J1002" s="543">
        <v>45591</v>
      </c>
      <c r="K1002" s="517">
        <v>45591</v>
      </c>
      <c r="L1002" s="518" t="s">
        <v>571</v>
      </c>
      <c r="M1002" s="264" t="s">
        <v>2587</v>
      </c>
      <c r="N1002" s="262" t="s">
        <v>2176</v>
      </c>
      <c r="O1002" s="390" t="s">
        <v>9</v>
      </c>
      <c r="P1002" s="264" t="str">
        <f t="shared" si="41"/>
        <v>Foto Copy Filio dan Kuarto</v>
      </c>
      <c r="Q1002" s="525" t="s">
        <v>2675</v>
      </c>
      <c r="R1002" s="525" t="s">
        <v>2676</v>
      </c>
      <c r="S1002" s="399">
        <v>4739</v>
      </c>
      <c r="T1002" s="348" t="s">
        <v>3368</v>
      </c>
      <c r="U1002" s="520">
        <v>350</v>
      </c>
      <c r="V1002" s="266">
        <v>1575000</v>
      </c>
      <c r="W1002" s="521" t="s">
        <v>227</v>
      </c>
      <c r="X1002" s="521" t="s">
        <v>3383</v>
      </c>
      <c r="Y1002" s="522" t="s">
        <v>2512</v>
      </c>
      <c r="Z1002" s="523" t="s">
        <v>541</v>
      </c>
    </row>
    <row r="1003" spans="1:26">
      <c r="A1003" s="513">
        <v>1001</v>
      </c>
      <c r="B1003" s="390"/>
      <c r="C1003" s="515" t="s">
        <v>3197</v>
      </c>
      <c r="D1003" s="262" t="s">
        <v>3198</v>
      </c>
      <c r="E1003" s="513">
        <v>1002</v>
      </c>
      <c r="F1003" s="544" t="s">
        <v>3197</v>
      </c>
      <c r="G1003" s="543">
        <v>45593</v>
      </c>
      <c r="H1003" s="543">
        <v>45593</v>
      </c>
      <c r="I1003" s="543">
        <v>45593</v>
      </c>
      <c r="J1003" s="543">
        <v>45593</v>
      </c>
      <c r="K1003" s="517">
        <v>45593</v>
      </c>
      <c r="L1003" s="518" t="s">
        <v>2678</v>
      </c>
      <c r="M1003" s="264" t="s">
        <v>2679</v>
      </c>
      <c r="N1003" s="262" t="s">
        <v>2680</v>
      </c>
      <c r="O1003" s="390" t="s">
        <v>2681</v>
      </c>
      <c r="P1003" s="264" t="str">
        <f t="shared" si="41"/>
        <v>Selatieli Nehe</v>
      </c>
      <c r="Q1003" s="264" t="s">
        <v>2682</v>
      </c>
      <c r="R1003" s="528" t="s">
        <v>2683</v>
      </c>
      <c r="S1003" s="399">
        <v>33</v>
      </c>
      <c r="T1003" s="348" t="s">
        <v>3374</v>
      </c>
      <c r="U1003" s="520">
        <v>75000</v>
      </c>
      <c r="V1003" s="266">
        <v>2700000</v>
      </c>
      <c r="W1003" s="521" t="s">
        <v>2684</v>
      </c>
      <c r="X1003" s="264"/>
      <c r="Y1003" s="264"/>
      <c r="Z1003" s="528"/>
    </row>
    <row r="1004" spans="1:26">
      <c r="A1004" s="513">
        <v>1002</v>
      </c>
      <c r="B1004" s="390"/>
      <c r="C1004" s="515" t="s">
        <v>3199</v>
      </c>
      <c r="D1004" s="262" t="s">
        <v>3200</v>
      </c>
      <c r="E1004" s="513">
        <v>1003</v>
      </c>
      <c r="F1004" s="544" t="s">
        <v>3199</v>
      </c>
      <c r="G1004" s="543">
        <v>45593</v>
      </c>
      <c r="H1004" s="543">
        <v>45593</v>
      </c>
      <c r="I1004" s="543">
        <v>45593</v>
      </c>
      <c r="J1004" s="543">
        <v>45593</v>
      </c>
      <c r="K1004" s="517">
        <v>45593</v>
      </c>
      <c r="L1004" s="518" t="s">
        <v>2678</v>
      </c>
      <c r="M1004" s="264" t="s">
        <v>2679</v>
      </c>
      <c r="N1004" s="262" t="s">
        <v>2680</v>
      </c>
      <c r="O1004" s="390" t="s">
        <v>2686</v>
      </c>
      <c r="P1004" s="264" t="str">
        <f t="shared" si="41"/>
        <v>Arifin Metodi Bate'e</v>
      </c>
      <c r="Q1004" s="264" t="s">
        <v>2682</v>
      </c>
      <c r="R1004" s="528" t="s">
        <v>2683</v>
      </c>
      <c r="S1004" s="399">
        <v>34</v>
      </c>
      <c r="T1004" s="348" t="s">
        <v>3374</v>
      </c>
      <c r="U1004" s="520">
        <v>75000</v>
      </c>
      <c r="V1004" s="266">
        <v>2400000</v>
      </c>
      <c r="W1004" s="521" t="s">
        <v>2684</v>
      </c>
      <c r="X1004" s="264"/>
      <c r="Y1004" s="264"/>
      <c r="Z1004" s="528"/>
    </row>
    <row r="1005" spans="1:26">
      <c r="A1005" s="513">
        <v>1003</v>
      </c>
      <c r="B1005" s="390"/>
      <c r="C1005" s="515" t="s">
        <v>3201</v>
      </c>
      <c r="D1005" s="262" t="s">
        <v>3202</v>
      </c>
      <c r="E1005" s="513">
        <v>1004</v>
      </c>
      <c r="F1005" s="544" t="s">
        <v>3201</v>
      </c>
      <c r="G1005" s="543">
        <v>45593</v>
      </c>
      <c r="H1005" s="543">
        <v>45593</v>
      </c>
      <c r="I1005" s="543">
        <v>45593</v>
      </c>
      <c r="J1005" s="543">
        <v>45593</v>
      </c>
      <c r="K1005" s="517">
        <v>45593</v>
      </c>
      <c r="L1005" s="518" t="s">
        <v>2678</v>
      </c>
      <c r="M1005" s="264" t="s">
        <v>2679</v>
      </c>
      <c r="N1005" s="262" t="s">
        <v>2680</v>
      </c>
      <c r="O1005" s="390" t="s">
        <v>2688</v>
      </c>
      <c r="P1005" s="264" t="str">
        <f t="shared" si="41"/>
        <v>Ferdiwati Wau</v>
      </c>
      <c r="Q1005" s="264" t="s">
        <v>2682</v>
      </c>
      <c r="R1005" s="528" t="s">
        <v>2683</v>
      </c>
      <c r="S1005" s="399">
        <v>30</v>
      </c>
      <c r="T1005" s="348" t="s">
        <v>3374</v>
      </c>
      <c r="U1005" s="520">
        <v>75000</v>
      </c>
      <c r="V1005" s="266">
        <v>2175000</v>
      </c>
      <c r="W1005" s="521" t="s">
        <v>2684</v>
      </c>
      <c r="X1005" s="264"/>
      <c r="Y1005" s="264"/>
      <c r="Z1005" s="528"/>
    </row>
    <row r="1006" spans="1:26">
      <c r="A1006" s="513">
        <v>1004</v>
      </c>
      <c r="B1006" s="390"/>
      <c r="C1006" s="515" t="s">
        <v>3203</v>
      </c>
      <c r="D1006" s="262" t="s">
        <v>3204</v>
      </c>
      <c r="E1006" s="513">
        <v>1005</v>
      </c>
      <c r="F1006" s="544" t="s">
        <v>3203</v>
      </c>
      <c r="G1006" s="543">
        <v>45593</v>
      </c>
      <c r="H1006" s="543">
        <v>45593</v>
      </c>
      <c r="I1006" s="543">
        <v>45593</v>
      </c>
      <c r="J1006" s="543">
        <v>45593</v>
      </c>
      <c r="K1006" s="517">
        <v>45593</v>
      </c>
      <c r="L1006" s="518" t="s">
        <v>2678</v>
      </c>
      <c r="M1006" s="264" t="s">
        <v>2679</v>
      </c>
      <c r="N1006" s="262" t="s">
        <v>2680</v>
      </c>
      <c r="O1006" s="390" t="s">
        <v>2690</v>
      </c>
      <c r="P1006" s="264" t="str">
        <f t="shared" si="41"/>
        <v>Noni Alfanita Sarumaha, S.Pd</v>
      </c>
      <c r="Q1006" s="264" t="s">
        <v>2682</v>
      </c>
      <c r="R1006" s="528" t="s">
        <v>2683</v>
      </c>
      <c r="S1006" s="399">
        <v>33</v>
      </c>
      <c r="T1006" s="348" t="s">
        <v>3374</v>
      </c>
      <c r="U1006" s="520">
        <v>75000</v>
      </c>
      <c r="V1006" s="266">
        <v>2625000</v>
      </c>
      <c r="W1006" s="521" t="s">
        <v>2684</v>
      </c>
      <c r="X1006" s="264"/>
      <c r="Y1006" s="264"/>
      <c r="Z1006" s="528"/>
    </row>
    <row r="1007" spans="1:26">
      <c r="A1007" s="513">
        <v>1005</v>
      </c>
      <c r="B1007" s="390"/>
      <c r="C1007" s="515" t="s">
        <v>3205</v>
      </c>
      <c r="D1007" s="262" t="s">
        <v>3206</v>
      </c>
      <c r="E1007" s="513">
        <v>1006</v>
      </c>
      <c r="F1007" s="544" t="s">
        <v>3205</v>
      </c>
      <c r="G1007" s="543">
        <v>45593</v>
      </c>
      <c r="H1007" s="543">
        <v>45593</v>
      </c>
      <c r="I1007" s="543">
        <v>45593</v>
      </c>
      <c r="J1007" s="543">
        <v>45593</v>
      </c>
      <c r="K1007" s="517">
        <v>45593</v>
      </c>
      <c r="L1007" s="518" t="s">
        <v>2678</v>
      </c>
      <c r="M1007" s="264" t="s">
        <v>2679</v>
      </c>
      <c r="N1007" s="262" t="s">
        <v>2680</v>
      </c>
      <c r="O1007" s="390" t="s">
        <v>2692</v>
      </c>
      <c r="P1007" s="264" t="str">
        <f t="shared" si="41"/>
        <v>EMILA HAFO</v>
      </c>
      <c r="Q1007" s="264" t="s">
        <v>2682</v>
      </c>
      <c r="R1007" s="528" t="s">
        <v>2683</v>
      </c>
      <c r="S1007" s="399">
        <v>28</v>
      </c>
      <c r="T1007" s="348" t="s">
        <v>3374</v>
      </c>
      <c r="U1007" s="520">
        <v>75000</v>
      </c>
      <c r="V1007" s="266">
        <v>2475000</v>
      </c>
      <c r="W1007" s="521" t="s">
        <v>2684</v>
      </c>
      <c r="X1007" s="264"/>
      <c r="Y1007" s="264"/>
      <c r="Z1007" s="528"/>
    </row>
    <row r="1008" spans="1:26">
      <c r="A1008" s="513">
        <v>1006</v>
      </c>
      <c r="B1008" s="390"/>
      <c r="C1008" s="515" t="s">
        <v>3207</v>
      </c>
      <c r="D1008" s="262" t="s">
        <v>3208</v>
      </c>
      <c r="E1008" s="513">
        <v>1007</v>
      </c>
      <c r="F1008" s="544" t="s">
        <v>3207</v>
      </c>
      <c r="G1008" s="543">
        <v>45593</v>
      </c>
      <c r="H1008" s="543">
        <v>45593</v>
      </c>
      <c r="I1008" s="543">
        <v>45593</v>
      </c>
      <c r="J1008" s="543">
        <v>45593</v>
      </c>
      <c r="K1008" s="517">
        <v>45593</v>
      </c>
      <c r="L1008" s="518" t="s">
        <v>2678</v>
      </c>
      <c r="M1008" s="264" t="s">
        <v>2679</v>
      </c>
      <c r="N1008" s="262" t="s">
        <v>2680</v>
      </c>
      <c r="O1008" s="390" t="s">
        <v>2694</v>
      </c>
      <c r="P1008" s="264" t="str">
        <f t="shared" si="41"/>
        <v>Asep Nurhidayat</v>
      </c>
      <c r="Q1008" s="264" t="s">
        <v>2682</v>
      </c>
      <c r="R1008" s="528" t="s">
        <v>2683</v>
      </c>
      <c r="S1008" s="399">
        <v>33</v>
      </c>
      <c r="T1008" s="348" t="s">
        <v>3374</v>
      </c>
      <c r="U1008" s="520">
        <v>75000</v>
      </c>
      <c r="V1008" s="266">
        <v>1575000</v>
      </c>
      <c r="W1008" s="521" t="s">
        <v>2684</v>
      </c>
      <c r="X1008" s="264"/>
      <c r="Y1008" s="264"/>
      <c r="Z1008" s="528"/>
    </row>
    <row r="1009" spans="1:26">
      <c r="A1009" s="513">
        <v>1007</v>
      </c>
      <c r="B1009" s="390"/>
      <c r="C1009" s="515" t="s">
        <v>3209</v>
      </c>
      <c r="D1009" s="262" t="s">
        <v>3210</v>
      </c>
      <c r="E1009" s="513">
        <v>1008</v>
      </c>
      <c r="F1009" s="544" t="s">
        <v>3209</v>
      </c>
      <c r="G1009" s="543">
        <v>45593</v>
      </c>
      <c r="H1009" s="543">
        <v>45593</v>
      </c>
      <c r="I1009" s="543">
        <v>45593</v>
      </c>
      <c r="J1009" s="543">
        <v>45593</v>
      </c>
      <c r="K1009" s="517">
        <v>45593</v>
      </c>
      <c r="L1009" s="518" t="s">
        <v>2696</v>
      </c>
      <c r="M1009" s="264" t="s">
        <v>2679</v>
      </c>
      <c r="N1009" s="262" t="s">
        <v>2697</v>
      </c>
      <c r="O1009" s="390" t="s">
        <v>2698</v>
      </c>
      <c r="P1009" s="264" t="str">
        <f t="shared" si="41"/>
        <v>Estera Nehe</v>
      </c>
      <c r="Q1009" s="264" t="s">
        <v>2699</v>
      </c>
      <c r="R1009" s="528" t="s">
        <v>2700</v>
      </c>
      <c r="S1009" s="399">
        <v>1</v>
      </c>
      <c r="T1009" s="348" t="s">
        <v>3373</v>
      </c>
      <c r="U1009" s="520">
        <v>2000000</v>
      </c>
      <c r="V1009" s="266">
        <v>2000000</v>
      </c>
      <c r="W1009" s="521" t="s">
        <v>2684</v>
      </c>
      <c r="X1009" s="264"/>
      <c r="Y1009" s="264"/>
      <c r="Z1009" s="528"/>
    </row>
    <row r="1010" spans="1:26">
      <c r="A1010" s="513">
        <v>1008</v>
      </c>
      <c r="B1010" s="390"/>
      <c r="C1010" s="515" t="s">
        <v>3211</v>
      </c>
      <c r="D1010" s="262" t="s">
        <v>3212</v>
      </c>
      <c r="E1010" s="513">
        <v>1009</v>
      </c>
      <c r="F1010" s="544" t="s">
        <v>3211</v>
      </c>
      <c r="G1010" s="543">
        <v>45593</v>
      </c>
      <c r="H1010" s="543">
        <v>45593</v>
      </c>
      <c r="I1010" s="543">
        <v>45593</v>
      </c>
      <c r="J1010" s="543">
        <v>45593</v>
      </c>
      <c r="K1010" s="517">
        <v>45593</v>
      </c>
      <c r="L1010" s="518" t="s">
        <v>2696</v>
      </c>
      <c r="M1010" s="264" t="s">
        <v>2679</v>
      </c>
      <c r="N1010" s="262" t="s">
        <v>2697</v>
      </c>
      <c r="O1010" s="390" t="s">
        <v>2702</v>
      </c>
      <c r="P1010" s="264" t="str">
        <f t="shared" si="41"/>
        <v>Hatieli Buulolo</v>
      </c>
      <c r="Q1010" s="264" t="s">
        <v>2699</v>
      </c>
      <c r="R1010" s="528" t="s">
        <v>2700</v>
      </c>
      <c r="S1010" s="399">
        <v>1</v>
      </c>
      <c r="T1010" s="348" t="s">
        <v>3373</v>
      </c>
      <c r="U1010" s="520">
        <v>2000000</v>
      </c>
      <c r="V1010" s="266">
        <v>2000000</v>
      </c>
      <c r="W1010" s="521" t="s">
        <v>2684</v>
      </c>
      <c r="X1010" s="264"/>
      <c r="Y1010" s="264"/>
      <c r="Z1010" s="528"/>
    </row>
    <row r="1011" spans="1:26">
      <c r="A1011" s="513">
        <v>1009</v>
      </c>
      <c r="B1011" s="390"/>
      <c r="C1011" s="515" t="s">
        <v>3213</v>
      </c>
      <c r="D1011" s="262" t="s">
        <v>3214</v>
      </c>
      <c r="E1011" s="513">
        <v>1010</v>
      </c>
      <c r="F1011" s="544" t="s">
        <v>3213</v>
      </c>
      <c r="G1011" s="543">
        <v>45593</v>
      </c>
      <c r="H1011" s="543">
        <v>45593</v>
      </c>
      <c r="I1011" s="543">
        <v>45593</v>
      </c>
      <c r="J1011" s="543">
        <v>45593</v>
      </c>
      <c r="K1011" s="517">
        <v>45593</v>
      </c>
      <c r="L1011" s="518" t="s">
        <v>2696</v>
      </c>
      <c r="M1011" s="264" t="s">
        <v>2679</v>
      </c>
      <c r="N1011" s="262" t="s">
        <v>2697</v>
      </c>
      <c r="O1011" s="390" t="s">
        <v>2704</v>
      </c>
      <c r="P1011" s="264" t="str">
        <f t="shared" si="41"/>
        <v>David J. Sitinjak</v>
      </c>
      <c r="Q1011" s="264" t="s">
        <v>2699</v>
      </c>
      <c r="R1011" s="528" t="s">
        <v>2700</v>
      </c>
      <c r="S1011" s="399">
        <v>1</v>
      </c>
      <c r="T1011" s="348" t="s">
        <v>3373</v>
      </c>
      <c r="U1011" s="520">
        <v>2000000</v>
      </c>
      <c r="V1011" s="266">
        <v>2000000</v>
      </c>
      <c r="W1011" s="521" t="s">
        <v>2684</v>
      </c>
      <c r="X1011" s="264"/>
      <c r="Y1011" s="264"/>
      <c r="Z1011" s="528"/>
    </row>
    <row r="1012" spans="1:26">
      <c r="A1012" s="513">
        <v>1010</v>
      </c>
      <c r="B1012" s="390"/>
      <c r="C1012" s="515" t="s">
        <v>3215</v>
      </c>
      <c r="D1012" s="262" t="s">
        <v>3216</v>
      </c>
      <c r="E1012" s="513">
        <v>1011</v>
      </c>
      <c r="F1012" s="544" t="s">
        <v>3215</v>
      </c>
      <c r="G1012" s="543">
        <v>45593</v>
      </c>
      <c r="H1012" s="543">
        <v>45593</v>
      </c>
      <c r="I1012" s="543">
        <v>45593</v>
      </c>
      <c r="J1012" s="543">
        <v>45593</v>
      </c>
      <c r="K1012" s="517">
        <v>45593</v>
      </c>
      <c r="L1012" s="518" t="s">
        <v>2696</v>
      </c>
      <c r="M1012" s="264" t="s">
        <v>2679</v>
      </c>
      <c r="N1012" s="262" t="s">
        <v>2697</v>
      </c>
      <c r="O1012" s="390" t="s">
        <v>2706</v>
      </c>
      <c r="P1012" s="264" t="str">
        <f t="shared" si="41"/>
        <v>Siona Ziraluo</v>
      </c>
      <c r="Q1012" s="264" t="s">
        <v>2699</v>
      </c>
      <c r="R1012" s="528" t="s">
        <v>2700</v>
      </c>
      <c r="S1012" s="399">
        <v>1</v>
      </c>
      <c r="T1012" s="348" t="s">
        <v>3373</v>
      </c>
      <c r="U1012" s="520">
        <v>2000000</v>
      </c>
      <c r="V1012" s="266">
        <v>2000000</v>
      </c>
      <c r="W1012" s="521" t="s">
        <v>2684</v>
      </c>
      <c r="X1012" s="264"/>
      <c r="Y1012" s="264"/>
      <c r="Z1012" s="528"/>
    </row>
    <row r="1013" spans="1:26">
      <c r="A1013" s="513">
        <v>1011</v>
      </c>
      <c r="B1013" s="390"/>
      <c r="C1013" s="515" t="s">
        <v>3217</v>
      </c>
      <c r="D1013" s="262" t="s">
        <v>3218</v>
      </c>
      <c r="E1013" s="513">
        <v>1012</v>
      </c>
      <c r="F1013" s="544" t="s">
        <v>3217</v>
      </c>
      <c r="G1013" s="543">
        <v>45593</v>
      </c>
      <c r="H1013" s="543">
        <v>45593</v>
      </c>
      <c r="I1013" s="543">
        <v>45593</v>
      </c>
      <c r="J1013" s="543">
        <v>45593</v>
      </c>
      <c r="K1013" s="517">
        <v>45593</v>
      </c>
      <c r="L1013" s="518" t="s">
        <v>2696</v>
      </c>
      <c r="M1013" s="264" t="s">
        <v>2679</v>
      </c>
      <c r="N1013" s="262" t="s">
        <v>2697</v>
      </c>
      <c r="O1013" s="390" t="s">
        <v>2708</v>
      </c>
      <c r="P1013" s="264" t="str">
        <f t="shared" si="41"/>
        <v>Merdina Ziraluo</v>
      </c>
      <c r="Q1013" s="264" t="s">
        <v>2699</v>
      </c>
      <c r="R1013" s="528" t="s">
        <v>2700</v>
      </c>
      <c r="S1013" s="399">
        <v>1</v>
      </c>
      <c r="T1013" s="348" t="s">
        <v>3373</v>
      </c>
      <c r="U1013" s="520">
        <v>2000000</v>
      </c>
      <c r="V1013" s="266">
        <v>2000000</v>
      </c>
      <c r="W1013" s="521" t="s">
        <v>2684</v>
      </c>
      <c r="X1013" s="264"/>
      <c r="Y1013" s="264"/>
      <c r="Z1013" s="528"/>
    </row>
    <row r="1014" spans="1:26">
      <c r="A1014" s="513">
        <v>1012</v>
      </c>
      <c r="B1014" s="390"/>
      <c r="C1014" s="515" t="s">
        <v>3219</v>
      </c>
      <c r="D1014" s="262" t="s">
        <v>3220</v>
      </c>
      <c r="E1014" s="513">
        <v>1013</v>
      </c>
      <c r="F1014" s="544" t="s">
        <v>3219</v>
      </c>
      <c r="G1014" s="543">
        <v>45593</v>
      </c>
      <c r="H1014" s="543">
        <v>45593</v>
      </c>
      <c r="I1014" s="543">
        <v>45593</v>
      </c>
      <c r="J1014" s="543">
        <v>45593</v>
      </c>
      <c r="K1014" s="517">
        <v>45593</v>
      </c>
      <c r="L1014" s="518" t="s">
        <v>2696</v>
      </c>
      <c r="M1014" s="264" t="s">
        <v>2679</v>
      </c>
      <c r="N1014" s="262" t="s">
        <v>2697</v>
      </c>
      <c r="O1014" s="390" t="s">
        <v>3157</v>
      </c>
      <c r="P1014" s="264" t="str">
        <f t="shared" si="41"/>
        <v>Oksilia Buulolo, S.S</v>
      </c>
      <c r="Q1014" s="264" t="s">
        <v>2699</v>
      </c>
      <c r="R1014" s="528" t="s">
        <v>2700</v>
      </c>
      <c r="S1014" s="399">
        <v>1</v>
      </c>
      <c r="T1014" s="348" t="s">
        <v>3373</v>
      </c>
      <c r="U1014" s="520">
        <v>2000000</v>
      </c>
      <c r="V1014" s="266">
        <v>2000000</v>
      </c>
      <c r="W1014" s="521" t="s">
        <v>2684</v>
      </c>
      <c r="X1014" s="264"/>
      <c r="Y1014" s="264"/>
      <c r="Z1014" s="528"/>
    </row>
    <row r="1015" spans="1:26">
      <c r="A1015" s="513">
        <v>1013</v>
      </c>
      <c r="B1015" s="390"/>
      <c r="C1015" s="515" t="s">
        <v>3221</v>
      </c>
      <c r="D1015" s="262" t="s">
        <v>3222</v>
      </c>
      <c r="E1015" s="513">
        <v>1014</v>
      </c>
      <c r="F1015" s="544" t="s">
        <v>3221</v>
      </c>
      <c r="G1015" s="543">
        <v>45593</v>
      </c>
      <c r="H1015" s="543">
        <v>45593</v>
      </c>
      <c r="I1015" s="543">
        <v>45593</v>
      </c>
      <c r="J1015" s="543">
        <v>45593</v>
      </c>
      <c r="K1015" s="517">
        <v>45593</v>
      </c>
      <c r="L1015" s="518" t="s">
        <v>2696</v>
      </c>
      <c r="M1015" s="264" t="s">
        <v>2679</v>
      </c>
      <c r="N1015" s="262" t="s">
        <v>2697</v>
      </c>
      <c r="O1015" s="390" t="s">
        <v>3162</v>
      </c>
      <c r="P1015" s="264" t="str">
        <f t="shared" si="41"/>
        <v>Novika Efdimasari Halawa, S.S.I</v>
      </c>
      <c r="Q1015" s="264" t="s">
        <v>2699</v>
      </c>
      <c r="R1015" s="528" t="s">
        <v>2700</v>
      </c>
      <c r="S1015" s="399">
        <v>1</v>
      </c>
      <c r="T1015" s="348" t="s">
        <v>3373</v>
      </c>
      <c r="U1015" s="520">
        <v>2000000</v>
      </c>
      <c r="V1015" s="266">
        <v>2000000</v>
      </c>
      <c r="W1015" s="521" t="s">
        <v>2684</v>
      </c>
      <c r="X1015" s="264"/>
      <c r="Y1015" s="264"/>
      <c r="Z1015" s="528"/>
    </row>
    <row r="1016" spans="1:26">
      <c r="A1016" s="513">
        <v>1014</v>
      </c>
      <c r="B1016" s="390"/>
      <c r="C1016" s="515" t="s">
        <v>3223</v>
      </c>
      <c r="D1016" s="262" t="s">
        <v>3224</v>
      </c>
      <c r="E1016" s="513">
        <v>1015</v>
      </c>
      <c r="F1016" s="544" t="s">
        <v>3223</v>
      </c>
      <c r="G1016" s="543">
        <v>45593</v>
      </c>
      <c r="H1016" s="543">
        <v>45593</v>
      </c>
      <c r="I1016" s="543">
        <v>45593</v>
      </c>
      <c r="J1016" s="543">
        <v>45593</v>
      </c>
      <c r="K1016" s="517">
        <v>45593</v>
      </c>
      <c r="L1016" s="518" t="s">
        <v>1198</v>
      </c>
      <c r="M1016" s="264" t="s">
        <v>2679</v>
      </c>
      <c r="N1016" s="262" t="s">
        <v>2711</v>
      </c>
      <c r="O1016" s="390" t="s">
        <v>3167</v>
      </c>
      <c r="P1016" s="264" t="str">
        <f t="shared" si="41"/>
        <v>Zefrianus Zai</v>
      </c>
      <c r="Q1016" s="264" t="s">
        <v>2699</v>
      </c>
      <c r="R1016" s="528" t="s">
        <v>2700</v>
      </c>
      <c r="S1016" s="399">
        <v>1</v>
      </c>
      <c r="T1016" s="348" t="s">
        <v>3373</v>
      </c>
      <c r="U1016" s="520">
        <v>2000000</v>
      </c>
      <c r="V1016" s="266">
        <v>2000000</v>
      </c>
      <c r="W1016" s="521" t="s">
        <v>3168</v>
      </c>
      <c r="X1016" s="264"/>
      <c r="Y1016" s="264"/>
      <c r="Z1016" s="528"/>
    </row>
    <row r="1017" spans="1:26">
      <c r="A1017" s="513">
        <v>1015</v>
      </c>
      <c r="B1017" s="390"/>
      <c r="C1017" s="515" t="s">
        <v>3225</v>
      </c>
      <c r="D1017" s="262" t="s">
        <v>1139</v>
      </c>
      <c r="E1017" s="513">
        <v>1016</v>
      </c>
      <c r="F1017" s="544" t="s">
        <v>3225</v>
      </c>
      <c r="G1017" s="543">
        <v>45593</v>
      </c>
      <c r="H1017" s="543">
        <v>45593</v>
      </c>
      <c r="I1017" s="543">
        <v>45593</v>
      </c>
      <c r="J1017" s="543">
        <v>45593</v>
      </c>
      <c r="K1017" s="517">
        <v>45593</v>
      </c>
      <c r="L1017" s="518" t="s">
        <v>2710</v>
      </c>
      <c r="M1017" s="264" t="s">
        <v>2679</v>
      </c>
      <c r="N1017" s="262" t="s">
        <v>2711</v>
      </c>
      <c r="O1017" s="390" t="s">
        <v>3173</v>
      </c>
      <c r="P1017" s="264" t="str">
        <f t="shared" si="41"/>
        <v>Thomas Hondro</v>
      </c>
      <c r="Q1017" s="264" t="s">
        <v>2713</v>
      </c>
      <c r="R1017" s="528" t="s">
        <v>2714</v>
      </c>
      <c r="S1017" s="399">
        <v>1</v>
      </c>
      <c r="T1017" s="348" t="s">
        <v>3373</v>
      </c>
      <c r="U1017" s="520">
        <v>1000000</v>
      </c>
      <c r="V1017" s="266">
        <v>1000000</v>
      </c>
      <c r="W1017" s="521" t="s">
        <v>2715</v>
      </c>
      <c r="X1017" s="521" t="s">
        <v>2715</v>
      </c>
      <c r="Y1017" s="264"/>
      <c r="Z1017" s="528"/>
    </row>
    <row r="1018" spans="1:26" ht="29">
      <c r="A1018" s="513">
        <v>1016</v>
      </c>
      <c r="B1018" s="547"/>
      <c r="C1018" s="515" t="s">
        <v>3226</v>
      </c>
      <c r="D1018" s="545" t="s">
        <v>1143</v>
      </c>
      <c r="E1018" s="513">
        <v>1017</v>
      </c>
      <c r="F1018" s="544" t="s">
        <v>3226</v>
      </c>
      <c r="G1018" s="543">
        <v>45595</v>
      </c>
      <c r="H1018" s="543">
        <v>45596</v>
      </c>
      <c r="I1018" s="543">
        <v>45596</v>
      </c>
      <c r="J1018" s="543">
        <v>45596</v>
      </c>
      <c r="K1018" s="546">
        <v>45596</v>
      </c>
      <c r="L1018" s="518" t="s">
        <v>2180</v>
      </c>
      <c r="M1018" s="264" t="s">
        <v>2587</v>
      </c>
      <c r="N1018" s="545" t="s">
        <v>1004</v>
      </c>
      <c r="O1018" s="547" t="s">
        <v>2297</v>
      </c>
      <c r="P1018" s="264" t="s">
        <v>2633</v>
      </c>
      <c r="Q1018" s="264" t="s">
        <v>280</v>
      </c>
      <c r="R1018" s="528" t="s">
        <v>165</v>
      </c>
      <c r="S1018" s="399">
        <v>60</v>
      </c>
      <c r="T1018" s="348" t="s">
        <v>3363</v>
      </c>
      <c r="U1018" s="520">
        <v>15000</v>
      </c>
      <c r="V1018" s="548">
        <v>900000</v>
      </c>
      <c r="W1018" s="521" t="s">
        <v>10</v>
      </c>
      <c r="X1018" s="264" t="s">
        <v>11</v>
      </c>
      <c r="Y1018" s="522" t="s">
        <v>2092</v>
      </c>
      <c r="Z1018" s="523" t="s">
        <v>2634</v>
      </c>
    </row>
    <row r="1019" spans="1:26" ht="29">
      <c r="A1019" s="513">
        <v>1017</v>
      </c>
      <c r="B1019" s="390"/>
      <c r="C1019" s="515" t="s">
        <v>3227</v>
      </c>
      <c r="D1019" s="262" t="s">
        <v>3228</v>
      </c>
      <c r="E1019" s="513">
        <v>1018</v>
      </c>
      <c r="F1019" s="544" t="s">
        <v>3227</v>
      </c>
      <c r="G1019" s="543">
        <v>41214</v>
      </c>
      <c r="H1019" s="543">
        <v>41214</v>
      </c>
      <c r="I1019" s="543">
        <v>41214</v>
      </c>
      <c r="J1019" s="543">
        <v>41214</v>
      </c>
      <c r="K1019" s="517">
        <v>45597</v>
      </c>
      <c r="L1019" s="518" t="s">
        <v>705</v>
      </c>
      <c r="M1019" s="264" t="s">
        <v>2587</v>
      </c>
      <c r="N1019" s="262" t="s">
        <v>2176</v>
      </c>
      <c r="O1019" s="390" t="s">
        <v>255</v>
      </c>
      <c r="P1019" s="264" t="str">
        <f>O1019</f>
        <v>PAPER CLIP  Paper Clip No 1</v>
      </c>
      <c r="Q1019" s="264" t="s">
        <v>710</v>
      </c>
      <c r="R1019" s="519" t="s">
        <v>144</v>
      </c>
      <c r="S1019" s="399">
        <v>5</v>
      </c>
      <c r="T1019" s="348" t="s">
        <v>3362</v>
      </c>
      <c r="U1019" s="520">
        <v>5000</v>
      </c>
      <c r="V1019" s="266">
        <v>25000</v>
      </c>
      <c r="W1019" s="521" t="s">
        <v>227</v>
      </c>
      <c r="X1019" s="521" t="s">
        <v>3383</v>
      </c>
      <c r="Y1019" s="522" t="s">
        <v>2512</v>
      </c>
      <c r="Z1019" s="523" t="s">
        <v>541</v>
      </c>
    </row>
    <row r="1020" spans="1:26" ht="29">
      <c r="A1020" s="513">
        <v>1018</v>
      </c>
      <c r="B1020" s="390"/>
      <c r="C1020" s="515" t="s">
        <v>3227</v>
      </c>
      <c r="D1020" s="262" t="s">
        <v>3228</v>
      </c>
      <c r="E1020" s="513">
        <v>1019</v>
      </c>
      <c r="F1020" s="544" t="s">
        <v>3227</v>
      </c>
      <c r="G1020" s="543">
        <v>41214</v>
      </c>
      <c r="H1020" s="543">
        <v>41214</v>
      </c>
      <c r="I1020" s="543">
        <v>41214</v>
      </c>
      <c r="J1020" s="543">
        <v>41214</v>
      </c>
      <c r="K1020" s="517">
        <v>45597</v>
      </c>
      <c r="L1020" s="518" t="s">
        <v>705</v>
      </c>
      <c r="M1020" s="264" t="s">
        <v>2587</v>
      </c>
      <c r="N1020" s="262" t="s">
        <v>2176</v>
      </c>
      <c r="O1020" s="390" t="s">
        <v>2260</v>
      </c>
      <c r="P1020" s="264" t="str">
        <f>O1020</f>
        <v>Tinta Printer Canon 740 Hitam-740 Hitam</v>
      </c>
      <c r="Q1020" s="264" t="s">
        <v>710</v>
      </c>
      <c r="R1020" s="519" t="s">
        <v>159</v>
      </c>
      <c r="S1020" s="399">
        <v>8</v>
      </c>
      <c r="T1020" s="348" t="s">
        <v>3367</v>
      </c>
      <c r="U1020" s="520">
        <v>30000</v>
      </c>
      <c r="V1020" s="266">
        <v>240000</v>
      </c>
      <c r="W1020" s="521" t="s">
        <v>227</v>
      </c>
      <c r="X1020" s="521" t="s">
        <v>3383</v>
      </c>
      <c r="Y1020" s="522" t="s">
        <v>2512</v>
      </c>
      <c r="Z1020" s="523" t="s">
        <v>541</v>
      </c>
    </row>
    <row r="1021" spans="1:26" ht="29">
      <c r="A1021" s="513">
        <v>1019</v>
      </c>
      <c r="B1021" s="390"/>
      <c r="C1021" s="515" t="s">
        <v>3227</v>
      </c>
      <c r="D1021" s="262" t="s">
        <v>3228</v>
      </c>
      <c r="E1021" s="513">
        <v>1020</v>
      </c>
      <c r="F1021" s="544" t="s">
        <v>3227</v>
      </c>
      <c r="G1021" s="543">
        <v>41214</v>
      </c>
      <c r="H1021" s="543">
        <v>41214</v>
      </c>
      <c r="I1021" s="543">
        <v>41214</v>
      </c>
      <c r="J1021" s="543">
        <v>41214</v>
      </c>
      <c r="K1021" s="517">
        <v>45597</v>
      </c>
      <c r="L1021" s="518" t="s">
        <v>705</v>
      </c>
      <c r="M1021" s="264" t="s">
        <v>2587</v>
      </c>
      <c r="N1021" s="262" t="s">
        <v>2176</v>
      </c>
      <c r="O1021" s="390" t="s">
        <v>238</v>
      </c>
      <c r="P1021" s="264" t="str">
        <f>O1021</f>
        <v>Binder Klip  nomor 111</v>
      </c>
      <c r="Q1021" s="264" t="s">
        <v>710</v>
      </c>
      <c r="R1021" s="519" t="s">
        <v>109</v>
      </c>
      <c r="S1021" s="399">
        <v>5</v>
      </c>
      <c r="T1021" s="348" t="s">
        <v>3362</v>
      </c>
      <c r="U1021" s="520">
        <v>11000</v>
      </c>
      <c r="V1021" s="266">
        <v>55000</v>
      </c>
      <c r="W1021" s="521" t="s">
        <v>227</v>
      </c>
      <c r="X1021" s="521" t="s">
        <v>3383</v>
      </c>
      <c r="Y1021" s="522" t="s">
        <v>2512</v>
      </c>
      <c r="Z1021" s="523" t="s">
        <v>541</v>
      </c>
    </row>
    <row r="1022" spans="1:26" ht="43.5">
      <c r="A1022" s="513">
        <v>1020</v>
      </c>
      <c r="B1022" s="390"/>
      <c r="C1022" s="515" t="s">
        <v>3227</v>
      </c>
      <c r="D1022" s="262" t="s">
        <v>3228</v>
      </c>
      <c r="E1022" s="513">
        <v>1021</v>
      </c>
      <c r="F1022" s="544" t="s">
        <v>3227</v>
      </c>
      <c r="G1022" s="543">
        <v>41214</v>
      </c>
      <c r="H1022" s="543">
        <v>41214</v>
      </c>
      <c r="I1022" s="543">
        <v>41214</v>
      </c>
      <c r="J1022" s="543">
        <v>41214</v>
      </c>
      <c r="K1022" s="517">
        <v>45597</v>
      </c>
      <c r="L1022" s="518" t="s">
        <v>705</v>
      </c>
      <c r="M1022" s="264" t="s">
        <v>2587</v>
      </c>
      <c r="N1022" s="262" t="s">
        <v>2176</v>
      </c>
      <c r="O1022" s="390" t="s">
        <v>262</v>
      </c>
      <c r="P1022" s="264" t="str">
        <f>O1022</f>
        <v>Spidol White board</v>
      </c>
      <c r="Q1022" s="264" t="s">
        <v>710</v>
      </c>
      <c r="R1022" s="519" t="s">
        <v>151</v>
      </c>
      <c r="S1022" s="399">
        <v>2</v>
      </c>
      <c r="T1022" s="348" t="s">
        <v>3364</v>
      </c>
      <c r="U1022" s="520">
        <v>120000</v>
      </c>
      <c r="V1022" s="266">
        <v>240000</v>
      </c>
      <c r="W1022" s="521" t="s">
        <v>227</v>
      </c>
      <c r="X1022" s="521" t="s">
        <v>3383</v>
      </c>
      <c r="Y1022" s="522" t="s">
        <v>2512</v>
      </c>
      <c r="Z1022" s="523" t="s">
        <v>541</v>
      </c>
    </row>
    <row r="1023" spans="1:26" ht="37.5">
      <c r="A1023" s="513">
        <v>1021</v>
      </c>
      <c r="B1023" s="390"/>
      <c r="C1023" s="515" t="s">
        <v>3227</v>
      </c>
      <c r="D1023" s="262" t="s">
        <v>3228</v>
      </c>
      <c r="E1023" s="513">
        <v>1022</v>
      </c>
      <c r="F1023" s="544" t="s">
        <v>3227</v>
      </c>
      <c r="G1023" s="543">
        <v>41214</v>
      </c>
      <c r="H1023" s="543">
        <v>41214</v>
      </c>
      <c r="I1023" s="543">
        <v>41214</v>
      </c>
      <c r="J1023" s="543">
        <v>41214</v>
      </c>
      <c r="K1023" s="517">
        <v>45597</v>
      </c>
      <c r="L1023" s="518" t="s">
        <v>705</v>
      </c>
      <c r="M1023" s="264" t="s">
        <v>2587</v>
      </c>
      <c r="N1023" s="262" t="s">
        <v>2176</v>
      </c>
      <c r="O1023" s="390" t="s">
        <v>252</v>
      </c>
      <c r="P1023" s="524" t="s">
        <v>2571</v>
      </c>
      <c r="Q1023" s="264" t="s">
        <v>710</v>
      </c>
      <c r="R1023" s="519" t="s">
        <v>136</v>
      </c>
      <c r="S1023" s="399">
        <v>5</v>
      </c>
      <c r="T1023" s="348" t="s">
        <v>2436</v>
      </c>
      <c r="U1023" s="520">
        <v>15000</v>
      </c>
      <c r="V1023" s="266">
        <v>75000</v>
      </c>
      <c r="W1023" s="521" t="s">
        <v>227</v>
      </c>
      <c r="X1023" s="521" t="s">
        <v>3383</v>
      </c>
      <c r="Y1023" s="522" t="s">
        <v>2512</v>
      </c>
      <c r="Z1023" s="523" t="s">
        <v>541</v>
      </c>
    </row>
    <row r="1024" spans="1:26" ht="29">
      <c r="A1024" s="513">
        <v>1022</v>
      </c>
      <c r="B1024" s="390"/>
      <c r="C1024" s="515" t="s">
        <v>3227</v>
      </c>
      <c r="D1024" s="262" t="s">
        <v>3228</v>
      </c>
      <c r="E1024" s="513">
        <v>1023</v>
      </c>
      <c r="F1024" s="544" t="s">
        <v>3227</v>
      </c>
      <c r="G1024" s="543">
        <v>41214</v>
      </c>
      <c r="H1024" s="543">
        <v>41214</v>
      </c>
      <c r="I1024" s="543">
        <v>41214</v>
      </c>
      <c r="J1024" s="543">
        <v>41214</v>
      </c>
      <c r="K1024" s="517">
        <v>45597</v>
      </c>
      <c r="L1024" s="518" t="s">
        <v>705</v>
      </c>
      <c r="M1024" s="264" t="s">
        <v>2587</v>
      </c>
      <c r="N1024" s="262" t="s">
        <v>2176</v>
      </c>
      <c r="O1024" s="390" t="s">
        <v>263</v>
      </c>
      <c r="P1024" s="264" t="str">
        <f t="shared" ref="P1024:P1036" si="42">O1024</f>
        <v>Stofmap Kertas</v>
      </c>
      <c r="Q1024" s="264" t="s">
        <v>710</v>
      </c>
      <c r="R1024" s="519" t="s">
        <v>156</v>
      </c>
      <c r="S1024" s="399">
        <v>1</v>
      </c>
      <c r="T1024" s="348" t="s">
        <v>3370</v>
      </c>
      <c r="U1024" s="520">
        <v>87500</v>
      </c>
      <c r="V1024" s="266">
        <v>87500</v>
      </c>
      <c r="W1024" s="521" t="s">
        <v>227</v>
      </c>
      <c r="X1024" s="521" t="s">
        <v>3383</v>
      </c>
      <c r="Y1024" s="522" t="s">
        <v>2512</v>
      </c>
      <c r="Z1024" s="523" t="s">
        <v>541</v>
      </c>
    </row>
    <row r="1025" spans="1:26" ht="29">
      <c r="A1025" s="513">
        <v>1023</v>
      </c>
      <c r="B1025" s="390"/>
      <c r="C1025" s="515" t="s">
        <v>3227</v>
      </c>
      <c r="D1025" s="262" t="s">
        <v>3228</v>
      </c>
      <c r="E1025" s="513">
        <v>1024</v>
      </c>
      <c r="F1025" s="544" t="s">
        <v>3227</v>
      </c>
      <c r="G1025" s="543">
        <v>41214</v>
      </c>
      <c r="H1025" s="543">
        <v>41214</v>
      </c>
      <c r="I1025" s="543">
        <v>41214</v>
      </c>
      <c r="J1025" s="543">
        <v>41214</v>
      </c>
      <c r="K1025" s="517">
        <v>45597</v>
      </c>
      <c r="L1025" s="518" t="s">
        <v>705</v>
      </c>
      <c r="M1025" s="264" t="s">
        <v>2587</v>
      </c>
      <c r="N1025" s="262" t="s">
        <v>2176</v>
      </c>
      <c r="O1025" s="390" t="s">
        <v>246</v>
      </c>
      <c r="P1025" s="264" t="str">
        <f t="shared" si="42"/>
        <v>C. Tinta Printer EPSON Tinta Printer Epson Yellow</v>
      </c>
      <c r="Q1025" s="264" t="s">
        <v>710</v>
      </c>
      <c r="R1025" s="519" t="s">
        <v>119</v>
      </c>
      <c r="S1025" s="399">
        <v>4</v>
      </c>
      <c r="T1025" s="348" t="s">
        <v>3367</v>
      </c>
      <c r="U1025" s="520">
        <v>110000</v>
      </c>
      <c r="V1025" s="266">
        <v>440000</v>
      </c>
      <c r="W1025" s="521" t="s">
        <v>227</v>
      </c>
      <c r="X1025" s="521" t="s">
        <v>3383</v>
      </c>
      <c r="Y1025" s="522" t="s">
        <v>2512</v>
      </c>
      <c r="Z1025" s="523" t="s">
        <v>541</v>
      </c>
    </row>
    <row r="1026" spans="1:26" ht="29">
      <c r="A1026" s="513">
        <v>1024</v>
      </c>
      <c r="B1026" s="390"/>
      <c r="C1026" s="515" t="s">
        <v>3227</v>
      </c>
      <c r="D1026" s="262" t="s">
        <v>3228</v>
      </c>
      <c r="E1026" s="513">
        <v>1025</v>
      </c>
      <c r="F1026" s="544" t="s">
        <v>3227</v>
      </c>
      <c r="G1026" s="543">
        <v>41214</v>
      </c>
      <c r="H1026" s="543">
        <v>41214</v>
      </c>
      <c r="I1026" s="543">
        <v>41214</v>
      </c>
      <c r="J1026" s="543">
        <v>41214</v>
      </c>
      <c r="K1026" s="517">
        <v>45597</v>
      </c>
      <c r="L1026" s="518" t="s">
        <v>705</v>
      </c>
      <c r="M1026" s="264" t="s">
        <v>2587</v>
      </c>
      <c r="N1026" s="262" t="s">
        <v>2176</v>
      </c>
      <c r="O1026" s="390" t="s">
        <v>2239</v>
      </c>
      <c r="P1026" s="264" t="str">
        <f t="shared" si="42"/>
        <v>Tinta Printer Canon 741 Warna-741 Warna</v>
      </c>
      <c r="Q1026" s="264" t="s">
        <v>710</v>
      </c>
      <c r="R1026" s="519" t="s">
        <v>160</v>
      </c>
      <c r="S1026" s="399">
        <v>12</v>
      </c>
      <c r="T1026" s="348" t="s">
        <v>3367</v>
      </c>
      <c r="U1026" s="520">
        <v>33000</v>
      </c>
      <c r="V1026" s="266">
        <v>396000</v>
      </c>
      <c r="W1026" s="521" t="s">
        <v>227</v>
      </c>
      <c r="X1026" s="521" t="s">
        <v>3383</v>
      </c>
      <c r="Y1026" s="522" t="s">
        <v>2512</v>
      </c>
      <c r="Z1026" s="523" t="s">
        <v>541</v>
      </c>
    </row>
    <row r="1027" spans="1:26" ht="29">
      <c r="A1027" s="513">
        <v>1025</v>
      </c>
      <c r="B1027" s="390"/>
      <c r="C1027" s="515" t="s">
        <v>3227</v>
      </c>
      <c r="D1027" s="262" t="s">
        <v>3228</v>
      </c>
      <c r="E1027" s="513">
        <v>1026</v>
      </c>
      <c r="F1027" s="544" t="s">
        <v>3227</v>
      </c>
      <c r="G1027" s="543">
        <v>41214</v>
      </c>
      <c r="H1027" s="543">
        <v>41214</v>
      </c>
      <c r="I1027" s="543">
        <v>41214</v>
      </c>
      <c r="J1027" s="543">
        <v>41214</v>
      </c>
      <c r="K1027" s="517">
        <v>45597</v>
      </c>
      <c r="L1027" s="518" t="s">
        <v>705</v>
      </c>
      <c r="M1027" s="264" t="s">
        <v>2587</v>
      </c>
      <c r="N1027" s="262" t="s">
        <v>2176</v>
      </c>
      <c r="O1027" s="390" t="s">
        <v>248</v>
      </c>
      <c r="P1027" s="264" t="str">
        <f t="shared" si="42"/>
        <v>Kertas Label</v>
      </c>
      <c r="Q1027" s="264" t="s">
        <v>710</v>
      </c>
      <c r="R1027" s="525" t="s">
        <v>2597</v>
      </c>
      <c r="S1027" s="399">
        <v>5</v>
      </c>
      <c r="T1027" s="348" t="s">
        <v>3368</v>
      </c>
      <c r="U1027" s="520">
        <v>25000</v>
      </c>
      <c r="V1027" s="266">
        <v>125000</v>
      </c>
      <c r="W1027" s="521" t="s">
        <v>227</v>
      </c>
      <c r="X1027" s="521" t="s">
        <v>3383</v>
      </c>
      <c r="Y1027" s="522" t="s">
        <v>2512</v>
      </c>
      <c r="Z1027" s="523" t="s">
        <v>541</v>
      </c>
    </row>
    <row r="1028" spans="1:26" ht="43.5">
      <c r="A1028" s="513">
        <v>1026</v>
      </c>
      <c r="B1028" s="390"/>
      <c r="C1028" s="515" t="s">
        <v>3227</v>
      </c>
      <c r="D1028" s="262" t="s">
        <v>3228</v>
      </c>
      <c r="E1028" s="513">
        <v>1027</v>
      </c>
      <c r="F1028" s="544" t="s">
        <v>3227</v>
      </c>
      <c r="G1028" s="543">
        <v>41214</v>
      </c>
      <c r="H1028" s="543">
        <v>41214</v>
      </c>
      <c r="I1028" s="543">
        <v>41214</v>
      </c>
      <c r="J1028" s="543">
        <v>41214</v>
      </c>
      <c r="K1028" s="517">
        <v>45597</v>
      </c>
      <c r="L1028" s="518" t="s">
        <v>705</v>
      </c>
      <c r="M1028" s="264" t="s">
        <v>2587</v>
      </c>
      <c r="N1028" s="262" t="s">
        <v>2176</v>
      </c>
      <c r="O1028" s="390" t="s">
        <v>261</v>
      </c>
      <c r="P1028" s="264" t="str">
        <f t="shared" si="42"/>
        <v>Spidol Refil Spidol White Board Snowman</v>
      </c>
      <c r="Q1028" s="264" t="s">
        <v>710</v>
      </c>
      <c r="R1028" s="519" t="s">
        <v>150</v>
      </c>
      <c r="S1028" s="399">
        <v>10</v>
      </c>
      <c r="T1028" s="348" t="s">
        <v>3363</v>
      </c>
      <c r="U1028" s="520">
        <v>20900</v>
      </c>
      <c r="V1028" s="266">
        <v>209000</v>
      </c>
      <c r="W1028" s="521" t="s">
        <v>227</v>
      </c>
      <c r="X1028" s="521" t="s">
        <v>3383</v>
      </c>
      <c r="Y1028" s="522" t="s">
        <v>2512</v>
      </c>
      <c r="Z1028" s="523" t="s">
        <v>541</v>
      </c>
    </row>
    <row r="1029" spans="1:26" ht="29">
      <c r="A1029" s="513">
        <v>1027</v>
      </c>
      <c r="B1029" s="390"/>
      <c r="C1029" s="515" t="s">
        <v>3227</v>
      </c>
      <c r="D1029" s="262" t="s">
        <v>3228</v>
      </c>
      <c r="E1029" s="513">
        <v>1028</v>
      </c>
      <c r="F1029" s="544" t="s">
        <v>3227</v>
      </c>
      <c r="G1029" s="543">
        <v>41214</v>
      </c>
      <c r="H1029" s="543">
        <v>41214</v>
      </c>
      <c r="I1029" s="543">
        <v>41214</v>
      </c>
      <c r="J1029" s="543">
        <v>41214</v>
      </c>
      <c r="K1029" s="517">
        <v>45597</v>
      </c>
      <c r="L1029" s="518" t="s">
        <v>705</v>
      </c>
      <c r="M1029" s="264" t="s">
        <v>2587</v>
      </c>
      <c r="N1029" s="262" t="s">
        <v>2176</v>
      </c>
      <c r="O1029" s="390" t="s">
        <v>245</v>
      </c>
      <c r="P1029" s="264" t="str">
        <f t="shared" si="42"/>
        <v>C. Tinta Printer EPSON Tinta Printer Epson Read</v>
      </c>
      <c r="Q1029" s="264" t="s">
        <v>710</v>
      </c>
      <c r="R1029" s="528" t="s">
        <v>118</v>
      </c>
      <c r="S1029" s="399">
        <v>4</v>
      </c>
      <c r="T1029" s="348" t="s">
        <v>3367</v>
      </c>
      <c r="U1029" s="520">
        <v>110000</v>
      </c>
      <c r="V1029" s="266">
        <v>440000</v>
      </c>
      <c r="W1029" s="521" t="s">
        <v>227</v>
      </c>
      <c r="X1029" s="521" t="s">
        <v>3383</v>
      </c>
      <c r="Y1029" s="522" t="s">
        <v>2512</v>
      </c>
      <c r="Z1029" s="523" t="s">
        <v>541</v>
      </c>
    </row>
    <row r="1030" spans="1:26" ht="29">
      <c r="A1030" s="513">
        <v>1028</v>
      </c>
      <c r="B1030" s="390"/>
      <c r="C1030" s="515" t="s">
        <v>3227</v>
      </c>
      <c r="D1030" s="262" t="s">
        <v>3228</v>
      </c>
      <c r="E1030" s="513">
        <v>1029</v>
      </c>
      <c r="F1030" s="544" t="s">
        <v>3227</v>
      </c>
      <c r="G1030" s="543">
        <v>41214</v>
      </c>
      <c r="H1030" s="543">
        <v>41214</v>
      </c>
      <c r="I1030" s="543">
        <v>41214</v>
      </c>
      <c r="J1030" s="543">
        <v>41214</v>
      </c>
      <c r="K1030" s="517">
        <v>45597</v>
      </c>
      <c r="L1030" s="518" t="s">
        <v>705</v>
      </c>
      <c r="M1030" s="264" t="s">
        <v>2587</v>
      </c>
      <c r="N1030" s="262" t="s">
        <v>2176</v>
      </c>
      <c r="O1030" s="390" t="s">
        <v>2261</v>
      </c>
      <c r="P1030" s="264" t="str">
        <f t="shared" si="42"/>
        <v>Kertas HVS 60 gram Merk : Paper One HVS F4 uk. 8.27"x11.69"</v>
      </c>
      <c r="Q1030" s="264" t="s">
        <v>710</v>
      </c>
      <c r="R1030" s="519" t="s">
        <v>127</v>
      </c>
      <c r="S1030" s="399">
        <v>10</v>
      </c>
      <c r="T1030" s="348" t="s">
        <v>3369</v>
      </c>
      <c r="U1030" s="520">
        <v>48500</v>
      </c>
      <c r="V1030" s="266">
        <v>485000</v>
      </c>
      <c r="W1030" s="521" t="s">
        <v>227</v>
      </c>
      <c r="X1030" s="521" t="s">
        <v>3383</v>
      </c>
      <c r="Y1030" s="522" t="s">
        <v>2512</v>
      </c>
      <c r="Z1030" s="523" t="s">
        <v>541</v>
      </c>
    </row>
    <row r="1031" spans="1:26" ht="29">
      <c r="A1031" s="513">
        <v>1029</v>
      </c>
      <c r="B1031" s="390"/>
      <c r="C1031" s="515" t="s">
        <v>3227</v>
      </c>
      <c r="D1031" s="262" t="s">
        <v>3228</v>
      </c>
      <c r="E1031" s="513">
        <v>1030</v>
      </c>
      <c r="F1031" s="544" t="s">
        <v>3227</v>
      </c>
      <c r="G1031" s="543">
        <v>41214</v>
      </c>
      <c r="H1031" s="543">
        <v>41214</v>
      </c>
      <c r="I1031" s="543">
        <v>41214</v>
      </c>
      <c r="J1031" s="543">
        <v>41214</v>
      </c>
      <c r="K1031" s="517">
        <v>45597</v>
      </c>
      <c r="L1031" s="518" t="s">
        <v>705</v>
      </c>
      <c r="M1031" s="264" t="s">
        <v>2587</v>
      </c>
      <c r="N1031" s="262" t="s">
        <v>2176</v>
      </c>
      <c r="O1031" s="390" t="s">
        <v>260</v>
      </c>
      <c r="P1031" s="264" t="str">
        <f t="shared" si="42"/>
        <v>Sampul Plastik</v>
      </c>
      <c r="Q1031" s="264" t="s">
        <v>710</v>
      </c>
      <c r="R1031" s="519" t="s">
        <v>149</v>
      </c>
      <c r="S1031" s="399">
        <v>5</v>
      </c>
      <c r="T1031" s="348" t="s">
        <v>3365</v>
      </c>
      <c r="U1031" s="520">
        <v>65000</v>
      </c>
      <c r="V1031" s="266">
        <v>325000</v>
      </c>
      <c r="W1031" s="521" t="s">
        <v>227</v>
      </c>
      <c r="X1031" s="521" t="s">
        <v>3383</v>
      </c>
      <c r="Y1031" s="522" t="s">
        <v>2512</v>
      </c>
      <c r="Z1031" s="523" t="s">
        <v>541</v>
      </c>
    </row>
    <row r="1032" spans="1:26" ht="29">
      <c r="A1032" s="513">
        <v>1030</v>
      </c>
      <c r="B1032" s="390"/>
      <c r="C1032" s="515" t="s">
        <v>3227</v>
      </c>
      <c r="D1032" s="262" t="s">
        <v>3228</v>
      </c>
      <c r="E1032" s="513">
        <v>1031</v>
      </c>
      <c r="F1032" s="544" t="s">
        <v>3227</v>
      </c>
      <c r="G1032" s="543">
        <v>41214</v>
      </c>
      <c r="H1032" s="543">
        <v>41214</v>
      </c>
      <c r="I1032" s="543">
        <v>41214</v>
      </c>
      <c r="J1032" s="543">
        <v>41214</v>
      </c>
      <c r="K1032" s="517">
        <v>45597</v>
      </c>
      <c r="L1032" s="518" t="s">
        <v>705</v>
      </c>
      <c r="M1032" s="264" t="s">
        <v>2587</v>
      </c>
      <c r="N1032" s="262" t="s">
        <v>2176</v>
      </c>
      <c r="O1032" s="390" t="s">
        <v>2247</v>
      </c>
      <c r="P1032" s="264" t="str">
        <f t="shared" si="42"/>
        <v>Amplop Panjang Putih Polos Merk : Jaya Ukuran : 11 x 23 cm</v>
      </c>
      <c r="Q1032" s="264" t="s">
        <v>710</v>
      </c>
      <c r="R1032" s="519" t="s">
        <v>99</v>
      </c>
      <c r="S1032" s="399">
        <v>1</v>
      </c>
      <c r="T1032" s="348" t="s">
        <v>3362</v>
      </c>
      <c r="U1032" s="520">
        <v>48000</v>
      </c>
      <c r="V1032" s="266">
        <v>48000</v>
      </c>
      <c r="W1032" s="521" t="s">
        <v>227</v>
      </c>
      <c r="X1032" s="521" t="s">
        <v>3383</v>
      </c>
      <c r="Y1032" s="522" t="s">
        <v>2512</v>
      </c>
      <c r="Z1032" s="523" t="s">
        <v>541</v>
      </c>
    </row>
    <row r="1033" spans="1:26" ht="29">
      <c r="A1033" s="513">
        <v>1031</v>
      </c>
      <c r="B1033" s="390"/>
      <c r="C1033" s="515" t="s">
        <v>3227</v>
      </c>
      <c r="D1033" s="262" t="s">
        <v>3228</v>
      </c>
      <c r="E1033" s="513">
        <v>1032</v>
      </c>
      <c r="F1033" s="544" t="s">
        <v>3227</v>
      </c>
      <c r="G1033" s="543">
        <v>41214</v>
      </c>
      <c r="H1033" s="543">
        <v>41214</v>
      </c>
      <c r="I1033" s="543">
        <v>41214</v>
      </c>
      <c r="J1033" s="543">
        <v>41214</v>
      </c>
      <c r="K1033" s="517">
        <v>45597</v>
      </c>
      <c r="L1033" s="518" t="s">
        <v>705</v>
      </c>
      <c r="M1033" s="264" t="s">
        <v>2587</v>
      </c>
      <c r="N1033" s="262" t="s">
        <v>2176</v>
      </c>
      <c r="O1033" s="390" t="s">
        <v>259</v>
      </c>
      <c r="P1033" s="264" t="str">
        <f t="shared" si="42"/>
        <v>Plastik Mika</v>
      </c>
      <c r="Q1033" s="264" t="s">
        <v>710</v>
      </c>
      <c r="R1033" s="519" t="s">
        <v>148</v>
      </c>
      <c r="S1033" s="399">
        <v>5</v>
      </c>
      <c r="T1033" s="348" t="s">
        <v>3365</v>
      </c>
      <c r="U1033" s="520">
        <v>60000</v>
      </c>
      <c r="V1033" s="266">
        <v>300000</v>
      </c>
      <c r="W1033" s="521" t="s">
        <v>227</v>
      </c>
      <c r="X1033" s="521" t="s">
        <v>3383</v>
      </c>
      <c r="Y1033" s="522" t="s">
        <v>2512</v>
      </c>
      <c r="Z1033" s="523" t="s">
        <v>541</v>
      </c>
    </row>
    <row r="1034" spans="1:26" ht="29">
      <c r="A1034" s="513">
        <v>1032</v>
      </c>
      <c r="B1034" s="390"/>
      <c r="C1034" s="515" t="s">
        <v>3227</v>
      </c>
      <c r="D1034" s="262" t="s">
        <v>3228</v>
      </c>
      <c r="E1034" s="513">
        <v>1033</v>
      </c>
      <c r="F1034" s="544" t="s">
        <v>3227</v>
      </c>
      <c r="G1034" s="543">
        <v>41214</v>
      </c>
      <c r="H1034" s="543">
        <v>41214</v>
      </c>
      <c r="I1034" s="543">
        <v>41214</v>
      </c>
      <c r="J1034" s="543">
        <v>41214</v>
      </c>
      <c r="K1034" s="517">
        <v>45597</v>
      </c>
      <c r="L1034" s="518" t="s">
        <v>705</v>
      </c>
      <c r="M1034" s="264" t="s">
        <v>2587</v>
      </c>
      <c r="N1034" s="262" t="s">
        <v>2176</v>
      </c>
      <c r="O1034" s="390" t="s">
        <v>2241</v>
      </c>
      <c r="P1034" s="264" t="str">
        <f t="shared" si="42"/>
        <v>Stapler Stapler No, 50 MAX</v>
      </c>
      <c r="Q1034" s="264" t="s">
        <v>710</v>
      </c>
      <c r="R1034" s="519" t="s">
        <v>153</v>
      </c>
      <c r="S1034" s="399">
        <v>2</v>
      </c>
      <c r="T1034" s="348" t="s">
        <v>3363</v>
      </c>
      <c r="U1034" s="520">
        <v>25000</v>
      </c>
      <c r="V1034" s="266">
        <v>50000</v>
      </c>
      <c r="W1034" s="521" t="s">
        <v>227</v>
      </c>
      <c r="X1034" s="521" t="s">
        <v>3383</v>
      </c>
      <c r="Y1034" s="522" t="s">
        <v>2512</v>
      </c>
      <c r="Z1034" s="523" t="s">
        <v>541</v>
      </c>
    </row>
    <row r="1035" spans="1:26" ht="29">
      <c r="A1035" s="513">
        <v>1033</v>
      </c>
      <c r="B1035" s="390"/>
      <c r="C1035" s="515" t="s">
        <v>3227</v>
      </c>
      <c r="D1035" s="262" t="s">
        <v>3228</v>
      </c>
      <c r="E1035" s="513">
        <v>1034</v>
      </c>
      <c r="F1035" s="544" t="s">
        <v>3227</v>
      </c>
      <c r="G1035" s="543">
        <v>41214</v>
      </c>
      <c r="H1035" s="543">
        <v>41214</v>
      </c>
      <c r="I1035" s="543">
        <v>41214</v>
      </c>
      <c r="J1035" s="543">
        <v>41214</v>
      </c>
      <c r="K1035" s="517">
        <v>45597</v>
      </c>
      <c r="L1035" s="518" t="s">
        <v>705</v>
      </c>
      <c r="M1035" s="264" t="s">
        <v>2587</v>
      </c>
      <c r="N1035" s="262" t="s">
        <v>2176</v>
      </c>
      <c r="O1035" s="390" t="s">
        <v>264</v>
      </c>
      <c r="P1035" s="264" t="str">
        <f t="shared" si="42"/>
        <v>Stofmap Transparan</v>
      </c>
      <c r="Q1035" s="264" t="s">
        <v>710</v>
      </c>
      <c r="R1035" s="519" t="s">
        <v>157</v>
      </c>
      <c r="S1035" s="399">
        <v>100</v>
      </c>
      <c r="T1035" s="348" t="s">
        <v>3363</v>
      </c>
      <c r="U1035" s="520">
        <v>5500</v>
      </c>
      <c r="V1035" s="266">
        <v>550000</v>
      </c>
      <c r="W1035" s="521" t="s">
        <v>227</v>
      </c>
      <c r="X1035" s="521" t="s">
        <v>3383</v>
      </c>
      <c r="Y1035" s="522" t="s">
        <v>2512</v>
      </c>
      <c r="Z1035" s="523" t="s">
        <v>541</v>
      </c>
    </row>
    <row r="1036" spans="1:26" ht="29">
      <c r="A1036" s="513">
        <v>1034</v>
      </c>
      <c r="B1036" s="390"/>
      <c r="C1036" s="515" t="s">
        <v>3227</v>
      </c>
      <c r="D1036" s="262" t="s">
        <v>3228</v>
      </c>
      <c r="E1036" s="513">
        <v>1035</v>
      </c>
      <c r="F1036" s="544" t="s">
        <v>3227</v>
      </c>
      <c r="G1036" s="543">
        <v>41214</v>
      </c>
      <c r="H1036" s="543">
        <v>41214</v>
      </c>
      <c r="I1036" s="543">
        <v>41214</v>
      </c>
      <c r="J1036" s="543">
        <v>41214</v>
      </c>
      <c r="K1036" s="517">
        <v>45597</v>
      </c>
      <c r="L1036" s="518" t="s">
        <v>705</v>
      </c>
      <c r="M1036" s="264" t="s">
        <v>2587</v>
      </c>
      <c r="N1036" s="262" t="s">
        <v>2176</v>
      </c>
      <c r="O1036" s="390" t="s">
        <v>234</v>
      </c>
      <c r="P1036" s="264" t="str">
        <f t="shared" si="42"/>
        <v>Ballpoint Pilot G2</v>
      </c>
      <c r="Q1036" s="264" t="s">
        <v>710</v>
      </c>
      <c r="R1036" s="519" t="s">
        <v>102</v>
      </c>
      <c r="S1036" s="399">
        <v>1</v>
      </c>
      <c r="T1036" s="348" t="s">
        <v>3364</v>
      </c>
      <c r="U1036" s="520">
        <v>235000</v>
      </c>
      <c r="V1036" s="266">
        <v>235000</v>
      </c>
      <c r="W1036" s="521" t="s">
        <v>227</v>
      </c>
      <c r="X1036" s="521" t="s">
        <v>3383</v>
      </c>
      <c r="Y1036" s="522" t="s">
        <v>2512</v>
      </c>
      <c r="Z1036" s="523" t="s">
        <v>541</v>
      </c>
    </row>
    <row r="1037" spans="1:26" ht="37.5">
      <c r="A1037" s="513">
        <v>1035</v>
      </c>
      <c r="B1037" s="390"/>
      <c r="C1037" s="515" t="s">
        <v>3227</v>
      </c>
      <c r="D1037" s="262" t="s">
        <v>3228</v>
      </c>
      <c r="E1037" s="513">
        <v>1036</v>
      </c>
      <c r="F1037" s="544" t="s">
        <v>3227</v>
      </c>
      <c r="G1037" s="543">
        <v>41214</v>
      </c>
      <c r="H1037" s="543">
        <v>41214</v>
      </c>
      <c r="I1037" s="543">
        <v>41214</v>
      </c>
      <c r="J1037" s="543">
        <v>41214</v>
      </c>
      <c r="K1037" s="517">
        <v>45597</v>
      </c>
      <c r="L1037" s="518" t="s">
        <v>705</v>
      </c>
      <c r="M1037" s="264" t="s">
        <v>2587</v>
      </c>
      <c r="N1037" s="262" t="s">
        <v>2176</v>
      </c>
      <c r="O1037" s="390" t="s">
        <v>252</v>
      </c>
      <c r="P1037" s="524" t="s">
        <v>2605</v>
      </c>
      <c r="Q1037" s="264" t="s">
        <v>710</v>
      </c>
      <c r="R1037" s="519" t="s">
        <v>134</v>
      </c>
      <c r="S1037" s="399">
        <v>5</v>
      </c>
      <c r="T1037" s="348" t="s">
        <v>2436</v>
      </c>
      <c r="U1037" s="520">
        <v>10000</v>
      </c>
      <c r="V1037" s="266">
        <v>50000</v>
      </c>
      <c r="W1037" s="521" t="s">
        <v>227</v>
      </c>
      <c r="X1037" s="521" t="s">
        <v>3383</v>
      </c>
      <c r="Y1037" s="522" t="s">
        <v>2512</v>
      </c>
      <c r="Z1037" s="523" t="s">
        <v>541</v>
      </c>
    </row>
    <row r="1038" spans="1:26" ht="29">
      <c r="A1038" s="513">
        <v>1036</v>
      </c>
      <c r="B1038" s="390"/>
      <c r="C1038" s="515" t="s">
        <v>3227</v>
      </c>
      <c r="D1038" s="262" t="s">
        <v>3228</v>
      </c>
      <c r="E1038" s="513">
        <v>1037</v>
      </c>
      <c r="F1038" s="544" t="s">
        <v>3227</v>
      </c>
      <c r="G1038" s="543">
        <v>41214</v>
      </c>
      <c r="H1038" s="543">
        <v>41214</v>
      </c>
      <c r="I1038" s="543">
        <v>41214</v>
      </c>
      <c r="J1038" s="543">
        <v>41214</v>
      </c>
      <c r="K1038" s="517">
        <v>45597</v>
      </c>
      <c r="L1038" s="518" t="s">
        <v>705</v>
      </c>
      <c r="M1038" s="264" t="s">
        <v>2587</v>
      </c>
      <c r="N1038" s="262" t="s">
        <v>2176</v>
      </c>
      <c r="O1038" s="390" t="s">
        <v>256</v>
      </c>
      <c r="P1038" s="264" t="str">
        <f t="shared" ref="P1038:P1079" si="43">O1038</f>
        <v>Paper Clip No 1  Paper Clip No 3</v>
      </c>
      <c r="Q1038" s="264" t="s">
        <v>710</v>
      </c>
      <c r="R1038" s="519" t="s">
        <v>145</v>
      </c>
      <c r="S1038" s="399">
        <v>5</v>
      </c>
      <c r="T1038" s="348" t="s">
        <v>3362</v>
      </c>
      <c r="U1038" s="520">
        <v>6000</v>
      </c>
      <c r="V1038" s="266">
        <v>30000</v>
      </c>
      <c r="W1038" s="521" t="s">
        <v>227</v>
      </c>
      <c r="X1038" s="521" t="s">
        <v>3383</v>
      </c>
      <c r="Y1038" s="522" t="s">
        <v>2512</v>
      </c>
      <c r="Z1038" s="523" t="s">
        <v>541</v>
      </c>
    </row>
    <row r="1039" spans="1:26" ht="29">
      <c r="A1039" s="513">
        <v>1037</v>
      </c>
      <c r="B1039" s="390"/>
      <c r="C1039" s="515" t="s">
        <v>3227</v>
      </c>
      <c r="D1039" s="262" t="s">
        <v>3228</v>
      </c>
      <c r="E1039" s="513">
        <v>1038</v>
      </c>
      <c r="F1039" s="544" t="s">
        <v>3227</v>
      </c>
      <c r="G1039" s="543">
        <v>41214</v>
      </c>
      <c r="H1039" s="543">
        <v>41214</v>
      </c>
      <c r="I1039" s="543">
        <v>41214</v>
      </c>
      <c r="J1039" s="543">
        <v>41214</v>
      </c>
      <c r="K1039" s="517">
        <v>45597</v>
      </c>
      <c r="L1039" s="518" t="s">
        <v>705</v>
      </c>
      <c r="M1039" s="264" t="s">
        <v>2587</v>
      </c>
      <c r="N1039" s="262" t="s">
        <v>2176</v>
      </c>
      <c r="O1039" s="390" t="s">
        <v>2243</v>
      </c>
      <c r="P1039" s="264" t="str">
        <f t="shared" si="43"/>
        <v>Lakban Hitam uk 2 " Warna hitam uk. 2 "</v>
      </c>
      <c r="Q1039" s="264" t="s">
        <v>710</v>
      </c>
      <c r="R1039" s="519" t="s">
        <v>140</v>
      </c>
      <c r="S1039" s="399">
        <v>5</v>
      </c>
      <c r="T1039" s="348" t="s">
        <v>3363</v>
      </c>
      <c r="U1039" s="520">
        <v>25000</v>
      </c>
      <c r="V1039" s="266">
        <v>125000</v>
      </c>
      <c r="W1039" s="521" t="s">
        <v>227</v>
      </c>
      <c r="X1039" s="521" t="s">
        <v>3383</v>
      </c>
      <c r="Y1039" s="522" t="s">
        <v>2512</v>
      </c>
      <c r="Z1039" s="523" t="s">
        <v>541</v>
      </c>
    </row>
    <row r="1040" spans="1:26" ht="29">
      <c r="A1040" s="513">
        <v>1038</v>
      </c>
      <c r="B1040" s="390"/>
      <c r="C1040" s="515" t="s">
        <v>3227</v>
      </c>
      <c r="D1040" s="262" t="s">
        <v>3228</v>
      </c>
      <c r="E1040" s="513">
        <v>1039</v>
      </c>
      <c r="F1040" s="544" t="s">
        <v>3227</v>
      </c>
      <c r="G1040" s="543">
        <v>41214</v>
      </c>
      <c r="H1040" s="543">
        <v>41214</v>
      </c>
      <c r="I1040" s="543">
        <v>41214</v>
      </c>
      <c r="J1040" s="543">
        <v>41214</v>
      </c>
      <c r="K1040" s="517">
        <v>45597</v>
      </c>
      <c r="L1040" s="518" t="s">
        <v>705</v>
      </c>
      <c r="M1040" s="264" t="s">
        <v>2587</v>
      </c>
      <c r="N1040" s="262" t="s">
        <v>2176</v>
      </c>
      <c r="O1040" s="390" t="s">
        <v>242</v>
      </c>
      <c r="P1040" s="264" t="str">
        <f t="shared" si="43"/>
        <v>Binder Klip Ordner</v>
      </c>
      <c r="Q1040" s="264" t="s">
        <v>710</v>
      </c>
      <c r="R1040" s="519" t="s">
        <v>113</v>
      </c>
      <c r="S1040" s="399">
        <v>6</v>
      </c>
      <c r="T1040" s="348" t="s">
        <v>3363</v>
      </c>
      <c r="U1040" s="520">
        <v>49500</v>
      </c>
      <c r="V1040" s="266">
        <v>297000</v>
      </c>
      <c r="W1040" s="521" t="s">
        <v>227</v>
      </c>
      <c r="X1040" s="521" t="s">
        <v>3383</v>
      </c>
      <c r="Y1040" s="522" t="s">
        <v>2512</v>
      </c>
      <c r="Z1040" s="523" t="s">
        <v>541</v>
      </c>
    </row>
    <row r="1041" spans="1:26" ht="29">
      <c r="A1041" s="513">
        <v>1039</v>
      </c>
      <c r="B1041" s="390"/>
      <c r="C1041" s="515" t="s">
        <v>3227</v>
      </c>
      <c r="D1041" s="262" t="s">
        <v>3228</v>
      </c>
      <c r="E1041" s="513">
        <v>1040</v>
      </c>
      <c r="F1041" s="544" t="s">
        <v>3227</v>
      </c>
      <c r="G1041" s="543">
        <v>41214</v>
      </c>
      <c r="H1041" s="543">
        <v>41214</v>
      </c>
      <c r="I1041" s="543">
        <v>41214</v>
      </c>
      <c r="J1041" s="543">
        <v>41214</v>
      </c>
      <c r="K1041" s="517">
        <v>45597</v>
      </c>
      <c r="L1041" s="518" t="s">
        <v>705</v>
      </c>
      <c r="M1041" s="264" t="s">
        <v>2587</v>
      </c>
      <c r="N1041" s="262" t="s">
        <v>2176</v>
      </c>
      <c r="O1041" s="390" t="s">
        <v>240</v>
      </c>
      <c r="P1041" s="264" t="str">
        <f t="shared" si="43"/>
        <v>Binder Klip  nomor 260</v>
      </c>
      <c r="Q1041" s="264" t="s">
        <v>710</v>
      </c>
      <c r="R1041" s="525" t="s">
        <v>2602</v>
      </c>
      <c r="S1041" s="399">
        <v>10</v>
      </c>
      <c r="T1041" s="348" t="s">
        <v>3362</v>
      </c>
      <c r="U1041" s="520">
        <v>20000</v>
      </c>
      <c r="V1041" s="266">
        <v>200000</v>
      </c>
      <c r="W1041" s="521" t="s">
        <v>227</v>
      </c>
      <c r="X1041" s="521" t="s">
        <v>3383</v>
      </c>
      <c r="Y1041" s="522" t="s">
        <v>2512</v>
      </c>
      <c r="Z1041" s="523" t="s">
        <v>541</v>
      </c>
    </row>
    <row r="1042" spans="1:26" ht="29">
      <c r="A1042" s="513">
        <v>1040</v>
      </c>
      <c r="B1042" s="390"/>
      <c r="C1042" s="515" t="s">
        <v>3227</v>
      </c>
      <c r="D1042" s="262" t="s">
        <v>3228</v>
      </c>
      <c r="E1042" s="513">
        <v>1041</v>
      </c>
      <c r="F1042" s="544" t="s">
        <v>3227</v>
      </c>
      <c r="G1042" s="543">
        <v>41214</v>
      </c>
      <c r="H1042" s="543">
        <v>41214</v>
      </c>
      <c r="I1042" s="543">
        <v>41214</v>
      </c>
      <c r="J1042" s="543">
        <v>41214</v>
      </c>
      <c r="K1042" s="517">
        <v>45597</v>
      </c>
      <c r="L1042" s="518" t="s">
        <v>705</v>
      </c>
      <c r="M1042" s="264" t="s">
        <v>2587</v>
      </c>
      <c r="N1042" s="262" t="s">
        <v>2176</v>
      </c>
      <c r="O1042" s="390" t="s">
        <v>241</v>
      </c>
      <c r="P1042" s="264" t="str">
        <f t="shared" si="43"/>
        <v>Binder Klip Merk : KENKO nomor 105</v>
      </c>
      <c r="Q1042" s="264" t="s">
        <v>710</v>
      </c>
      <c r="R1042" s="525" t="s">
        <v>2728</v>
      </c>
      <c r="S1042" s="399">
        <v>2</v>
      </c>
      <c r="T1042" s="348" t="s">
        <v>3362</v>
      </c>
      <c r="U1042" s="520">
        <v>5000</v>
      </c>
      <c r="V1042" s="266">
        <v>10000</v>
      </c>
      <c r="W1042" s="521" t="s">
        <v>227</v>
      </c>
      <c r="X1042" s="521" t="s">
        <v>3383</v>
      </c>
      <c r="Y1042" s="522" t="s">
        <v>2512</v>
      </c>
      <c r="Z1042" s="523" t="s">
        <v>541</v>
      </c>
    </row>
    <row r="1043" spans="1:26" ht="29">
      <c r="A1043" s="513">
        <v>1041</v>
      </c>
      <c r="B1043" s="390"/>
      <c r="C1043" s="515" t="s">
        <v>3227</v>
      </c>
      <c r="D1043" s="262" t="s">
        <v>3228</v>
      </c>
      <c r="E1043" s="513">
        <v>1042</v>
      </c>
      <c r="F1043" s="544" t="s">
        <v>3227</v>
      </c>
      <c r="G1043" s="543">
        <v>41214</v>
      </c>
      <c r="H1043" s="543">
        <v>41214</v>
      </c>
      <c r="I1043" s="543">
        <v>41214</v>
      </c>
      <c r="J1043" s="543">
        <v>41214</v>
      </c>
      <c r="K1043" s="517">
        <v>45597</v>
      </c>
      <c r="L1043" s="518" t="s">
        <v>705</v>
      </c>
      <c r="M1043" s="264" t="s">
        <v>2587</v>
      </c>
      <c r="N1043" s="262" t="s">
        <v>2176</v>
      </c>
      <c r="O1043" s="390" t="s">
        <v>2255</v>
      </c>
      <c r="P1043" s="264" t="str">
        <f t="shared" si="43"/>
        <v>gunting kertas-ukuran : panjang 21cm x lebar 8cm, stainless steel</v>
      </c>
      <c r="Q1043" s="264" t="s">
        <v>710</v>
      </c>
      <c r="R1043" s="519" t="s">
        <v>123</v>
      </c>
      <c r="S1043" s="399">
        <v>2</v>
      </c>
      <c r="T1043" s="348" t="s">
        <v>3363</v>
      </c>
      <c r="U1043" s="520">
        <v>20000</v>
      </c>
      <c r="V1043" s="266">
        <v>40000</v>
      </c>
      <c r="W1043" s="521" t="s">
        <v>227</v>
      </c>
      <c r="X1043" s="521" t="s">
        <v>3383</v>
      </c>
      <c r="Y1043" s="522" t="s">
        <v>2512</v>
      </c>
      <c r="Z1043" s="523" t="s">
        <v>541</v>
      </c>
    </row>
    <row r="1044" spans="1:26" ht="29">
      <c r="A1044" s="513">
        <v>1042</v>
      </c>
      <c r="B1044" s="390"/>
      <c r="C1044" s="515" t="s">
        <v>3227</v>
      </c>
      <c r="D1044" s="262" t="s">
        <v>3228</v>
      </c>
      <c r="E1044" s="513">
        <v>1043</v>
      </c>
      <c r="F1044" s="544" t="s">
        <v>3227</v>
      </c>
      <c r="G1044" s="543">
        <v>41214</v>
      </c>
      <c r="H1044" s="543">
        <v>41214</v>
      </c>
      <c r="I1044" s="543">
        <v>41214</v>
      </c>
      <c r="J1044" s="543">
        <v>41214</v>
      </c>
      <c r="K1044" s="517">
        <v>45597</v>
      </c>
      <c r="L1044" s="518" t="s">
        <v>705</v>
      </c>
      <c r="M1044" s="264" t="s">
        <v>2587</v>
      </c>
      <c r="N1044" s="262" t="s">
        <v>2176</v>
      </c>
      <c r="O1044" s="390" t="s">
        <v>237</v>
      </c>
      <c r="P1044" s="264" t="str">
        <f t="shared" si="43"/>
        <v>Binder Klip  nomor 107</v>
      </c>
      <c r="Q1044" s="264" t="s">
        <v>710</v>
      </c>
      <c r="R1044" s="525" t="s">
        <v>2595</v>
      </c>
      <c r="S1044" s="399">
        <v>5</v>
      </c>
      <c r="T1044" s="348" t="s">
        <v>3362</v>
      </c>
      <c r="U1044" s="520">
        <v>7500</v>
      </c>
      <c r="V1044" s="266">
        <v>37500</v>
      </c>
      <c r="W1044" s="521" t="s">
        <v>227</v>
      </c>
      <c r="X1044" s="521" t="s">
        <v>3383</v>
      </c>
      <c r="Y1044" s="522" t="s">
        <v>2512</v>
      </c>
      <c r="Z1044" s="523" t="s">
        <v>541</v>
      </c>
    </row>
    <row r="1045" spans="1:26" ht="29">
      <c r="A1045" s="513">
        <v>1043</v>
      </c>
      <c r="B1045" s="390"/>
      <c r="C1045" s="515" t="s">
        <v>3227</v>
      </c>
      <c r="D1045" s="262" t="s">
        <v>3228</v>
      </c>
      <c r="E1045" s="513">
        <v>1044</v>
      </c>
      <c r="F1045" s="544" t="s">
        <v>3227</v>
      </c>
      <c r="G1045" s="543">
        <v>41214</v>
      </c>
      <c r="H1045" s="543">
        <v>41214</v>
      </c>
      <c r="I1045" s="543">
        <v>41214</v>
      </c>
      <c r="J1045" s="543">
        <v>41214</v>
      </c>
      <c r="K1045" s="517">
        <v>45597</v>
      </c>
      <c r="L1045" s="518" t="s">
        <v>705</v>
      </c>
      <c r="M1045" s="264" t="s">
        <v>2587</v>
      </c>
      <c r="N1045" s="262" t="s">
        <v>2176</v>
      </c>
      <c r="O1045" s="390" t="s">
        <v>233</v>
      </c>
      <c r="P1045" s="264" t="str">
        <f t="shared" si="43"/>
        <v>Ballpoint Drawing Pen 0,1 Snowman</v>
      </c>
      <c r="Q1045" s="264" t="s">
        <v>710</v>
      </c>
      <c r="R1045" s="525" t="s">
        <v>2590</v>
      </c>
      <c r="S1045" s="399">
        <v>1</v>
      </c>
      <c r="T1045" s="348" t="s">
        <v>3364</v>
      </c>
      <c r="U1045" s="520">
        <v>95000</v>
      </c>
      <c r="V1045" s="266">
        <v>95000</v>
      </c>
      <c r="W1045" s="521" t="s">
        <v>227</v>
      </c>
      <c r="X1045" s="521" t="s">
        <v>3383</v>
      </c>
      <c r="Y1045" s="522" t="s">
        <v>2512</v>
      </c>
      <c r="Z1045" s="523" t="s">
        <v>541</v>
      </c>
    </row>
    <row r="1046" spans="1:26" ht="29">
      <c r="A1046" s="513">
        <v>1044</v>
      </c>
      <c r="B1046" s="390"/>
      <c r="C1046" s="515" t="s">
        <v>3227</v>
      </c>
      <c r="D1046" s="262" t="s">
        <v>3228</v>
      </c>
      <c r="E1046" s="513">
        <v>1045</v>
      </c>
      <c r="F1046" s="544" t="s">
        <v>3227</v>
      </c>
      <c r="G1046" s="543">
        <v>41214</v>
      </c>
      <c r="H1046" s="543">
        <v>41214</v>
      </c>
      <c r="I1046" s="543">
        <v>41214</v>
      </c>
      <c r="J1046" s="543">
        <v>41214</v>
      </c>
      <c r="K1046" s="517">
        <v>45597</v>
      </c>
      <c r="L1046" s="518" t="s">
        <v>705</v>
      </c>
      <c r="M1046" s="264" t="s">
        <v>2587</v>
      </c>
      <c r="N1046" s="262" t="s">
        <v>2176</v>
      </c>
      <c r="O1046" s="390" t="s">
        <v>2242</v>
      </c>
      <c r="P1046" s="264" t="str">
        <f t="shared" si="43"/>
        <v>Lakban Hitam--</v>
      </c>
      <c r="Q1046" s="264" t="s">
        <v>710</v>
      </c>
      <c r="R1046" s="519" t="s">
        <v>137</v>
      </c>
      <c r="S1046" s="399">
        <v>5</v>
      </c>
      <c r="T1046" s="348" t="s">
        <v>3363</v>
      </c>
      <c r="U1046" s="520">
        <v>15500</v>
      </c>
      <c r="V1046" s="266">
        <v>77500</v>
      </c>
      <c r="W1046" s="521" t="s">
        <v>227</v>
      </c>
      <c r="X1046" s="521" t="s">
        <v>3383</v>
      </c>
      <c r="Y1046" s="522" t="s">
        <v>2512</v>
      </c>
      <c r="Z1046" s="523" t="s">
        <v>541</v>
      </c>
    </row>
    <row r="1047" spans="1:26" ht="29">
      <c r="A1047" s="513">
        <v>1045</v>
      </c>
      <c r="B1047" s="390"/>
      <c r="C1047" s="515" t="s">
        <v>3227</v>
      </c>
      <c r="D1047" s="262" t="s">
        <v>3228</v>
      </c>
      <c r="E1047" s="513">
        <v>1046</v>
      </c>
      <c r="F1047" s="544" t="s">
        <v>3227</v>
      </c>
      <c r="G1047" s="543">
        <v>41214</v>
      </c>
      <c r="H1047" s="543">
        <v>41214</v>
      </c>
      <c r="I1047" s="543">
        <v>41214</v>
      </c>
      <c r="J1047" s="543">
        <v>41214</v>
      </c>
      <c r="K1047" s="517">
        <v>45597</v>
      </c>
      <c r="L1047" s="518" t="s">
        <v>705</v>
      </c>
      <c r="M1047" s="264" t="s">
        <v>2587</v>
      </c>
      <c r="N1047" s="262" t="s">
        <v>2176</v>
      </c>
      <c r="O1047" s="390" t="s">
        <v>2249</v>
      </c>
      <c r="P1047" s="264" t="str">
        <f t="shared" si="43"/>
        <v>Baterey Tanggung</v>
      </c>
      <c r="Q1047" s="264" t="s">
        <v>710</v>
      </c>
      <c r="R1047" s="519" t="s">
        <v>107</v>
      </c>
      <c r="S1047" s="399">
        <v>5</v>
      </c>
      <c r="T1047" s="348" t="s">
        <v>3366</v>
      </c>
      <c r="U1047" s="520">
        <v>20000</v>
      </c>
      <c r="V1047" s="266">
        <v>100000</v>
      </c>
      <c r="W1047" s="521" t="s">
        <v>227</v>
      </c>
      <c r="X1047" s="521" t="s">
        <v>3383</v>
      </c>
      <c r="Y1047" s="522" t="s">
        <v>2512</v>
      </c>
      <c r="Z1047" s="523" t="s">
        <v>541</v>
      </c>
    </row>
    <row r="1048" spans="1:26" ht="29">
      <c r="A1048" s="513">
        <v>1046</v>
      </c>
      <c r="B1048" s="390"/>
      <c r="C1048" s="515" t="s">
        <v>3227</v>
      </c>
      <c r="D1048" s="262" t="s">
        <v>3228</v>
      </c>
      <c r="E1048" s="513">
        <v>1047</v>
      </c>
      <c r="F1048" s="544" t="s">
        <v>3227</v>
      </c>
      <c r="G1048" s="543">
        <v>41214</v>
      </c>
      <c r="H1048" s="543">
        <v>41214</v>
      </c>
      <c r="I1048" s="543">
        <v>41214</v>
      </c>
      <c r="J1048" s="543">
        <v>41214</v>
      </c>
      <c r="K1048" s="517">
        <v>45597</v>
      </c>
      <c r="L1048" s="518" t="s">
        <v>705</v>
      </c>
      <c r="M1048" s="264" t="s">
        <v>2587</v>
      </c>
      <c r="N1048" s="262" t="s">
        <v>2176</v>
      </c>
      <c r="O1048" s="390" t="s">
        <v>2256</v>
      </c>
      <c r="P1048" s="264" t="str">
        <f t="shared" si="43"/>
        <v>Ballpoint Standard AE7</v>
      </c>
      <c r="Q1048" s="264" t="s">
        <v>710</v>
      </c>
      <c r="R1048" s="519" t="s">
        <v>103</v>
      </c>
      <c r="S1048" s="399">
        <v>2</v>
      </c>
      <c r="T1048" s="348" t="s">
        <v>3364</v>
      </c>
      <c r="U1048" s="520">
        <v>20000</v>
      </c>
      <c r="V1048" s="266">
        <v>40000</v>
      </c>
      <c r="W1048" s="521" t="s">
        <v>227</v>
      </c>
      <c r="X1048" s="521" t="s">
        <v>3383</v>
      </c>
      <c r="Y1048" s="522" t="s">
        <v>2512</v>
      </c>
      <c r="Z1048" s="523" t="s">
        <v>541</v>
      </c>
    </row>
    <row r="1049" spans="1:26" ht="29">
      <c r="A1049" s="513">
        <v>1047</v>
      </c>
      <c r="B1049" s="390"/>
      <c r="C1049" s="515" t="s">
        <v>3227</v>
      </c>
      <c r="D1049" s="262" t="s">
        <v>3228</v>
      </c>
      <c r="E1049" s="513">
        <v>1048</v>
      </c>
      <c r="F1049" s="544" t="s">
        <v>3227</v>
      </c>
      <c r="G1049" s="543">
        <v>41214</v>
      </c>
      <c r="H1049" s="543">
        <v>41214</v>
      </c>
      <c r="I1049" s="543">
        <v>41214</v>
      </c>
      <c r="J1049" s="543">
        <v>41214</v>
      </c>
      <c r="K1049" s="517">
        <v>45597</v>
      </c>
      <c r="L1049" s="518" t="s">
        <v>705</v>
      </c>
      <c r="M1049" s="264" t="s">
        <v>2587</v>
      </c>
      <c r="N1049" s="262" t="s">
        <v>2176</v>
      </c>
      <c r="O1049" s="390" t="s">
        <v>2257</v>
      </c>
      <c r="P1049" s="264" t="str">
        <f t="shared" si="43"/>
        <v>lakban hitam-ukuran : lebar 2 inch, panjang 12m, bahan : kain</v>
      </c>
      <c r="Q1049" s="264" t="s">
        <v>710</v>
      </c>
      <c r="R1049" s="519" t="s">
        <v>137</v>
      </c>
      <c r="S1049" s="399">
        <v>4</v>
      </c>
      <c r="T1049" s="348" t="s">
        <v>3363</v>
      </c>
      <c r="U1049" s="520">
        <v>12500</v>
      </c>
      <c r="V1049" s="266">
        <v>50000</v>
      </c>
      <c r="W1049" s="521" t="s">
        <v>227</v>
      </c>
      <c r="X1049" s="521" t="s">
        <v>3383</v>
      </c>
      <c r="Y1049" s="522" t="s">
        <v>2512</v>
      </c>
      <c r="Z1049" s="523" t="s">
        <v>541</v>
      </c>
    </row>
    <row r="1050" spans="1:26" ht="29">
      <c r="A1050" s="513">
        <v>1048</v>
      </c>
      <c r="B1050" s="390"/>
      <c r="C1050" s="515" t="s">
        <v>3227</v>
      </c>
      <c r="D1050" s="262" t="s">
        <v>3228</v>
      </c>
      <c r="E1050" s="513">
        <v>1049</v>
      </c>
      <c r="F1050" s="544" t="s">
        <v>3227</v>
      </c>
      <c r="G1050" s="543">
        <v>41214</v>
      </c>
      <c r="H1050" s="543">
        <v>41214</v>
      </c>
      <c r="I1050" s="543">
        <v>41214</v>
      </c>
      <c r="J1050" s="543">
        <v>41214</v>
      </c>
      <c r="K1050" s="517">
        <v>45597</v>
      </c>
      <c r="L1050" s="518" t="s">
        <v>705</v>
      </c>
      <c r="M1050" s="264" t="s">
        <v>2587</v>
      </c>
      <c r="N1050" s="262" t="s">
        <v>2176</v>
      </c>
      <c r="O1050" s="390" t="s">
        <v>254</v>
      </c>
      <c r="P1050" s="264" t="str">
        <f t="shared" si="43"/>
        <v>Map Binder</v>
      </c>
      <c r="Q1050" s="264" t="s">
        <v>710</v>
      </c>
      <c r="R1050" s="519" t="s">
        <v>142</v>
      </c>
      <c r="S1050" s="399">
        <v>12</v>
      </c>
      <c r="T1050" s="348" t="s">
        <v>3363</v>
      </c>
      <c r="U1050" s="520">
        <v>35500</v>
      </c>
      <c r="V1050" s="266">
        <v>426000</v>
      </c>
      <c r="W1050" s="521" t="s">
        <v>227</v>
      </c>
      <c r="X1050" s="521" t="s">
        <v>3383</v>
      </c>
      <c r="Y1050" s="522" t="s">
        <v>2512</v>
      </c>
      <c r="Z1050" s="523" t="s">
        <v>541</v>
      </c>
    </row>
    <row r="1051" spans="1:26" ht="29">
      <c r="A1051" s="513">
        <v>1049</v>
      </c>
      <c r="B1051" s="390"/>
      <c r="C1051" s="515" t="s">
        <v>3227</v>
      </c>
      <c r="D1051" s="262" t="s">
        <v>3228</v>
      </c>
      <c r="E1051" s="513">
        <v>1050</v>
      </c>
      <c r="F1051" s="544" t="s">
        <v>3227</v>
      </c>
      <c r="G1051" s="543">
        <v>41214</v>
      </c>
      <c r="H1051" s="543">
        <v>41214</v>
      </c>
      <c r="I1051" s="543">
        <v>41214</v>
      </c>
      <c r="J1051" s="543">
        <v>41214</v>
      </c>
      <c r="K1051" s="517">
        <v>45597</v>
      </c>
      <c r="L1051" s="518" t="s">
        <v>705</v>
      </c>
      <c r="M1051" s="264" t="s">
        <v>2587</v>
      </c>
      <c r="N1051" s="262" t="s">
        <v>2176</v>
      </c>
      <c r="O1051" s="390" t="s">
        <v>2235</v>
      </c>
      <c r="P1051" s="264" t="str">
        <f t="shared" si="43"/>
        <v>Amplop Coklat Merk : GSU Ukuran Folio polos</v>
      </c>
      <c r="Q1051" s="264" t="s">
        <v>710</v>
      </c>
      <c r="R1051" s="529" t="s">
        <v>2593</v>
      </c>
      <c r="S1051" s="399">
        <v>2</v>
      </c>
      <c r="T1051" s="348" t="s">
        <v>3365</v>
      </c>
      <c r="U1051" s="520">
        <v>60000</v>
      </c>
      <c r="V1051" s="266">
        <v>120000</v>
      </c>
      <c r="W1051" s="521" t="s">
        <v>227</v>
      </c>
      <c r="X1051" s="521" t="s">
        <v>3383</v>
      </c>
      <c r="Y1051" s="522" t="s">
        <v>2512</v>
      </c>
      <c r="Z1051" s="523" t="s">
        <v>541</v>
      </c>
    </row>
    <row r="1052" spans="1:26" ht="29">
      <c r="A1052" s="513">
        <v>1050</v>
      </c>
      <c r="B1052" s="390"/>
      <c r="C1052" s="515" t="s">
        <v>3227</v>
      </c>
      <c r="D1052" s="262" t="s">
        <v>3228</v>
      </c>
      <c r="E1052" s="513">
        <v>1051</v>
      </c>
      <c r="F1052" s="544" t="s">
        <v>3227</v>
      </c>
      <c r="G1052" s="543">
        <v>41214</v>
      </c>
      <c r="H1052" s="543">
        <v>41214</v>
      </c>
      <c r="I1052" s="543">
        <v>41214</v>
      </c>
      <c r="J1052" s="543">
        <v>41214</v>
      </c>
      <c r="K1052" s="517">
        <v>45597</v>
      </c>
      <c r="L1052" s="518" t="s">
        <v>705</v>
      </c>
      <c r="M1052" s="264" t="s">
        <v>2587</v>
      </c>
      <c r="N1052" s="262" t="s">
        <v>2176</v>
      </c>
      <c r="O1052" s="390" t="s">
        <v>230</v>
      </c>
      <c r="P1052" s="264" t="str">
        <f t="shared" si="43"/>
        <v>Amplop Coklat Merk : GSU Ukuran : 1/2 folio, bergaris</v>
      </c>
      <c r="Q1052" s="264" t="s">
        <v>710</v>
      </c>
      <c r="R1052" s="525" t="s">
        <v>2600</v>
      </c>
      <c r="S1052" s="399">
        <v>1</v>
      </c>
      <c r="T1052" s="348" t="s">
        <v>3365</v>
      </c>
      <c r="U1052" s="520">
        <v>45000</v>
      </c>
      <c r="V1052" s="266">
        <v>45000</v>
      </c>
      <c r="W1052" s="521" t="s">
        <v>227</v>
      </c>
      <c r="X1052" s="521" t="s">
        <v>3383</v>
      </c>
      <c r="Y1052" s="522" t="s">
        <v>2512</v>
      </c>
      <c r="Z1052" s="523" t="s">
        <v>541</v>
      </c>
    </row>
    <row r="1053" spans="1:26" ht="29">
      <c r="A1053" s="513">
        <v>1051</v>
      </c>
      <c r="B1053" s="390"/>
      <c r="C1053" s="515" t="s">
        <v>3227</v>
      </c>
      <c r="D1053" s="262" t="s">
        <v>3228</v>
      </c>
      <c r="E1053" s="513">
        <v>1052</v>
      </c>
      <c r="F1053" s="544" t="s">
        <v>3227</v>
      </c>
      <c r="G1053" s="543">
        <v>41214</v>
      </c>
      <c r="H1053" s="543">
        <v>41214</v>
      </c>
      <c r="I1053" s="543">
        <v>41214</v>
      </c>
      <c r="J1053" s="543">
        <v>41214</v>
      </c>
      <c r="K1053" s="517">
        <v>45597</v>
      </c>
      <c r="L1053" s="518" t="s">
        <v>705</v>
      </c>
      <c r="M1053" s="264" t="s">
        <v>2587</v>
      </c>
      <c r="N1053" s="262" t="s">
        <v>2176</v>
      </c>
      <c r="O1053" s="390" t="s">
        <v>2250</v>
      </c>
      <c r="P1053" s="264" t="str">
        <f t="shared" si="43"/>
        <v>C. Tinta Printer EPSON Toner Epson 664 Black</v>
      </c>
      <c r="Q1053" s="264" t="s">
        <v>710</v>
      </c>
      <c r="R1053" s="519" t="s">
        <v>120</v>
      </c>
      <c r="S1053" s="399">
        <v>6</v>
      </c>
      <c r="T1053" s="348" t="s">
        <v>3367</v>
      </c>
      <c r="U1053" s="520">
        <v>85000</v>
      </c>
      <c r="V1053" s="266">
        <v>510000</v>
      </c>
      <c r="W1053" s="521" t="s">
        <v>227</v>
      </c>
      <c r="X1053" s="521" t="s">
        <v>3383</v>
      </c>
      <c r="Y1053" s="522" t="s">
        <v>2512</v>
      </c>
      <c r="Z1053" s="523" t="s">
        <v>541</v>
      </c>
    </row>
    <row r="1054" spans="1:26" ht="29">
      <c r="A1054" s="513">
        <v>1052</v>
      </c>
      <c r="B1054" s="390"/>
      <c r="C1054" s="515" t="s">
        <v>3227</v>
      </c>
      <c r="D1054" s="262" t="s">
        <v>3228</v>
      </c>
      <c r="E1054" s="513">
        <v>1053</v>
      </c>
      <c r="F1054" s="544" t="s">
        <v>3227</v>
      </c>
      <c r="G1054" s="543">
        <v>41214</v>
      </c>
      <c r="H1054" s="543">
        <v>41214</v>
      </c>
      <c r="I1054" s="543">
        <v>41214</v>
      </c>
      <c r="J1054" s="543">
        <v>41214</v>
      </c>
      <c r="K1054" s="517">
        <v>45597</v>
      </c>
      <c r="L1054" s="518" t="s">
        <v>705</v>
      </c>
      <c r="M1054" s="264" t="s">
        <v>2587</v>
      </c>
      <c r="N1054" s="262" t="s">
        <v>2176</v>
      </c>
      <c r="O1054" s="390" t="s">
        <v>2236</v>
      </c>
      <c r="P1054" s="264" t="str">
        <f t="shared" si="43"/>
        <v>Stapler HD-10--</v>
      </c>
      <c r="Q1054" s="264" t="s">
        <v>710</v>
      </c>
      <c r="R1054" s="519" t="s">
        <v>152</v>
      </c>
      <c r="S1054" s="399">
        <v>2</v>
      </c>
      <c r="T1054" s="348" t="s">
        <v>3363</v>
      </c>
      <c r="U1054" s="520">
        <v>20000</v>
      </c>
      <c r="V1054" s="266">
        <v>40000</v>
      </c>
      <c r="W1054" s="521" t="s">
        <v>227</v>
      </c>
      <c r="X1054" s="521" t="s">
        <v>3383</v>
      </c>
      <c r="Y1054" s="522" t="s">
        <v>2512</v>
      </c>
      <c r="Z1054" s="523" t="s">
        <v>541</v>
      </c>
    </row>
    <row r="1055" spans="1:26" ht="29">
      <c r="A1055" s="513">
        <v>1053</v>
      </c>
      <c r="B1055" s="390"/>
      <c r="C1055" s="515" t="s">
        <v>3227</v>
      </c>
      <c r="D1055" s="262" t="s">
        <v>3228</v>
      </c>
      <c r="E1055" s="513">
        <v>1054</v>
      </c>
      <c r="F1055" s="544" t="s">
        <v>3227</v>
      </c>
      <c r="G1055" s="543">
        <v>41214</v>
      </c>
      <c r="H1055" s="543">
        <v>41214</v>
      </c>
      <c r="I1055" s="543">
        <v>41214</v>
      </c>
      <c r="J1055" s="543">
        <v>41214</v>
      </c>
      <c r="K1055" s="517">
        <v>45597</v>
      </c>
      <c r="L1055" s="518" t="s">
        <v>705</v>
      </c>
      <c r="M1055" s="264" t="s">
        <v>2587</v>
      </c>
      <c r="N1055" s="262" t="s">
        <v>2176</v>
      </c>
      <c r="O1055" s="390" t="s">
        <v>236</v>
      </c>
      <c r="P1055" s="264" t="str">
        <f t="shared" si="43"/>
        <v>Baterey Kecil</v>
      </c>
      <c r="Q1055" s="264" t="s">
        <v>710</v>
      </c>
      <c r="R1055" s="519" t="s">
        <v>106</v>
      </c>
      <c r="S1055" s="399">
        <v>2</v>
      </c>
      <c r="T1055" s="348" t="s">
        <v>3366</v>
      </c>
      <c r="U1055" s="520">
        <v>20000</v>
      </c>
      <c r="V1055" s="266">
        <v>40000</v>
      </c>
      <c r="W1055" s="521" t="s">
        <v>227</v>
      </c>
      <c r="X1055" s="521" t="s">
        <v>3383</v>
      </c>
      <c r="Y1055" s="522" t="s">
        <v>2512</v>
      </c>
      <c r="Z1055" s="523" t="s">
        <v>541</v>
      </c>
    </row>
    <row r="1056" spans="1:26" ht="29">
      <c r="A1056" s="513">
        <v>1054</v>
      </c>
      <c r="B1056" s="390"/>
      <c r="C1056" s="515" t="s">
        <v>3227</v>
      </c>
      <c r="D1056" s="262" t="s">
        <v>3228</v>
      </c>
      <c r="E1056" s="513">
        <v>1055</v>
      </c>
      <c r="F1056" s="544" t="s">
        <v>3227</v>
      </c>
      <c r="G1056" s="543">
        <v>41214</v>
      </c>
      <c r="H1056" s="543">
        <v>41214</v>
      </c>
      <c r="I1056" s="543">
        <v>41214</v>
      </c>
      <c r="J1056" s="543">
        <v>41214</v>
      </c>
      <c r="K1056" s="517">
        <v>45597</v>
      </c>
      <c r="L1056" s="518" t="s">
        <v>705</v>
      </c>
      <c r="M1056" s="264" t="s">
        <v>2587</v>
      </c>
      <c r="N1056" s="262" t="s">
        <v>2176</v>
      </c>
      <c r="O1056" s="390" t="s">
        <v>228</v>
      </c>
      <c r="P1056" s="264" t="str">
        <f t="shared" si="43"/>
        <v>Amplop Coklat Merk : Garda Ukuran Cabinet</v>
      </c>
      <c r="Q1056" s="264" t="s">
        <v>710</v>
      </c>
      <c r="R1056" s="525" t="s">
        <v>2596</v>
      </c>
      <c r="S1056" s="399">
        <v>3</v>
      </c>
      <c r="T1056" s="348" t="s">
        <v>3365</v>
      </c>
      <c r="U1056" s="520">
        <v>23000</v>
      </c>
      <c r="V1056" s="266">
        <v>69000</v>
      </c>
      <c r="W1056" s="521" t="s">
        <v>227</v>
      </c>
      <c r="X1056" s="521" t="s">
        <v>3383</v>
      </c>
      <c r="Y1056" s="522" t="s">
        <v>2512</v>
      </c>
      <c r="Z1056" s="523" t="s">
        <v>541</v>
      </c>
    </row>
    <row r="1057" spans="1:26" ht="29">
      <c r="A1057" s="513">
        <v>1055</v>
      </c>
      <c r="B1057" s="390"/>
      <c r="C1057" s="515" t="s">
        <v>3227</v>
      </c>
      <c r="D1057" s="262" t="s">
        <v>3228</v>
      </c>
      <c r="E1057" s="513">
        <v>1056</v>
      </c>
      <c r="F1057" s="544" t="s">
        <v>3227</v>
      </c>
      <c r="G1057" s="543">
        <v>41214</v>
      </c>
      <c r="H1057" s="543">
        <v>41214</v>
      </c>
      <c r="I1057" s="543">
        <v>41214</v>
      </c>
      <c r="J1057" s="543">
        <v>41214</v>
      </c>
      <c r="K1057" s="517">
        <v>45597</v>
      </c>
      <c r="L1057" s="518" t="s">
        <v>705</v>
      </c>
      <c r="M1057" s="264" t="s">
        <v>2587</v>
      </c>
      <c r="N1057" s="262" t="s">
        <v>2176</v>
      </c>
      <c r="O1057" s="390" t="s">
        <v>239</v>
      </c>
      <c r="P1057" s="264" t="str">
        <f t="shared" si="43"/>
        <v>Binder Klip  nomor 200</v>
      </c>
      <c r="Q1057" s="264" t="s">
        <v>710</v>
      </c>
      <c r="R1057" s="519" t="s">
        <v>110</v>
      </c>
      <c r="S1057" s="399">
        <v>10</v>
      </c>
      <c r="T1057" s="348" t="s">
        <v>3362</v>
      </c>
      <c r="U1057" s="520">
        <v>16500</v>
      </c>
      <c r="V1057" s="266">
        <v>165000</v>
      </c>
      <c r="W1057" s="521" t="s">
        <v>227</v>
      </c>
      <c r="X1057" s="521" t="s">
        <v>3383</v>
      </c>
      <c r="Y1057" s="522" t="s">
        <v>2512</v>
      </c>
      <c r="Z1057" s="523" t="s">
        <v>541</v>
      </c>
    </row>
    <row r="1058" spans="1:26" ht="29">
      <c r="A1058" s="513">
        <v>1056</v>
      </c>
      <c r="B1058" s="390"/>
      <c r="C1058" s="515" t="s">
        <v>3227</v>
      </c>
      <c r="D1058" s="262" t="s">
        <v>3228</v>
      </c>
      <c r="E1058" s="513">
        <v>1057</v>
      </c>
      <c r="F1058" s="544" t="s">
        <v>3227</v>
      </c>
      <c r="G1058" s="543">
        <v>41214</v>
      </c>
      <c r="H1058" s="543">
        <v>41214</v>
      </c>
      <c r="I1058" s="543">
        <v>41214</v>
      </c>
      <c r="J1058" s="543">
        <v>41214</v>
      </c>
      <c r="K1058" s="517">
        <v>45597</v>
      </c>
      <c r="L1058" s="518" t="s">
        <v>705</v>
      </c>
      <c r="M1058" s="264" t="s">
        <v>2587</v>
      </c>
      <c r="N1058" s="262" t="s">
        <v>2176</v>
      </c>
      <c r="O1058" s="390" t="s">
        <v>2252</v>
      </c>
      <c r="P1058" s="264" t="str">
        <f t="shared" si="43"/>
        <v>Box File Merk : Bantex Ukuran : 115x270x325 mm</v>
      </c>
      <c r="Q1058" s="264" t="s">
        <v>710</v>
      </c>
      <c r="R1058" s="524" t="s">
        <v>2606</v>
      </c>
      <c r="S1058" s="399">
        <v>4</v>
      </c>
      <c r="T1058" s="348" t="s">
        <v>3363</v>
      </c>
      <c r="U1058" s="520">
        <v>59800</v>
      </c>
      <c r="V1058" s="266">
        <v>239200</v>
      </c>
      <c r="W1058" s="521" t="s">
        <v>227</v>
      </c>
      <c r="X1058" s="521" t="s">
        <v>3383</v>
      </c>
      <c r="Y1058" s="522" t="s">
        <v>2512</v>
      </c>
      <c r="Z1058" s="523" t="s">
        <v>541</v>
      </c>
    </row>
    <row r="1059" spans="1:26" ht="29">
      <c r="A1059" s="513">
        <v>1057</v>
      </c>
      <c r="B1059" s="390"/>
      <c r="C1059" s="515" t="s">
        <v>3227</v>
      </c>
      <c r="D1059" s="262" t="s">
        <v>3228</v>
      </c>
      <c r="E1059" s="513">
        <v>1058</v>
      </c>
      <c r="F1059" s="544" t="s">
        <v>3227</v>
      </c>
      <c r="G1059" s="543">
        <v>41214</v>
      </c>
      <c r="H1059" s="543">
        <v>41214</v>
      </c>
      <c r="I1059" s="543">
        <v>41214</v>
      </c>
      <c r="J1059" s="543">
        <v>41214</v>
      </c>
      <c r="K1059" s="517">
        <v>45597</v>
      </c>
      <c r="L1059" s="518" t="s">
        <v>705</v>
      </c>
      <c r="M1059" s="264" t="s">
        <v>2587</v>
      </c>
      <c r="N1059" s="262" t="s">
        <v>2176</v>
      </c>
      <c r="O1059" s="390" t="s">
        <v>251</v>
      </c>
      <c r="P1059" s="264" t="str">
        <f t="shared" si="43"/>
        <v>Kertas Warna Blank Folio, Ukuran : 8,5 x 14",  70 gram</v>
      </c>
      <c r="Q1059" s="264" t="s">
        <v>710</v>
      </c>
      <c r="R1059" s="519" t="s">
        <v>133</v>
      </c>
      <c r="S1059" s="399">
        <v>2</v>
      </c>
      <c r="T1059" s="348" t="s">
        <v>3369</v>
      </c>
      <c r="U1059" s="520">
        <v>90000</v>
      </c>
      <c r="V1059" s="266">
        <v>180000</v>
      </c>
      <c r="W1059" s="521" t="s">
        <v>227</v>
      </c>
      <c r="X1059" s="521" t="s">
        <v>3383</v>
      </c>
      <c r="Y1059" s="522" t="s">
        <v>2512</v>
      </c>
      <c r="Z1059" s="523" t="s">
        <v>541</v>
      </c>
    </row>
    <row r="1060" spans="1:26" ht="29">
      <c r="A1060" s="513">
        <v>1058</v>
      </c>
      <c r="B1060" s="390"/>
      <c r="C1060" s="515" t="s">
        <v>3227</v>
      </c>
      <c r="D1060" s="262" t="s">
        <v>3228</v>
      </c>
      <c r="E1060" s="513">
        <v>1059</v>
      </c>
      <c r="F1060" s="544" t="s">
        <v>3227</v>
      </c>
      <c r="G1060" s="543">
        <v>41214</v>
      </c>
      <c r="H1060" s="543">
        <v>41214</v>
      </c>
      <c r="I1060" s="543">
        <v>41214</v>
      </c>
      <c r="J1060" s="543">
        <v>41214</v>
      </c>
      <c r="K1060" s="517">
        <v>45597</v>
      </c>
      <c r="L1060" s="518" t="s">
        <v>705</v>
      </c>
      <c r="M1060" s="264" t="s">
        <v>2587</v>
      </c>
      <c r="N1060" s="262" t="s">
        <v>2176</v>
      </c>
      <c r="O1060" s="390" t="s">
        <v>253</v>
      </c>
      <c r="P1060" s="264" t="str">
        <f t="shared" si="43"/>
        <v>Lakban warna Uk 2" Warna Coklat Cofiie</v>
      </c>
      <c r="Q1060" s="264" t="s">
        <v>710</v>
      </c>
      <c r="R1060" s="519" t="s">
        <v>140</v>
      </c>
      <c r="S1060" s="399">
        <v>3</v>
      </c>
      <c r="T1060" s="348" t="s">
        <v>3363</v>
      </c>
      <c r="U1060" s="520">
        <v>20000</v>
      </c>
      <c r="V1060" s="266">
        <v>60000</v>
      </c>
      <c r="W1060" s="521" t="s">
        <v>227</v>
      </c>
      <c r="X1060" s="521" t="s">
        <v>3383</v>
      </c>
      <c r="Y1060" s="522" t="s">
        <v>2512</v>
      </c>
      <c r="Z1060" s="523" t="s">
        <v>541</v>
      </c>
    </row>
    <row r="1061" spans="1:26" ht="29">
      <c r="A1061" s="513">
        <v>1059</v>
      </c>
      <c r="B1061" s="390"/>
      <c r="C1061" s="515" t="s">
        <v>3227</v>
      </c>
      <c r="D1061" s="262" t="s">
        <v>3228</v>
      </c>
      <c r="E1061" s="513">
        <v>1060</v>
      </c>
      <c r="F1061" s="544" t="s">
        <v>3227</v>
      </c>
      <c r="G1061" s="543">
        <v>41214</v>
      </c>
      <c r="H1061" s="543">
        <v>41214</v>
      </c>
      <c r="I1061" s="543">
        <v>41214</v>
      </c>
      <c r="J1061" s="543">
        <v>41214</v>
      </c>
      <c r="K1061" s="517">
        <v>45597</v>
      </c>
      <c r="L1061" s="518" t="s">
        <v>705</v>
      </c>
      <c r="M1061" s="264" t="s">
        <v>2587</v>
      </c>
      <c r="N1061" s="262" t="s">
        <v>2176</v>
      </c>
      <c r="O1061" s="390" t="s">
        <v>250</v>
      </c>
      <c r="P1061" s="264" t="str">
        <f t="shared" si="43"/>
        <v>Kertas StensiI</v>
      </c>
      <c r="Q1061" s="264" t="s">
        <v>710</v>
      </c>
      <c r="R1061" s="519" t="s">
        <v>132</v>
      </c>
      <c r="S1061" s="399">
        <v>10</v>
      </c>
      <c r="T1061" s="348" t="s">
        <v>3365</v>
      </c>
      <c r="U1061" s="520">
        <v>50000</v>
      </c>
      <c r="V1061" s="266">
        <v>500000</v>
      </c>
      <c r="W1061" s="521" t="s">
        <v>227</v>
      </c>
      <c r="X1061" s="521" t="s">
        <v>3383</v>
      </c>
      <c r="Y1061" s="522" t="s">
        <v>2512</v>
      </c>
      <c r="Z1061" s="523" t="s">
        <v>541</v>
      </c>
    </row>
    <row r="1062" spans="1:26" ht="29">
      <c r="A1062" s="513">
        <v>1060</v>
      </c>
      <c r="B1062" s="390"/>
      <c r="C1062" s="515" t="s">
        <v>3227</v>
      </c>
      <c r="D1062" s="262" t="s">
        <v>3228</v>
      </c>
      <c r="E1062" s="513">
        <v>1061</v>
      </c>
      <c r="F1062" s="544" t="s">
        <v>3227</v>
      </c>
      <c r="G1062" s="543">
        <v>41214</v>
      </c>
      <c r="H1062" s="543">
        <v>41214</v>
      </c>
      <c r="I1062" s="543">
        <v>41214</v>
      </c>
      <c r="J1062" s="543">
        <v>41214</v>
      </c>
      <c r="K1062" s="517">
        <v>45597</v>
      </c>
      <c r="L1062" s="518" t="s">
        <v>705</v>
      </c>
      <c r="M1062" s="264" t="s">
        <v>2587</v>
      </c>
      <c r="N1062" s="262" t="s">
        <v>2176</v>
      </c>
      <c r="O1062" s="390" t="s">
        <v>2237</v>
      </c>
      <c r="P1062" s="264" t="str">
        <f t="shared" si="43"/>
        <v>Kertas Lain-Lain Kertas Buffalo</v>
      </c>
      <c r="Q1062" s="264" t="s">
        <v>710</v>
      </c>
      <c r="R1062" s="519" t="s">
        <v>130</v>
      </c>
      <c r="S1062" s="399">
        <v>5</v>
      </c>
      <c r="T1062" s="348" t="s">
        <v>3365</v>
      </c>
      <c r="U1062" s="520">
        <v>31000</v>
      </c>
      <c r="V1062" s="266">
        <v>155000</v>
      </c>
      <c r="W1062" s="521" t="s">
        <v>227</v>
      </c>
      <c r="X1062" s="521" t="s">
        <v>3383</v>
      </c>
      <c r="Y1062" s="522" t="s">
        <v>2512</v>
      </c>
      <c r="Z1062" s="523" t="s">
        <v>541</v>
      </c>
    </row>
    <row r="1063" spans="1:26" ht="29">
      <c r="A1063" s="513">
        <v>1061</v>
      </c>
      <c r="B1063" s="390"/>
      <c r="C1063" s="515" t="s">
        <v>3227</v>
      </c>
      <c r="D1063" s="262" t="s">
        <v>3228</v>
      </c>
      <c r="E1063" s="513">
        <v>1062</v>
      </c>
      <c r="F1063" s="544" t="s">
        <v>3227</v>
      </c>
      <c r="G1063" s="543">
        <v>41214</v>
      </c>
      <c r="H1063" s="543">
        <v>41214</v>
      </c>
      <c r="I1063" s="543">
        <v>41214</v>
      </c>
      <c r="J1063" s="543">
        <v>41214</v>
      </c>
      <c r="K1063" s="517">
        <v>45597</v>
      </c>
      <c r="L1063" s="518" t="s">
        <v>705</v>
      </c>
      <c r="M1063" s="264" t="s">
        <v>2587</v>
      </c>
      <c r="N1063" s="262" t="s">
        <v>2176</v>
      </c>
      <c r="O1063" s="390" t="s">
        <v>243</v>
      </c>
      <c r="P1063" s="264" t="str">
        <f t="shared" si="43"/>
        <v>C. Tinta Printer EPSON Tinta Printer Epson Blue</v>
      </c>
      <c r="Q1063" s="264" t="s">
        <v>710</v>
      </c>
      <c r="R1063" s="519" t="s">
        <v>117</v>
      </c>
      <c r="S1063" s="399">
        <v>4</v>
      </c>
      <c r="T1063" s="348" t="s">
        <v>3367</v>
      </c>
      <c r="U1063" s="520">
        <v>110000</v>
      </c>
      <c r="V1063" s="266">
        <v>440000</v>
      </c>
      <c r="W1063" s="521" t="s">
        <v>227</v>
      </c>
      <c r="X1063" s="521" t="s">
        <v>3383</v>
      </c>
      <c r="Y1063" s="522" t="s">
        <v>2512</v>
      </c>
      <c r="Z1063" s="523" t="s">
        <v>541</v>
      </c>
    </row>
    <row r="1064" spans="1:26" ht="43.5">
      <c r="A1064" s="513">
        <v>1062</v>
      </c>
      <c r="B1064" s="390"/>
      <c r="C1064" s="515" t="s">
        <v>3227</v>
      </c>
      <c r="D1064" s="262" t="s">
        <v>3228</v>
      </c>
      <c r="E1064" s="513">
        <v>1063</v>
      </c>
      <c r="F1064" s="544" t="s">
        <v>3227</v>
      </c>
      <c r="G1064" s="543">
        <v>41214</v>
      </c>
      <c r="H1064" s="543">
        <v>41214</v>
      </c>
      <c r="I1064" s="543">
        <v>41214</v>
      </c>
      <c r="J1064" s="543">
        <v>41214</v>
      </c>
      <c r="K1064" s="517">
        <v>45597</v>
      </c>
      <c r="L1064" s="518" t="s">
        <v>705</v>
      </c>
      <c r="M1064" s="264" t="s">
        <v>2587</v>
      </c>
      <c r="N1064" s="262" t="s">
        <v>2176</v>
      </c>
      <c r="O1064" s="390" t="s">
        <v>2240</v>
      </c>
      <c r="P1064" s="264" t="str">
        <f t="shared" si="43"/>
        <v>Ballpoint Boldiner Standar</v>
      </c>
      <c r="Q1064" s="264" t="s">
        <v>710</v>
      </c>
      <c r="R1064" s="519" t="s">
        <v>100</v>
      </c>
      <c r="S1064" s="399">
        <v>2</v>
      </c>
      <c r="T1064" s="348" t="s">
        <v>3364</v>
      </c>
      <c r="U1064" s="520">
        <v>225000</v>
      </c>
      <c r="V1064" s="266">
        <v>450000</v>
      </c>
      <c r="W1064" s="521" t="s">
        <v>227</v>
      </c>
      <c r="X1064" s="521" t="s">
        <v>3383</v>
      </c>
      <c r="Y1064" s="522" t="s">
        <v>2512</v>
      </c>
      <c r="Z1064" s="523" t="s">
        <v>541</v>
      </c>
    </row>
    <row r="1065" spans="1:26" ht="29">
      <c r="A1065" s="513">
        <v>1063</v>
      </c>
      <c r="B1065" s="390"/>
      <c r="C1065" s="515" t="s">
        <v>3227</v>
      </c>
      <c r="D1065" s="262" t="s">
        <v>3228</v>
      </c>
      <c r="E1065" s="513">
        <v>1064</v>
      </c>
      <c r="F1065" s="544" t="s">
        <v>3227</v>
      </c>
      <c r="G1065" s="543">
        <v>41214</v>
      </c>
      <c r="H1065" s="543">
        <v>41214</v>
      </c>
      <c r="I1065" s="543">
        <v>41214</v>
      </c>
      <c r="J1065" s="543">
        <v>41214</v>
      </c>
      <c r="K1065" s="517">
        <v>45597</v>
      </c>
      <c r="L1065" s="518" t="s">
        <v>705</v>
      </c>
      <c r="M1065" s="264" t="s">
        <v>2587</v>
      </c>
      <c r="N1065" s="262" t="s">
        <v>2176</v>
      </c>
      <c r="O1065" s="390" t="s">
        <v>258</v>
      </c>
      <c r="P1065" s="264" t="str">
        <f t="shared" si="43"/>
        <v>Pisau Cutter Kenko L-500</v>
      </c>
      <c r="Q1065" s="264" t="s">
        <v>710</v>
      </c>
      <c r="R1065" s="525" t="s">
        <v>2601</v>
      </c>
      <c r="S1065" s="399">
        <v>2</v>
      </c>
      <c r="T1065" s="348" t="s">
        <v>3363</v>
      </c>
      <c r="U1065" s="520">
        <v>15000</v>
      </c>
      <c r="V1065" s="266">
        <v>30000</v>
      </c>
      <c r="W1065" s="521" t="s">
        <v>227</v>
      </c>
      <c r="X1065" s="521" t="s">
        <v>3383</v>
      </c>
      <c r="Y1065" s="522" t="s">
        <v>2512</v>
      </c>
      <c r="Z1065" s="523" t="s">
        <v>541</v>
      </c>
    </row>
    <row r="1066" spans="1:26" ht="29">
      <c r="A1066" s="513">
        <v>1064</v>
      </c>
      <c r="B1066" s="390"/>
      <c r="C1066" s="515" t="s">
        <v>3227</v>
      </c>
      <c r="D1066" s="262" t="s">
        <v>3228</v>
      </c>
      <c r="E1066" s="513">
        <v>1065</v>
      </c>
      <c r="F1066" s="544" t="s">
        <v>3227</v>
      </c>
      <c r="G1066" s="543">
        <v>41214</v>
      </c>
      <c r="H1066" s="543">
        <v>41214</v>
      </c>
      <c r="I1066" s="543">
        <v>41214</v>
      </c>
      <c r="J1066" s="543">
        <v>41214</v>
      </c>
      <c r="K1066" s="517">
        <v>45597</v>
      </c>
      <c r="L1066" s="518" t="s">
        <v>705</v>
      </c>
      <c r="M1066" s="264" t="s">
        <v>2587</v>
      </c>
      <c r="N1066" s="262" t="s">
        <v>2176</v>
      </c>
      <c r="O1066" s="390" t="s">
        <v>247</v>
      </c>
      <c r="P1066" s="264" t="str">
        <f t="shared" si="43"/>
        <v>Kertas HVS 80 gram Merk : Paper One A4, Ukuran : 8,27" x 11,69", Isi : 500 lembar</v>
      </c>
      <c r="Q1066" s="264" t="s">
        <v>710</v>
      </c>
      <c r="R1066" s="519" t="s">
        <v>1351</v>
      </c>
      <c r="S1066" s="399">
        <v>40</v>
      </c>
      <c r="T1066" s="348" t="s">
        <v>3369</v>
      </c>
      <c r="U1066" s="520">
        <v>50000</v>
      </c>
      <c r="V1066" s="266">
        <v>2000000</v>
      </c>
      <c r="W1066" s="521" t="s">
        <v>227</v>
      </c>
      <c r="X1066" s="521" t="s">
        <v>3383</v>
      </c>
      <c r="Y1066" s="522" t="s">
        <v>2512</v>
      </c>
      <c r="Z1066" s="523" t="s">
        <v>541</v>
      </c>
    </row>
    <row r="1067" spans="1:26" ht="29">
      <c r="A1067" s="513">
        <v>1065</v>
      </c>
      <c r="B1067" s="390"/>
      <c r="C1067" s="515" t="s">
        <v>3227</v>
      </c>
      <c r="D1067" s="262" t="s">
        <v>3228</v>
      </c>
      <c r="E1067" s="513">
        <v>1066</v>
      </c>
      <c r="F1067" s="544" t="s">
        <v>3227</v>
      </c>
      <c r="G1067" s="543">
        <v>41214</v>
      </c>
      <c r="H1067" s="543">
        <v>41214</v>
      </c>
      <c r="I1067" s="543">
        <v>41214</v>
      </c>
      <c r="J1067" s="543">
        <v>41214</v>
      </c>
      <c r="K1067" s="517">
        <v>45597</v>
      </c>
      <c r="L1067" s="518" t="s">
        <v>705</v>
      </c>
      <c r="M1067" s="264" t="s">
        <v>2587</v>
      </c>
      <c r="N1067" s="262" t="s">
        <v>2176</v>
      </c>
      <c r="O1067" s="390" t="s">
        <v>2258</v>
      </c>
      <c r="P1067" s="264" t="str">
        <f t="shared" si="43"/>
        <v>Lakban Besar</v>
      </c>
      <c r="Q1067" s="264" t="s">
        <v>710</v>
      </c>
      <c r="R1067" s="519" t="s">
        <v>2607</v>
      </c>
      <c r="S1067" s="399">
        <v>5</v>
      </c>
      <c r="T1067" s="348" t="s">
        <v>3363</v>
      </c>
      <c r="U1067" s="520">
        <v>25000</v>
      </c>
      <c r="V1067" s="266">
        <v>125000</v>
      </c>
      <c r="W1067" s="521" t="s">
        <v>227</v>
      </c>
      <c r="X1067" s="521" t="s">
        <v>3383</v>
      </c>
      <c r="Y1067" s="522" t="s">
        <v>2512</v>
      </c>
      <c r="Z1067" s="523" t="s">
        <v>541</v>
      </c>
    </row>
    <row r="1068" spans="1:26" ht="29">
      <c r="A1068" s="513">
        <v>1066</v>
      </c>
      <c r="B1068" s="390"/>
      <c r="C1068" s="515" t="s">
        <v>3227</v>
      </c>
      <c r="D1068" s="262" t="s">
        <v>3228</v>
      </c>
      <c r="E1068" s="513">
        <v>1067</v>
      </c>
      <c r="F1068" s="544" t="s">
        <v>3227</v>
      </c>
      <c r="G1068" s="543">
        <v>41214</v>
      </c>
      <c r="H1068" s="543">
        <v>41214</v>
      </c>
      <c r="I1068" s="543">
        <v>41214</v>
      </c>
      <c r="J1068" s="543">
        <v>41214</v>
      </c>
      <c r="K1068" s="517">
        <v>45597</v>
      </c>
      <c r="L1068" s="518" t="s">
        <v>705</v>
      </c>
      <c r="M1068" s="264" t="s">
        <v>2587</v>
      </c>
      <c r="N1068" s="262" t="s">
        <v>2176</v>
      </c>
      <c r="O1068" s="390" t="s">
        <v>249</v>
      </c>
      <c r="P1068" s="264" t="str">
        <f t="shared" si="43"/>
        <v>Kertas Post-It Warna Warni  Sign Here</v>
      </c>
      <c r="Q1068" s="264" t="s">
        <v>710</v>
      </c>
      <c r="R1068" s="525" t="s">
        <v>2604</v>
      </c>
      <c r="S1068" s="399">
        <v>5</v>
      </c>
      <c r="T1068" s="348" t="s">
        <v>3363</v>
      </c>
      <c r="U1068" s="520">
        <v>22800</v>
      </c>
      <c r="V1068" s="266">
        <v>114000</v>
      </c>
      <c r="W1068" s="521" t="s">
        <v>227</v>
      </c>
      <c r="X1068" s="521" t="s">
        <v>3383</v>
      </c>
      <c r="Y1068" s="522" t="s">
        <v>2512</v>
      </c>
      <c r="Z1068" s="523" t="s">
        <v>541</v>
      </c>
    </row>
    <row r="1069" spans="1:26" ht="29">
      <c r="A1069" s="513">
        <v>1067</v>
      </c>
      <c r="B1069" s="390"/>
      <c r="C1069" s="515" t="s">
        <v>3227</v>
      </c>
      <c r="D1069" s="262" t="s">
        <v>3228</v>
      </c>
      <c r="E1069" s="513">
        <v>1068</v>
      </c>
      <c r="F1069" s="544" t="s">
        <v>3227</v>
      </c>
      <c r="G1069" s="543">
        <v>41214</v>
      </c>
      <c r="H1069" s="543">
        <v>41214</v>
      </c>
      <c r="I1069" s="543">
        <v>41214</v>
      </c>
      <c r="J1069" s="543">
        <v>41214</v>
      </c>
      <c r="K1069" s="517">
        <v>45597</v>
      </c>
      <c r="L1069" s="518" t="s">
        <v>705</v>
      </c>
      <c r="M1069" s="264" t="s">
        <v>2587</v>
      </c>
      <c r="N1069" s="262" t="s">
        <v>2176</v>
      </c>
      <c r="O1069" s="390" t="s">
        <v>2234</v>
      </c>
      <c r="P1069" s="264" t="str">
        <f t="shared" si="43"/>
        <v>Stofmap Transparan tali</v>
      </c>
      <c r="Q1069" s="264" t="s">
        <v>710</v>
      </c>
      <c r="R1069" s="519" t="s">
        <v>158</v>
      </c>
      <c r="S1069" s="399">
        <v>100</v>
      </c>
      <c r="T1069" s="348" t="s">
        <v>3363</v>
      </c>
      <c r="U1069" s="520">
        <v>5500</v>
      </c>
      <c r="V1069" s="266">
        <v>550000</v>
      </c>
      <c r="W1069" s="521" t="s">
        <v>227</v>
      </c>
      <c r="X1069" s="521" t="s">
        <v>3383</v>
      </c>
      <c r="Y1069" s="522" t="s">
        <v>2512</v>
      </c>
      <c r="Z1069" s="523" t="s">
        <v>541</v>
      </c>
    </row>
    <row r="1070" spans="1:26" ht="29">
      <c r="A1070" s="513">
        <v>1068</v>
      </c>
      <c r="B1070" s="390"/>
      <c r="C1070" s="515" t="s">
        <v>3229</v>
      </c>
      <c r="D1070" s="262" t="s">
        <v>3230</v>
      </c>
      <c r="E1070" s="513">
        <v>1069</v>
      </c>
      <c r="F1070" s="544" t="s">
        <v>3229</v>
      </c>
      <c r="G1070" s="543">
        <v>41214</v>
      </c>
      <c r="H1070" s="543">
        <v>41214</v>
      </c>
      <c r="I1070" s="543">
        <v>41214</v>
      </c>
      <c r="J1070" s="543">
        <v>41214</v>
      </c>
      <c r="K1070" s="517">
        <v>45597</v>
      </c>
      <c r="L1070" s="518" t="s">
        <v>533</v>
      </c>
      <c r="M1070" s="264" t="s">
        <v>2587</v>
      </c>
      <c r="N1070" s="262" t="s">
        <v>2177</v>
      </c>
      <c r="O1070" s="390" t="s">
        <v>2266</v>
      </c>
      <c r="P1070" s="264" t="str">
        <f t="shared" si="43"/>
        <v>Perlengkapan Kebersihan Pembersih Lantai Super Pel Varian 800ml</v>
      </c>
      <c r="Q1070" s="264" t="s">
        <v>2609</v>
      </c>
      <c r="R1070" s="525" t="s">
        <v>2613</v>
      </c>
      <c r="S1070" s="399">
        <v>15</v>
      </c>
      <c r="T1070" s="348" t="s">
        <v>3363</v>
      </c>
      <c r="U1070" s="520">
        <v>13700</v>
      </c>
      <c r="V1070" s="266">
        <v>205500</v>
      </c>
      <c r="W1070" s="521" t="s">
        <v>227</v>
      </c>
      <c r="X1070" s="521" t="s">
        <v>3383</v>
      </c>
      <c r="Y1070" s="522" t="s">
        <v>2512</v>
      </c>
      <c r="Z1070" s="523" t="s">
        <v>541</v>
      </c>
    </row>
    <row r="1071" spans="1:26" ht="29">
      <c r="A1071" s="513">
        <v>1069</v>
      </c>
      <c r="B1071" s="390"/>
      <c r="C1071" s="515" t="s">
        <v>3229</v>
      </c>
      <c r="D1071" s="262" t="s">
        <v>3230</v>
      </c>
      <c r="E1071" s="513">
        <v>1070</v>
      </c>
      <c r="F1071" s="544" t="s">
        <v>3229</v>
      </c>
      <c r="G1071" s="543">
        <v>41214</v>
      </c>
      <c r="H1071" s="543">
        <v>41214</v>
      </c>
      <c r="I1071" s="543">
        <v>41214</v>
      </c>
      <c r="J1071" s="543">
        <v>41214</v>
      </c>
      <c r="K1071" s="517">
        <v>45597</v>
      </c>
      <c r="L1071" s="518" t="s">
        <v>533</v>
      </c>
      <c r="M1071" s="264" t="s">
        <v>2587</v>
      </c>
      <c r="N1071" s="262" t="s">
        <v>2177</v>
      </c>
      <c r="O1071" s="390" t="s">
        <v>2269</v>
      </c>
      <c r="P1071" s="264" t="str">
        <f t="shared" si="43"/>
        <v>Tisu--</v>
      </c>
      <c r="Q1071" s="264" t="s">
        <v>2609</v>
      </c>
      <c r="R1071" s="519" t="s">
        <v>537</v>
      </c>
      <c r="S1071" s="399">
        <v>12</v>
      </c>
      <c r="T1071" s="348" t="s">
        <v>3363</v>
      </c>
      <c r="U1071" s="520">
        <v>12500</v>
      </c>
      <c r="V1071" s="266">
        <v>150000</v>
      </c>
      <c r="W1071" s="521" t="s">
        <v>227</v>
      </c>
      <c r="X1071" s="521" t="s">
        <v>3383</v>
      </c>
      <c r="Y1071" s="522" t="s">
        <v>2512</v>
      </c>
      <c r="Z1071" s="523" t="s">
        <v>541</v>
      </c>
    </row>
    <row r="1072" spans="1:26" ht="29">
      <c r="A1072" s="513">
        <v>1070</v>
      </c>
      <c r="B1072" s="390"/>
      <c r="C1072" s="515" t="s">
        <v>3229</v>
      </c>
      <c r="D1072" s="262" t="s">
        <v>3230</v>
      </c>
      <c r="E1072" s="513">
        <v>1071</v>
      </c>
      <c r="F1072" s="544" t="s">
        <v>3229</v>
      </c>
      <c r="G1072" s="543">
        <v>41214</v>
      </c>
      <c r="H1072" s="543">
        <v>41214</v>
      </c>
      <c r="I1072" s="543">
        <v>41214</v>
      </c>
      <c r="J1072" s="543">
        <v>41214</v>
      </c>
      <c r="K1072" s="517">
        <v>45597</v>
      </c>
      <c r="L1072" s="518" t="s">
        <v>533</v>
      </c>
      <c r="M1072" s="264" t="s">
        <v>2587</v>
      </c>
      <c r="N1072" s="262" t="s">
        <v>2177</v>
      </c>
      <c r="O1072" s="390" t="s">
        <v>2268</v>
      </c>
      <c r="P1072" s="264" t="str">
        <f t="shared" si="43"/>
        <v>Perlengkapan Kebersihan Pembersih Pakaian Sunlight Refil 800ml</v>
      </c>
      <c r="Q1072" s="264" t="s">
        <v>2609</v>
      </c>
      <c r="R1072" s="525" t="s">
        <v>2616</v>
      </c>
      <c r="S1072" s="399">
        <v>3</v>
      </c>
      <c r="T1072" s="348" t="s">
        <v>3363</v>
      </c>
      <c r="U1072" s="520">
        <v>15000</v>
      </c>
      <c r="V1072" s="266">
        <v>45000</v>
      </c>
      <c r="W1072" s="521" t="s">
        <v>227</v>
      </c>
      <c r="X1072" s="521" t="s">
        <v>3383</v>
      </c>
      <c r="Y1072" s="522" t="s">
        <v>2512</v>
      </c>
      <c r="Z1072" s="523" t="s">
        <v>541</v>
      </c>
    </row>
    <row r="1073" spans="1:26" ht="29">
      <c r="A1073" s="513">
        <v>1071</v>
      </c>
      <c r="B1073" s="390"/>
      <c r="C1073" s="515" t="s">
        <v>3229</v>
      </c>
      <c r="D1073" s="262" t="s">
        <v>3230</v>
      </c>
      <c r="E1073" s="513">
        <v>1072</v>
      </c>
      <c r="F1073" s="544" t="s">
        <v>3229</v>
      </c>
      <c r="G1073" s="543">
        <v>41214</v>
      </c>
      <c r="H1073" s="543">
        <v>41214</v>
      </c>
      <c r="I1073" s="543">
        <v>41214</v>
      </c>
      <c r="J1073" s="543">
        <v>41214</v>
      </c>
      <c r="K1073" s="517">
        <v>45597</v>
      </c>
      <c r="L1073" s="518" t="s">
        <v>533</v>
      </c>
      <c r="M1073" s="264" t="s">
        <v>2587</v>
      </c>
      <c r="N1073" s="262" t="s">
        <v>2177</v>
      </c>
      <c r="O1073" s="390" t="s">
        <v>276</v>
      </c>
      <c r="P1073" s="264" t="str">
        <f t="shared" si="43"/>
        <v>vixal 500ml</v>
      </c>
      <c r="Q1073" s="264" t="s">
        <v>2609</v>
      </c>
      <c r="R1073" s="519" t="s">
        <v>2566</v>
      </c>
      <c r="S1073" s="399">
        <v>10</v>
      </c>
      <c r="T1073" s="348" t="s">
        <v>3367</v>
      </c>
      <c r="U1073" s="520">
        <v>30000</v>
      </c>
      <c r="V1073" s="266">
        <v>300000</v>
      </c>
      <c r="W1073" s="521" t="s">
        <v>227</v>
      </c>
      <c r="X1073" s="521" t="s">
        <v>3383</v>
      </c>
      <c r="Y1073" s="522" t="s">
        <v>2512</v>
      </c>
      <c r="Z1073" s="523" t="s">
        <v>541</v>
      </c>
    </row>
    <row r="1074" spans="1:26" ht="29">
      <c r="A1074" s="513">
        <v>1072</v>
      </c>
      <c r="B1074" s="390"/>
      <c r="C1074" s="515" t="s">
        <v>3229</v>
      </c>
      <c r="D1074" s="262" t="s">
        <v>3230</v>
      </c>
      <c r="E1074" s="513">
        <v>1073</v>
      </c>
      <c r="F1074" s="544" t="s">
        <v>3229</v>
      </c>
      <c r="G1074" s="543">
        <v>41214</v>
      </c>
      <c r="H1074" s="543">
        <v>41214</v>
      </c>
      <c r="I1074" s="543">
        <v>41214</v>
      </c>
      <c r="J1074" s="543">
        <v>41214</v>
      </c>
      <c r="K1074" s="517">
        <v>45597</v>
      </c>
      <c r="L1074" s="518" t="s">
        <v>533</v>
      </c>
      <c r="M1074" s="264" t="s">
        <v>2587</v>
      </c>
      <c r="N1074" s="262" t="s">
        <v>2177</v>
      </c>
      <c r="O1074" s="390" t="s">
        <v>271</v>
      </c>
      <c r="P1074" s="264" t="str">
        <f t="shared" si="43"/>
        <v>Pengharum Ruangan</v>
      </c>
      <c r="Q1074" s="264" t="s">
        <v>2609</v>
      </c>
      <c r="R1074" s="519" t="s">
        <v>2615</v>
      </c>
      <c r="S1074" s="399">
        <v>10</v>
      </c>
      <c r="T1074" s="348" t="s">
        <v>3363</v>
      </c>
      <c r="U1074" s="520">
        <v>12100</v>
      </c>
      <c r="V1074" s="266">
        <v>121000</v>
      </c>
      <c r="W1074" s="521" t="s">
        <v>227</v>
      </c>
      <c r="X1074" s="521" t="s">
        <v>3383</v>
      </c>
      <c r="Y1074" s="522" t="s">
        <v>2512</v>
      </c>
      <c r="Z1074" s="523" t="s">
        <v>541</v>
      </c>
    </row>
    <row r="1075" spans="1:26" ht="29">
      <c r="A1075" s="513">
        <v>1073</v>
      </c>
      <c r="B1075" s="390"/>
      <c r="C1075" s="515" t="s">
        <v>3229</v>
      </c>
      <c r="D1075" s="262" t="s">
        <v>3230</v>
      </c>
      <c r="E1075" s="513">
        <v>1074</v>
      </c>
      <c r="F1075" s="544" t="s">
        <v>3229</v>
      </c>
      <c r="G1075" s="543">
        <v>41214</v>
      </c>
      <c r="H1075" s="543">
        <v>41214</v>
      </c>
      <c r="I1075" s="543">
        <v>41214</v>
      </c>
      <c r="J1075" s="543">
        <v>41214</v>
      </c>
      <c r="K1075" s="517">
        <v>45597</v>
      </c>
      <c r="L1075" s="518" t="s">
        <v>533</v>
      </c>
      <c r="M1075" s="264" t="s">
        <v>2587</v>
      </c>
      <c r="N1075" s="262" t="s">
        <v>2177</v>
      </c>
      <c r="O1075" s="390" t="s">
        <v>2272</v>
      </c>
      <c r="P1075" s="264" t="str">
        <f t="shared" si="43"/>
        <v>Hand Sanitizer-Unit</v>
      </c>
      <c r="Q1075" s="264" t="s">
        <v>2609</v>
      </c>
      <c r="R1075" s="524" t="s">
        <v>2621</v>
      </c>
      <c r="S1075" s="399">
        <v>5</v>
      </c>
      <c r="T1075" s="348" t="s">
        <v>3371</v>
      </c>
      <c r="U1075" s="520">
        <v>70000</v>
      </c>
      <c r="V1075" s="266">
        <v>350000</v>
      </c>
      <c r="W1075" s="521" t="s">
        <v>227</v>
      </c>
      <c r="X1075" s="521" t="s">
        <v>3383</v>
      </c>
      <c r="Y1075" s="522" t="s">
        <v>2512</v>
      </c>
      <c r="Z1075" s="523" t="s">
        <v>541</v>
      </c>
    </row>
    <row r="1076" spans="1:26" ht="29">
      <c r="A1076" s="513">
        <v>1074</v>
      </c>
      <c r="B1076" s="390"/>
      <c r="C1076" s="515" t="s">
        <v>3229</v>
      </c>
      <c r="D1076" s="262" t="s">
        <v>3230</v>
      </c>
      <c r="E1076" s="513">
        <v>1075</v>
      </c>
      <c r="F1076" s="544" t="s">
        <v>3229</v>
      </c>
      <c r="G1076" s="543">
        <v>41214</v>
      </c>
      <c r="H1076" s="543">
        <v>41214</v>
      </c>
      <c r="I1076" s="543">
        <v>41214</v>
      </c>
      <c r="J1076" s="543">
        <v>41214</v>
      </c>
      <c r="K1076" s="517">
        <v>45597</v>
      </c>
      <c r="L1076" s="518" t="s">
        <v>533</v>
      </c>
      <c r="M1076" s="264" t="s">
        <v>2587</v>
      </c>
      <c r="N1076" s="262" t="s">
        <v>2177</v>
      </c>
      <c r="O1076" s="390" t="s">
        <v>270</v>
      </c>
      <c r="P1076" s="264" t="str">
        <f t="shared" si="43"/>
        <v>Handsoap/Pencuci Tangan</v>
      </c>
      <c r="Q1076" s="264" t="s">
        <v>2609</v>
      </c>
      <c r="R1076" s="519" t="s">
        <v>548</v>
      </c>
      <c r="S1076" s="399">
        <v>5</v>
      </c>
      <c r="T1076" s="348" t="s">
        <v>3367</v>
      </c>
      <c r="U1076" s="520">
        <v>67000</v>
      </c>
      <c r="V1076" s="266">
        <v>335000</v>
      </c>
      <c r="W1076" s="521" t="s">
        <v>227</v>
      </c>
      <c r="X1076" s="521" t="s">
        <v>3383</v>
      </c>
      <c r="Y1076" s="522" t="s">
        <v>2512</v>
      </c>
      <c r="Z1076" s="523" t="s">
        <v>541</v>
      </c>
    </row>
    <row r="1077" spans="1:26" ht="29">
      <c r="A1077" s="513">
        <v>1075</v>
      </c>
      <c r="B1077" s="390"/>
      <c r="C1077" s="515" t="s">
        <v>3229</v>
      </c>
      <c r="D1077" s="262" t="s">
        <v>3230</v>
      </c>
      <c r="E1077" s="513">
        <v>1076</v>
      </c>
      <c r="F1077" s="544" t="s">
        <v>3229</v>
      </c>
      <c r="G1077" s="543">
        <v>41214</v>
      </c>
      <c r="H1077" s="543">
        <v>41214</v>
      </c>
      <c r="I1077" s="543">
        <v>41214</v>
      </c>
      <c r="J1077" s="543">
        <v>41214</v>
      </c>
      <c r="K1077" s="517">
        <v>45597</v>
      </c>
      <c r="L1077" s="518" t="s">
        <v>533</v>
      </c>
      <c r="M1077" s="264" t="s">
        <v>2587</v>
      </c>
      <c r="N1077" s="262" t="s">
        <v>2177</v>
      </c>
      <c r="O1077" s="390" t="s">
        <v>2270</v>
      </c>
      <c r="P1077" s="264" t="str">
        <f t="shared" si="43"/>
        <v>Cairan Pembersih Kaca</v>
      </c>
      <c r="Q1077" s="264" t="s">
        <v>2609</v>
      </c>
      <c r="R1077" s="525" t="s">
        <v>2618</v>
      </c>
      <c r="S1077" s="399">
        <v>5</v>
      </c>
      <c r="T1077" s="348" t="s">
        <v>3363</v>
      </c>
      <c r="U1077" s="520">
        <v>12000</v>
      </c>
      <c r="V1077" s="266">
        <v>60000</v>
      </c>
      <c r="W1077" s="521" t="s">
        <v>227</v>
      </c>
      <c r="X1077" s="521" t="s">
        <v>3383</v>
      </c>
      <c r="Y1077" s="522" t="s">
        <v>2512</v>
      </c>
      <c r="Z1077" s="523" t="s">
        <v>541</v>
      </c>
    </row>
    <row r="1078" spans="1:26" ht="43.5">
      <c r="A1078" s="513">
        <v>1076</v>
      </c>
      <c r="B1078" s="390"/>
      <c r="C1078" s="515" t="s">
        <v>3229</v>
      </c>
      <c r="D1078" s="262" t="s">
        <v>3230</v>
      </c>
      <c r="E1078" s="513">
        <v>1077</v>
      </c>
      <c r="F1078" s="544" t="s">
        <v>3229</v>
      </c>
      <c r="G1078" s="543">
        <v>41214</v>
      </c>
      <c r="H1078" s="543">
        <v>41214</v>
      </c>
      <c r="I1078" s="543">
        <v>41214</v>
      </c>
      <c r="J1078" s="543">
        <v>41214</v>
      </c>
      <c r="K1078" s="517">
        <v>45597</v>
      </c>
      <c r="L1078" s="518" t="s">
        <v>533</v>
      </c>
      <c r="M1078" s="264" t="s">
        <v>2587</v>
      </c>
      <c r="N1078" s="262" t="s">
        <v>2177</v>
      </c>
      <c r="O1078" s="390" t="s">
        <v>274</v>
      </c>
      <c r="P1078" s="264" t="str">
        <f t="shared" si="43"/>
        <v>Spon Cuci</v>
      </c>
      <c r="Q1078" s="264" t="s">
        <v>2609</v>
      </c>
      <c r="R1078" s="519" t="s">
        <v>2617</v>
      </c>
      <c r="S1078" s="399">
        <v>5</v>
      </c>
      <c r="T1078" s="348" t="s">
        <v>3363</v>
      </c>
      <c r="U1078" s="520">
        <v>12000</v>
      </c>
      <c r="V1078" s="266">
        <v>60000</v>
      </c>
      <c r="W1078" s="521" t="s">
        <v>227</v>
      </c>
      <c r="X1078" s="521" t="s">
        <v>3383</v>
      </c>
      <c r="Y1078" s="522" t="s">
        <v>2512</v>
      </c>
      <c r="Z1078" s="523" t="s">
        <v>541</v>
      </c>
    </row>
    <row r="1079" spans="1:26" ht="29">
      <c r="A1079" s="513">
        <v>1077</v>
      </c>
      <c r="B1079" s="390"/>
      <c r="C1079" s="515" t="s">
        <v>3231</v>
      </c>
      <c r="D1079" s="262" t="s">
        <v>3232</v>
      </c>
      <c r="E1079" s="513">
        <v>1078</v>
      </c>
      <c r="F1079" s="544" t="s">
        <v>3231</v>
      </c>
      <c r="G1079" s="543">
        <v>41214</v>
      </c>
      <c r="H1079" s="543">
        <v>41214</v>
      </c>
      <c r="I1079" s="543">
        <v>41214</v>
      </c>
      <c r="J1079" s="543">
        <v>41214</v>
      </c>
      <c r="K1079" s="517">
        <v>45597</v>
      </c>
      <c r="L1079" s="518" t="s">
        <v>796</v>
      </c>
      <c r="M1079" s="264" t="s">
        <v>2646</v>
      </c>
      <c r="N1079" s="262" t="s">
        <v>2184</v>
      </c>
      <c r="O1079" s="390" t="s">
        <v>2286</v>
      </c>
      <c r="P1079" s="264" t="str">
        <f t="shared" si="43"/>
        <v>bola lampu hannock-45 watt</v>
      </c>
      <c r="Q1079" s="264" t="s">
        <v>799</v>
      </c>
      <c r="R1079" s="518" t="s">
        <v>2569</v>
      </c>
      <c r="S1079" s="399">
        <v>21</v>
      </c>
      <c r="T1079" s="348" t="s">
        <v>3363</v>
      </c>
      <c r="U1079" s="520">
        <v>77800</v>
      </c>
      <c r="V1079" s="266">
        <v>1633800</v>
      </c>
      <c r="W1079" s="521" t="s">
        <v>12</v>
      </c>
      <c r="X1079" s="521" t="s">
        <v>13</v>
      </c>
      <c r="Y1079" s="522" t="s">
        <v>2514</v>
      </c>
      <c r="Z1079" s="523" t="s">
        <v>541</v>
      </c>
    </row>
    <row r="1080" spans="1:26" ht="37.5">
      <c r="A1080" s="513">
        <v>1078</v>
      </c>
      <c r="B1080" s="390"/>
      <c r="C1080" s="515" t="s">
        <v>3233</v>
      </c>
      <c r="D1080" s="262" t="s">
        <v>3234</v>
      </c>
      <c r="E1080" s="513">
        <v>1079</v>
      </c>
      <c r="F1080" s="544" t="s">
        <v>3233</v>
      </c>
      <c r="G1080" s="543">
        <v>41216</v>
      </c>
      <c r="H1080" s="543">
        <v>41217</v>
      </c>
      <c r="I1080" s="543">
        <v>41217</v>
      </c>
      <c r="J1080" s="543">
        <v>41217</v>
      </c>
      <c r="K1080" s="517">
        <v>45600</v>
      </c>
      <c r="L1080" s="518" t="s">
        <v>2180</v>
      </c>
      <c r="M1080" s="264" t="s">
        <v>2786</v>
      </c>
      <c r="N1080" s="262" t="s">
        <v>2195</v>
      </c>
      <c r="O1080" s="390" t="s">
        <v>2303</v>
      </c>
      <c r="P1080" s="264" t="s">
        <v>2633</v>
      </c>
      <c r="Q1080" s="264" t="s">
        <v>280</v>
      </c>
      <c r="R1080" s="528" t="s">
        <v>165</v>
      </c>
      <c r="S1080" s="399">
        <v>150</v>
      </c>
      <c r="T1080" s="348" t="s">
        <v>3362</v>
      </c>
      <c r="U1080" s="520">
        <v>15000</v>
      </c>
      <c r="V1080" s="266">
        <v>2250000</v>
      </c>
      <c r="W1080" s="521" t="s">
        <v>10</v>
      </c>
      <c r="X1080" s="521" t="s">
        <v>11</v>
      </c>
      <c r="Y1080" s="522" t="s">
        <v>2092</v>
      </c>
      <c r="Z1080" s="523" t="s">
        <v>2634</v>
      </c>
    </row>
    <row r="1081" spans="1:26" ht="37.5">
      <c r="A1081" s="513">
        <v>1079</v>
      </c>
      <c r="B1081" s="390"/>
      <c r="C1081" s="515" t="s">
        <v>3235</v>
      </c>
      <c r="D1081" s="262" t="s">
        <v>3236</v>
      </c>
      <c r="E1081" s="513">
        <v>1080</v>
      </c>
      <c r="F1081" s="544" t="s">
        <v>3235</v>
      </c>
      <c r="G1081" s="543">
        <v>41216</v>
      </c>
      <c r="H1081" s="543">
        <v>41217</v>
      </c>
      <c r="I1081" s="543">
        <v>41217</v>
      </c>
      <c r="J1081" s="543">
        <v>41217</v>
      </c>
      <c r="K1081" s="517">
        <v>45600</v>
      </c>
      <c r="L1081" s="518" t="s">
        <v>2180</v>
      </c>
      <c r="M1081" s="264" t="s">
        <v>2786</v>
      </c>
      <c r="N1081" s="262" t="s">
        <v>2195</v>
      </c>
      <c r="O1081" s="390" t="s">
        <v>2304</v>
      </c>
      <c r="P1081" s="264" t="s">
        <v>467</v>
      </c>
      <c r="Q1081" s="264" t="s">
        <v>8</v>
      </c>
      <c r="R1081" s="519" t="s">
        <v>2635</v>
      </c>
      <c r="S1081" s="399">
        <v>150</v>
      </c>
      <c r="T1081" s="348" t="s">
        <v>3362</v>
      </c>
      <c r="U1081" s="520">
        <v>40000</v>
      </c>
      <c r="V1081" s="266">
        <v>6000000</v>
      </c>
      <c r="W1081" s="521" t="s">
        <v>2507</v>
      </c>
      <c r="X1081" s="521" t="s">
        <v>2508</v>
      </c>
      <c r="Y1081" s="522" t="s">
        <v>2516</v>
      </c>
      <c r="Z1081" s="523" t="s">
        <v>2636</v>
      </c>
    </row>
    <row r="1082" spans="1:26" ht="37.5">
      <c r="A1082" s="513">
        <v>1080</v>
      </c>
      <c r="B1082" s="390"/>
      <c r="C1082" s="515" t="s">
        <v>3237</v>
      </c>
      <c r="D1082" s="262" t="s">
        <v>3238</v>
      </c>
      <c r="E1082" s="513">
        <v>1081</v>
      </c>
      <c r="F1082" s="544" t="s">
        <v>3237</v>
      </c>
      <c r="G1082" s="543">
        <v>41228</v>
      </c>
      <c r="H1082" s="543">
        <v>41229</v>
      </c>
      <c r="I1082" s="543">
        <v>41229</v>
      </c>
      <c r="J1082" s="543">
        <v>41229</v>
      </c>
      <c r="K1082" s="517">
        <v>45612</v>
      </c>
      <c r="L1082" s="518" t="s">
        <v>2180</v>
      </c>
      <c r="M1082" s="264" t="s">
        <v>2649</v>
      </c>
      <c r="N1082" s="262" t="s">
        <v>3239</v>
      </c>
      <c r="O1082" s="390" t="s">
        <v>3240</v>
      </c>
      <c r="P1082" s="264" t="s">
        <v>2633</v>
      </c>
      <c r="Q1082" s="264" t="s">
        <v>280</v>
      </c>
      <c r="R1082" s="528" t="s">
        <v>165</v>
      </c>
      <c r="S1082" s="399">
        <v>100</v>
      </c>
      <c r="T1082" s="348" t="s">
        <v>3362</v>
      </c>
      <c r="U1082" s="520">
        <v>15000</v>
      </c>
      <c r="V1082" s="266">
        <v>1500000</v>
      </c>
      <c r="W1082" s="521" t="s">
        <v>10</v>
      </c>
      <c r="X1082" s="521" t="s">
        <v>11</v>
      </c>
      <c r="Y1082" s="522" t="s">
        <v>2092</v>
      </c>
      <c r="Z1082" s="523" t="s">
        <v>2634</v>
      </c>
    </row>
    <row r="1083" spans="1:26" ht="37.5">
      <c r="A1083" s="513">
        <v>1081</v>
      </c>
      <c r="B1083" s="390"/>
      <c r="C1083" s="515" t="s">
        <v>3241</v>
      </c>
      <c r="D1083" s="262" t="s">
        <v>3242</v>
      </c>
      <c r="E1083" s="513">
        <v>1082</v>
      </c>
      <c r="F1083" s="544" t="s">
        <v>3241</v>
      </c>
      <c r="G1083" s="543">
        <v>41228</v>
      </c>
      <c r="H1083" s="543">
        <v>41229</v>
      </c>
      <c r="I1083" s="543">
        <v>41229</v>
      </c>
      <c r="J1083" s="543">
        <v>41229</v>
      </c>
      <c r="K1083" s="517">
        <v>45612</v>
      </c>
      <c r="L1083" s="518" t="s">
        <v>2180</v>
      </c>
      <c r="M1083" s="264" t="s">
        <v>2649</v>
      </c>
      <c r="N1083" s="262" t="s">
        <v>3239</v>
      </c>
      <c r="O1083" s="390" t="s">
        <v>3243</v>
      </c>
      <c r="P1083" s="264" t="s">
        <v>467</v>
      </c>
      <c r="Q1083" s="264" t="s">
        <v>8</v>
      </c>
      <c r="R1083" s="519" t="s">
        <v>2635</v>
      </c>
      <c r="S1083" s="399">
        <v>100</v>
      </c>
      <c r="T1083" s="348" t="s">
        <v>3362</v>
      </c>
      <c r="U1083" s="520">
        <v>40000</v>
      </c>
      <c r="V1083" s="266">
        <v>4000000</v>
      </c>
      <c r="W1083" s="521" t="s">
        <v>2507</v>
      </c>
      <c r="X1083" s="521" t="s">
        <v>2508</v>
      </c>
      <c r="Y1083" s="522" t="s">
        <v>2516</v>
      </c>
      <c r="Z1083" s="523" t="s">
        <v>2636</v>
      </c>
    </row>
    <row r="1084" spans="1:26" ht="29">
      <c r="A1084" s="513">
        <v>1082</v>
      </c>
      <c r="B1084" s="390"/>
      <c r="C1084" s="515" t="s">
        <v>3244</v>
      </c>
      <c r="D1084" s="262" t="s">
        <v>3245</v>
      </c>
      <c r="E1084" s="513">
        <v>1083</v>
      </c>
      <c r="F1084" s="544" t="s">
        <v>3244</v>
      </c>
      <c r="G1084" s="543">
        <v>41228</v>
      </c>
      <c r="H1084" s="543">
        <v>41229</v>
      </c>
      <c r="I1084" s="543">
        <v>41229</v>
      </c>
      <c r="J1084" s="543">
        <v>41229</v>
      </c>
      <c r="K1084" s="517">
        <v>45612</v>
      </c>
      <c r="L1084" s="518" t="s">
        <v>571</v>
      </c>
      <c r="M1084" s="264" t="s">
        <v>2649</v>
      </c>
      <c r="N1084" s="262" t="s">
        <v>2185</v>
      </c>
      <c r="O1084" s="390" t="s">
        <v>2287</v>
      </c>
      <c r="P1084" s="264" t="str">
        <f t="shared" ref="P1084:P1103" si="44">O1084</f>
        <v>Spanduk Uk. 1 x 6 meter-</v>
      </c>
      <c r="Q1084" s="264" t="s">
        <v>2650</v>
      </c>
      <c r="R1084" s="528" t="s">
        <v>2651</v>
      </c>
      <c r="S1084" s="399">
        <v>2</v>
      </c>
      <c r="T1084" s="348" t="s">
        <v>3363</v>
      </c>
      <c r="U1084" s="520">
        <v>300000</v>
      </c>
      <c r="V1084" s="266">
        <v>600000</v>
      </c>
      <c r="W1084" s="521" t="s">
        <v>2652</v>
      </c>
      <c r="X1084" s="521" t="s">
        <v>2653</v>
      </c>
      <c r="Y1084" s="522" t="s">
        <v>2512</v>
      </c>
      <c r="Z1084" s="523" t="s">
        <v>541</v>
      </c>
    </row>
    <row r="1085" spans="1:26" ht="29">
      <c r="A1085" s="513">
        <v>1083</v>
      </c>
      <c r="B1085" s="390"/>
      <c r="C1085" s="515" t="s">
        <v>3246</v>
      </c>
      <c r="D1085" s="262" t="s">
        <v>3247</v>
      </c>
      <c r="E1085" s="513">
        <v>1084</v>
      </c>
      <c r="F1085" s="544" t="s">
        <v>3246</v>
      </c>
      <c r="G1085" s="543">
        <v>41232</v>
      </c>
      <c r="H1085" s="543">
        <v>41233</v>
      </c>
      <c r="I1085" s="543">
        <v>41233</v>
      </c>
      <c r="J1085" s="543">
        <v>41233</v>
      </c>
      <c r="K1085" s="517">
        <v>45616</v>
      </c>
      <c r="L1085" s="518" t="s">
        <v>584</v>
      </c>
      <c r="M1085" s="264" t="s">
        <v>2663</v>
      </c>
      <c r="N1085" s="262" t="s">
        <v>2186</v>
      </c>
      <c r="O1085" s="390" t="s">
        <v>2291</v>
      </c>
      <c r="P1085" s="264" t="str">
        <f t="shared" si="44"/>
        <v>Biaya Rekening Listrik--</v>
      </c>
      <c r="Q1085" s="264" t="s">
        <v>2664</v>
      </c>
      <c r="R1085" s="519" t="s">
        <v>2665</v>
      </c>
      <c r="S1085" s="399">
        <v>1</v>
      </c>
      <c r="T1085" s="348" t="s">
        <v>3373</v>
      </c>
      <c r="U1085" s="520">
        <v>2000000</v>
      </c>
      <c r="V1085" s="266">
        <v>2000000</v>
      </c>
      <c r="W1085" s="521" t="s">
        <v>2666</v>
      </c>
      <c r="X1085" s="521" t="s">
        <v>2659</v>
      </c>
      <c r="Y1085" s="522" t="s">
        <v>2660</v>
      </c>
      <c r="Z1085" s="523" t="s">
        <v>2661</v>
      </c>
    </row>
    <row r="1086" spans="1:26" ht="29">
      <c r="A1086" s="513">
        <v>1084</v>
      </c>
      <c r="B1086" s="390"/>
      <c r="C1086" s="515" t="s">
        <v>3248</v>
      </c>
      <c r="D1086" s="262" t="s">
        <v>3249</v>
      </c>
      <c r="E1086" s="513">
        <v>1085</v>
      </c>
      <c r="F1086" s="544" t="s">
        <v>3248</v>
      </c>
      <c r="G1086" s="543">
        <v>41232</v>
      </c>
      <c r="H1086" s="543">
        <v>41233</v>
      </c>
      <c r="I1086" s="543">
        <v>41233</v>
      </c>
      <c r="J1086" s="543">
        <v>41233</v>
      </c>
      <c r="K1086" s="517">
        <v>45616</v>
      </c>
      <c r="L1086" s="518" t="s">
        <v>590</v>
      </c>
      <c r="M1086" s="264" t="s">
        <v>2663</v>
      </c>
      <c r="N1086" s="262" t="s">
        <v>2187</v>
      </c>
      <c r="O1086" s="390" t="s">
        <v>2292</v>
      </c>
      <c r="P1086" s="264" t="str">
        <f t="shared" si="44"/>
        <v>Biaya Langganan Internet--</v>
      </c>
      <c r="Q1086" s="264" t="s">
        <v>2668</v>
      </c>
      <c r="R1086" s="519" t="s">
        <v>2669</v>
      </c>
      <c r="S1086" s="399">
        <v>1</v>
      </c>
      <c r="T1086" s="348" t="s">
        <v>3373</v>
      </c>
      <c r="U1086" s="520">
        <v>1500000</v>
      </c>
      <c r="V1086" s="266">
        <v>1500000</v>
      </c>
      <c r="W1086" s="521" t="s">
        <v>3381</v>
      </c>
      <c r="X1086" s="521" t="s">
        <v>2659</v>
      </c>
      <c r="Y1086" s="522" t="s">
        <v>2660</v>
      </c>
      <c r="Z1086" s="523" t="s">
        <v>2661</v>
      </c>
    </row>
    <row r="1087" spans="1:26" ht="29">
      <c r="A1087" s="513">
        <v>1085</v>
      </c>
      <c r="B1087" s="390"/>
      <c r="C1087" s="515" t="s">
        <v>3250</v>
      </c>
      <c r="D1087" s="262" t="s">
        <v>3251</v>
      </c>
      <c r="E1087" s="513">
        <v>1086</v>
      </c>
      <c r="F1087" s="544" t="s">
        <v>3250</v>
      </c>
      <c r="G1087" s="543">
        <v>41237</v>
      </c>
      <c r="H1087" s="543">
        <v>41238</v>
      </c>
      <c r="I1087" s="543">
        <v>41238</v>
      </c>
      <c r="J1087" s="543">
        <v>41238</v>
      </c>
      <c r="K1087" s="517">
        <v>45621</v>
      </c>
      <c r="L1087" s="518" t="s">
        <v>571</v>
      </c>
      <c r="M1087" s="264" t="s">
        <v>2587</v>
      </c>
      <c r="N1087" s="262" t="s">
        <v>2176</v>
      </c>
      <c r="O1087" s="390" t="s">
        <v>9</v>
      </c>
      <c r="P1087" s="264" t="str">
        <f t="shared" si="44"/>
        <v>Foto Copy Filio dan Kuarto</v>
      </c>
      <c r="Q1087" s="525" t="s">
        <v>2675</v>
      </c>
      <c r="R1087" s="525" t="s">
        <v>2676</v>
      </c>
      <c r="S1087" s="399">
        <v>4739</v>
      </c>
      <c r="T1087" s="348" t="s">
        <v>3368</v>
      </c>
      <c r="U1087" s="520">
        <v>350</v>
      </c>
      <c r="V1087" s="266">
        <v>5337500</v>
      </c>
      <c r="W1087" s="521" t="s">
        <v>227</v>
      </c>
      <c r="X1087" s="521" t="s">
        <v>3383</v>
      </c>
      <c r="Y1087" s="522" t="s">
        <v>2512</v>
      </c>
      <c r="Z1087" s="523" t="s">
        <v>541</v>
      </c>
    </row>
    <row r="1088" spans="1:26" ht="29">
      <c r="A1088" s="513">
        <v>1086</v>
      </c>
      <c r="B1088" s="390"/>
      <c r="C1088" s="515" t="s">
        <v>3252</v>
      </c>
      <c r="D1088" s="262" t="s">
        <v>3253</v>
      </c>
      <c r="E1088" s="513">
        <v>1087</v>
      </c>
      <c r="F1088" s="544" t="s">
        <v>3252</v>
      </c>
      <c r="G1088" s="543">
        <v>41238</v>
      </c>
      <c r="H1088" s="543">
        <v>41240</v>
      </c>
      <c r="I1088" s="543">
        <v>41240</v>
      </c>
      <c r="J1088" s="543">
        <v>41240</v>
      </c>
      <c r="K1088" s="517">
        <v>45623</v>
      </c>
      <c r="L1088" s="518" t="s">
        <v>611</v>
      </c>
      <c r="M1088" s="264" t="s">
        <v>2587</v>
      </c>
      <c r="N1088" s="262" t="s">
        <v>2189</v>
      </c>
      <c r="O1088" s="390" t="s">
        <v>2294</v>
      </c>
      <c r="P1088" s="264" t="str">
        <f t="shared" si="44"/>
        <v>Belanja Jasa Tenaga Operator Komputer--</v>
      </c>
      <c r="Q1088" s="264" t="s">
        <v>2672</v>
      </c>
      <c r="R1088" s="528" t="s">
        <v>2673</v>
      </c>
      <c r="S1088" s="399">
        <v>1</v>
      </c>
      <c r="T1088" s="348" t="s">
        <v>3373</v>
      </c>
      <c r="U1088" s="520">
        <v>1000000</v>
      </c>
      <c r="V1088" s="266">
        <v>1000000</v>
      </c>
      <c r="W1088" s="521" t="s">
        <v>2659</v>
      </c>
      <c r="X1088" s="521" t="s">
        <v>2659</v>
      </c>
      <c r="Y1088" s="522" t="s">
        <v>2660</v>
      </c>
      <c r="Z1088" s="523" t="s">
        <v>2661</v>
      </c>
    </row>
    <row r="1089" spans="1:26">
      <c r="A1089" s="513">
        <v>1087</v>
      </c>
      <c r="B1089" s="390"/>
      <c r="C1089" s="515" t="s">
        <v>3254</v>
      </c>
      <c r="D1089" s="262" t="s">
        <v>3255</v>
      </c>
      <c r="E1089" s="513">
        <v>1088</v>
      </c>
      <c r="F1089" s="544" t="s">
        <v>3254</v>
      </c>
      <c r="G1089" s="543">
        <v>41238</v>
      </c>
      <c r="H1089" s="543">
        <v>41240</v>
      </c>
      <c r="I1089" s="543">
        <v>41240</v>
      </c>
      <c r="J1089" s="543">
        <v>41240</v>
      </c>
      <c r="K1089" s="517">
        <v>45623</v>
      </c>
      <c r="L1089" s="518" t="s">
        <v>2710</v>
      </c>
      <c r="M1089" s="264" t="s">
        <v>2679</v>
      </c>
      <c r="N1089" s="262" t="s">
        <v>2711</v>
      </c>
      <c r="O1089" s="390" t="s">
        <v>3173</v>
      </c>
      <c r="P1089" s="264" t="str">
        <f t="shared" si="44"/>
        <v>Thomas Hondro</v>
      </c>
      <c r="Q1089" s="264" t="s">
        <v>2713</v>
      </c>
      <c r="R1089" s="528" t="s">
        <v>2714</v>
      </c>
      <c r="S1089" s="399">
        <v>1</v>
      </c>
      <c r="T1089" s="348" t="s">
        <v>3373</v>
      </c>
      <c r="U1089" s="520">
        <v>1000000</v>
      </c>
      <c r="V1089" s="266">
        <v>1000000</v>
      </c>
      <c r="W1089" s="521" t="s">
        <v>2715</v>
      </c>
      <c r="X1089" s="264"/>
      <c r="Y1089" s="264"/>
      <c r="Z1089" s="528"/>
    </row>
    <row r="1090" spans="1:26">
      <c r="A1090" s="513">
        <v>1088</v>
      </c>
      <c r="B1090" s="390"/>
      <c r="C1090" s="515" t="s">
        <v>3256</v>
      </c>
      <c r="D1090" s="262" t="s">
        <v>3257</v>
      </c>
      <c r="E1090" s="513">
        <v>1089</v>
      </c>
      <c r="F1090" s="544" t="s">
        <v>3256</v>
      </c>
      <c r="G1090" s="543">
        <v>41238</v>
      </c>
      <c r="H1090" s="543">
        <v>41240</v>
      </c>
      <c r="I1090" s="543">
        <v>41240</v>
      </c>
      <c r="J1090" s="543">
        <v>41240</v>
      </c>
      <c r="K1090" s="517">
        <v>45623</v>
      </c>
      <c r="L1090" s="518" t="s">
        <v>2678</v>
      </c>
      <c r="M1090" s="264" t="s">
        <v>2679</v>
      </c>
      <c r="N1090" s="262" t="s">
        <v>2680</v>
      </c>
      <c r="O1090" s="390" t="s">
        <v>2681</v>
      </c>
      <c r="P1090" s="264" t="str">
        <f t="shared" si="44"/>
        <v>Selatieli Nehe</v>
      </c>
      <c r="Q1090" s="264" t="s">
        <v>2682</v>
      </c>
      <c r="R1090" s="528" t="s">
        <v>2683</v>
      </c>
      <c r="S1090" s="399">
        <v>33</v>
      </c>
      <c r="T1090" s="348" t="s">
        <v>3374</v>
      </c>
      <c r="U1090" s="520">
        <v>75000</v>
      </c>
      <c r="V1090" s="266">
        <v>2700000</v>
      </c>
      <c r="W1090" s="521" t="s">
        <v>2684</v>
      </c>
      <c r="X1090" s="264"/>
      <c r="Y1090" s="264"/>
      <c r="Z1090" s="528"/>
    </row>
    <row r="1091" spans="1:26">
      <c r="A1091" s="513">
        <v>1089</v>
      </c>
      <c r="B1091" s="390"/>
      <c r="C1091" s="515" t="s">
        <v>3258</v>
      </c>
      <c r="D1091" s="262" t="s">
        <v>3259</v>
      </c>
      <c r="E1091" s="513">
        <v>1090</v>
      </c>
      <c r="F1091" s="544" t="s">
        <v>3258</v>
      </c>
      <c r="G1091" s="543">
        <v>41238</v>
      </c>
      <c r="H1091" s="543">
        <v>41240</v>
      </c>
      <c r="I1091" s="543">
        <v>41240</v>
      </c>
      <c r="J1091" s="543">
        <v>41240</v>
      </c>
      <c r="K1091" s="517">
        <v>45623</v>
      </c>
      <c r="L1091" s="518" t="s">
        <v>2678</v>
      </c>
      <c r="M1091" s="264" t="s">
        <v>2679</v>
      </c>
      <c r="N1091" s="262" t="s">
        <v>2680</v>
      </c>
      <c r="O1091" s="390" t="s">
        <v>2686</v>
      </c>
      <c r="P1091" s="264" t="str">
        <f t="shared" si="44"/>
        <v>Arifin Metodi Bate'e</v>
      </c>
      <c r="Q1091" s="264" t="s">
        <v>2682</v>
      </c>
      <c r="R1091" s="528" t="s">
        <v>2683</v>
      </c>
      <c r="S1091" s="399">
        <v>34</v>
      </c>
      <c r="T1091" s="348" t="s">
        <v>3374</v>
      </c>
      <c r="U1091" s="520">
        <v>75000</v>
      </c>
      <c r="V1091" s="266">
        <v>2400000</v>
      </c>
      <c r="W1091" s="521" t="s">
        <v>2684</v>
      </c>
      <c r="X1091" s="264"/>
      <c r="Y1091" s="264"/>
      <c r="Z1091" s="528"/>
    </row>
    <row r="1092" spans="1:26">
      <c r="A1092" s="513">
        <v>1090</v>
      </c>
      <c r="B1092" s="390"/>
      <c r="C1092" s="515" t="s">
        <v>3260</v>
      </c>
      <c r="D1092" s="262" t="s">
        <v>3261</v>
      </c>
      <c r="E1092" s="513">
        <v>1091</v>
      </c>
      <c r="F1092" s="544" t="s">
        <v>3260</v>
      </c>
      <c r="G1092" s="543">
        <v>41238</v>
      </c>
      <c r="H1092" s="543">
        <v>41240</v>
      </c>
      <c r="I1092" s="543">
        <v>41240</v>
      </c>
      <c r="J1092" s="543">
        <v>41240</v>
      </c>
      <c r="K1092" s="517">
        <v>45623</v>
      </c>
      <c r="L1092" s="518" t="s">
        <v>2678</v>
      </c>
      <c r="M1092" s="264" t="s">
        <v>2679</v>
      </c>
      <c r="N1092" s="262" t="s">
        <v>2680</v>
      </c>
      <c r="O1092" s="390" t="s">
        <v>2688</v>
      </c>
      <c r="P1092" s="264" t="str">
        <f t="shared" si="44"/>
        <v>Ferdiwati Wau</v>
      </c>
      <c r="Q1092" s="264" t="s">
        <v>2682</v>
      </c>
      <c r="R1092" s="528" t="s">
        <v>2683</v>
      </c>
      <c r="S1092" s="399">
        <v>30</v>
      </c>
      <c r="T1092" s="348" t="s">
        <v>3374</v>
      </c>
      <c r="U1092" s="520">
        <v>75000</v>
      </c>
      <c r="V1092" s="266">
        <v>2175000</v>
      </c>
      <c r="W1092" s="521" t="s">
        <v>2684</v>
      </c>
      <c r="X1092" s="264"/>
      <c r="Y1092" s="264"/>
      <c r="Z1092" s="528"/>
    </row>
    <row r="1093" spans="1:26">
      <c r="A1093" s="513">
        <v>1091</v>
      </c>
      <c r="B1093" s="390"/>
      <c r="C1093" s="515" t="s">
        <v>3262</v>
      </c>
      <c r="D1093" s="262" t="s">
        <v>3263</v>
      </c>
      <c r="E1093" s="513">
        <v>1092</v>
      </c>
      <c r="F1093" s="544" t="s">
        <v>3262</v>
      </c>
      <c r="G1093" s="543">
        <v>41238</v>
      </c>
      <c r="H1093" s="543">
        <v>41240</v>
      </c>
      <c r="I1093" s="543">
        <v>41240</v>
      </c>
      <c r="J1093" s="543">
        <v>41240</v>
      </c>
      <c r="K1093" s="517">
        <v>45623</v>
      </c>
      <c r="L1093" s="518" t="s">
        <v>2678</v>
      </c>
      <c r="M1093" s="264" t="s">
        <v>2679</v>
      </c>
      <c r="N1093" s="262" t="s">
        <v>2680</v>
      </c>
      <c r="O1093" s="390" t="s">
        <v>2690</v>
      </c>
      <c r="P1093" s="264" t="str">
        <f t="shared" si="44"/>
        <v>Noni Alfanita Sarumaha, S.Pd</v>
      </c>
      <c r="Q1093" s="264" t="s">
        <v>2682</v>
      </c>
      <c r="R1093" s="528" t="s">
        <v>2683</v>
      </c>
      <c r="S1093" s="399">
        <v>33</v>
      </c>
      <c r="T1093" s="348" t="s">
        <v>3374</v>
      </c>
      <c r="U1093" s="520">
        <v>75000</v>
      </c>
      <c r="V1093" s="266">
        <v>2625000</v>
      </c>
      <c r="W1093" s="521" t="s">
        <v>2684</v>
      </c>
      <c r="X1093" s="264"/>
      <c r="Y1093" s="264"/>
      <c r="Z1093" s="528"/>
    </row>
    <row r="1094" spans="1:26">
      <c r="A1094" s="513">
        <v>1092</v>
      </c>
      <c r="B1094" s="390"/>
      <c r="C1094" s="515" t="s">
        <v>3264</v>
      </c>
      <c r="D1094" s="262" t="s">
        <v>3265</v>
      </c>
      <c r="E1094" s="513">
        <v>1093</v>
      </c>
      <c r="F1094" s="544" t="s">
        <v>3264</v>
      </c>
      <c r="G1094" s="543">
        <v>41238</v>
      </c>
      <c r="H1094" s="543">
        <v>41240</v>
      </c>
      <c r="I1094" s="543">
        <v>41240</v>
      </c>
      <c r="J1094" s="543">
        <v>41240</v>
      </c>
      <c r="K1094" s="517">
        <v>45623</v>
      </c>
      <c r="L1094" s="518" t="s">
        <v>2678</v>
      </c>
      <c r="M1094" s="264" t="s">
        <v>2679</v>
      </c>
      <c r="N1094" s="262" t="s">
        <v>2680</v>
      </c>
      <c r="O1094" s="390" t="s">
        <v>2692</v>
      </c>
      <c r="P1094" s="264" t="str">
        <f t="shared" si="44"/>
        <v>EMILA HAFO</v>
      </c>
      <c r="Q1094" s="264" t="s">
        <v>2682</v>
      </c>
      <c r="R1094" s="528" t="s">
        <v>2683</v>
      </c>
      <c r="S1094" s="399">
        <v>28</v>
      </c>
      <c r="T1094" s="348" t="s">
        <v>3374</v>
      </c>
      <c r="U1094" s="520">
        <v>75000</v>
      </c>
      <c r="V1094" s="266">
        <v>2475000</v>
      </c>
      <c r="W1094" s="521" t="s">
        <v>2684</v>
      </c>
      <c r="X1094" s="264"/>
      <c r="Y1094" s="264"/>
      <c r="Z1094" s="528"/>
    </row>
    <row r="1095" spans="1:26">
      <c r="A1095" s="513">
        <v>1093</v>
      </c>
      <c r="B1095" s="390"/>
      <c r="C1095" s="515" t="s">
        <v>3266</v>
      </c>
      <c r="D1095" s="262" t="s">
        <v>3267</v>
      </c>
      <c r="E1095" s="513">
        <v>1094</v>
      </c>
      <c r="F1095" s="544" t="s">
        <v>3266</v>
      </c>
      <c r="G1095" s="543">
        <v>41238</v>
      </c>
      <c r="H1095" s="543">
        <v>41240</v>
      </c>
      <c r="I1095" s="543">
        <v>41240</v>
      </c>
      <c r="J1095" s="543">
        <v>41240</v>
      </c>
      <c r="K1095" s="517">
        <v>45623</v>
      </c>
      <c r="L1095" s="518" t="s">
        <v>2678</v>
      </c>
      <c r="M1095" s="264" t="s">
        <v>2679</v>
      </c>
      <c r="N1095" s="262" t="s">
        <v>2680</v>
      </c>
      <c r="O1095" s="390" t="s">
        <v>2694</v>
      </c>
      <c r="P1095" s="264" t="str">
        <f t="shared" si="44"/>
        <v>Asep Nurhidayat</v>
      </c>
      <c r="Q1095" s="264" t="s">
        <v>2699</v>
      </c>
      <c r="R1095" s="528" t="s">
        <v>2700</v>
      </c>
      <c r="S1095" s="399">
        <v>33</v>
      </c>
      <c r="T1095" s="348" t="s">
        <v>3374</v>
      </c>
      <c r="U1095" s="520">
        <v>75000</v>
      </c>
      <c r="V1095" s="266">
        <v>1575000</v>
      </c>
      <c r="W1095" s="521" t="s">
        <v>2684</v>
      </c>
      <c r="X1095" s="264"/>
      <c r="Y1095" s="264"/>
      <c r="Z1095" s="528"/>
    </row>
    <row r="1096" spans="1:26">
      <c r="A1096" s="513">
        <v>1094</v>
      </c>
      <c r="B1096" s="390"/>
      <c r="C1096" s="515" t="s">
        <v>3268</v>
      </c>
      <c r="D1096" s="262" t="s">
        <v>3269</v>
      </c>
      <c r="E1096" s="513">
        <v>1095</v>
      </c>
      <c r="F1096" s="544" t="s">
        <v>3268</v>
      </c>
      <c r="G1096" s="543">
        <v>41238</v>
      </c>
      <c r="H1096" s="543">
        <v>41240</v>
      </c>
      <c r="I1096" s="543">
        <v>41240</v>
      </c>
      <c r="J1096" s="543">
        <v>41240</v>
      </c>
      <c r="K1096" s="517">
        <v>45623</v>
      </c>
      <c r="L1096" s="518" t="s">
        <v>2696</v>
      </c>
      <c r="M1096" s="264" t="s">
        <v>2679</v>
      </c>
      <c r="N1096" s="262" t="s">
        <v>2697</v>
      </c>
      <c r="O1096" s="390" t="s">
        <v>2698</v>
      </c>
      <c r="P1096" s="264" t="str">
        <f t="shared" si="44"/>
        <v>Estera Nehe</v>
      </c>
      <c r="Q1096" s="264" t="s">
        <v>2699</v>
      </c>
      <c r="R1096" s="528" t="s">
        <v>2700</v>
      </c>
      <c r="S1096" s="399">
        <v>1</v>
      </c>
      <c r="T1096" s="348" t="s">
        <v>3373</v>
      </c>
      <c r="U1096" s="520">
        <v>2000000</v>
      </c>
      <c r="V1096" s="266">
        <v>2000000</v>
      </c>
      <c r="W1096" s="521" t="s">
        <v>2684</v>
      </c>
      <c r="X1096" s="264"/>
      <c r="Y1096" s="264"/>
      <c r="Z1096" s="528"/>
    </row>
    <row r="1097" spans="1:26">
      <c r="A1097" s="513">
        <v>1095</v>
      </c>
      <c r="B1097" s="390"/>
      <c r="C1097" s="515" t="s">
        <v>3270</v>
      </c>
      <c r="D1097" s="262" t="s">
        <v>3271</v>
      </c>
      <c r="E1097" s="513">
        <v>1096</v>
      </c>
      <c r="F1097" s="544" t="s">
        <v>3270</v>
      </c>
      <c r="G1097" s="543">
        <v>41238</v>
      </c>
      <c r="H1097" s="543">
        <v>41240</v>
      </c>
      <c r="I1097" s="543">
        <v>41240</v>
      </c>
      <c r="J1097" s="543">
        <v>41240</v>
      </c>
      <c r="K1097" s="517">
        <v>45623</v>
      </c>
      <c r="L1097" s="518" t="s">
        <v>2696</v>
      </c>
      <c r="M1097" s="264" t="s">
        <v>2679</v>
      </c>
      <c r="N1097" s="262" t="s">
        <v>2697</v>
      </c>
      <c r="O1097" s="390" t="s">
        <v>2702</v>
      </c>
      <c r="P1097" s="264" t="str">
        <f t="shared" si="44"/>
        <v>Hatieli Buulolo</v>
      </c>
      <c r="Q1097" s="264" t="s">
        <v>2699</v>
      </c>
      <c r="R1097" s="528" t="s">
        <v>2700</v>
      </c>
      <c r="S1097" s="399">
        <v>1</v>
      </c>
      <c r="T1097" s="348" t="s">
        <v>3373</v>
      </c>
      <c r="U1097" s="520">
        <v>2000000</v>
      </c>
      <c r="V1097" s="266">
        <v>2000000</v>
      </c>
      <c r="W1097" s="521" t="s">
        <v>2684</v>
      </c>
      <c r="X1097" s="264"/>
      <c r="Y1097" s="264"/>
      <c r="Z1097" s="528"/>
    </row>
    <row r="1098" spans="1:26">
      <c r="A1098" s="513">
        <v>1096</v>
      </c>
      <c r="B1098" s="390"/>
      <c r="C1098" s="515" t="s">
        <v>3272</v>
      </c>
      <c r="D1098" s="262" t="s">
        <v>3273</v>
      </c>
      <c r="E1098" s="513">
        <v>1097</v>
      </c>
      <c r="F1098" s="544" t="s">
        <v>3272</v>
      </c>
      <c r="G1098" s="543">
        <v>41238</v>
      </c>
      <c r="H1098" s="543">
        <v>41240</v>
      </c>
      <c r="I1098" s="543">
        <v>41240</v>
      </c>
      <c r="J1098" s="543">
        <v>41240</v>
      </c>
      <c r="K1098" s="517">
        <v>45623</v>
      </c>
      <c r="L1098" s="518" t="s">
        <v>2696</v>
      </c>
      <c r="M1098" s="264" t="s">
        <v>2679</v>
      </c>
      <c r="N1098" s="262" t="s">
        <v>2697</v>
      </c>
      <c r="O1098" s="390" t="s">
        <v>2704</v>
      </c>
      <c r="P1098" s="264" t="str">
        <f t="shared" si="44"/>
        <v>David J. Sitinjak</v>
      </c>
      <c r="Q1098" s="264" t="s">
        <v>2699</v>
      </c>
      <c r="R1098" s="528" t="s">
        <v>2700</v>
      </c>
      <c r="S1098" s="399">
        <v>1</v>
      </c>
      <c r="T1098" s="348" t="s">
        <v>3373</v>
      </c>
      <c r="U1098" s="520">
        <v>2000000</v>
      </c>
      <c r="V1098" s="266">
        <v>2000000</v>
      </c>
      <c r="W1098" s="521" t="s">
        <v>2684</v>
      </c>
      <c r="X1098" s="264"/>
      <c r="Y1098" s="264"/>
      <c r="Z1098" s="528"/>
    </row>
    <row r="1099" spans="1:26">
      <c r="A1099" s="513">
        <v>1097</v>
      </c>
      <c r="B1099" s="390"/>
      <c r="C1099" s="515" t="s">
        <v>3274</v>
      </c>
      <c r="D1099" s="262" t="s">
        <v>3275</v>
      </c>
      <c r="E1099" s="513">
        <v>1098</v>
      </c>
      <c r="F1099" s="544" t="s">
        <v>3274</v>
      </c>
      <c r="G1099" s="543">
        <v>41238</v>
      </c>
      <c r="H1099" s="543">
        <v>41240</v>
      </c>
      <c r="I1099" s="543">
        <v>41240</v>
      </c>
      <c r="J1099" s="543">
        <v>41240</v>
      </c>
      <c r="K1099" s="517">
        <v>45623</v>
      </c>
      <c r="L1099" s="518" t="s">
        <v>2696</v>
      </c>
      <c r="M1099" s="264" t="s">
        <v>2679</v>
      </c>
      <c r="N1099" s="262" t="s">
        <v>2697</v>
      </c>
      <c r="O1099" s="390" t="s">
        <v>2706</v>
      </c>
      <c r="P1099" s="264" t="str">
        <f t="shared" si="44"/>
        <v>Siona Ziraluo</v>
      </c>
      <c r="Q1099" s="264" t="s">
        <v>2699</v>
      </c>
      <c r="R1099" s="528" t="s">
        <v>2700</v>
      </c>
      <c r="S1099" s="399">
        <v>1</v>
      </c>
      <c r="T1099" s="348" t="s">
        <v>3373</v>
      </c>
      <c r="U1099" s="520">
        <v>2000000</v>
      </c>
      <c r="V1099" s="266">
        <v>2000000</v>
      </c>
      <c r="W1099" s="521" t="s">
        <v>2684</v>
      </c>
      <c r="X1099" s="264"/>
      <c r="Y1099" s="264"/>
      <c r="Z1099" s="528"/>
    </row>
    <row r="1100" spans="1:26">
      <c r="A1100" s="513">
        <v>1098</v>
      </c>
      <c r="B1100" s="390"/>
      <c r="C1100" s="515" t="s">
        <v>3276</v>
      </c>
      <c r="D1100" s="262" t="s">
        <v>3277</v>
      </c>
      <c r="E1100" s="513">
        <v>1099</v>
      </c>
      <c r="F1100" s="544" t="s">
        <v>3276</v>
      </c>
      <c r="G1100" s="543">
        <v>41238</v>
      </c>
      <c r="H1100" s="543">
        <v>41240</v>
      </c>
      <c r="I1100" s="543">
        <v>41240</v>
      </c>
      <c r="J1100" s="543">
        <v>41240</v>
      </c>
      <c r="K1100" s="517">
        <v>45623</v>
      </c>
      <c r="L1100" s="518" t="s">
        <v>2696</v>
      </c>
      <c r="M1100" s="264" t="s">
        <v>2679</v>
      </c>
      <c r="N1100" s="262" t="s">
        <v>2697</v>
      </c>
      <c r="O1100" s="390" t="s">
        <v>2708</v>
      </c>
      <c r="P1100" s="264" t="str">
        <f t="shared" si="44"/>
        <v>Merdina Ziraluo</v>
      </c>
      <c r="Q1100" s="264" t="s">
        <v>2699</v>
      </c>
      <c r="R1100" s="528" t="s">
        <v>2700</v>
      </c>
      <c r="S1100" s="399">
        <v>1</v>
      </c>
      <c r="T1100" s="348" t="s">
        <v>3373</v>
      </c>
      <c r="U1100" s="520">
        <v>2000000</v>
      </c>
      <c r="V1100" s="266">
        <v>2000000</v>
      </c>
      <c r="W1100" s="521" t="s">
        <v>2684</v>
      </c>
      <c r="X1100" s="264"/>
      <c r="Y1100" s="264"/>
      <c r="Z1100" s="528"/>
    </row>
    <row r="1101" spans="1:26">
      <c r="A1101" s="513">
        <v>1099</v>
      </c>
      <c r="B1101" s="390"/>
      <c r="C1101" s="515" t="s">
        <v>3278</v>
      </c>
      <c r="D1101" s="262" t="s">
        <v>3279</v>
      </c>
      <c r="E1101" s="513">
        <v>1100</v>
      </c>
      <c r="F1101" s="544" t="s">
        <v>3278</v>
      </c>
      <c r="G1101" s="543">
        <v>41238</v>
      </c>
      <c r="H1101" s="543">
        <v>41240</v>
      </c>
      <c r="I1101" s="543">
        <v>41240</v>
      </c>
      <c r="J1101" s="543">
        <v>41240</v>
      </c>
      <c r="K1101" s="517">
        <v>45623</v>
      </c>
      <c r="L1101" s="518" t="s">
        <v>2696</v>
      </c>
      <c r="M1101" s="264" t="s">
        <v>2679</v>
      </c>
      <c r="N1101" s="262" t="s">
        <v>2697</v>
      </c>
      <c r="O1101" s="390" t="s">
        <v>3157</v>
      </c>
      <c r="P1101" s="264" t="str">
        <f t="shared" si="44"/>
        <v>Oksilia Buulolo, S.S</v>
      </c>
      <c r="Q1101" s="264" t="s">
        <v>2699</v>
      </c>
      <c r="R1101" s="528" t="s">
        <v>2700</v>
      </c>
      <c r="S1101" s="399">
        <v>1</v>
      </c>
      <c r="T1101" s="348" t="s">
        <v>3373</v>
      </c>
      <c r="U1101" s="520">
        <v>2000000</v>
      </c>
      <c r="V1101" s="266">
        <v>2000000</v>
      </c>
      <c r="W1101" s="521" t="s">
        <v>2684</v>
      </c>
      <c r="X1101" s="264"/>
      <c r="Y1101" s="264"/>
      <c r="Z1101" s="528"/>
    </row>
    <row r="1102" spans="1:26">
      <c r="A1102" s="513">
        <v>1100</v>
      </c>
      <c r="B1102" s="390"/>
      <c r="C1102" s="515" t="s">
        <v>3280</v>
      </c>
      <c r="D1102" s="262" t="s">
        <v>3281</v>
      </c>
      <c r="E1102" s="513">
        <v>1101</v>
      </c>
      <c r="F1102" s="544" t="s">
        <v>3280</v>
      </c>
      <c r="G1102" s="543">
        <v>41238</v>
      </c>
      <c r="H1102" s="543">
        <v>41240</v>
      </c>
      <c r="I1102" s="543">
        <v>41240</v>
      </c>
      <c r="J1102" s="543">
        <v>41240</v>
      </c>
      <c r="K1102" s="517">
        <v>45623</v>
      </c>
      <c r="L1102" s="518" t="s">
        <v>2696</v>
      </c>
      <c r="M1102" s="264" t="s">
        <v>2679</v>
      </c>
      <c r="N1102" s="262" t="s">
        <v>2697</v>
      </c>
      <c r="O1102" s="390" t="s">
        <v>3162</v>
      </c>
      <c r="P1102" s="264" t="str">
        <f t="shared" si="44"/>
        <v>Novika Efdimasari Halawa, S.S.I</v>
      </c>
      <c r="Q1102" s="264" t="s">
        <v>2699</v>
      </c>
      <c r="R1102" s="528" t="s">
        <v>2700</v>
      </c>
      <c r="S1102" s="399">
        <v>1</v>
      </c>
      <c r="T1102" s="348" t="s">
        <v>3373</v>
      </c>
      <c r="U1102" s="520">
        <v>2000000</v>
      </c>
      <c r="V1102" s="266">
        <v>2000000</v>
      </c>
      <c r="W1102" s="521" t="s">
        <v>2684</v>
      </c>
      <c r="X1102" s="264"/>
      <c r="Y1102" s="264"/>
      <c r="Z1102" s="528"/>
    </row>
    <row r="1103" spans="1:26">
      <c r="A1103" s="513">
        <v>1101</v>
      </c>
      <c r="B1103" s="390"/>
      <c r="C1103" s="515" t="s">
        <v>3282</v>
      </c>
      <c r="D1103" s="262" t="s">
        <v>3283</v>
      </c>
      <c r="E1103" s="513">
        <v>1102</v>
      </c>
      <c r="F1103" s="544" t="s">
        <v>3282</v>
      </c>
      <c r="G1103" s="543">
        <v>41238</v>
      </c>
      <c r="H1103" s="543">
        <v>41240</v>
      </c>
      <c r="I1103" s="543">
        <v>41240</v>
      </c>
      <c r="J1103" s="543">
        <v>41240</v>
      </c>
      <c r="K1103" s="517">
        <v>45623</v>
      </c>
      <c r="L1103" s="518" t="s">
        <v>1198</v>
      </c>
      <c r="M1103" s="264" t="s">
        <v>2679</v>
      </c>
      <c r="N1103" s="262" t="s">
        <v>2711</v>
      </c>
      <c r="O1103" s="390" t="s">
        <v>3167</v>
      </c>
      <c r="P1103" s="264" t="str">
        <f t="shared" si="44"/>
        <v>Zefrianus Zai</v>
      </c>
      <c r="Q1103" s="264" t="s">
        <v>2699</v>
      </c>
      <c r="R1103" s="528" t="s">
        <v>2700</v>
      </c>
      <c r="S1103" s="399">
        <v>1</v>
      </c>
      <c r="T1103" s="348" t="s">
        <v>3373</v>
      </c>
      <c r="U1103" s="520">
        <v>2000000</v>
      </c>
      <c r="V1103" s="266">
        <v>2000000</v>
      </c>
      <c r="W1103" s="521" t="s">
        <v>3168</v>
      </c>
      <c r="X1103" s="264"/>
      <c r="Y1103" s="264"/>
      <c r="Z1103" s="528"/>
    </row>
    <row r="1104" spans="1:26" ht="29">
      <c r="A1104" s="513">
        <v>1102</v>
      </c>
      <c r="B1104" s="390"/>
      <c r="C1104" s="515" t="s">
        <v>3284</v>
      </c>
      <c r="D1104" s="262" t="s">
        <v>3285</v>
      </c>
      <c r="E1104" s="513">
        <v>1103</v>
      </c>
      <c r="F1104" s="544" t="s">
        <v>3284</v>
      </c>
      <c r="G1104" s="543">
        <v>41240</v>
      </c>
      <c r="H1104" s="543">
        <v>41241</v>
      </c>
      <c r="I1104" s="543">
        <v>41241</v>
      </c>
      <c r="J1104" s="543">
        <v>41241</v>
      </c>
      <c r="K1104" s="517">
        <v>45625</v>
      </c>
      <c r="L1104" s="518" t="s">
        <v>2180</v>
      </c>
      <c r="M1104" s="264" t="s">
        <v>2638</v>
      </c>
      <c r="N1104" s="262" t="s">
        <v>2206</v>
      </c>
      <c r="O1104" s="390" t="s">
        <v>2325</v>
      </c>
      <c r="P1104" s="264" t="s">
        <v>2633</v>
      </c>
      <c r="Q1104" s="264" t="s">
        <v>280</v>
      </c>
      <c r="R1104" s="528" t="s">
        <v>165</v>
      </c>
      <c r="S1104" s="399">
        <v>120</v>
      </c>
      <c r="T1104" s="348" t="s">
        <v>3362</v>
      </c>
      <c r="U1104" s="520">
        <v>15000</v>
      </c>
      <c r="V1104" s="266">
        <v>1800000</v>
      </c>
      <c r="W1104" s="521" t="s">
        <v>10</v>
      </c>
      <c r="X1104" s="264" t="s">
        <v>11</v>
      </c>
      <c r="Y1104" s="522" t="s">
        <v>2092</v>
      </c>
      <c r="Z1104" s="523" t="s">
        <v>2634</v>
      </c>
    </row>
    <row r="1105" spans="1:26" ht="29">
      <c r="A1105" s="513">
        <v>1103</v>
      </c>
      <c r="B1105" s="390"/>
      <c r="C1105" s="515" t="s">
        <v>3286</v>
      </c>
      <c r="D1105" s="262" t="s">
        <v>3287</v>
      </c>
      <c r="E1105" s="513">
        <v>1104</v>
      </c>
      <c r="F1105" s="544" t="s">
        <v>3286</v>
      </c>
      <c r="G1105" s="543">
        <v>41240</v>
      </c>
      <c r="H1105" s="543">
        <v>41241</v>
      </c>
      <c r="I1105" s="543">
        <v>41241</v>
      </c>
      <c r="J1105" s="543">
        <v>41241</v>
      </c>
      <c r="K1105" s="517">
        <v>45625</v>
      </c>
      <c r="L1105" s="518" t="s">
        <v>2180</v>
      </c>
      <c r="M1105" s="264" t="s">
        <v>2638</v>
      </c>
      <c r="N1105" s="262" t="s">
        <v>2206</v>
      </c>
      <c r="O1105" s="390" t="s">
        <v>2324</v>
      </c>
      <c r="P1105" s="264" t="s">
        <v>467</v>
      </c>
      <c r="Q1105" s="264" t="s">
        <v>8</v>
      </c>
      <c r="R1105" s="519" t="s">
        <v>2635</v>
      </c>
      <c r="S1105" s="399">
        <v>120</v>
      </c>
      <c r="T1105" s="348" t="s">
        <v>3362</v>
      </c>
      <c r="U1105" s="520">
        <v>40000</v>
      </c>
      <c r="V1105" s="266">
        <v>4800000</v>
      </c>
      <c r="W1105" s="521" t="s">
        <v>2507</v>
      </c>
      <c r="X1105" s="264" t="s">
        <v>2508</v>
      </c>
      <c r="Y1105" s="522" t="s">
        <v>2516</v>
      </c>
      <c r="Z1105" s="523" t="s">
        <v>2636</v>
      </c>
    </row>
    <row r="1106" spans="1:26" ht="29">
      <c r="A1106" s="513">
        <v>1104</v>
      </c>
      <c r="B1106" s="390"/>
      <c r="C1106" s="515" t="s">
        <v>3288</v>
      </c>
      <c r="D1106" s="262" t="s">
        <v>3289</v>
      </c>
      <c r="E1106" s="513">
        <v>1105</v>
      </c>
      <c r="F1106" s="544" t="s">
        <v>3288</v>
      </c>
      <c r="G1106" s="543">
        <v>41241</v>
      </c>
      <c r="H1106" s="543">
        <v>41242</v>
      </c>
      <c r="I1106" s="543">
        <v>41242</v>
      </c>
      <c r="J1106" s="543">
        <v>41242</v>
      </c>
      <c r="K1106" s="517">
        <v>45625</v>
      </c>
      <c r="L1106" s="518" t="s">
        <v>2180</v>
      </c>
      <c r="M1106" s="264" t="s">
        <v>2643</v>
      </c>
      <c r="N1106" s="262" t="s">
        <v>2183</v>
      </c>
      <c r="O1106" s="390" t="s">
        <v>2285</v>
      </c>
      <c r="P1106" s="264" t="s">
        <v>2442</v>
      </c>
      <c r="Q1106" s="264" t="s">
        <v>1545</v>
      </c>
      <c r="R1106" s="519" t="s">
        <v>163</v>
      </c>
      <c r="S1106" s="399">
        <v>25</v>
      </c>
      <c r="T1106" s="348" t="s">
        <v>3372</v>
      </c>
      <c r="U1106" s="520">
        <v>50000</v>
      </c>
      <c r="V1106" s="266">
        <v>1250000</v>
      </c>
      <c r="W1106" s="521" t="s">
        <v>10</v>
      </c>
      <c r="X1106" s="264" t="s">
        <v>11</v>
      </c>
      <c r="Y1106" s="522" t="s">
        <v>2092</v>
      </c>
      <c r="Z1106" s="523" t="s">
        <v>2634</v>
      </c>
    </row>
    <row r="1107" spans="1:26" ht="29">
      <c r="A1107" s="513">
        <v>1105</v>
      </c>
      <c r="B1107" s="547"/>
      <c r="C1107" s="515" t="s">
        <v>3290</v>
      </c>
      <c r="D1107" s="545" t="s">
        <v>3291</v>
      </c>
      <c r="E1107" s="513">
        <v>1106</v>
      </c>
      <c r="F1107" s="544" t="s">
        <v>3290</v>
      </c>
      <c r="G1107" s="543">
        <v>41242</v>
      </c>
      <c r="H1107" s="543">
        <v>41243</v>
      </c>
      <c r="I1107" s="543">
        <v>41243</v>
      </c>
      <c r="J1107" s="543">
        <v>41243</v>
      </c>
      <c r="K1107" s="546">
        <v>45626</v>
      </c>
      <c r="L1107" s="518" t="s">
        <v>2180</v>
      </c>
      <c r="M1107" s="264" t="s">
        <v>2587</v>
      </c>
      <c r="N1107" s="545" t="s">
        <v>1004</v>
      </c>
      <c r="O1107" s="547" t="s">
        <v>2297</v>
      </c>
      <c r="P1107" s="264" t="s">
        <v>2633</v>
      </c>
      <c r="Q1107" s="264" t="s">
        <v>280</v>
      </c>
      <c r="R1107" s="528" t="s">
        <v>165</v>
      </c>
      <c r="S1107" s="399">
        <v>60</v>
      </c>
      <c r="T1107" s="348" t="s">
        <v>3363</v>
      </c>
      <c r="U1107" s="520">
        <v>15000</v>
      </c>
      <c r="V1107" s="548">
        <v>900000</v>
      </c>
      <c r="W1107" s="521" t="s">
        <v>10</v>
      </c>
      <c r="X1107" s="264" t="s">
        <v>11</v>
      </c>
      <c r="Y1107" s="522" t="s">
        <v>2092</v>
      </c>
      <c r="Z1107" s="523" t="s">
        <v>2634</v>
      </c>
    </row>
    <row r="1108" spans="1:26" ht="29">
      <c r="A1108" s="513">
        <v>1106</v>
      </c>
      <c r="B1108" s="390"/>
      <c r="C1108" s="515" t="s">
        <v>3292</v>
      </c>
      <c r="D1108" s="262" t="s">
        <v>3293</v>
      </c>
      <c r="E1108" s="513">
        <v>1107</v>
      </c>
      <c r="F1108" s="544" t="s">
        <v>3292</v>
      </c>
      <c r="G1108" s="543">
        <v>45628</v>
      </c>
      <c r="H1108" s="543">
        <v>45628</v>
      </c>
      <c r="I1108" s="543">
        <v>45628</v>
      </c>
      <c r="J1108" s="543">
        <v>45628</v>
      </c>
      <c r="K1108" s="517">
        <v>45628</v>
      </c>
      <c r="L1108" s="518" t="s">
        <v>705</v>
      </c>
      <c r="M1108" s="264" t="s">
        <v>2587</v>
      </c>
      <c r="N1108" s="262" t="s">
        <v>2176</v>
      </c>
      <c r="O1108" s="390" t="s">
        <v>255</v>
      </c>
      <c r="P1108" s="264" t="str">
        <f>O1108</f>
        <v>PAPER CLIP  Paper Clip No 1</v>
      </c>
      <c r="Q1108" s="264" t="s">
        <v>710</v>
      </c>
      <c r="R1108" s="519" t="s">
        <v>144</v>
      </c>
      <c r="S1108" s="399">
        <v>5</v>
      </c>
      <c r="T1108" s="348" t="s">
        <v>3362</v>
      </c>
      <c r="U1108" s="520">
        <v>5000</v>
      </c>
      <c r="V1108" s="266">
        <v>25000</v>
      </c>
      <c r="W1108" s="521" t="s">
        <v>227</v>
      </c>
      <c r="X1108" s="521" t="s">
        <v>3383</v>
      </c>
      <c r="Y1108" s="522" t="s">
        <v>2512</v>
      </c>
      <c r="Z1108" s="523" t="s">
        <v>541</v>
      </c>
    </row>
    <row r="1109" spans="1:26" ht="29">
      <c r="A1109" s="513">
        <v>1107</v>
      </c>
      <c r="B1109" s="390"/>
      <c r="C1109" s="515" t="s">
        <v>3292</v>
      </c>
      <c r="D1109" s="262" t="s">
        <v>3293</v>
      </c>
      <c r="E1109" s="513">
        <v>1108</v>
      </c>
      <c r="F1109" s="544" t="s">
        <v>3292</v>
      </c>
      <c r="G1109" s="543">
        <v>45628</v>
      </c>
      <c r="H1109" s="543">
        <v>45628</v>
      </c>
      <c r="I1109" s="543">
        <v>45628</v>
      </c>
      <c r="J1109" s="543">
        <v>45628</v>
      </c>
      <c r="K1109" s="517">
        <v>45628</v>
      </c>
      <c r="L1109" s="518" t="s">
        <v>705</v>
      </c>
      <c r="M1109" s="264" t="s">
        <v>2587</v>
      </c>
      <c r="N1109" s="262" t="s">
        <v>2176</v>
      </c>
      <c r="O1109" s="390" t="s">
        <v>2260</v>
      </c>
      <c r="P1109" s="264" t="str">
        <f>O1109</f>
        <v>Tinta Printer Canon 740 Hitam-740 Hitam</v>
      </c>
      <c r="Q1109" s="264" t="s">
        <v>710</v>
      </c>
      <c r="R1109" s="519" t="s">
        <v>159</v>
      </c>
      <c r="S1109" s="399">
        <v>8</v>
      </c>
      <c r="T1109" s="348" t="s">
        <v>3367</v>
      </c>
      <c r="U1109" s="520">
        <v>30000</v>
      </c>
      <c r="V1109" s="266">
        <v>240000</v>
      </c>
      <c r="W1109" s="521" t="s">
        <v>227</v>
      </c>
      <c r="X1109" s="521" t="s">
        <v>3383</v>
      </c>
      <c r="Y1109" s="522" t="s">
        <v>2512</v>
      </c>
      <c r="Z1109" s="523" t="s">
        <v>541</v>
      </c>
    </row>
    <row r="1110" spans="1:26" ht="29">
      <c r="A1110" s="513">
        <v>1108</v>
      </c>
      <c r="B1110" s="390"/>
      <c r="C1110" s="515" t="s">
        <v>3292</v>
      </c>
      <c r="D1110" s="262" t="s">
        <v>3293</v>
      </c>
      <c r="E1110" s="513">
        <v>1109</v>
      </c>
      <c r="F1110" s="544" t="s">
        <v>3292</v>
      </c>
      <c r="G1110" s="543">
        <v>45628</v>
      </c>
      <c r="H1110" s="543">
        <v>45628</v>
      </c>
      <c r="I1110" s="543">
        <v>45628</v>
      </c>
      <c r="J1110" s="543">
        <v>45628</v>
      </c>
      <c r="K1110" s="517">
        <v>45628</v>
      </c>
      <c r="L1110" s="518" t="s">
        <v>705</v>
      </c>
      <c r="M1110" s="264" t="s">
        <v>2587</v>
      </c>
      <c r="N1110" s="262" t="s">
        <v>2176</v>
      </c>
      <c r="O1110" s="390" t="s">
        <v>238</v>
      </c>
      <c r="P1110" s="264" t="str">
        <f>O1110</f>
        <v>Binder Klip  nomor 111</v>
      </c>
      <c r="Q1110" s="264" t="s">
        <v>710</v>
      </c>
      <c r="R1110" s="519" t="s">
        <v>109</v>
      </c>
      <c r="S1110" s="399">
        <v>5</v>
      </c>
      <c r="T1110" s="348" t="s">
        <v>3362</v>
      </c>
      <c r="U1110" s="520">
        <v>11000</v>
      </c>
      <c r="V1110" s="266">
        <v>55000</v>
      </c>
      <c r="W1110" s="521" t="s">
        <v>227</v>
      </c>
      <c r="X1110" s="521" t="s">
        <v>3383</v>
      </c>
      <c r="Y1110" s="522" t="s">
        <v>2512</v>
      </c>
      <c r="Z1110" s="523" t="s">
        <v>541</v>
      </c>
    </row>
    <row r="1111" spans="1:26" ht="43.5">
      <c r="A1111" s="513">
        <v>1109</v>
      </c>
      <c r="B1111" s="390"/>
      <c r="C1111" s="515" t="s">
        <v>3292</v>
      </c>
      <c r="D1111" s="262" t="s">
        <v>3293</v>
      </c>
      <c r="E1111" s="513">
        <v>1110</v>
      </c>
      <c r="F1111" s="544" t="s">
        <v>3292</v>
      </c>
      <c r="G1111" s="543">
        <v>45628</v>
      </c>
      <c r="H1111" s="543">
        <v>45628</v>
      </c>
      <c r="I1111" s="543">
        <v>45628</v>
      </c>
      <c r="J1111" s="543">
        <v>45628</v>
      </c>
      <c r="K1111" s="517">
        <v>45628</v>
      </c>
      <c r="L1111" s="518" t="s">
        <v>705</v>
      </c>
      <c r="M1111" s="264" t="s">
        <v>2587</v>
      </c>
      <c r="N1111" s="262" t="s">
        <v>2176</v>
      </c>
      <c r="O1111" s="390" t="s">
        <v>262</v>
      </c>
      <c r="P1111" s="264" t="str">
        <f>O1111</f>
        <v>Spidol White board</v>
      </c>
      <c r="Q1111" s="264" t="s">
        <v>710</v>
      </c>
      <c r="R1111" s="519" t="s">
        <v>151</v>
      </c>
      <c r="S1111" s="399">
        <v>2</v>
      </c>
      <c r="T1111" s="348" t="s">
        <v>3364</v>
      </c>
      <c r="U1111" s="520">
        <v>120000</v>
      </c>
      <c r="V1111" s="266">
        <v>240000</v>
      </c>
      <c r="W1111" s="521" t="s">
        <v>227</v>
      </c>
      <c r="X1111" s="521" t="s">
        <v>3383</v>
      </c>
      <c r="Y1111" s="522" t="s">
        <v>2512</v>
      </c>
      <c r="Z1111" s="523" t="s">
        <v>541</v>
      </c>
    </row>
    <row r="1112" spans="1:26" ht="37.5">
      <c r="A1112" s="513">
        <v>1110</v>
      </c>
      <c r="B1112" s="390"/>
      <c r="C1112" s="515" t="s">
        <v>3292</v>
      </c>
      <c r="D1112" s="262" t="s">
        <v>3293</v>
      </c>
      <c r="E1112" s="513">
        <v>1111</v>
      </c>
      <c r="F1112" s="544" t="s">
        <v>3292</v>
      </c>
      <c r="G1112" s="543">
        <v>45628</v>
      </c>
      <c r="H1112" s="543">
        <v>45628</v>
      </c>
      <c r="I1112" s="543">
        <v>45628</v>
      </c>
      <c r="J1112" s="543">
        <v>45628</v>
      </c>
      <c r="K1112" s="517">
        <v>45628</v>
      </c>
      <c r="L1112" s="518" t="s">
        <v>705</v>
      </c>
      <c r="M1112" s="264" t="s">
        <v>2587</v>
      </c>
      <c r="N1112" s="262" t="s">
        <v>2176</v>
      </c>
      <c r="O1112" s="390" t="s">
        <v>252</v>
      </c>
      <c r="P1112" s="524" t="s">
        <v>2571</v>
      </c>
      <c r="Q1112" s="264" t="s">
        <v>710</v>
      </c>
      <c r="R1112" s="519" t="s">
        <v>136</v>
      </c>
      <c r="S1112" s="399">
        <v>5</v>
      </c>
      <c r="T1112" s="348" t="s">
        <v>2436</v>
      </c>
      <c r="U1112" s="520">
        <v>15000</v>
      </c>
      <c r="V1112" s="266">
        <v>75000</v>
      </c>
      <c r="W1112" s="521" t="s">
        <v>227</v>
      </c>
      <c r="X1112" s="521" t="s">
        <v>3383</v>
      </c>
      <c r="Y1112" s="522" t="s">
        <v>2512</v>
      </c>
      <c r="Z1112" s="523" t="s">
        <v>541</v>
      </c>
    </row>
    <row r="1113" spans="1:26" ht="29">
      <c r="A1113" s="513">
        <v>1111</v>
      </c>
      <c r="B1113" s="390"/>
      <c r="C1113" s="515" t="s">
        <v>3292</v>
      </c>
      <c r="D1113" s="262" t="s">
        <v>3293</v>
      </c>
      <c r="E1113" s="513">
        <v>1112</v>
      </c>
      <c r="F1113" s="544" t="s">
        <v>3292</v>
      </c>
      <c r="G1113" s="543">
        <v>45628</v>
      </c>
      <c r="H1113" s="543">
        <v>45628</v>
      </c>
      <c r="I1113" s="543">
        <v>45628</v>
      </c>
      <c r="J1113" s="543">
        <v>45628</v>
      </c>
      <c r="K1113" s="517">
        <v>45628</v>
      </c>
      <c r="L1113" s="518" t="s">
        <v>705</v>
      </c>
      <c r="M1113" s="264" t="s">
        <v>2587</v>
      </c>
      <c r="N1113" s="262" t="s">
        <v>2176</v>
      </c>
      <c r="O1113" s="390" t="s">
        <v>263</v>
      </c>
      <c r="P1113" s="264" t="str">
        <f t="shared" ref="P1113:P1126" si="45">O1113</f>
        <v>Stofmap Kertas</v>
      </c>
      <c r="Q1113" s="264" t="s">
        <v>710</v>
      </c>
      <c r="R1113" s="519" t="s">
        <v>156</v>
      </c>
      <c r="S1113" s="399">
        <v>1</v>
      </c>
      <c r="T1113" s="348" t="s">
        <v>3370</v>
      </c>
      <c r="U1113" s="520">
        <v>87500</v>
      </c>
      <c r="V1113" s="266">
        <v>87500</v>
      </c>
      <c r="W1113" s="521" t="s">
        <v>227</v>
      </c>
      <c r="X1113" s="521" t="s">
        <v>3383</v>
      </c>
      <c r="Y1113" s="522" t="s">
        <v>2512</v>
      </c>
      <c r="Z1113" s="523" t="s">
        <v>541</v>
      </c>
    </row>
    <row r="1114" spans="1:26" ht="29">
      <c r="A1114" s="513">
        <v>1112</v>
      </c>
      <c r="B1114" s="390"/>
      <c r="C1114" s="515" t="s">
        <v>3292</v>
      </c>
      <c r="D1114" s="262" t="s">
        <v>3293</v>
      </c>
      <c r="E1114" s="513">
        <v>1113</v>
      </c>
      <c r="F1114" s="544" t="s">
        <v>3292</v>
      </c>
      <c r="G1114" s="543">
        <v>45628</v>
      </c>
      <c r="H1114" s="543">
        <v>45628</v>
      </c>
      <c r="I1114" s="543">
        <v>45628</v>
      </c>
      <c r="J1114" s="543">
        <v>45628</v>
      </c>
      <c r="K1114" s="517">
        <v>45628</v>
      </c>
      <c r="L1114" s="518" t="s">
        <v>705</v>
      </c>
      <c r="M1114" s="264" t="s">
        <v>2587</v>
      </c>
      <c r="N1114" s="262" t="s">
        <v>2176</v>
      </c>
      <c r="O1114" s="390" t="s">
        <v>2254</v>
      </c>
      <c r="P1114" s="264" t="str">
        <f t="shared" si="45"/>
        <v>USB FLASH DISK USB/Flash Disk 4GB</v>
      </c>
      <c r="Q1114" s="264" t="s">
        <v>710</v>
      </c>
      <c r="R1114" s="519" t="s">
        <v>162</v>
      </c>
      <c r="S1114" s="399">
        <v>1</v>
      </c>
      <c r="T1114" s="348" t="s">
        <v>3363</v>
      </c>
      <c r="U1114" s="520">
        <v>80000</v>
      </c>
      <c r="V1114" s="266">
        <v>80000</v>
      </c>
      <c r="W1114" s="521" t="s">
        <v>227</v>
      </c>
      <c r="X1114" s="521" t="s">
        <v>3383</v>
      </c>
      <c r="Y1114" s="522" t="s">
        <v>2512</v>
      </c>
      <c r="Z1114" s="523" t="s">
        <v>541</v>
      </c>
    </row>
    <row r="1115" spans="1:26" ht="29">
      <c r="A1115" s="513">
        <v>1113</v>
      </c>
      <c r="B1115" s="390"/>
      <c r="C1115" s="515" t="s">
        <v>3292</v>
      </c>
      <c r="D1115" s="262" t="s">
        <v>3293</v>
      </c>
      <c r="E1115" s="513">
        <v>1114</v>
      </c>
      <c r="F1115" s="544" t="s">
        <v>3292</v>
      </c>
      <c r="G1115" s="543">
        <v>45628</v>
      </c>
      <c r="H1115" s="543">
        <v>45628</v>
      </c>
      <c r="I1115" s="543">
        <v>45628</v>
      </c>
      <c r="J1115" s="543">
        <v>45628</v>
      </c>
      <c r="K1115" s="517">
        <v>45628</v>
      </c>
      <c r="L1115" s="518" t="s">
        <v>705</v>
      </c>
      <c r="M1115" s="264" t="s">
        <v>2587</v>
      </c>
      <c r="N1115" s="262" t="s">
        <v>2176</v>
      </c>
      <c r="O1115" s="390" t="s">
        <v>246</v>
      </c>
      <c r="P1115" s="264" t="str">
        <f t="shared" si="45"/>
        <v>C. Tinta Printer EPSON Tinta Printer Epson Yellow</v>
      </c>
      <c r="Q1115" s="264" t="s">
        <v>710</v>
      </c>
      <c r="R1115" s="519" t="s">
        <v>119</v>
      </c>
      <c r="S1115" s="399">
        <v>4</v>
      </c>
      <c r="T1115" s="348" t="s">
        <v>3367</v>
      </c>
      <c r="U1115" s="520">
        <v>110000</v>
      </c>
      <c r="V1115" s="266">
        <v>440000</v>
      </c>
      <c r="W1115" s="521" t="s">
        <v>227</v>
      </c>
      <c r="X1115" s="521" t="s">
        <v>3383</v>
      </c>
      <c r="Y1115" s="522" t="s">
        <v>2512</v>
      </c>
      <c r="Z1115" s="523" t="s">
        <v>541</v>
      </c>
    </row>
    <row r="1116" spans="1:26" ht="29">
      <c r="A1116" s="513">
        <v>1114</v>
      </c>
      <c r="B1116" s="390"/>
      <c r="C1116" s="515" t="s">
        <v>3292</v>
      </c>
      <c r="D1116" s="262" t="s">
        <v>3293</v>
      </c>
      <c r="E1116" s="513">
        <v>1115</v>
      </c>
      <c r="F1116" s="544" t="s">
        <v>3292</v>
      </c>
      <c r="G1116" s="543">
        <v>45628</v>
      </c>
      <c r="H1116" s="543">
        <v>45628</v>
      </c>
      <c r="I1116" s="543">
        <v>45628</v>
      </c>
      <c r="J1116" s="543">
        <v>45628</v>
      </c>
      <c r="K1116" s="517">
        <v>45628</v>
      </c>
      <c r="L1116" s="518" t="s">
        <v>705</v>
      </c>
      <c r="M1116" s="264" t="s">
        <v>2587</v>
      </c>
      <c r="N1116" s="262" t="s">
        <v>2176</v>
      </c>
      <c r="O1116" s="390" t="s">
        <v>2239</v>
      </c>
      <c r="P1116" s="264" t="str">
        <f t="shared" si="45"/>
        <v>Tinta Printer Canon 741 Warna-741 Warna</v>
      </c>
      <c r="Q1116" s="264" t="s">
        <v>710</v>
      </c>
      <c r="R1116" s="519" t="s">
        <v>160</v>
      </c>
      <c r="S1116" s="399">
        <v>12</v>
      </c>
      <c r="T1116" s="348" t="s">
        <v>3367</v>
      </c>
      <c r="U1116" s="520">
        <v>33000</v>
      </c>
      <c r="V1116" s="266">
        <v>396000</v>
      </c>
      <c r="W1116" s="521" t="s">
        <v>227</v>
      </c>
      <c r="X1116" s="521" t="s">
        <v>3383</v>
      </c>
      <c r="Y1116" s="522" t="s">
        <v>2512</v>
      </c>
      <c r="Z1116" s="523" t="s">
        <v>541</v>
      </c>
    </row>
    <row r="1117" spans="1:26" ht="29">
      <c r="A1117" s="513">
        <v>1115</v>
      </c>
      <c r="B1117" s="390"/>
      <c r="C1117" s="515" t="s">
        <v>3292</v>
      </c>
      <c r="D1117" s="262" t="s">
        <v>3293</v>
      </c>
      <c r="E1117" s="513">
        <v>1116</v>
      </c>
      <c r="F1117" s="544" t="s">
        <v>3292</v>
      </c>
      <c r="G1117" s="543">
        <v>45628</v>
      </c>
      <c r="H1117" s="543">
        <v>45628</v>
      </c>
      <c r="I1117" s="543">
        <v>45628</v>
      </c>
      <c r="J1117" s="543">
        <v>45628</v>
      </c>
      <c r="K1117" s="517">
        <v>45628</v>
      </c>
      <c r="L1117" s="518" t="s">
        <v>705</v>
      </c>
      <c r="M1117" s="264" t="s">
        <v>2587</v>
      </c>
      <c r="N1117" s="262" t="s">
        <v>2176</v>
      </c>
      <c r="O1117" s="390" t="s">
        <v>248</v>
      </c>
      <c r="P1117" s="264" t="str">
        <f t="shared" si="45"/>
        <v>Kertas Label</v>
      </c>
      <c r="Q1117" s="264" t="s">
        <v>710</v>
      </c>
      <c r="R1117" s="525" t="s">
        <v>2597</v>
      </c>
      <c r="S1117" s="399">
        <v>5</v>
      </c>
      <c r="T1117" s="348" t="s">
        <v>3368</v>
      </c>
      <c r="U1117" s="520">
        <v>25000</v>
      </c>
      <c r="V1117" s="266">
        <v>125000</v>
      </c>
      <c r="W1117" s="521" t="s">
        <v>227</v>
      </c>
      <c r="X1117" s="521" t="s">
        <v>3383</v>
      </c>
      <c r="Y1117" s="522" t="s">
        <v>2512</v>
      </c>
      <c r="Z1117" s="523" t="s">
        <v>541</v>
      </c>
    </row>
    <row r="1118" spans="1:26" ht="43.5">
      <c r="A1118" s="513">
        <v>1116</v>
      </c>
      <c r="B1118" s="390"/>
      <c r="C1118" s="515" t="s">
        <v>3292</v>
      </c>
      <c r="D1118" s="262" t="s">
        <v>3293</v>
      </c>
      <c r="E1118" s="513">
        <v>1117</v>
      </c>
      <c r="F1118" s="544" t="s">
        <v>3292</v>
      </c>
      <c r="G1118" s="543">
        <v>45628</v>
      </c>
      <c r="H1118" s="543">
        <v>45628</v>
      </c>
      <c r="I1118" s="543">
        <v>45628</v>
      </c>
      <c r="J1118" s="543">
        <v>45628</v>
      </c>
      <c r="K1118" s="517">
        <v>45628</v>
      </c>
      <c r="L1118" s="518" t="s">
        <v>705</v>
      </c>
      <c r="M1118" s="264" t="s">
        <v>2587</v>
      </c>
      <c r="N1118" s="262" t="s">
        <v>2176</v>
      </c>
      <c r="O1118" s="390" t="s">
        <v>261</v>
      </c>
      <c r="P1118" s="264" t="str">
        <f t="shared" si="45"/>
        <v>Spidol Refil Spidol White Board Snowman</v>
      </c>
      <c r="Q1118" s="264" t="s">
        <v>710</v>
      </c>
      <c r="R1118" s="519" t="s">
        <v>150</v>
      </c>
      <c r="S1118" s="399">
        <v>10</v>
      </c>
      <c r="T1118" s="348" t="s">
        <v>3363</v>
      </c>
      <c r="U1118" s="520">
        <v>20900</v>
      </c>
      <c r="V1118" s="266">
        <v>209000</v>
      </c>
      <c r="W1118" s="521" t="s">
        <v>227</v>
      </c>
      <c r="X1118" s="521" t="s">
        <v>3383</v>
      </c>
      <c r="Y1118" s="522" t="s">
        <v>2512</v>
      </c>
      <c r="Z1118" s="523" t="s">
        <v>541</v>
      </c>
    </row>
    <row r="1119" spans="1:26" ht="29">
      <c r="A1119" s="513">
        <v>1117</v>
      </c>
      <c r="B1119" s="390"/>
      <c r="C1119" s="515" t="s">
        <v>3292</v>
      </c>
      <c r="D1119" s="262" t="s">
        <v>3293</v>
      </c>
      <c r="E1119" s="513">
        <v>1118</v>
      </c>
      <c r="F1119" s="544" t="s">
        <v>3292</v>
      </c>
      <c r="G1119" s="543">
        <v>45628</v>
      </c>
      <c r="H1119" s="543">
        <v>45628</v>
      </c>
      <c r="I1119" s="543">
        <v>45628</v>
      </c>
      <c r="J1119" s="543">
        <v>45628</v>
      </c>
      <c r="K1119" s="517">
        <v>45628</v>
      </c>
      <c r="L1119" s="518" t="s">
        <v>705</v>
      </c>
      <c r="M1119" s="264" t="s">
        <v>2587</v>
      </c>
      <c r="N1119" s="262" t="s">
        <v>2176</v>
      </c>
      <c r="O1119" s="390" t="s">
        <v>245</v>
      </c>
      <c r="P1119" s="264" t="str">
        <f t="shared" si="45"/>
        <v>C. Tinta Printer EPSON Tinta Printer Epson Read</v>
      </c>
      <c r="Q1119" s="264" t="s">
        <v>710</v>
      </c>
      <c r="R1119" s="528" t="s">
        <v>118</v>
      </c>
      <c r="S1119" s="399">
        <v>4</v>
      </c>
      <c r="T1119" s="348" t="s">
        <v>3367</v>
      </c>
      <c r="U1119" s="520">
        <v>110000</v>
      </c>
      <c r="V1119" s="266">
        <v>440000</v>
      </c>
      <c r="W1119" s="521" t="s">
        <v>227</v>
      </c>
      <c r="X1119" s="521" t="s">
        <v>3383</v>
      </c>
      <c r="Y1119" s="522" t="s">
        <v>2512</v>
      </c>
      <c r="Z1119" s="523" t="s">
        <v>541</v>
      </c>
    </row>
    <row r="1120" spans="1:26" ht="29">
      <c r="A1120" s="513">
        <v>1118</v>
      </c>
      <c r="B1120" s="390"/>
      <c r="C1120" s="515" t="s">
        <v>3292</v>
      </c>
      <c r="D1120" s="262" t="s">
        <v>3293</v>
      </c>
      <c r="E1120" s="513">
        <v>1119</v>
      </c>
      <c r="F1120" s="544" t="s">
        <v>3292</v>
      </c>
      <c r="G1120" s="543">
        <v>45628</v>
      </c>
      <c r="H1120" s="543">
        <v>45628</v>
      </c>
      <c r="I1120" s="543">
        <v>45628</v>
      </c>
      <c r="J1120" s="543">
        <v>45628</v>
      </c>
      <c r="K1120" s="517">
        <v>45628</v>
      </c>
      <c r="L1120" s="518" t="s">
        <v>705</v>
      </c>
      <c r="M1120" s="264" t="s">
        <v>2587</v>
      </c>
      <c r="N1120" s="262" t="s">
        <v>2176</v>
      </c>
      <c r="O1120" s="390" t="s">
        <v>2261</v>
      </c>
      <c r="P1120" s="264" t="str">
        <f t="shared" si="45"/>
        <v>Kertas HVS 60 gram Merk : Paper One HVS F4 uk. 8.27"x11.69"</v>
      </c>
      <c r="Q1120" s="264" t="s">
        <v>710</v>
      </c>
      <c r="R1120" s="519" t="s">
        <v>127</v>
      </c>
      <c r="S1120" s="399">
        <v>10</v>
      </c>
      <c r="T1120" s="348" t="s">
        <v>3369</v>
      </c>
      <c r="U1120" s="520">
        <v>48500</v>
      </c>
      <c r="V1120" s="266">
        <v>485000</v>
      </c>
      <c r="W1120" s="521" t="s">
        <v>227</v>
      </c>
      <c r="X1120" s="521" t="s">
        <v>3383</v>
      </c>
      <c r="Y1120" s="522" t="s">
        <v>2512</v>
      </c>
      <c r="Z1120" s="523" t="s">
        <v>541</v>
      </c>
    </row>
    <row r="1121" spans="1:26" ht="29">
      <c r="A1121" s="513">
        <v>1119</v>
      </c>
      <c r="B1121" s="390"/>
      <c r="C1121" s="515" t="s">
        <v>3292</v>
      </c>
      <c r="D1121" s="262" t="s">
        <v>3293</v>
      </c>
      <c r="E1121" s="513">
        <v>1120</v>
      </c>
      <c r="F1121" s="544" t="s">
        <v>3292</v>
      </c>
      <c r="G1121" s="543">
        <v>45628</v>
      </c>
      <c r="H1121" s="543">
        <v>45628</v>
      </c>
      <c r="I1121" s="543">
        <v>45628</v>
      </c>
      <c r="J1121" s="543">
        <v>45628</v>
      </c>
      <c r="K1121" s="517">
        <v>45628</v>
      </c>
      <c r="L1121" s="518" t="s">
        <v>705</v>
      </c>
      <c r="M1121" s="264" t="s">
        <v>2587</v>
      </c>
      <c r="N1121" s="262" t="s">
        <v>2176</v>
      </c>
      <c r="O1121" s="390" t="s">
        <v>260</v>
      </c>
      <c r="P1121" s="264" t="str">
        <f t="shared" si="45"/>
        <v>Sampul Plastik</v>
      </c>
      <c r="Q1121" s="264" t="s">
        <v>710</v>
      </c>
      <c r="R1121" s="519" t="s">
        <v>149</v>
      </c>
      <c r="S1121" s="399">
        <v>5</v>
      </c>
      <c r="T1121" s="348" t="s">
        <v>3365</v>
      </c>
      <c r="U1121" s="520">
        <v>65000</v>
      </c>
      <c r="V1121" s="266">
        <v>325000</v>
      </c>
      <c r="W1121" s="521" t="s">
        <v>227</v>
      </c>
      <c r="X1121" s="521" t="s">
        <v>3383</v>
      </c>
      <c r="Y1121" s="522" t="s">
        <v>2512</v>
      </c>
      <c r="Z1121" s="523" t="s">
        <v>541</v>
      </c>
    </row>
    <row r="1122" spans="1:26" ht="29">
      <c r="A1122" s="513">
        <v>1120</v>
      </c>
      <c r="B1122" s="390"/>
      <c r="C1122" s="515" t="s">
        <v>3292</v>
      </c>
      <c r="D1122" s="262" t="s">
        <v>3293</v>
      </c>
      <c r="E1122" s="513">
        <v>1121</v>
      </c>
      <c r="F1122" s="544" t="s">
        <v>3292</v>
      </c>
      <c r="G1122" s="543">
        <v>45628</v>
      </c>
      <c r="H1122" s="543">
        <v>45628</v>
      </c>
      <c r="I1122" s="543">
        <v>45628</v>
      </c>
      <c r="J1122" s="543">
        <v>45628</v>
      </c>
      <c r="K1122" s="517">
        <v>45628</v>
      </c>
      <c r="L1122" s="518" t="s">
        <v>705</v>
      </c>
      <c r="M1122" s="264" t="s">
        <v>2587</v>
      </c>
      <c r="N1122" s="262" t="s">
        <v>2176</v>
      </c>
      <c r="O1122" s="390" t="s">
        <v>2247</v>
      </c>
      <c r="P1122" s="264" t="str">
        <f t="shared" si="45"/>
        <v>Amplop Panjang Putih Polos Merk : Jaya Ukuran : 11 x 23 cm</v>
      </c>
      <c r="Q1122" s="264" t="s">
        <v>710</v>
      </c>
      <c r="R1122" s="519" t="s">
        <v>99</v>
      </c>
      <c r="S1122" s="399">
        <v>1</v>
      </c>
      <c r="T1122" s="348" t="s">
        <v>3362</v>
      </c>
      <c r="U1122" s="520">
        <v>48000</v>
      </c>
      <c r="V1122" s="266">
        <v>48000</v>
      </c>
      <c r="W1122" s="521" t="s">
        <v>227</v>
      </c>
      <c r="X1122" s="521" t="s">
        <v>3383</v>
      </c>
      <c r="Y1122" s="522" t="s">
        <v>2512</v>
      </c>
      <c r="Z1122" s="523" t="s">
        <v>541</v>
      </c>
    </row>
    <row r="1123" spans="1:26" ht="29">
      <c r="A1123" s="513">
        <v>1121</v>
      </c>
      <c r="B1123" s="390"/>
      <c r="C1123" s="515" t="s">
        <v>3292</v>
      </c>
      <c r="D1123" s="262" t="s">
        <v>3293</v>
      </c>
      <c r="E1123" s="513">
        <v>1122</v>
      </c>
      <c r="F1123" s="544" t="s">
        <v>3292</v>
      </c>
      <c r="G1123" s="543">
        <v>45628</v>
      </c>
      <c r="H1123" s="543">
        <v>45628</v>
      </c>
      <c r="I1123" s="543">
        <v>45628</v>
      </c>
      <c r="J1123" s="543">
        <v>45628</v>
      </c>
      <c r="K1123" s="517">
        <v>45628</v>
      </c>
      <c r="L1123" s="518" t="s">
        <v>705</v>
      </c>
      <c r="M1123" s="264" t="s">
        <v>2587</v>
      </c>
      <c r="N1123" s="262" t="s">
        <v>2176</v>
      </c>
      <c r="O1123" s="390" t="s">
        <v>259</v>
      </c>
      <c r="P1123" s="264" t="str">
        <f t="shared" si="45"/>
        <v>Plastik Mika</v>
      </c>
      <c r="Q1123" s="264" t="s">
        <v>710</v>
      </c>
      <c r="R1123" s="519" t="s">
        <v>148</v>
      </c>
      <c r="S1123" s="399">
        <v>5</v>
      </c>
      <c r="T1123" s="348" t="s">
        <v>3365</v>
      </c>
      <c r="U1123" s="520">
        <v>60000</v>
      </c>
      <c r="V1123" s="266">
        <v>300000</v>
      </c>
      <c r="W1123" s="521" t="s">
        <v>227</v>
      </c>
      <c r="X1123" s="521" t="s">
        <v>3383</v>
      </c>
      <c r="Y1123" s="522" t="s">
        <v>2512</v>
      </c>
      <c r="Z1123" s="523" t="s">
        <v>541</v>
      </c>
    </row>
    <row r="1124" spans="1:26" ht="29">
      <c r="A1124" s="513">
        <v>1122</v>
      </c>
      <c r="B1124" s="390"/>
      <c r="C1124" s="515" t="s">
        <v>3292</v>
      </c>
      <c r="D1124" s="262" t="s">
        <v>3293</v>
      </c>
      <c r="E1124" s="513">
        <v>1123</v>
      </c>
      <c r="F1124" s="544" t="s">
        <v>3292</v>
      </c>
      <c r="G1124" s="543">
        <v>45628</v>
      </c>
      <c r="H1124" s="543">
        <v>45628</v>
      </c>
      <c r="I1124" s="543">
        <v>45628</v>
      </c>
      <c r="J1124" s="543">
        <v>45628</v>
      </c>
      <c r="K1124" s="517">
        <v>45628</v>
      </c>
      <c r="L1124" s="518" t="s">
        <v>705</v>
      </c>
      <c r="M1124" s="264" t="s">
        <v>2587</v>
      </c>
      <c r="N1124" s="262" t="s">
        <v>2176</v>
      </c>
      <c r="O1124" s="390" t="s">
        <v>2241</v>
      </c>
      <c r="P1124" s="264" t="str">
        <f t="shared" si="45"/>
        <v>Stapler Stapler No, 50 MAX</v>
      </c>
      <c r="Q1124" s="264" t="s">
        <v>710</v>
      </c>
      <c r="R1124" s="519" t="s">
        <v>153</v>
      </c>
      <c r="S1124" s="399">
        <v>2</v>
      </c>
      <c r="T1124" s="348" t="s">
        <v>3363</v>
      </c>
      <c r="U1124" s="520">
        <v>25000</v>
      </c>
      <c r="V1124" s="266">
        <v>50000</v>
      </c>
      <c r="W1124" s="521" t="s">
        <v>227</v>
      </c>
      <c r="X1124" s="521" t="s">
        <v>3383</v>
      </c>
      <c r="Y1124" s="522" t="s">
        <v>2512</v>
      </c>
      <c r="Z1124" s="523" t="s">
        <v>541</v>
      </c>
    </row>
    <row r="1125" spans="1:26" ht="29">
      <c r="A1125" s="513">
        <v>1123</v>
      </c>
      <c r="B1125" s="390"/>
      <c r="C1125" s="515" t="s">
        <v>3292</v>
      </c>
      <c r="D1125" s="262" t="s">
        <v>3293</v>
      </c>
      <c r="E1125" s="513">
        <v>1124</v>
      </c>
      <c r="F1125" s="544" t="s">
        <v>3292</v>
      </c>
      <c r="G1125" s="543">
        <v>45628</v>
      </c>
      <c r="H1125" s="543">
        <v>45628</v>
      </c>
      <c r="I1125" s="543">
        <v>45628</v>
      </c>
      <c r="J1125" s="543">
        <v>45628</v>
      </c>
      <c r="K1125" s="517">
        <v>45628</v>
      </c>
      <c r="L1125" s="518" t="s">
        <v>705</v>
      </c>
      <c r="M1125" s="264" t="s">
        <v>2587</v>
      </c>
      <c r="N1125" s="262" t="s">
        <v>2176</v>
      </c>
      <c r="O1125" s="390" t="s">
        <v>264</v>
      </c>
      <c r="P1125" s="264" t="str">
        <f t="shared" si="45"/>
        <v>Stofmap Transparan</v>
      </c>
      <c r="Q1125" s="264" t="s">
        <v>710</v>
      </c>
      <c r="R1125" s="519" t="s">
        <v>157</v>
      </c>
      <c r="S1125" s="399">
        <v>100</v>
      </c>
      <c r="T1125" s="348" t="s">
        <v>3363</v>
      </c>
      <c r="U1125" s="520">
        <v>5500</v>
      </c>
      <c r="V1125" s="266">
        <v>550000</v>
      </c>
      <c r="W1125" s="521" t="s">
        <v>227</v>
      </c>
      <c r="X1125" s="521" t="s">
        <v>3383</v>
      </c>
      <c r="Y1125" s="522" t="s">
        <v>2512</v>
      </c>
      <c r="Z1125" s="523" t="s">
        <v>541</v>
      </c>
    </row>
    <row r="1126" spans="1:26" ht="29">
      <c r="A1126" s="513">
        <v>1124</v>
      </c>
      <c r="B1126" s="390"/>
      <c r="C1126" s="515" t="s">
        <v>3292</v>
      </c>
      <c r="D1126" s="262" t="s">
        <v>3293</v>
      </c>
      <c r="E1126" s="513">
        <v>1125</v>
      </c>
      <c r="F1126" s="544" t="s">
        <v>3292</v>
      </c>
      <c r="G1126" s="543">
        <v>45628</v>
      </c>
      <c r="H1126" s="543">
        <v>45628</v>
      </c>
      <c r="I1126" s="543">
        <v>45628</v>
      </c>
      <c r="J1126" s="543">
        <v>45628</v>
      </c>
      <c r="K1126" s="517">
        <v>45628</v>
      </c>
      <c r="L1126" s="518" t="s">
        <v>705</v>
      </c>
      <c r="M1126" s="264" t="s">
        <v>2587</v>
      </c>
      <c r="N1126" s="262" t="s">
        <v>2176</v>
      </c>
      <c r="O1126" s="390" t="s">
        <v>234</v>
      </c>
      <c r="P1126" s="264" t="str">
        <f t="shared" si="45"/>
        <v>Ballpoint Pilot G2</v>
      </c>
      <c r="Q1126" s="264" t="s">
        <v>710</v>
      </c>
      <c r="R1126" s="519" t="s">
        <v>102</v>
      </c>
      <c r="S1126" s="399">
        <v>1</v>
      </c>
      <c r="T1126" s="348" t="s">
        <v>3364</v>
      </c>
      <c r="U1126" s="520">
        <v>235000</v>
      </c>
      <c r="V1126" s="266">
        <v>235000</v>
      </c>
      <c r="W1126" s="521" t="s">
        <v>227</v>
      </c>
      <c r="X1126" s="521" t="s">
        <v>3383</v>
      </c>
      <c r="Y1126" s="522" t="s">
        <v>2512</v>
      </c>
      <c r="Z1126" s="523" t="s">
        <v>541</v>
      </c>
    </row>
    <row r="1127" spans="1:26" ht="37.5">
      <c r="A1127" s="513">
        <v>1125</v>
      </c>
      <c r="B1127" s="390"/>
      <c r="C1127" s="515" t="s">
        <v>3292</v>
      </c>
      <c r="D1127" s="262" t="s">
        <v>3293</v>
      </c>
      <c r="E1127" s="513">
        <v>1126</v>
      </c>
      <c r="F1127" s="544" t="s">
        <v>3292</v>
      </c>
      <c r="G1127" s="543">
        <v>45628</v>
      </c>
      <c r="H1127" s="543">
        <v>45628</v>
      </c>
      <c r="I1127" s="543">
        <v>45628</v>
      </c>
      <c r="J1127" s="543">
        <v>45628</v>
      </c>
      <c r="K1127" s="517">
        <v>45628</v>
      </c>
      <c r="L1127" s="518" t="s">
        <v>705</v>
      </c>
      <c r="M1127" s="264" t="s">
        <v>2587</v>
      </c>
      <c r="N1127" s="262" t="s">
        <v>2176</v>
      </c>
      <c r="O1127" s="390" t="s">
        <v>252</v>
      </c>
      <c r="P1127" s="524" t="s">
        <v>2605</v>
      </c>
      <c r="Q1127" s="264" t="s">
        <v>710</v>
      </c>
      <c r="R1127" s="519" t="s">
        <v>134</v>
      </c>
      <c r="S1127" s="399">
        <v>5</v>
      </c>
      <c r="T1127" s="348" t="s">
        <v>2436</v>
      </c>
      <c r="U1127" s="520">
        <v>10000</v>
      </c>
      <c r="V1127" s="266">
        <v>50000</v>
      </c>
      <c r="W1127" s="521" t="s">
        <v>227</v>
      </c>
      <c r="X1127" s="521" t="s">
        <v>3383</v>
      </c>
      <c r="Y1127" s="522" t="s">
        <v>2512</v>
      </c>
      <c r="Z1127" s="523" t="s">
        <v>541</v>
      </c>
    </row>
    <row r="1128" spans="1:26" ht="29">
      <c r="A1128" s="513">
        <v>1126</v>
      </c>
      <c r="B1128" s="390"/>
      <c r="C1128" s="515" t="s">
        <v>3292</v>
      </c>
      <c r="D1128" s="262" t="s">
        <v>3293</v>
      </c>
      <c r="E1128" s="513">
        <v>1127</v>
      </c>
      <c r="F1128" s="544" t="s">
        <v>3292</v>
      </c>
      <c r="G1128" s="543">
        <v>45628</v>
      </c>
      <c r="H1128" s="543">
        <v>45628</v>
      </c>
      <c r="I1128" s="543">
        <v>45628</v>
      </c>
      <c r="J1128" s="543">
        <v>45628</v>
      </c>
      <c r="K1128" s="517">
        <v>45628</v>
      </c>
      <c r="L1128" s="518" t="s">
        <v>705</v>
      </c>
      <c r="M1128" s="264" t="s">
        <v>2587</v>
      </c>
      <c r="N1128" s="262" t="s">
        <v>2176</v>
      </c>
      <c r="O1128" s="390" t="s">
        <v>256</v>
      </c>
      <c r="P1128" s="264" t="str">
        <f t="shared" ref="P1128:P1166" si="46">O1128</f>
        <v>Paper Clip No 1  Paper Clip No 3</v>
      </c>
      <c r="Q1128" s="264" t="s">
        <v>710</v>
      </c>
      <c r="R1128" s="519" t="s">
        <v>145</v>
      </c>
      <c r="S1128" s="399">
        <v>5</v>
      </c>
      <c r="T1128" s="348" t="s">
        <v>3362</v>
      </c>
      <c r="U1128" s="520">
        <v>6000</v>
      </c>
      <c r="V1128" s="266">
        <v>30000</v>
      </c>
      <c r="W1128" s="521" t="s">
        <v>227</v>
      </c>
      <c r="X1128" s="521" t="s">
        <v>3383</v>
      </c>
      <c r="Y1128" s="522" t="s">
        <v>2512</v>
      </c>
      <c r="Z1128" s="523" t="s">
        <v>541</v>
      </c>
    </row>
    <row r="1129" spans="1:26" ht="29">
      <c r="A1129" s="513">
        <v>1127</v>
      </c>
      <c r="B1129" s="390"/>
      <c r="C1129" s="515" t="s">
        <v>3292</v>
      </c>
      <c r="D1129" s="262" t="s">
        <v>3293</v>
      </c>
      <c r="E1129" s="513">
        <v>1128</v>
      </c>
      <c r="F1129" s="544" t="s">
        <v>3292</v>
      </c>
      <c r="G1129" s="543">
        <v>45628</v>
      </c>
      <c r="H1129" s="543">
        <v>45628</v>
      </c>
      <c r="I1129" s="543">
        <v>45628</v>
      </c>
      <c r="J1129" s="543">
        <v>45628</v>
      </c>
      <c r="K1129" s="517">
        <v>45628</v>
      </c>
      <c r="L1129" s="518" t="s">
        <v>705</v>
      </c>
      <c r="M1129" s="264" t="s">
        <v>2587</v>
      </c>
      <c r="N1129" s="262" t="s">
        <v>2176</v>
      </c>
      <c r="O1129" s="390" t="s">
        <v>2243</v>
      </c>
      <c r="P1129" s="264" t="str">
        <f t="shared" si="46"/>
        <v>Lakban Hitam uk 2 " Warna hitam uk. 2 "</v>
      </c>
      <c r="Q1129" s="264" t="s">
        <v>710</v>
      </c>
      <c r="R1129" s="519" t="s">
        <v>140</v>
      </c>
      <c r="S1129" s="399">
        <v>5</v>
      </c>
      <c r="T1129" s="348" t="s">
        <v>3363</v>
      </c>
      <c r="U1129" s="520">
        <v>25000</v>
      </c>
      <c r="V1129" s="266">
        <v>125000</v>
      </c>
      <c r="W1129" s="521" t="s">
        <v>227</v>
      </c>
      <c r="X1129" s="521" t="s">
        <v>3383</v>
      </c>
      <c r="Y1129" s="522" t="s">
        <v>2512</v>
      </c>
      <c r="Z1129" s="523" t="s">
        <v>541</v>
      </c>
    </row>
    <row r="1130" spans="1:26" ht="29">
      <c r="A1130" s="513">
        <v>1128</v>
      </c>
      <c r="B1130" s="390"/>
      <c r="C1130" s="515" t="s">
        <v>3292</v>
      </c>
      <c r="D1130" s="262" t="s">
        <v>3293</v>
      </c>
      <c r="E1130" s="513">
        <v>1129</v>
      </c>
      <c r="F1130" s="544" t="s">
        <v>3292</v>
      </c>
      <c r="G1130" s="543">
        <v>45628</v>
      </c>
      <c r="H1130" s="543">
        <v>45628</v>
      </c>
      <c r="I1130" s="543">
        <v>45628</v>
      </c>
      <c r="J1130" s="543">
        <v>45628</v>
      </c>
      <c r="K1130" s="517">
        <v>45628</v>
      </c>
      <c r="L1130" s="518" t="s">
        <v>705</v>
      </c>
      <c r="M1130" s="264" t="s">
        <v>2587</v>
      </c>
      <c r="N1130" s="262" t="s">
        <v>2176</v>
      </c>
      <c r="O1130" s="390" t="s">
        <v>242</v>
      </c>
      <c r="P1130" s="264" t="str">
        <f t="shared" si="46"/>
        <v>Binder Klip Ordner</v>
      </c>
      <c r="Q1130" s="264" t="s">
        <v>710</v>
      </c>
      <c r="R1130" s="519" t="s">
        <v>113</v>
      </c>
      <c r="S1130" s="399">
        <v>6</v>
      </c>
      <c r="T1130" s="348" t="s">
        <v>3363</v>
      </c>
      <c r="U1130" s="520">
        <v>49500</v>
      </c>
      <c r="V1130" s="266">
        <v>297000</v>
      </c>
      <c r="W1130" s="521" t="s">
        <v>227</v>
      </c>
      <c r="X1130" s="521" t="s">
        <v>3383</v>
      </c>
      <c r="Y1130" s="522" t="s">
        <v>2512</v>
      </c>
      <c r="Z1130" s="523" t="s">
        <v>541</v>
      </c>
    </row>
    <row r="1131" spans="1:26" ht="29">
      <c r="A1131" s="513">
        <v>1129</v>
      </c>
      <c r="B1131" s="390"/>
      <c r="C1131" s="515" t="s">
        <v>3292</v>
      </c>
      <c r="D1131" s="262" t="s">
        <v>3293</v>
      </c>
      <c r="E1131" s="513">
        <v>1130</v>
      </c>
      <c r="F1131" s="544" t="s">
        <v>3292</v>
      </c>
      <c r="G1131" s="543">
        <v>45628</v>
      </c>
      <c r="H1131" s="543">
        <v>45628</v>
      </c>
      <c r="I1131" s="543">
        <v>45628</v>
      </c>
      <c r="J1131" s="543">
        <v>45628</v>
      </c>
      <c r="K1131" s="517">
        <v>45628</v>
      </c>
      <c r="L1131" s="518" t="s">
        <v>705</v>
      </c>
      <c r="M1131" s="264" t="s">
        <v>2587</v>
      </c>
      <c r="N1131" s="262" t="s">
        <v>2176</v>
      </c>
      <c r="O1131" s="390" t="s">
        <v>240</v>
      </c>
      <c r="P1131" s="264" t="str">
        <f t="shared" si="46"/>
        <v>Binder Klip  nomor 260</v>
      </c>
      <c r="Q1131" s="264" t="s">
        <v>710</v>
      </c>
      <c r="R1131" s="525" t="s">
        <v>2602</v>
      </c>
      <c r="S1131" s="399">
        <v>10</v>
      </c>
      <c r="T1131" s="348" t="s">
        <v>3362</v>
      </c>
      <c r="U1131" s="520">
        <v>20000</v>
      </c>
      <c r="V1131" s="266">
        <v>200000</v>
      </c>
      <c r="W1131" s="521" t="s">
        <v>227</v>
      </c>
      <c r="X1131" s="521" t="s">
        <v>3383</v>
      </c>
      <c r="Y1131" s="522" t="s">
        <v>2512</v>
      </c>
      <c r="Z1131" s="523" t="s">
        <v>541</v>
      </c>
    </row>
    <row r="1132" spans="1:26" ht="29">
      <c r="A1132" s="513">
        <v>1130</v>
      </c>
      <c r="B1132" s="390"/>
      <c r="C1132" s="515" t="s">
        <v>3292</v>
      </c>
      <c r="D1132" s="262" t="s">
        <v>3293</v>
      </c>
      <c r="E1132" s="513">
        <v>1131</v>
      </c>
      <c r="F1132" s="544" t="s">
        <v>3292</v>
      </c>
      <c r="G1132" s="543">
        <v>45628</v>
      </c>
      <c r="H1132" s="543">
        <v>45628</v>
      </c>
      <c r="I1132" s="543">
        <v>45628</v>
      </c>
      <c r="J1132" s="543">
        <v>45628</v>
      </c>
      <c r="K1132" s="517">
        <v>45628</v>
      </c>
      <c r="L1132" s="518" t="s">
        <v>705</v>
      </c>
      <c r="M1132" s="264" t="s">
        <v>2587</v>
      </c>
      <c r="N1132" s="262" t="s">
        <v>2176</v>
      </c>
      <c r="O1132" s="390" t="s">
        <v>241</v>
      </c>
      <c r="P1132" s="264" t="str">
        <f t="shared" si="46"/>
        <v>Binder Klip Merk : KENKO nomor 105</v>
      </c>
      <c r="Q1132" s="264" t="s">
        <v>710</v>
      </c>
      <c r="R1132" s="525" t="s">
        <v>2728</v>
      </c>
      <c r="S1132" s="399">
        <v>2</v>
      </c>
      <c r="T1132" s="348" t="s">
        <v>3362</v>
      </c>
      <c r="U1132" s="520">
        <v>5000</v>
      </c>
      <c r="V1132" s="266">
        <v>10000</v>
      </c>
      <c r="W1132" s="521" t="s">
        <v>227</v>
      </c>
      <c r="X1132" s="521" t="s">
        <v>3383</v>
      </c>
      <c r="Y1132" s="522" t="s">
        <v>2512</v>
      </c>
      <c r="Z1132" s="523" t="s">
        <v>541</v>
      </c>
    </row>
    <row r="1133" spans="1:26" ht="29">
      <c r="A1133" s="513">
        <v>1131</v>
      </c>
      <c r="B1133" s="390"/>
      <c r="C1133" s="515" t="s">
        <v>3292</v>
      </c>
      <c r="D1133" s="262" t="s">
        <v>3293</v>
      </c>
      <c r="E1133" s="513">
        <v>1132</v>
      </c>
      <c r="F1133" s="544" t="s">
        <v>3292</v>
      </c>
      <c r="G1133" s="543">
        <v>45628</v>
      </c>
      <c r="H1133" s="543">
        <v>45628</v>
      </c>
      <c r="I1133" s="543">
        <v>45628</v>
      </c>
      <c r="J1133" s="543">
        <v>45628</v>
      </c>
      <c r="K1133" s="517">
        <v>45628</v>
      </c>
      <c r="L1133" s="518" t="s">
        <v>705</v>
      </c>
      <c r="M1133" s="264" t="s">
        <v>2587</v>
      </c>
      <c r="N1133" s="262" t="s">
        <v>2176</v>
      </c>
      <c r="O1133" s="390" t="s">
        <v>2255</v>
      </c>
      <c r="P1133" s="264" t="str">
        <f t="shared" si="46"/>
        <v>gunting kertas-ukuran : panjang 21cm x lebar 8cm, stainless steel</v>
      </c>
      <c r="Q1133" s="264" t="s">
        <v>710</v>
      </c>
      <c r="R1133" s="519" t="s">
        <v>123</v>
      </c>
      <c r="S1133" s="399">
        <v>2</v>
      </c>
      <c r="T1133" s="348" t="s">
        <v>3363</v>
      </c>
      <c r="U1133" s="520">
        <v>20000</v>
      </c>
      <c r="V1133" s="266">
        <v>40000</v>
      </c>
      <c r="W1133" s="521" t="s">
        <v>227</v>
      </c>
      <c r="X1133" s="521" t="s">
        <v>3383</v>
      </c>
      <c r="Y1133" s="522" t="s">
        <v>2512</v>
      </c>
      <c r="Z1133" s="523" t="s">
        <v>541</v>
      </c>
    </row>
    <row r="1134" spans="1:26" ht="29">
      <c r="A1134" s="513">
        <v>1132</v>
      </c>
      <c r="B1134" s="390"/>
      <c r="C1134" s="515" t="s">
        <v>3292</v>
      </c>
      <c r="D1134" s="262" t="s">
        <v>3293</v>
      </c>
      <c r="E1134" s="513">
        <v>1133</v>
      </c>
      <c r="F1134" s="544" t="s">
        <v>3292</v>
      </c>
      <c r="G1134" s="543">
        <v>45628</v>
      </c>
      <c r="H1134" s="543">
        <v>45628</v>
      </c>
      <c r="I1134" s="543">
        <v>45628</v>
      </c>
      <c r="J1134" s="543">
        <v>45628</v>
      </c>
      <c r="K1134" s="517">
        <v>45628</v>
      </c>
      <c r="L1134" s="518" t="s">
        <v>705</v>
      </c>
      <c r="M1134" s="264" t="s">
        <v>2587</v>
      </c>
      <c r="N1134" s="262" t="s">
        <v>2176</v>
      </c>
      <c r="O1134" s="390" t="s">
        <v>237</v>
      </c>
      <c r="P1134" s="264" t="str">
        <f t="shared" si="46"/>
        <v>Binder Klip  nomor 107</v>
      </c>
      <c r="Q1134" s="264" t="s">
        <v>710</v>
      </c>
      <c r="R1134" s="525" t="s">
        <v>2595</v>
      </c>
      <c r="S1134" s="399">
        <v>5</v>
      </c>
      <c r="T1134" s="348" t="s">
        <v>3362</v>
      </c>
      <c r="U1134" s="520">
        <v>7500</v>
      </c>
      <c r="V1134" s="266">
        <v>37500</v>
      </c>
      <c r="W1134" s="521" t="s">
        <v>227</v>
      </c>
      <c r="X1134" s="521" t="s">
        <v>3383</v>
      </c>
      <c r="Y1134" s="522" t="s">
        <v>2512</v>
      </c>
      <c r="Z1134" s="523" t="s">
        <v>541</v>
      </c>
    </row>
    <row r="1135" spans="1:26" ht="29">
      <c r="A1135" s="513">
        <v>1133</v>
      </c>
      <c r="B1135" s="390"/>
      <c r="C1135" s="515" t="s">
        <v>3292</v>
      </c>
      <c r="D1135" s="262" t="s">
        <v>3293</v>
      </c>
      <c r="E1135" s="513">
        <v>1134</v>
      </c>
      <c r="F1135" s="544" t="s">
        <v>3292</v>
      </c>
      <c r="G1135" s="543">
        <v>45628</v>
      </c>
      <c r="H1135" s="543">
        <v>45628</v>
      </c>
      <c r="I1135" s="543">
        <v>45628</v>
      </c>
      <c r="J1135" s="543">
        <v>45628</v>
      </c>
      <c r="K1135" s="517">
        <v>45628</v>
      </c>
      <c r="L1135" s="518" t="s">
        <v>705</v>
      </c>
      <c r="M1135" s="264" t="s">
        <v>2587</v>
      </c>
      <c r="N1135" s="262" t="s">
        <v>2176</v>
      </c>
      <c r="O1135" s="390" t="s">
        <v>233</v>
      </c>
      <c r="P1135" s="264" t="str">
        <f t="shared" si="46"/>
        <v>Ballpoint Drawing Pen 0,1 Snowman</v>
      </c>
      <c r="Q1135" s="264" t="s">
        <v>710</v>
      </c>
      <c r="R1135" s="525" t="s">
        <v>2590</v>
      </c>
      <c r="S1135" s="399">
        <v>1</v>
      </c>
      <c r="T1135" s="348" t="s">
        <v>3364</v>
      </c>
      <c r="U1135" s="520">
        <v>95000</v>
      </c>
      <c r="V1135" s="266">
        <v>95000</v>
      </c>
      <c r="W1135" s="521" t="s">
        <v>227</v>
      </c>
      <c r="X1135" s="521" t="s">
        <v>3383</v>
      </c>
      <c r="Y1135" s="522" t="s">
        <v>2512</v>
      </c>
      <c r="Z1135" s="523" t="s">
        <v>541</v>
      </c>
    </row>
    <row r="1136" spans="1:26" ht="29">
      <c r="A1136" s="513">
        <v>1134</v>
      </c>
      <c r="B1136" s="390"/>
      <c r="C1136" s="515" t="s">
        <v>3292</v>
      </c>
      <c r="D1136" s="262" t="s">
        <v>3293</v>
      </c>
      <c r="E1136" s="513">
        <v>1135</v>
      </c>
      <c r="F1136" s="544" t="s">
        <v>3292</v>
      </c>
      <c r="G1136" s="543">
        <v>45628</v>
      </c>
      <c r="H1136" s="543">
        <v>45628</v>
      </c>
      <c r="I1136" s="543">
        <v>45628</v>
      </c>
      <c r="J1136" s="543">
        <v>45628</v>
      </c>
      <c r="K1136" s="517">
        <v>45628</v>
      </c>
      <c r="L1136" s="518" t="s">
        <v>705</v>
      </c>
      <c r="M1136" s="264" t="s">
        <v>2587</v>
      </c>
      <c r="N1136" s="262" t="s">
        <v>2176</v>
      </c>
      <c r="O1136" s="390" t="s">
        <v>2242</v>
      </c>
      <c r="P1136" s="264" t="str">
        <f t="shared" si="46"/>
        <v>Lakban Hitam--</v>
      </c>
      <c r="Q1136" s="264" t="s">
        <v>710</v>
      </c>
      <c r="R1136" s="519" t="s">
        <v>137</v>
      </c>
      <c r="S1136" s="399">
        <v>5</v>
      </c>
      <c r="T1136" s="348" t="s">
        <v>3363</v>
      </c>
      <c r="U1136" s="520">
        <v>15500</v>
      </c>
      <c r="V1136" s="266">
        <v>77500</v>
      </c>
      <c r="W1136" s="521" t="s">
        <v>227</v>
      </c>
      <c r="X1136" s="521" t="s">
        <v>3383</v>
      </c>
      <c r="Y1136" s="522" t="s">
        <v>2512</v>
      </c>
      <c r="Z1136" s="523" t="s">
        <v>541</v>
      </c>
    </row>
    <row r="1137" spans="1:26" ht="29">
      <c r="A1137" s="513">
        <v>1135</v>
      </c>
      <c r="B1137" s="390"/>
      <c r="C1137" s="515" t="s">
        <v>3292</v>
      </c>
      <c r="D1137" s="262" t="s">
        <v>3293</v>
      </c>
      <c r="E1137" s="513">
        <v>1136</v>
      </c>
      <c r="F1137" s="544" t="s">
        <v>3292</v>
      </c>
      <c r="G1137" s="543">
        <v>45628</v>
      </c>
      <c r="H1137" s="543">
        <v>45628</v>
      </c>
      <c r="I1137" s="543">
        <v>45628</v>
      </c>
      <c r="J1137" s="543">
        <v>45628</v>
      </c>
      <c r="K1137" s="517">
        <v>45628</v>
      </c>
      <c r="L1137" s="518" t="s">
        <v>705</v>
      </c>
      <c r="M1137" s="264" t="s">
        <v>2587</v>
      </c>
      <c r="N1137" s="262" t="s">
        <v>2176</v>
      </c>
      <c r="O1137" s="390" t="s">
        <v>2256</v>
      </c>
      <c r="P1137" s="264" t="str">
        <f t="shared" si="46"/>
        <v>Ballpoint Standard AE7</v>
      </c>
      <c r="Q1137" s="264" t="s">
        <v>710</v>
      </c>
      <c r="R1137" s="519" t="s">
        <v>103</v>
      </c>
      <c r="S1137" s="399">
        <v>2</v>
      </c>
      <c r="T1137" s="348" t="s">
        <v>3364</v>
      </c>
      <c r="U1137" s="520">
        <v>20000</v>
      </c>
      <c r="V1137" s="266">
        <v>40000</v>
      </c>
      <c r="W1137" s="521" t="s">
        <v>227</v>
      </c>
      <c r="X1137" s="521" t="s">
        <v>3383</v>
      </c>
      <c r="Y1137" s="522" t="s">
        <v>2512</v>
      </c>
      <c r="Z1137" s="523" t="s">
        <v>541</v>
      </c>
    </row>
    <row r="1138" spans="1:26" ht="29">
      <c r="A1138" s="513">
        <v>1136</v>
      </c>
      <c r="B1138" s="390"/>
      <c r="C1138" s="515" t="s">
        <v>3292</v>
      </c>
      <c r="D1138" s="262" t="s">
        <v>3293</v>
      </c>
      <c r="E1138" s="513">
        <v>1137</v>
      </c>
      <c r="F1138" s="544" t="s">
        <v>3292</v>
      </c>
      <c r="G1138" s="543">
        <v>45628</v>
      </c>
      <c r="H1138" s="543">
        <v>45628</v>
      </c>
      <c r="I1138" s="543">
        <v>45628</v>
      </c>
      <c r="J1138" s="543">
        <v>45628</v>
      </c>
      <c r="K1138" s="517">
        <v>45628</v>
      </c>
      <c r="L1138" s="518" t="s">
        <v>705</v>
      </c>
      <c r="M1138" s="264" t="s">
        <v>2587</v>
      </c>
      <c r="N1138" s="262" t="s">
        <v>2176</v>
      </c>
      <c r="O1138" s="390" t="s">
        <v>2257</v>
      </c>
      <c r="P1138" s="264" t="str">
        <f t="shared" si="46"/>
        <v>lakban hitam-ukuran : lebar 2 inch, panjang 12m, bahan : kain</v>
      </c>
      <c r="Q1138" s="264" t="s">
        <v>710</v>
      </c>
      <c r="R1138" s="519" t="s">
        <v>137</v>
      </c>
      <c r="S1138" s="399">
        <v>4</v>
      </c>
      <c r="T1138" s="348" t="s">
        <v>3363</v>
      </c>
      <c r="U1138" s="520">
        <v>12500</v>
      </c>
      <c r="V1138" s="266">
        <v>50000</v>
      </c>
      <c r="W1138" s="521" t="s">
        <v>227</v>
      </c>
      <c r="X1138" s="521" t="s">
        <v>3383</v>
      </c>
      <c r="Y1138" s="522" t="s">
        <v>2512</v>
      </c>
      <c r="Z1138" s="523" t="s">
        <v>541</v>
      </c>
    </row>
    <row r="1139" spans="1:26" ht="29">
      <c r="A1139" s="513">
        <v>1137</v>
      </c>
      <c r="B1139" s="390"/>
      <c r="C1139" s="515" t="s">
        <v>3292</v>
      </c>
      <c r="D1139" s="262" t="s">
        <v>3293</v>
      </c>
      <c r="E1139" s="513">
        <v>1138</v>
      </c>
      <c r="F1139" s="544" t="s">
        <v>3292</v>
      </c>
      <c r="G1139" s="543">
        <v>45628</v>
      </c>
      <c r="H1139" s="543">
        <v>45628</v>
      </c>
      <c r="I1139" s="543">
        <v>45628</v>
      </c>
      <c r="J1139" s="543">
        <v>45628</v>
      </c>
      <c r="K1139" s="517">
        <v>45628</v>
      </c>
      <c r="L1139" s="518" t="s">
        <v>705</v>
      </c>
      <c r="M1139" s="264" t="s">
        <v>2587</v>
      </c>
      <c r="N1139" s="262" t="s">
        <v>2176</v>
      </c>
      <c r="O1139" s="390" t="s">
        <v>254</v>
      </c>
      <c r="P1139" s="264" t="str">
        <f t="shared" si="46"/>
        <v>Map Binder</v>
      </c>
      <c r="Q1139" s="264" t="s">
        <v>710</v>
      </c>
      <c r="R1139" s="519" t="s">
        <v>142</v>
      </c>
      <c r="S1139" s="399">
        <v>12</v>
      </c>
      <c r="T1139" s="348" t="s">
        <v>3363</v>
      </c>
      <c r="U1139" s="520">
        <v>35500</v>
      </c>
      <c r="V1139" s="266">
        <v>426000</v>
      </c>
      <c r="W1139" s="521" t="s">
        <v>227</v>
      </c>
      <c r="X1139" s="521" t="s">
        <v>3383</v>
      </c>
      <c r="Y1139" s="522" t="s">
        <v>2512</v>
      </c>
      <c r="Z1139" s="523" t="s">
        <v>541</v>
      </c>
    </row>
    <row r="1140" spans="1:26" ht="29">
      <c r="A1140" s="513">
        <v>1138</v>
      </c>
      <c r="B1140" s="390"/>
      <c r="C1140" s="515" t="s">
        <v>3292</v>
      </c>
      <c r="D1140" s="262" t="s">
        <v>3293</v>
      </c>
      <c r="E1140" s="513">
        <v>1139</v>
      </c>
      <c r="F1140" s="544" t="s">
        <v>3292</v>
      </c>
      <c r="G1140" s="543">
        <v>45628</v>
      </c>
      <c r="H1140" s="543">
        <v>45628</v>
      </c>
      <c r="I1140" s="543">
        <v>45628</v>
      </c>
      <c r="J1140" s="543">
        <v>45628</v>
      </c>
      <c r="K1140" s="517">
        <v>45628</v>
      </c>
      <c r="L1140" s="518" t="s">
        <v>705</v>
      </c>
      <c r="M1140" s="264" t="s">
        <v>2587</v>
      </c>
      <c r="N1140" s="262" t="s">
        <v>2176</v>
      </c>
      <c r="O1140" s="390" t="s">
        <v>2235</v>
      </c>
      <c r="P1140" s="264" t="str">
        <f t="shared" si="46"/>
        <v>Amplop Coklat Merk : GSU Ukuran Folio polos</v>
      </c>
      <c r="Q1140" s="264" t="s">
        <v>710</v>
      </c>
      <c r="R1140" s="529" t="s">
        <v>2593</v>
      </c>
      <c r="S1140" s="399">
        <v>2</v>
      </c>
      <c r="T1140" s="348" t="s">
        <v>3365</v>
      </c>
      <c r="U1140" s="520">
        <v>60000</v>
      </c>
      <c r="V1140" s="266">
        <v>120000</v>
      </c>
      <c r="W1140" s="521" t="s">
        <v>227</v>
      </c>
      <c r="X1140" s="521" t="s">
        <v>3383</v>
      </c>
      <c r="Y1140" s="522" t="s">
        <v>2512</v>
      </c>
      <c r="Z1140" s="523" t="s">
        <v>541</v>
      </c>
    </row>
    <row r="1141" spans="1:26" ht="29">
      <c r="A1141" s="513">
        <v>1139</v>
      </c>
      <c r="B1141" s="390"/>
      <c r="C1141" s="515" t="s">
        <v>3292</v>
      </c>
      <c r="D1141" s="262" t="s">
        <v>3293</v>
      </c>
      <c r="E1141" s="513">
        <v>1140</v>
      </c>
      <c r="F1141" s="544" t="s">
        <v>3292</v>
      </c>
      <c r="G1141" s="543">
        <v>45628</v>
      </c>
      <c r="H1141" s="543">
        <v>45628</v>
      </c>
      <c r="I1141" s="543">
        <v>45628</v>
      </c>
      <c r="J1141" s="543">
        <v>45628</v>
      </c>
      <c r="K1141" s="517">
        <v>45628</v>
      </c>
      <c r="L1141" s="518" t="s">
        <v>705</v>
      </c>
      <c r="M1141" s="264" t="s">
        <v>2587</v>
      </c>
      <c r="N1141" s="262" t="s">
        <v>2176</v>
      </c>
      <c r="O1141" s="390" t="s">
        <v>230</v>
      </c>
      <c r="P1141" s="264" t="str">
        <f t="shared" si="46"/>
        <v>Amplop Coklat Merk : GSU Ukuran : 1/2 folio, bergaris</v>
      </c>
      <c r="Q1141" s="264" t="s">
        <v>710</v>
      </c>
      <c r="R1141" s="525" t="s">
        <v>2600</v>
      </c>
      <c r="S1141" s="399">
        <v>1</v>
      </c>
      <c r="T1141" s="348" t="s">
        <v>3365</v>
      </c>
      <c r="U1141" s="520">
        <v>45000</v>
      </c>
      <c r="V1141" s="266">
        <v>45000</v>
      </c>
      <c r="W1141" s="521" t="s">
        <v>227</v>
      </c>
      <c r="X1141" s="521" t="s">
        <v>3383</v>
      </c>
      <c r="Y1141" s="522" t="s">
        <v>2512</v>
      </c>
      <c r="Z1141" s="523" t="s">
        <v>541</v>
      </c>
    </row>
    <row r="1142" spans="1:26" ht="29">
      <c r="A1142" s="513">
        <v>1140</v>
      </c>
      <c r="B1142" s="390"/>
      <c r="C1142" s="515" t="s">
        <v>3292</v>
      </c>
      <c r="D1142" s="262" t="s">
        <v>3293</v>
      </c>
      <c r="E1142" s="513">
        <v>1141</v>
      </c>
      <c r="F1142" s="544" t="s">
        <v>3292</v>
      </c>
      <c r="G1142" s="543">
        <v>45628</v>
      </c>
      <c r="H1142" s="543">
        <v>45628</v>
      </c>
      <c r="I1142" s="543">
        <v>45628</v>
      </c>
      <c r="J1142" s="543">
        <v>45628</v>
      </c>
      <c r="K1142" s="517">
        <v>45628</v>
      </c>
      <c r="L1142" s="518" t="s">
        <v>705</v>
      </c>
      <c r="M1142" s="264" t="s">
        <v>2587</v>
      </c>
      <c r="N1142" s="262" t="s">
        <v>2176</v>
      </c>
      <c r="O1142" s="390" t="s">
        <v>2250</v>
      </c>
      <c r="P1142" s="264" t="str">
        <f t="shared" si="46"/>
        <v>C. Tinta Printer EPSON Toner Epson 664 Black</v>
      </c>
      <c r="Q1142" s="264" t="s">
        <v>710</v>
      </c>
      <c r="R1142" s="519" t="s">
        <v>120</v>
      </c>
      <c r="S1142" s="399">
        <v>6</v>
      </c>
      <c r="T1142" s="348" t="s">
        <v>3367</v>
      </c>
      <c r="U1142" s="520">
        <v>85000</v>
      </c>
      <c r="V1142" s="266">
        <v>510000</v>
      </c>
      <c r="W1142" s="521" t="s">
        <v>227</v>
      </c>
      <c r="X1142" s="521" t="s">
        <v>3383</v>
      </c>
      <c r="Y1142" s="522" t="s">
        <v>2512</v>
      </c>
      <c r="Z1142" s="523" t="s">
        <v>541</v>
      </c>
    </row>
    <row r="1143" spans="1:26" ht="29">
      <c r="A1143" s="513">
        <v>1141</v>
      </c>
      <c r="B1143" s="390"/>
      <c r="C1143" s="515" t="s">
        <v>3292</v>
      </c>
      <c r="D1143" s="262" t="s">
        <v>3293</v>
      </c>
      <c r="E1143" s="513">
        <v>1142</v>
      </c>
      <c r="F1143" s="544" t="s">
        <v>3292</v>
      </c>
      <c r="G1143" s="543">
        <v>45628</v>
      </c>
      <c r="H1143" s="543">
        <v>45628</v>
      </c>
      <c r="I1143" s="543">
        <v>45628</v>
      </c>
      <c r="J1143" s="543">
        <v>45628</v>
      </c>
      <c r="K1143" s="517">
        <v>45628</v>
      </c>
      <c r="L1143" s="518" t="s">
        <v>705</v>
      </c>
      <c r="M1143" s="264" t="s">
        <v>2587</v>
      </c>
      <c r="N1143" s="262" t="s">
        <v>2176</v>
      </c>
      <c r="O1143" s="390" t="s">
        <v>2236</v>
      </c>
      <c r="P1143" s="264" t="str">
        <f t="shared" si="46"/>
        <v>Stapler HD-10--</v>
      </c>
      <c r="Q1143" s="264" t="s">
        <v>710</v>
      </c>
      <c r="R1143" s="519" t="s">
        <v>152</v>
      </c>
      <c r="S1143" s="399">
        <v>2</v>
      </c>
      <c r="T1143" s="348" t="s">
        <v>3363</v>
      </c>
      <c r="U1143" s="520">
        <v>20000</v>
      </c>
      <c r="V1143" s="266">
        <v>40000</v>
      </c>
      <c r="W1143" s="521" t="s">
        <v>227</v>
      </c>
      <c r="X1143" s="521" t="s">
        <v>3383</v>
      </c>
      <c r="Y1143" s="522" t="s">
        <v>2512</v>
      </c>
      <c r="Z1143" s="523" t="s">
        <v>541</v>
      </c>
    </row>
    <row r="1144" spans="1:26" ht="29">
      <c r="A1144" s="513">
        <v>1142</v>
      </c>
      <c r="B1144" s="390"/>
      <c r="C1144" s="515" t="s">
        <v>3292</v>
      </c>
      <c r="D1144" s="262" t="s">
        <v>3293</v>
      </c>
      <c r="E1144" s="513">
        <v>1143</v>
      </c>
      <c r="F1144" s="544" t="s">
        <v>3292</v>
      </c>
      <c r="G1144" s="543">
        <v>45628</v>
      </c>
      <c r="H1144" s="543">
        <v>45628</v>
      </c>
      <c r="I1144" s="543">
        <v>45628</v>
      </c>
      <c r="J1144" s="543">
        <v>45628</v>
      </c>
      <c r="K1144" s="517">
        <v>45628</v>
      </c>
      <c r="L1144" s="518" t="s">
        <v>705</v>
      </c>
      <c r="M1144" s="264" t="s">
        <v>2587</v>
      </c>
      <c r="N1144" s="262" t="s">
        <v>2176</v>
      </c>
      <c r="O1144" s="390" t="s">
        <v>236</v>
      </c>
      <c r="P1144" s="264" t="str">
        <f t="shared" si="46"/>
        <v>Baterey Kecil</v>
      </c>
      <c r="Q1144" s="264" t="s">
        <v>710</v>
      </c>
      <c r="R1144" s="519" t="s">
        <v>106</v>
      </c>
      <c r="S1144" s="399">
        <v>2</v>
      </c>
      <c r="T1144" s="348" t="s">
        <v>3366</v>
      </c>
      <c r="U1144" s="520">
        <v>20000</v>
      </c>
      <c r="V1144" s="266">
        <v>40000</v>
      </c>
      <c r="W1144" s="521" t="s">
        <v>227</v>
      </c>
      <c r="X1144" s="521" t="s">
        <v>3383</v>
      </c>
      <c r="Y1144" s="522" t="s">
        <v>2512</v>
      </c>
      <c r="Z1144" s="523" t="s">
        <v>541</v>
      </c>
    </row>
    <row r="1145" spans="1:26" ht="29">
      <c r="A1145" s="513">
        <v>1143</v>
      </c>
      <c r="B1145" s="390"/>
      <c r="C1145" s="515" t="s">
        <v>3292</v>
      </c>
      <c r="D1145" s="262" t="s">
        <v>3293</v>
      </c>
      <c r="E1145" s="513">
        <v>1144</v>
      </c>
      <c r="F1145" s="544" t="s">
        <v>3292</v>
      </c>
      <c r="G1145" s="543">
        <v>45628</v>
      </c>
      <c r="H1145" s="543">
        <v>45628</v>
      </c>
      <c r="I1145" s="543">
        <v>45628</v>
      </c>
      <c r="J1145" s="543">
        <v>45628</v>
      </c>
      <c r="K1145" s="517">
        <v>45628</v>
      </c>
      <c r="L1145" s="518" t="s">
        <v>705</v>
      </c>
      <c r="M1145" s="264" t="s">
        <v>2587</v>
      </c>
      <c r="N1145" s="262" t="s">
        <v>2176</v>
      </c>
      <c r="O1145" s="390" t="s">
        <v>228</v>
      </c>
      <c r="P1145" s="264" t="str">
        <f t="shared" si="46"/>
        <v>Amplop Coklat Merk : Garda Ukuran Cabinet</v>
      </c>
      <c r="Q1145" s="264" t="s">
        <v>710</v>
      </c>
      <c r="R1145" s="525" t="s">
        <v>2596</v>
      </c>
      <c r="S1145" s="399">
        <v>3</v>
      </c>
      <c r="T1145" s="348" t="s">
        <v>3365</v>
      </c>
      <c r="U1145" s="520">
        <v>23000</v>
      </c>
      <c r="V1145" s="266">
        <v>69000</v>
      </c>
      <c r="W1145" s="521" t="s">
        <v>227</v>
      </c>
      <c r="X1145" s="521" t="s">
        <v>3383</v>
      </c>
      <c r="Y1145" s="522" t="s">
        <v>2512</v>
      </c>
      <c r="Z1145" s="523" t="s">
        <v>541</v>
      </c>
    </row>
    <row r="1146" spans="1:26" ht="29">
      <c r="A1146" s="513">
        <v>1144</v>
      </c>
      <c r="B1146" s="390"/>
      <c r="C1146" s="515" t="s">
        <v>3292</v>
      </c>
      <c r="D1146" s="262" t="s">
        <v>3293</v>
      </c>
      <c r="E1146" s="513">
        <v>1145</v>
      </c>
      <c r="F1146" s="544" t="s">
        <v>3292</v>
      </c>
      <c r="G1146" s="543">
        <v>45628</v>
      </c>
      <c r="H1146" s="543">
        <v>45628</v>
      </c>
      <c r="I1146" s="543">
        <v>45628</v>
      </c>
      <c r="J1146" s="543">
        <v>45628</v>
      </c>
      <c r="K1146" s="517">
        <v>45628</v>
      </c>
      <c r="L1146" s="518" t="s">
        <v>705</v>
      </c>
      <c r="M1146" s="264" t="s">
        <v>2587</v>
      </c>
      <c r="N1146" s="262" t="s">
        <v>2176</v>
      </c>
      <c r="O1146" s="390" t="s">
        <v>239</v>
      </c>
      <c r="P1146" s="264" t="str">
        <f t="shared" si="46"/>
        <v>Binder Klip  nomor 200</v>
      </c>
      <c r="Q1146" s="264" t="s">
        <v>710</v>
      </c>
      <c r="R1146" s="519" t="s">
        <v>110</v>
      </c>
      <c r="S1146" s="399">
        <v>10</v>
      </c>
      <c r="T1146" s="348" t="s">
        <v>3362</v>
      </c>
      <c r="U1146" s="520">
        <v>16500</v>
      </c>
      <c r="V1146" s="266">
        <v>165000</v>
      </c>
      <c r="W1146" s="521" t="s">
        <v>227</v>
      </c>
      <c r="X1146" s="521" t="s">
        <v>3383</v>
      </c>
      <c r="Y1146" s="522" t="s">
        <v>2512</v>
      </c>
      <c r="Z1146" s="523" t="s">
        <v>541</v>
      </c>
    </row>
    <row r="1147" spans="1:26" ht="29">
      <c r="A1147" s="513">
        <v>1145</v>
      </c>
      <c r="B1147" s="390"/>
      <c r="C1147" s="515" t="s">
        <v>3292</v>
      </c>
      <c r="D1147" s="262" t="s">
        <v>3293</v>
      </c>
      <c r="E1147" s="513">
        <v>1146</v>
      </c>
      <c r="F1147" s="544" t="s">
        <v>3292</v>
      </c>
      <c r="G1147" s="543">
        <v>45628</v>
      </c>
      <c r="H1147" s="543">
        <v>45628</v>
      </c>
      <c r="I1147" s="543">
        <v>45628</v>
      </c>
      <c r="J1147" s="543">
        <v>45628</v>
      </c>
      <c r="K1147" s="517">
        <v>45628</v>
      </c>
      <c r="L1147" s="518" t="s">
        <v>705</v>
      </c>
      <c r="M1147" s="264" t="s">
        <v>2587</v>
      </c>
      <c r="N1147" s="262" t="s">
        <v>2176</v>
      </c>
      <c r="O1147" s="390" t="s">
        <v>2252</v>
      </c>
      <c r="P1147" s="264" t="str">
        <f t="shared" si="46"/>
        <v>Box File Merk : Bantex Ukuran : 115x270x325 mm</v>
      </c>
      <c r="Q1147" s="264" t="s">
        <v>710</v>
      </c>
      <c r="R1147" s="524" t="s">
        <v>2606</v>
      </c>
      <c r="S1147" s="399">
        <v>4</v>
      </c>
      <c r="T1147" s="348" t="s">
        <v>3363</v>
      </c>
      <c r="U1147" s="520">
        <v>59800</v>
      </c>
      <c r="V1147" s="266">
        <v>239200</v>
      </c>
      <c r="W1147" s="521" t="s">
        <v>227</v>
      </c>
      <c r="X1147" s="521" t="s">
        <v>3383</v>
      </c>
      <c r="Y1147" s="522" t="s">
        <v>2512</v>
      </c>
      <c r="Z1147" s="523" t="s">
        <v>541</v>
      </c>
    </row>
    <row r="1148" spans="1:26" ht="29">
      <c r="A1148" s="513">
        <v>1146</v>
      </c>
      <c r="B1148" s="390"/>
      <c r="C1148" s="515" t="s">
        <v>3292</v>
      </c>
      <c r="D1148" s="262" t="s">
        <v>3293</v>
      </c>
      <c r="E1148" s="513">
        <v>1147</v>
      </c>
      <c r="F1148" s="544" t="s">
        <v>3292</v>
      </c>
      <c r="G1148" s="543">
        <v>45628</v>
      </c>
      <c r="H1148" s="543">
        <v>45628</v>
      </c>
      <c r="I1148" s="543">
        <v>45628</v>
      </c>
      <c r="J1148" s="543">
        <v>45628</v>
      </c>
      <c r="K1148" s="517">
        <v>45628</v>
      </c>
      <c r="L1148" s="518" t="s">
        <v>705</v>
      </c>
      <c r="M1148" s="264" t="s">
        <v>2587</v>
      </c>
      <c r="N1148" s="262" t="s">
        <v>2176</v>
      </c>
      <c r="O1148" s="390" t="s">
        <v>251</v>
      </c>
      <c r="P1148" s="264" t="str">
        <f t="shared" si="46"/>
        <v>Kertas Warna Blank Folio, Ukuran : 8,5 x 14",  70 gram</v>
      </c>
      <c r="Q1148" s="264" t="s">
        <v>710</v>
      </c>
      <c r="R1148" s="519" t="s">
        <v>133</v>
      </c>
      <c r="S1148" s="399">
        <v>2</v>
      </c>
      <c r="T1148" s="348" t="s">
        <v>3369</v>
      </c>
      <c r="U1148" s="520">
        <v>90000</v>
      </c>
      <c r="V1148" s="266">
        <v>180000</v>
      </c>
      <c r="W1148" s="521" t="s">
        <v>227</v>
      </c>
      <c r="X1148" s="521" t="s">
        <v>3383</v>
      </c>
      <c r="Y1148" s="522" t="s">
        <v>2512</v>
      </c>
      <c r="Z1148" s="523" t="s">
        <v>541</v>
      </c>
    </row>
    <row r="1149" spans="1:26" ht="29">
      <c r="A1149" s="513">
        <v>1147</v>
      </c>
      <c r="B1149" s="390"/>
      <c r="C1149" s="515" t="s">
        <v>3292</v>
      </c>
      <c r="D1149" s="262" t="s">
        <v>3293</v>
      </c>
      <c r="E1149" s="513">
        <v>1148</v>
      </c>
      <c r="F1149" s="544" t="s">
        <v>3292</v>
      </c>
      <c r="G1149" s="543">
        <v>45628</v>
      </c>
      <c r="H1149" s="543">
        <v>45628</v>
      </c>
      <c r="I1149" s="543">
        <v>45628</v>
      </c>
      <c r="J1149" s="543">
        <v>45628</v>
      </c>
      <c r="K1149" s="517">
        <v>45628</v>
      </c>
      <c r="L1149" s="518" t="s">
        <v>705</v>
      </c>
      <c r="M1149" s="264" t="s">
        <v>2587</v>
      </c>
      <c r="N1149" s="262" t="s">
        <v>2176</v>
      </c>
      <c r="O1149" s="390" t="s">
        <v>253</v>
      </c>
      <c r="P1149" s="264" t="str">
        <f t="shared" si="46"/>
        <v>Lakban warna Uk 2" Warna Coklat Cofiie</v>
      </c>
      <c r="Q1149" s="264" t="s">
        <v>710</v>
      </c>
      <c r="R1149" s="519" t="s">
        <v>140</v>
      </c>
      <c r="S1149" s="399">
        <v>3</v>
      </c>
      <c r="T1149" s="348" t="s">
        <v>3363</v>
      </c>
      <c r="U1149" s="520">
        <v>20000</v>
      </c>
      <c r="V1149" s="266">
        <v>60000</v>
      </c>
      <c r="W1149" s="521" t="s">
        <v>227</v>
      </c>
      <c r="X1149" s="521" t="s">
        <v>3383</v>
      </c>
      <c r="Y1149" s="522" t="s">
        <v>2512</v>
      </c>
      <c r="Z1149" s="523" t="s">
        <v>541</v>
      </c>
    </row>
    <row r="1150" spans="1:26" ht="29">
      <c r="A1150" s="513">
        <v>1148</v>
      </c>
      <c r="B1150" s="390"/>
      <c r="C1150" s="515" t="s">
        <v>3292</v>
      </c>
      <c r="D1150" s="262" t="s">
        <v>3293</v>
      </c>
      <c r="E1150" s="513">
        <v>1149</v>
      </c>
      <c r="F1150" s="544" t="s">
        <v>3292</v>
      </c>
      <c r="G1150" s="543">
        <v>45628</v>
      </c>
      <c r="H1150" s="543">
        <v>45628</v>
      </c>
      <c r="I1150" s="543">
        <v>45628</v>
      </c>
      <c r="J1150" s="543">
        <v>45628</v>
      </c>
      <c r="K1150" s="517">
        <v>45628</v>
      </c>
      <c r="L1150" s="518" t="s">
        <v>705</v>
      </c>
      <c r="M1150" s="264" t="s">
        <v>2587</v>
      </c>
      <c r="N1150" s="262" t="s">
        <v>2176</v>
      </c>
      <c r="O1150" s="390" t="s">
        <v>250</v>
      </c>
      <c r="P1150" s="264" t="str">
        <f t="shared" si="46"/>
        <v>Kertas StensiI</v>
      </c>
      <c r="Q1150" s="264" t="s">
        <v>710</v>
      </c>
      <c r="R1150" s="519" t="s">
        <v>132</v>
      </c>
      <c r="S1150" s="399">
        <v>10</v>
      </c>
      <c r="T1150" s="348" t="s">
        <v>3365</v>
      </c>
      <c r="U1150" s="520">
        <v>50000</v>
      </c>
      <c r="V1150" s="266">
        <v>500000</v>
      </c>
      <c r="W1150" s="521" t="s">
        <v>227</v>
      </c>
      <c r="X1150" s="521" t="s">
        <v>3383</v>
      </c>
      <c r="Y1150" s="522" t="s">
        <v>2512</v>
      </c>
      <c r="Z1150" s="523" t="s">
        <v>541</v>
      </c>
    </row>
    <row r="1151" spans="1:26" ht="29">
      <c r="A1151" s="513">
        <v>1149</v>
      </c>
      <c r="B1151" s="390"/>
      <c r="C1151" s="515" t="s">
        <v>3292</v>
      </c>
      <c r="D1151" s="262" t="s">
        <v>3293</v>
      </c>
      <c r="E1151" s="513">
        <v>1150</v>
      </c>
      <c r="F1151" s="544" t="s">
        <v>3292</v>
      </c>
      <c r="G1151" s="543">
        <v>45628</v>
      </c>
      <c r="H1151" s="543">
        <v>45628</v>
      </c>
      <c r="I1151" s="543">
        <v>45628</v>
      </c>
      <c r="J1151" s="543">
        <v>45628</v>
      </c>
      <c r="K1151" s="517">
        <v>45628</v>
      </c>
      <c r="L1151" s="518" t="s">
        <v>705</v>
      </c>
      <c r="M1151" s="264" t="s">
        <v>2587</v>
      </c>
      <c r="N1151" s="262" t="s">
        <v>2176</v>
      </c>
      <c r="O1151" s="390" t="s">
        <v>2237</v>
      </c>
      <c r="P1151" s="264" t="str">
        <f t="shared" si="46"/>
        <v>Kertas Lain-Lain Kertas Buffalo</v>
      </c>
      <c r="Q1151" s="264" t="s">
        <v>710</v>
      </c>
      <c r="R1151" s="519" t="s">
        <v>130</v>
      </c>
      <c r="S1151" s="399">
        <v>5</v>
      </c>
      <c r="T1151" s="348" t="s">
        <v>3365</v>
      </c>
      <c r="U1151" s="520">
        <v>31000</v>
      </c>
      <c r="V1151" s="266">
        <v>155000</v>
      </c>
      <c r="W1151" s="521" t="s">
        <v>227</v>
      </c>
      <c r="X1151" s="521" t="s">
        <v>3383</v>
      </c>
      <c r="Y1151" s="522" t="s">
        <v>2512</v>
      </c>
      <c r="Z1151" s="523" t="s">
        <v>541</v>
      </c>
    </row>
    <row r="1152" spans="1:26" ht="29">
      <c r="A1152" s="513">
        <v>1150</v>
      </c>
      <c r="B1152" s="390"/>
      <c r="C1152" s="515" t="s">
        <v>3292</v>
      </c>
      <c r="D1152" s="262" t="s">
        <v>3293</v>
      </c>
      <c r="E1152" s="513">
        <v>1151</v>
      </c>
      <c r="F1152" s="544" t="s">
        <v>3292</v>
      </c>
      <c r="G1152" s="543">
        <v>45628</v>
      </c>
      <c r="H1152" s="543">
        <v>45628</v>
      </c>
      <c r="I1152" s="543">
        <v>45628</v>
      </c>
      <c r="J1152" s="543">
        <v>45628</v>
      </c>
      <c r="K1152" s="517">
        <v>45628</v>
      </c>
      <c r="L1152" s="518" t="s">
        <v>705</v>
      </c>
      <c r="M1152" s="264" t="s">
        <v>2587</v>
      </c>
      <c r="N1152" s="262" t="s">
        <v>2176</v>
      </c>
      <c r="O1152" s="390" t="s">
        <v>243</v>
      </c>
      <c r="P1152" s="264" t="str">
        <f t="shared" si="46"/>
        <v>C. Tinta Printer EPSON Tinta Printer Epson Blue</v>
      </c>
      <c r="Q1152" s="264" t="s">
        <v>710</v>
      </c>
      <c r="R1152" s="519" t="s">
        <v>117</v>
      </c>
      <c r="S1152" s="399">
        <v>4</v>
      </c>
      <c r="T1152" s="348" t="s">
        <v>3367</v>
      </c>
      <c r="U1152" s="520">
        <v>110000</v>
      </c>
      <c r="V1152" s="266">
        <v>440000</v>
      </c>
      <c r="W1152" s="521" t="s">
        <v>227</v>
      </c>
      <c r="X1152" s="521" t="s">
        <v>3383</v>
      </c>
      <c r="Y1152" s="522" t="s">
        <v>2512</v>
      </c>
      <c r="Z1152" s="523" t="s">
        <v>541</v>
      </c>
    </row>
    <row r="1153" spans="1:26" ht="29">
      <c r="A1153" s="513">
        <v>1151</v>
      </c>
      <c r="B1153" s="390"/>
      <c r="C1153" s="515" t="s">
        <v>3292</v>
      </c>
      <c r="D1153" s="262" t="s">
        <v>3293</v>
      </c>
      <c r="E1153" s="513">
        <v>1152</v>
      </c>
      <c r="F1153" s="544" t="s">
        <v>3292</v>
      </c>
      <c r="G1153" s="543">
        <v>45628</v>
      </c>
      <c r="H1153" s="543">
        <v>45628</v>
      </c>
      <c r="I1153" s="543">
        <v>45628</v>
      </c>
      <c r="J1153" s="543">
        <v>45628</v>
      </c>
      <c r="K1153" s="517">
        <v>45628</v>
      </c>
      <c r="L1153" s="518" t="s">
        <v>705</v>
      </c>
      <c r="M1153" s="264" t="s">
        <v>2587</v>
      </c>
      <c r="N1153" s="262" t="s">
        <v>2176</v>
      </c>
      <c r="O1153" s="390" t="s">
        <v>258</v>
      </c>
      <c r="P1153" s="264" t="str">
        <f t="shared" si="46"/>
        <v>Pisau Cutter Kenko L-500</v>
      </c>
      <c r="Q1153" s="264" t="s">
        <v>710</v>
      </c>
      <c r="R1153" s="525" t="s">
        <v>2601</v>
      </c>
      <c r="S1153" s="399">
        <v>2</v>
      </c>
      <c r="T1153" s="348" t="s">
        <v>3363</v>
      </c>
      <c r="U1153" s="520">
        <v>15000</v>
      </c>
      <c r="V1153" s="266">
        <v>30000</v>
      </c>
      <c r="W1153" s="521" t="s">
        <v>227</v>
      </c>
      <c r="X1153" s="521" t="s">
        <v>3383</v>
      </c>
      <c r="Y1153" s="522" t="s">
        <v>2512</v>
      </c>
      <c r="Z1153" s="523" t="s">
        <v>541</v>
      </c>
    </row>
    <row r="1154" spans="1:26" ht="29">
      <c r="A1154" s="513">
        <v>1152</v>
      </c>
      <c r="B1154" s="390"/>
      <c r="C1154" s="515" t="s">
        <v>3292</v>
      </c>
      <c r="D1154" s="262" t="s">
        <v>3293</v>
      </c>
      <c r="E1154" s="513">
        <v>1153</v>
      </c>
      <c r="F1154" s="544" t="s">
        <v>3292</v>
      </c>
      <c r="G1154" s="543">
        <v>45628</v>
      </c>
      <c r="H1154" s="543">
        <v>45628</v>
      </c>
      <c r="I1154" s="543">
        <v>45628</v>
      </c>
      <c r="J1154" s="543">
        <v>45628</v>
      </c>
      <c r="K1154" s="517">
        <v>45628</v>
      </c>
      <c r="L1154" s="518" t="s">
        <v>705</v>
      </c>
      <c r="M1154" s="264" t="s">
        <v>2587</v>
      </c>
      <c r="N1154" s="262" t="s">
        <v>2176</v>
      </c>
      <c r="O1154" s="390" t="s">
        <v>247</v>
      </c>
      <c r="P1154" s="264" t="str">
        <f t="shared" si="46"/>
        <v>Kertas HVS 80 gram Merk : Paper One A4, Ukuran : 8,27" x 11,69", Isi : 500 lembar</v>
      </c>
      <c r="Q1154" s="264" t="s">
        <v>710</v>
      </c>
      <c r="R1154" s="519" t="s">
        <v>1351</v>
      </c>
      <c r="S1154" s="399">
        <v>40</v>
      </c>
      <c r="T1154" s="348" t="s">
        <v>3369</v>
      </c>
      <c r="U1154" s="520">
        <v>50000</v>
      </c>
      <c r="V1154" s="266">
        <v>2000000</v>
      </c>
      <c r="W1154" s="521" t="s">
        <v>227</v>
      </c>
      <c r="X1154" s="521" t="s">
        <v>3383</v>
      </c>
      <c r="Y1154" s="522" t="s">
        <v>2512</v>
      </c>
      <c r="Z1154" s="523" t="s">
        <v>541</v>
      </c>
    </row>
    <row r="1155" spans="1:26" ht="29">
      <c r="A1155" s="513">
        <v>1153</v>
      </c>
      <c r="B1155" s="390"/>
      <c r="C1155" s="515" t="s">
        <v>3292</v>
      </c>
      <c r="D1155" s="262" t="s">
        <v>3293</v>
      </c>
      <c r="E1155" s="513">
        <v>1154</v>
      </c>
      <c r="F1155" s="544" t="s">
        <v>3292</v>
      </c>
      <c r="G1155" s="543">
        <v>45628</v>
      </c>
      <c r="H1155" s="543">
        <v>45628</v>
      </c>
      <c r="I1155" s="543">
        <v>45628</v>
      </c>
      <c r="J1155" s="543">
        <v>45628</v>
      </c>
      <c r="K1155" s="517">
        <v>45628</v>
      </c>
      <c r="L1155" s="518" t="s">
        <v>705</v>
      </c>
      <c r="M1155" s="264" t="s">
        <v>2587</v>
      </c>
      <c r="N1155" s="262" t="s">
        <v>2176</v>
      </c>
      <c r="O1155" s="390" t="s">
        <v>2258</v>
      </c>
      <c r="P1155" s="264" t="str">
        <f t="shared" si="46"/>
        <v>Lakban Besar</v>
      </c>
      <c r="Q1155" s="264" t="s">
        <v>710</v>
      </c>
      <c r="R1155" s="519" t="s">
        <v>2607</v>
      </c>
      <c r="S1155" s="399">
        <v>5</v>
      </c>
      <c r="T1155" s="348" t="s">
        <v>3363</v>
      </c>
      <c r="U1155" s="520">
        <v>25000</v>
      </c>
      <c r="V1155" s="266">
        <v>125000</v>
      </c>
      <c r="W1155" s="521" t="s">
        <v>227</v>
      </c>
      <c r="X1155" s="521" t="s">
        <v>3383</v>
      </c>
      <c r="Y1155" s="522" t="s">
        <v>2512</v>
      </c>
      <c r="Z1155" s="523" t="s">
        <v>541</v>
      </c>
    </row>
    <row r="1156" spans="1:26" ht="29">
      <c r="A1156" s="513">
        <v>1154</v>
      </c>
      <c r="B1156" s="390"/>
      <c r="C1156" s="515" t="s">
        <v>3292</v>
      </c>
      <c r="D1156" s="262" t="s">
        <v>3293</v>
      </c>
      <c r="E1156" s="513">
        <v>1155</v>
      </c>
      <c r="F1156" s="544" t="s">
        <v>3292</v>
      </c>
      <c r="G1156" s="543">
        <v>45628</v>
      </c>
      <c r="H1156" s="543">
        <v>45628</v>
      </c>
      <c r="I1156" s="543">
        <v>45628</v>
      </c>
      <c r="J1156" s="543">
        <v>45628</v>
      </c>
      <c r="K1156" s="517">
        <v>45628</v>
      </c>
      <c r="L1156" s="518" t="s">
        <v>705</v>
      </c>
      <c r="M1156" s="264" t="s">
        <v>2587</v>
      </c>
      <c r="N1156" s="262" t="s">
        <v>2176</v>
      </c>
      <c r="O1156" s="390" t="s">
        <v>249</v>
      </c>
      <c r="P1156" s="264" t="str">
        <f t="shared" si="46"/>
        <v>Kertas Post-It Warna Warni  Sign Here</v>
      </c>
      <c r="Q1156" s="264" t="s">
        <v>710</v>
      </c>
      <c r="R1156" s="525" t="s">
        <v>2604</v>
      </c>
      <c r="S1156" s="399">
        <v>5</v>
      </c>
      <c r="T1156" s="348" t="s">
        <v>3363</v>
      </c>
      <c r="U1156" s="520">
        <v>22800</v>
      </c>
      <c r="V1156" s="266">
        <v>114000</v>
      </c>
      <c r="W1156" s="521" t="s">
        <v>227</v>
      </c>
      <c r="X1156" s="521" t="s">
        <v>3383</v>
      </c>
      <c r="Y1156" s="522" t="s">
        <v>2512</v>
      </c>
      <c r="Z1156" s="523" t="s">
        <v>541</v>
      </c>
    </row>
    <row r="1157" spans="1:26" ht="29">
      <c r="A1157" s="513">
        <v>1155</v>
      </c>
      <c r="B1157" s="390"/>
      <c r="C1157" s="515" t="s">
        <v>3292</v>
      </c>
      <c r="D1157" s="262" t="s">
        <v>3293</v>
      </c>
      <c r="E1157" s="513">
        <v>1156</v>
      </c>
      <c r="F1157" s="544" t="s">
        <v>3292</v>
      </c>
      <c r="G1157" s="543">
        <v>45628</v>
      </c>
      <c r="H1157" s="543">
        <v>45628</v>
      </c>
      <c r="I1157" s="543">
        <v>45628</v>
      </c>
      <c r="J1157" s="543">
        <v>45628</v>
      </c>
      <c r="K1157" s="517">
        <v>45628</v>
      </c>
      <c r="L1157" s="518" t="s">
        <v>705</v>
      </c>
      <c r="M1157" s="264" t="s">
        <v>2587</v>
      </c>
      <c r="N1157" s="262" t="s">
        <v>2176</v>
      </c>
      <c r="O1157" s="390" t="s">
        <v>2234</v>
      </c>
      <c r="P1157" s="264" t="str">
        <f t="shared" si="46"/>
        <v>Stofmap Transparan tali</v>
      </c>
      <c r="Q1157" s="264" t="s">
        <v>710</v>
      </c>
      <c r="R1157" s="519" t="s">
        <v>158</v>
      </c>
      <c r="S1157" s="399">
        <v>100</v>
      </c>
      <c r="T1157" s="348" t="s">
        <v>3363</v>
      </c>
      <c r="U1157" s="520">
        <v>5500</v>
      </c>
      <c r="V1157" s="266">
        <v>550000</v>
      </c>
      <c r="W1157" s="521" t="s">
        <v>227</v>
      </c>
      <c r="X1157" s="521" t="s">
        <v>3383</v>
      </c>
      <c r="Y1157" s="522" t="s">
        <v>2512</v>
      </c>
      <c r="Z1157" s="523" t="s">
        <v>541</v>
      </c>
    </row>
    <row r="1158" spans="1:26" ht="29">
      <c r="A1158" s="513">
        <v>1156</v>
      </c>
      <c r="B1158" s="390"/>
      <c r="C1158" s="515" t="s">
        <v>3294</v>
      </c>
      <c r="D1158" s="262" t="s">
        <v>3295</v>
      </c>
      <c r="E1158" s="513">
        <v>1157</v>
      </c>
      <c r="F1158" s="544" t="s">
        <v>3294</v>
      </c>
      <c r="G1158" s="543">
        <v>45628</v>
      </c>
      <c r="H1158" s="543">
        <v>45628</v>
      </c>
      <c r="I1158" s="543">
        <v>45628</v>
      </c>
      <c r="J1158" s="543">
        <v>45628</v>
      </c>
      <c r="K1158" s="517">
        <v>45628</v>
      </c>
      <c r="L1158" s="518" t="s">
        <v>533</v>
      </c>
      <c r="M1158" s="264" t="s">
        <v>2587</v>
      </c>
      <c r="N1158" s="262" t="s">
        <v>2177</v>
      </c>
      <c r="O1158" s="390" t="s">
        <v>2266</v>
      </c>
      <c r="P1158" s="264" t="str">
        <f t="shared" si="46"/>
        <v>Perlengkapan Kebersihan Pembersih Lantai Super Pel Varian 800ml</v>
      </c>
      <c r="Q1158" s="264" t="s">
        <v>2609</v>
      </c>
      <c r="R1158" s="525" t="s">
        <v>2613</v>
      </c>
      <c r="S1158" s="399">
        <v>15</v>
      </c>
      <c r="T1158" s="348" t="s">
        <v>3363</v>
      </c>
      <c r="U1158" s="520">
        <v>13700</v>
      </c>
      <c r="V1158" s="266">
        <v>205500</v>
      </c>
      <c r="W1158" s="521" t="s">
        <v>227</v>
      </c>
      <c r="X1158" s="521" t="s">
        <v>3383</v>
      </c>
      <c r="Y1158" s="522" t="s">
        <v>2512</v>
      </c>
      <c r="Z1158" s="523" t="s">
        <v>541</v>
      </c>
    </row>
    <row r="1159" spans="1:26" ht="29">
      <c r="A1159" s="513">
        <v>1157</v>
      </c>
      <c r="B1159" s="390"/>
      <c r="C1159" s="515" t="s">
        <v>3294</v>
      </c>
      <c r="D1159" s="262" t="s">
        <v>3295</v>
      </c>
      <c r="E1159" s="513">
        <v>1158</v>
      </c>
      <c r="F1159" s="544" t="s">
        <v>3294</v>
      </c>
      <c r="G1159" s="543">
        <v>45628</v>
      </c>
      <c r="H1159" s="543">
        <v>45628</v>
      </c>
      <c r="I1159" s="543">
        <v>45628</v>
      </c>
      <c r="J1159" s="543">
        <v>45628</v>
      </c>
      <c r="K1159" s="517">
        <v>45628</v>
      </c>
      <c r="L1159" s="518" t="s">
        <v>533</v>
      </c>
      <c r="M1159" s="264" t="s">
        <v>2587</v>
      </c>
      <c r="N1159" s="262" t="s">
        <v>2177</v>
      </c>
      <c r="O1159" s="390" t="s">
        <v>2269</v>
      </c>
      <c r="P1159" s="264" t="str">
        <f t="shared" si="46"/>
        <v>Tisu--</v>
      </c>
      <c r="Q1159" s="264" t="s">
        <v>2609</v>
      </c>
      <c r="R1159" s="519" t="s">
        <v>537</v>
      </c>
      <c r="S1159" s="399">
        <v>12</v>
      </c>
      <c r="T1159" s="348" t="s">
        <v>3363</v>
      </c>
      <c r="U1159" s="520">
        <v>12500</v>
      </c>
      <c r="V1159" s="266">
        <v>150000</v>
      </c>
      <c r="W1159" s="521" t="s">
        <v>227</v>
      </c>
      <c r="X1159" s="521" t="s">
        <v>3383</v>
      </c>
      <c r="Y1159" s="522" t="s">
        <v>2512</v>
      </c>
      <c r="Z1159" s="523" t="s">
        <v>541</v>
      </c>
    </row>
    <row r="1160" spans="1:26" ht="29">
      <c r="A1160" s="513">
        <v>1158</v>
      </c>
      <c r="B1160" s="390"/>
      <c r="C1160" s="515" t="s">
        <v>3294</v>
      </c>
      <c r="D1160" s="262" t="s">
        <v>3295</v>
      </c>
      <c r="E1160" s="513">
        <v>1159</v>
      </c>
      <c r="F1160" s="544" t="s">
        <v>3294</v>
      </c>
      <c r="G1160" s="543">
        <v>45628</v>
      </c>
      <c r="H1160" s="543">
        <v>45628</v>
      </c>
      <c r="I1160" s="543">
        <v>45628</v>
      </c>
      <c r="J1160" s="543">
        <v>45628</v>
      </c>
      <c r="K1160" s="517">
        <v>45628</v>
      </c>
      <c r="L1160" s="518" t="s">
        <v>533</v>
      </c>
      <c r="M1160" s="264" t="s">
        <v>2587</v>
      </c>
      <c r="N1160" s="262" t="s">
        <v>2177</v>
      </c>
      <c r="O1160" s="390" t="s">
        <v>2268</v>
      </c>
      <c r="P1160" s="264" t="str">
        <f t="shared" si="46"/>
        <v>Perlengkapan Kebersihan Pembersih Pakaian Sunlight Refil 800ml</v>
      </c>
      <c r="Q1160" s="264" t="s">
        <v>2609</v>
      </c>
      <c r="R1160" s="525" t="s">
        <v>2616</v>
      </c>
      <c r="S1160" s="399">
        <v>3</v>
      </c>
      <c r="T1160" s="348" t="s">
        <v>3363</v>
      </c>
      <c r="U1160" s="520">
        <v>15000</v>
      </c>
      <c r="V1160" s="266">
        <v>45000</v>
      </c>
      <c r="W1160" s="521" t="s">
        <v>227</v>
      </c>
      <c r="X1160" s="521" t="s">
        <v>3383</v>
      </c>
      <c r="Y1160" s="522" t="s">
        <v>2512</v>
      </c>
      <c r="Z1160" s="523" t="s">
        <v>541</v>
      </c>
    </row>
    <row r="1161" spans="1:26" ht="29">
      <c r="A1161" s="513">
        <v>1159</v>
      </c>
      <c r="B1161" s="390"/>
      <c r="C1161" s="515" t="s">
        <v>3294</v>
      </c>
      <c r="D1161" s="262" t="s">
        <v>3295</v>
      </c>
      <c r="E1161" s="513">
        <v>1160</v>
      </c>
      <c r="F1161" s="544" t="s">
        <v>3294</v>
      </c>
      <c r="G1161" s="543">
        <v>45628</v>
      </c>
      <c r="H1161" s="543">
        <v>45628</v>
      </c>
      <c r="I1161" s="543">
        <v>45628</v>
      </c>
      <c r="J1161" s="543">
        <v>45628</v>
      </c>
      <c r="K1161" s="517">
        <v>45628</v>
      </c>
      <c r="L1161" s="518" t="s">
        <v>533</v>
      </c>
      <c r="M1161" s="264" t="s">
        <v>2587</v>
      </c>
      <c r="N1161" s="262" t="s">
        <v>2177</v>
      </c>
      <c r="O1161" s="390" t="s">
        <v>276</v>
      </c>
      <c r="P1161" s="264" t="str">
        <f t="shared" si="46"/>
        <v>vixal 500ml</v>
      </c>
      <c r="Q1161" s="264" t="s">
        <v>2609</v>
      </c>
      <c r="R1161" s="519" t="s">
        <v>2566</v>
      </c>
      <c r="S1161" s="399">
        <v>10</v>
      </c>
      <c r="T1161" s="348" t="s">
        <v>3367</v>
      </c>
      <c r="U1161" s="520">
        <v>30000</v>
      </c>
      <c r="V1161" s="266">
        <v>300000</v>
      </c>
      <c r="W1161" s="521" t="s">
        <v>227</v>
      </c>
      <c r="X1161" s="521" t="s">
        <v>3383</v>
      </c>
      <c r="Y1161" s="522" t="s">
        <v>2512</v>
      </c>
      <c r="Z1161" s="523" t="s">
        <v>541</v>
      </c>
    </row>
    <row r="1162" spans="1:26" ht="29">
      <c r="A1162" s="513">
        <v>1160</v>
      </c>
      <c r="B1162" s="390"/>
      <c r="C1162" s="515" t="s">
        <v>3294</v>
      </c>
      <c r="D1162" s="262" t="s">
        <v>3295</v>
      </c>
      <c r="E1162" s="513">
        <v>1161</v>
      </c>
      <c r="F1162" s="544" t="s">
        <v>3294</v>
      </c>
      <c r="G1162" s="543">
        <v>45628</v>
      </c>
      <c r="H1162" s="543">
        <v>45628</v>
      </c>
      <c r="I1162" s="543">
        <v>45628</v>
      </c>
      <c r="J1162" s="543">
        <v>45628</v>
      </c>
      <c r="K1162" s="517">
        <v>45628</v>
      </c>
      <c r="L1162" s="518" t="s">
        <v>533</v>
      </c>
      <c r="M1162" s="264" t="s">
        <v>2587</v>
      </c>
      <c r="N1162" s="262" t="s">
        <v>2177</v>
      </c>
      <c r="O1162" s="390" t="s">
        <v>271</v>
      </c>
      <c r="P1162" s="264" t="str">
        <f t="shared" si="46"/>
        <v>Pengharum Ruangan</v>
      </c>
      <c r="Q1162" s="264" t="s">
        <v>2609</v>
      </c>
      <c r="R1162" s="519" t="s">
        <v>2615</v>
      </c>
      <c r="S1162" s="399">
        <v>10</v>
      </c>
      <c r="T1162" s="348" t="s">
        <v>3363</v>
      </c>
      <c r="U1162" s="520">
        <v>12100</v>
      </c>
      <c r="V1162" s="266">
        <v>121000</v>
      </c>
      <c r="W1162" s="521" t="s">
        <v>227</v>
      </c>
      <c r="X1162" s="521" t="s">
        <v>3383</v>
      </c>
      <c r="Y1162" s="522" t="s">
        <v>2512</v>
      </c>
      <c r="Z1162" s="523" t="s">
        <v>541</v>
      </c>
    </row>
    <row r="1163" spans="1:26" ht="29">
      <c r="A1163" s="513">
        <v>1161</v>
      </c>
      <c r="B1163" s="390"/>
      <c r="C1163" s="515" t="s">
        <v>3294</v>
      </c>
      <c r="D1163" s="262" t="s">
        <v>3295</v>
      </c>
      <c r="E1163" s="513">
        <v>1162</v>
      </c>
      <c r="F1163" s="544" t="s">
        <v>3294</v>
      </c>
      <c r="G1163" s="543">
        <v>45628</v>
      </c>
      <c r="H1163" s="543">
        <v>45628</v>
      </c>
      <c r="I1163" s="543">
        <v>45628</v>
      </c>
      <c r="J1163" s="543">
        <v>45628</v>
      </c>
      <c r="K1163" s="517">
        <v>45628</v>
      </c>
      <c r="L1163" s="518" t="s">
        <v>533</v>
      </c>
      <c r="M1163" s="264" t="s">
        <v>2587</v>
      </c>
      <c r="N1163" s="262" t="s">
        <v>2177</v>
      </c>
      <c r="O1163" s="390" t="s">
        <v>2272</v>
      </c>
      <c r="P1163" s="264" t="str">
        <f t="shared" si="46"/>
        <v>Hand Sanitizer-Unit</v>
      </c>
      <c r="Q1163" s="264" t="s">
        <v>2609</v>
      </c>
      <c r="R1163" s="524" t="s">
        <v>2621</v>
      </c>
      <c r="S1163" s="399">
        <v>5</v>
      </c>
      <c r="T1163" s="348" t="s">
        <v>3371</v>
      </c>
      <c r="U1163" s="520">
        <v>70000</v>
      </c>
      <c r="V1163" s="266">
        <v>350000</v>
      </c>
      <c r="W1163" s="521" t="s">
        <v>227</v>
      </c>
      <c r="X1163" s="521" t="s">
        <v>3383</v>
      </c>
      <c r="Y1163" s="522" t="s">
        <v>2512</v>
      </c>
      <c r="Z1163" s="523" t="s">
        <v>541</v>
      </c>
    </row>
    <row r="1164" spans="1:26" ht="29">
      <c r="A1164" s="513">
        <v>1162</v>
      </c>
      <c r="B1164" s="390"/>
      <c r="C1164" s="515" t="s">
        <v>3294</v>
      </c>
      <c r="D1164" s="262" t="s">
        <v>3295</v>
      </c>
      <c r="E1164" s="513">
        <v>1163</v>
      </c>
      <c r="F1164" s="544" t="s">
        <v>3294</v>
      </c>
      <c r="G1164" s="543">
        <v>45628</v>
      </c>
      <c r="H1164" s="543">
        <v>45628</v>
      </c>
      <c r="I1164" s="543">
        <v>45628</v>
      </c>
      <c r="J1164" s="543">
        <v>45628</v>
      </c>
      <c r="K1164" s="517">
        <v>45628</v>
      </c>
      <c r="L1164" s="518" t="s">
        <v>533</v>
      </c>
      <c r="M1164" s="264" t="s">
        <v>2587</v>
      </c>
      <c r="N1164" s="262" t="s">
        <v>2177</v>
      </c>
      <c r="O1164" s="390" t="s">
        <v>270</v>
      </c>
      <c r="P1164" s="264" t="str">
        <f t="shared" si="46"/>
        <v>Handsoap/Pencuci Tangan</v>
      </c>
      <c r="Q1164" s="264" t="s">
        <v>2609</v>
      </c>
      <c r="R1164" s="519" t="s">
        <v>548</v>
      </c>
      <c r="S1164" s="399">
        <v>5</v>
      </c>
      <c r="T1164" s="348" t="s">
        <v>3367</v>
      </c>
      <c r="U1164" s="520">
        <v>67000</v>
      </c>
      <c r="V1164" s="266">
        <v>335000</v>
      </c>
      <c r="W1164" s="521" t="s">
        <v>227</v>
      </c>
      <c r="X1164" s="521" t="s">
        <v>3383</v>
      </c>
      <c r="Y1164" s="522" t="s">
        <v>2512</v>
      </c>
      <c r="Z1164" s="523" t="s">
        <v>541</v>
      </c>
    </row>
    <row r="1165" spans="1:26" ht="29">
      <c r="A1165" s="513">
        <v>1163</v>
      </c>
      <c r="B1165" s="390"/>
      <c r="C1165" s="515" t="s">
        <v>3294</v>
      </c>
      <c r="D1165" s="262" t="s">
        <v>3295</v>
      </c>
      <c r="E1165" s="513">
        <v>1164</v>
      </c>
      <c r="F1165" s="544" t="s">
        <v>3294</v>
      </c>
      <c r="G1165" s="543">
        <v>45628</v>
      </c>
      <c r="H1165" s="543">
        <v>45628</v>
      </c>
      <c r="I1165" s="543">
        <v>45628</v>
      </c>
      <c r="J1165" s="543">
        <v>45628</v>
      </c>
      <c r="K1165" s="517">
        <v>45628</v>
      </c>
      <c r="L1165" s="518" t="s">
        <v>533</v>
      </c>
      <c r="M1165" s="264" t="s">
        <v>2587</v>
      </c>
      <c r="N1165" s="262" t="s">
        <v>2177</v>
      </c>
      <c r="O1165" s="390" t="s">
        <v>2270</v>
      </c>
      <c r="P1165" s="264" t="str">
        <f t="shared" si="46"/>
        <v>Cairan Pembersih Kaca</v>
      </c>
      <c r="Q1165" s="264" t="s">
        <v>2609</v>
      </c>
      <c r="R1165" s="525" t="s">
        <v>2618</v>
      </c>
      <c r="S1165" s="399">
        <v>5</v>
      </c>
      <c r="T1165" s="348" t="s">
        <v>3363</v>
      </c>
      <c r="U1165" s="520">
        <v>12000</v>
      </c>
      <c r="V1165" s="266">
        <v>60000</v>
      </c>
      <c r="W1165" s="521" t="s">
        <v>227</v>
      </c>
      <c r="X1165" s="521" t="s">
        <v>3383</v>
      </c>
      <c r="Y1165" s="522" t="s">
        <v>2512</v>
      </c>
      <c r="Z1165" s="523" t="s">
        <v>541</v>
      </c>
    </row>
    <row r="1166" spans="1:26" ht="43.5">
      <c r="A1166" s="513">
        <v>1164</v>
      </c>
      <c r="B1166" s="390"/>
      <c r="C1166" s="515" t="s">
        <v>3294</v>
      </c>
      <c r="D1166" s="262" t="s">
        <v>3295</v>
      </c>
      <c r="E1166" s="513">
        <v>1165</v>
      </c>
      <c r="F1166" s="544" t="s">
        <v>3294</v>
      </c>
      <c r="G1166" s="543">
        <v>45628</v>
      </c>
      <c r="H1166" s="543">
        <v>45628</v>
      </c>
      <c r="I1166" s="543">
        <v>45628</v>
      </c>
      <c r="J1166" s="543">
        <v>45628</v>
      </c>
      <c r="K1166" s="517">
        <v>45628</v>
      </c>
      <c r="L1166" s="518" t="s">
        <v>533</v>
      </c>
      <c r="M1166" s="264" t="s">
        <v>2587</v>
      </c>
      <c r="N1166" s="262" t="s">
        <v>2177</v>
      </c>
      <c r="O1166" s="390" t="s">
        <v>274</v>
      </c>
      <c r="P1166" s="264" t="str">
        <f t="shared" si="46"/>
        <v>Spon Cuci</v>
      </c>
      <c r="Q1166" s="264" t="s">
        <v>2609</v>
      </c>
      <c r="R1166" s="519" t="s">
        <v>2617</v>
      </c>
      <c r="S1166" s="399">
        <v>5</v>
      </c>
      <c r="T1166" s="348" t="s">
        <v>3363</v>
      </c>
      <c r="U1166" s="520">
        <v>12000</v>
      </c>
      <c r="V1166" s="266">
        <v>60000</v>
      </c>
      <c r="W1166" s="521" t="s">
        <v>227</v>
      </c>
      <c r="X1166" s="521" t="s">
        <v>3383</v>
      </c>
      <c r="Y1166" s="522" t="s">
        <v>2512</v>
      </c>
      <c r="Z1166" s="523" t="s">
        <v>541</v>
      </c>
    </row>
    <row r="1167" spans="1:26" ht="29">
      <c r="A1167" s="513">
        <v>1165</v>
      </c>
      <c r="B1167" s="390"/>
      <c r="C1167" s="515" t="s">
        <v>3296</v>
      </c>
      <c r="D1167" s="262" t="s">
        <v>3297</v>
      </c>
      <c r="E1167" s="513">
        <v>1166</v>
      </c>
      <c r="F1167" s="544" t="s">
        <v>3296</v>
      </c>
      <c r="G1167" s="543">
        <v>45628</v>
      </c>
      <c r="H1167" s="543">
        <v>45628</v>
      </c>
      <c r="I1167" s="543">
        <v>45628</v>
      </c>
      <c r="J1167" s="543">
        <v>45628</v>
      </c>
      <c r="K1167" s="517">
        <v>45628</v>
      </c>
      <c r="L1167" s="518" t="s">
        <v>2180</v>
      </c>
      <c r="M1167" s="264" t="s">
        <v>2643</v>
      </c>
      <c r="N1167" s="262" t="s">
        <v>2183</v>
      </c>
      <c r="O1167" s="390" t="s">
        <v>2285</v>
      </c>
      <c r="P1167" s="264" t="s">
        <v>2442</v>
      </c>
      <c r="Q1167" s="264" t="s">
        <v>1545</v>
      </c>
      <c r="R1167" s="519" t="s">
        <v>163</v>
      </c>
      <c r="S1167" s="399">
        <v>25</v>
      </c>
      <c r="T1167" s="348" t="s">
        <v>3372</v>
      </c>
      <c r="U1167" s="520">
        <v>50000</v>
      </c>
      <c r="V1167" s="266">
        <v>1250000</v>
      </c>
      <c r="W1167" s="521" t="s">
        <v>10</v>
      </c>
      <c r="X1167" s="521" t="s">
        <v>11</v>
      </c>
      <c r="Y1167" s="522" t="s">
        <v>2092</v>
      </c>
      <c r="Z1167" s="523" t="s">
        <v>2634</v>
      </c>
    </row>
    <row r="1168" spans="1:26" ht="29">
      <c r="A1168" s="513">
        <v>1166</v>
      </c>
      <c r="B1168" s="390"/>
      <c r="C1168" s="515" t="s">
        <v>3298</v>
      </c>
      <c r="D1168" s="262" t="s">
        <v>3299</v>
      </c>
      <c r="E1168" s="513">
        <v>1167</v>
      </c>
      <c r="F1168" s="544" t="s">
        <v>3298</v>
      </c>
      <c r="G1168" s="543">
        <v>45628</v>
      </c>
      <c r="H1168" s="543">
        <v>45629</v>
      </c>
      <c r="I1168" s="543">
        <v>45629</v>
      </c>
      <c r="J1168" s="543">
        <v>45629</v>
      </c>
      <c r="K1168" s="517">
        <v>45629</v>
      </c>
      <c r="L1168" s="518" t="s">
        <v>2180</v>
      </c>
      <c r="M1168" s="264" t="s">
        <v>2587</v>
      </c>
      <c r="N1168" s="262" t="s">
        <v>2209</v>
      </c>
      <c r="O1168" s="390" t="s">
        <v>2330</v>
      </c>
      <c r="P1168" s="264" t="s">
        <v>2633</v>
      </c>
      <c r="Q1168" s="264" t="s">
        <v>280</v>
      </c>
      <c r="R1168" s="528" t="s">
        <v>165</v>
      </c>
      <c r="S1168" s="399">
        <v>70</v>
      </c>
      <c r="T1168" s="348" t="s">
        <v>3362</v>
      </c>
      <c r="U1168" s="520">
        <v>15000</v>
      </c>
      <c r="V1168" s="266">
        <v>1050000</v>
      </c>
      <c r="W1168" s="521" t="s">
        <v>10</v>
      </c>
      <c r="X1168" s="521" t="s">
        <v>11</v>
      </c>
      <c r="Y1168" s="522" t="s">
        <v>2092</v>
      </c>
      <c r="Z1168" s="523" t="s">
        <v>2634</v>
      </c>
    </row>
    <row r="1169" spans="1:26" ht="29">
      <c r="A1169" s="513">
        <v>1167</v>
      </c>
      <c r="B1169" s="390"/>
      <c r="C1169" s="515" t="s">
        <v>3300</v>
      </c>
      <c r="D1169" s="262" t="s">
        <v>3301</v>
      </c>
      <c r="E1169" s="513">
        <v>1168</v>
      </c>
      <c r="F1169" s="544" t="s">
        <v>3300</v>
      </c>
      <c r="G1169" s="543">
        <v>45628</v>
      </c>
      <c r="H1169" s="543">
        <v>45629</v>
      </c>
      <c r="I1169" s="543">
        <v>45629</v>
      </c>
      <c r="J1169" s="543">
        <v>45629</v>
      </c>
      <c r="K1169" s="517">
        <v>45629</v>
      </c>
      <c r="L1169" s="518" t="s">
        <v>2180</v>
      </c>
      <c r="M1169" s="264" t="s">
        <v>2587</v>
      </c>
      <c r="N1169" s="262" t="s">
        <v>2209</v>
      </c>
      <c r="O1169" s="390" t="s">
        <v>2331</v>
      </c>
      <c r="P1169" s="264" t="s">
        <v>467</v>
      </c>
      <c r="Q1169" s="264" t="s">
        <v>8</v>
      </c>
      <c r="R1169" s="519" t="s">
        <v>2635</v>
      </c>
      <c r="S1169" s="399">
        <v>70</v>
      </c>
      <c r="T1169" s="348" t="s">
        <v>3362</v>
      </c>
      <c r="U1169" s="520">
        <v>40000</v>
      </c>
      <c r="V1169" s="266">
        <v>2800000</v>
      </c>
      <c r="W1169" s="521" t="s">
        <v>2507</v>
      </c>
      <c r="X1169" s="521" t="s">
        <v>2508</v>
      </c>
      <c r="Y1169" s="522" t="s">
        <v>2516</v>
      </c>
      <c r="Z1169" s="523" t="s">
        <v>2636</v>
      </c>
    </row>
    <row r="1170" spans="1:26" ht="29">
      <c r="A1170" s="513">
        <v>1168</v>
      </c>
      <c r="B1170" s="390"/>
      <c r="C1170" s="515" t="s">
        <v>3302</v>
      </c>
      <c r="D1170" s="262" t="s">
        <v>3303</v>
      </c>
      <c r="E1170" s="513">
        <v>1169</v>
      </c>
      <c r="F1170" s="544" t="s">
        <v>3302</v>
      </c>
      <c r="G1170" s="543">
        <v>45629</v>
      </c>
      <c r="H1170" s="543">
        <v>45630</v>
      </c>
      <c r="I1170" s="543">
        <v>45630</v>
      </c>
      <c r="J1170" s="543">
        <v>45630</v>
      </c>
      <c r="K1170" s="517">
        <v>45630</v>
      </c>
      <c r="L1170" s="518" t="s">
        <v>2180</v>
      </c>
      <c r="M1170" s="264" t="s">
        <v>2649</v>
      </c>
      <c r="N1170" s="262" t="s">
        <v>2188</v>
      </c>
      <c r="O1170" s="390" t="s">
        <v>2293</v>
      </c>
      <c r="P1170" s="264" t="s">
        <v>2633</v>
      </c>
      <c r="Q1170" s="264" t="s">
        <v>280</v>
      </c>
      <c r="R1170" s="528" t="s">
        <v>165</v>
      </c>
      <c r="S1170" s="399">
        <v>100</v>
      </c>
      <c r="T1170" s="348" t="s">
        <v>3362</v>
      </c>
      <c r="U1170" s="520">
        <v>15000</v>
      </c>
      <c r="V1170" s="266">
        <v>1500000</v>
      </c>
      <c r="W1170" s="521" t="s">
        <v>10</v>
      </c>
      <c r="X1170" s="521" t="s">
        <v>11</v>
      </c>
      <c r="Y1170" s="522" t="s">
        <v>2092</v>
      </c>
      <c r="Z1170" s="523" t="s">
        <v>2634</v>
      </c>
    </row>
    <row r="1171" spans="1:26" ht="29">
      <c r="A1171" s="513">
        <v>1169</v>
      </c>
      <c r="B1171" s="390"/>
      <c r="C1171" s="515" t="s">
        <v>3304</v>
      </c>
      <c r="D1171" s="262" t="s">
        <v>3305</v>
      </c>
      <c r="E1171" s="513">
        <v>1170</v>
      </c>
      <c r="F1171" s="544" t="s">
        <v>3304</v>
      </c>
      <c r="G1171" s="543">
        <v>45630</v>
      </c>
      <c r="H1171" s="543">
        <v>45632</v>
      </c>
      <c r="I1171" s="543">
        <v>45632</v>
      </c>
      <c r="J1171" s="543">
        <v>45632</v>
      </c>
      <c r="K1171" s="517">
        <v>45632</v>
      </c>
      <c r="L1171" s="518" t="s">
        <v>571</v>
      </c>
      <c r="M1171" s="264" t="s">
        <v>2587</v>
      </c>
      <c r="N1171" s="262" t="s">
        <v>2176</v>
      </c>
      <c r="O1171" s="390" t="s">
        <v>9</v>
      </c>
      <c r="P1171" s="264" t="str">
        <f>O1171</f>
        <v>Foto Copy Filio dan Kuarto</v>
      </c>
      <c r="Q1171" s="525" t="s">
        <v>2675</v>
      </c>
      <c r="R1171" s="525" t="s">
        <v>2676</v>
      </c>
      <c r="S1171" s="399">
        <v>4739</v>
      </c>
      <c r="T1171" s="348" t="s">
        <v>3368</v>
      </c>
      <c r="U1171" s="520">
        <v>350</v>
      </c>
      <c r="V1171" s="266">
        <v>17342500</v>
      </c>
      <c r="W1171" s="521" t="s">
        <v>227</v>
      </c>
      <c r="X1171" s="521" t="s">
        <v>3383</v>
      </c>
      <c r="Y1171" s="522" t="s">
        <v>2512</v>
      </c>
      <c r="Z1171" s="523" t="s">
        <v>541</v>
      </c>
    </row>
    <row r="1172" spans="1:26" ht="29">
      <c r="A1172" s="513">
        <v>1170</v>
      </c>
      <c r="B1172" s="390"/>
      <c r="C1172" s="515" t="s">
        <v>3306</v>
      </c>
      <c r="D1172" s="262" t="s">
        <v>3307</v>
      </c>
      <c r="E1172" s="513">
        <v>1171</v>
      </c>
      <c r="F1172" s="544" t="s">
        <v>3306</v>
      </c>
      <c r="G1172" s="543">
        <v>45634</v>
      </c>
      <c r="H1172" s="543">
        <v>45635</v>
      </c>
      <c r="I1172" s="543">
        <v>45635</v>
      </c>
      <c r="J1172" s="543">
        <v>45635</v>
      </c>
      <c r="K1172" s="517">
        <v>45635</v>
      </c>
      <c r="L1172" s="518" t="s">
        <v>2180</v>
      </c>
      <c r="M1172" s="264" t="s">
        <v>2638</v>
      </c>
      <c r="N1172" s="262" t="s">
        <v>2208</v>
      </c>
      <c r="O1172" s="390" t="s">
        <v>2329</v>
      </c>
      <c r="P1172" s="264" t="s">
        <v>467</v>
      </c>
      <c r="Q1172" s="264" t="s">
        <v>8</v>
      </c>
      <c r="R1172" s="519" t="s">
        <v>2635</v>
      </c>
      <c r="S1172" s="399">
        <v>120</v>
      </c>
      <c r="T1172" s="348" t="s">
        <v>3362</v>
      </c>
      <c r="U1172" s="520">
        <v>40000</v>
      </c>
      <c r="V1172" s="266">
        <v>4800000</v>
      </c>
      <c r="W1172" s="521" t="s">
        <v>2507</v>
      </c>
      <c r="X1172" s="521" t="s">
        <v>2508</v>
      </c>
      <c r="Y1172" s="522" t="s">
        <v>2516</v>
      </c>
      <c r="Z1172" s="523" t="s">
        <v>2636</v>
      </c>
    </row>
    <row r="1173" spans="1:26" ht="29">
      <c r="A1173" s="513">
        <v>1171</v>
      </c>
      <c r="B1173" s="390"/>
      <c r="C1173" s="515" t="s">
        <v>3308</v>
      </c>
      <c r="D1173" s="262" t="s">
        <v>3309</v>
      </c>
      <c r="E1173" s="513">
        <v>1172</v>
      </c>
      <c r="F1173" s="544" t="s">
        <v>3308</v>
      </c>
      <c r="G1173" s="543">
        <v>45634</v>
      </c>
      <c r="H1173" s="543">
        <v>45635</v>
      </c>
      <c r="I1173" s="543">
        <v>45635</v>
      </c>
      <c r="J1173" s="543">
        <v>45635</v>
      </c>
      <c r="K1173" s="517">
        <v>45635</v>
      </c>
      <c r="L1173" s="518" t="s">
        <v>2180</v>
      </c>
      <c r="M1173" s="264" t="s">
        <v>2638</v>
      </c>
      <c r="N1173" s="262" t="s">
        <v>2208</v>
      </c>
      <c r="O1173" s="390" t="s">
        <v>2328</v>
      </c>
      <c r="P1173" s="264" t="s">
        <v>2633</v>
      </c>
      <c r="Q1173" s="264" t="s">
        <v>280</v>
      </c>
      <c r="R1173" s="528" t="s">
        <v>165</v>
      </c>
      <c r="S1173" s="399">
        <v>120</v>
      </c>
      <c r="T1173" s="348" t="s">
        <v>3362</v>
      </c>
      <c r="U1173" s="520">
        <v>15000</v>
      </c>
      <c r="V1173" s="266">
        <v>1800000</v>
      </c>
      <c r="W1173" s="521" t="s">
        <v>10</v>
      </c>
      <c r="X1173" s="521" t="s">
        <v>11</v>
      </c>
      <c r="Y1173" s="522" t="s">
        <v>2092</v>
      </c>
      <c r="Z1173" s="523" t="s">
        <v>2634</v>
      </c>
    </row>
    <row r="1174" spans="1:26" ht="37.5">
      <c r="A1174" s="513">
        <v>1172</v>
      </c>
      <c r="B1174" s="390"/>
      <c r="C1174" s="515" t="s">
        <v>3310</v>
      </c>
      <c r="D1174" s="262" t="s">
        <v>3311</v>
      </c>
      <c r="E1174" s="513">
        <v>1173</v>
      </c>
      <c r="F1174" s="544" t="s">
        <v>3310</v>
      </c>
      <c r="G1174" s="543">
        <v>45639</v>
      </c>
      <c r="H1174" s="543">
        <v>45640</v>
      </c>
      <c r="I1174" s="543">
        <v>45640</v>
      </c>
      <c r="J1174" s="543">
        <v>45640</v>
      </c>
      <c r="K1174" s="517">
        <v>45640</v>
      </c>
      <c r="L1174" s="518" t="s">
        <v>464</v>
      </c>
      <c r="M1174" s="264" t="s">
        <v>2638</v>
      </c>
      <c r="N1174" s="262" t="s">
        <v>2207</v>
      </c>
      <c r="O1174" s="390" t="s">
        <v>2296</v>
      </c>
      <c r="P1174" s="264" t="s">
        <v>2633</v>
      </c>
      <c r="Q1174" s="264" t="s">
        <v>280</v>
      </c>
      <c r="R1174" s="519" t="s">
        <v>165</v>
      </c>
      <c r="S1174" s="399">
        <v>80</v>
      </c>
      <c r="T1174" s="348" t="s">
        <v>3362</v>
      </c>
      <c r="U1174" s="520">
        <v>15000</v>
      </c>
      <c r="V1174" s="266">
        <v>2625000</v>
      </c>
      <c r="W1174" s="521" t="s">
        <v>10</v>
      </c>
      <c r="X1174" s="521" t="s">
        <v>11</v>
      </c>
      <c r="Y1174" s="522" t="s">
        <v>2092</v>
      </c>
      <c r="Z1174" s="523" t="s">
        <v>2634</v>
      </c>
    </row>
    <row r="1175" spans="1:26" ht="37.5">
      <c r="A1175" s="513">
        <v>1173</v>
      </c>
      <c r="B1175" s="390"/>
      <c r="C1175" s="515" t="s">
        <v>3312</v>
      </c>
      <c r="D1175" s="262" t="s">
        <v>3313</v>
      </c>
      <c r="E1175" s="513">
        <v>1174</v>
      </c>
      <c r="F1175" s="544" t="s">
        <v>3312</v>
      </c>
      <c r="G1175" s="543">
        <v>45639</v>
      </c>
      <c r="H1175" s="543">
        <v>45640</v>
      </c>
      <c r="I1175" s="543">
        <v>45640</v>
      </c>
      <c r="J1175" s="543">
        <v>45640</v>
      </c>
      <c r="K1175" s="517">
        <v>45640</v>
      </c>
      <c r="L1175" s="518" t="s">
        <v>464</v>
      </c>
      <c r="M1175" s="264" t="s">
        <v>2638</v>
      </c>
      <c r="N1175" s="262" t="s">
        <v>2207</v>
      </c>
      <c r="O1175" s="390" t="s">
        <v>2295</v>
      </c>
      <c r="P1175" s="264" t="s">
        <v>467</v>
      </c>
      <c r="Q1175" s="264" t="s">
        <v>8</v>
      </c>
      <c r="R1175" s="519" t="s">
        <v>2635</v>
      </c>
      <c r="S1175" s="399">
        <v>80</v>
      </c>
      <c r="T1175" s="348" t="s">
        <v>3362</v>
      </c>
      <c r="U1175" s="520">
        <v>40000</v>
      </c>
      <c r="V1175" s="266">
        <v>2400000</v>
      </c>
      <c r="W1175" s="521" t="s">
        <v>2507</v>
      </c>
      <c r="X1175" s="521" t="s">
        <v>2508</v>
      </c>
      <c r="Y1175" s="522" t="s">
        <v>2516</v>
      </c>
      <c r="Z1175" s="523" t="s">
        <v>2636</v>
      </c>
    </row>
    <row r="1176" spans="1:26" ht="29">
      <c r="A1176" s="513">
        <v>1174</v>
      </c>
      <c r="B1176" s="390"/>
      <c r="C1176" s="515" t="s">
        <v>3314</v>
      </c>
      <c r="D1176" s="262" t="s">
        <v>3315</v>
      </c>
      <c r="E1176" s="513">
        <v>1175</v>
      </c>
      <c r="F1176" s="544" t="s">
        <v>3314</v>
      </c>
      <c r="G1176" s="543">
        <v>45640</v>
      </c>
      <c r="H1176" s="543">
        <v>45642</v>
      </c>
      <c r="I1176" s="543">
        <v>45642</v>
      </c>
      <c r="J1176" s="543">
        <v>45642</v>
      </c>
      <c r="K1176" s="517">
        <v>45642</v>
      </c>
      <c r="L1176" s="518" t="s">
        <v>571</v>
      </c>
      <c r="M1176" s="264" t="s">
        <v>2587</v>
      </c>
      <c r="N1176" s="262" t="s">
        <v>1004</v>
      </c>
      <c r="O1176" s="390" t="s">
        <v>9</v>
      </c>
      <c r="P1176" s="264" t="str">
        <f>O1176</f>
        <v>Foto Copy Filio dan Kuarto</v>
      </c>
      <c r="Q1176" s="525" t="s">
        <v>2675</v>
      </c>
      <c r="R1176" s="525" t="s">
        <v>2676</v>
      </c>
      <c r="S1176" s="399">
        <v>4739</v>
      </c>
      <c r="T1176" s="348" t="s">
        <v>3368</v>
      </c>
      <c r="U1176" s="520">
        <v>350</v>
      </c>
      <c r="V1176" s="266">
        <v>4375000</v>
      </c>
      <c r="W1176" s="521" t="s">
        <v>227</v>
      </c>
      <c r="X1176" s="521" t="s">
        <v>3383</v>
      </c>
      <c r="Y1176" s="522" t="s">
        <v>2512</v>
      </c>
      <c r="Z1176" s="523" t="s">
        <v>541</v>
      </c>
    </row>
    <row r="1177" spans="1:26" ht="29">
      <c r="A1177" s="513">
        <v>1175</v>
      </c>
      <c r="B1177" s="390"/>
      <c r="C1177" s="515" t="s">
        <v>3316</v>
      </c>
      <c r="D1177" s="262" t="s">
        <v>3317</v>
      </c>
      <c r="E1177" s="513">
        <v>1176</v>
      </c>
      <c r="F1177" s="544" t="s">
        <v>3316</v>
      </c>
      <c r="G1177" s="543">
        <v>45640</v>
      </c>
      <c r="H1177" s="543">
        <v>45642</v>
      </c>
      <c r="I1177" s="543">
        <v>45642</v>
      </c>
      <c r="J1177" s="543">
        <v>45642</v>
      </c>
      <c r="K1177" s="517">
        <v>45642</v>
      </c>
      <c r="L1177" s="518" t="s">
        <v>2180</v>
      </c>
      <c r="M1177" s="264" t="s">
        <v>2587</v>
      </c>
      <c r="N1177" s="262" t="s">
        <v>1004</v>
      </c>
      <c r="O1177" s="390" t="s">
        <v>3318</v>
      </c>
      <c r="P1177" s="264" t="s">
        <v>2633</v>
      </c>
      <c r="Q1177" s="264" t="s">
        <v>280</v>
      </c>
      <c r="R1177" s="528" t="s">
        <v>165</v>
      </c>
      <c r="S1177" s="399">
        <v>56</v>
      </c>
      <c r="T1177" s="348" t="s">
        <v>3362</v>
      </c>
      <c r="U1177" s="520">
        <v>15000</v>
      </c>
      <c r="V1177" s="266">
        <v>900000</v>
      </c>
      <c r="W1177" s="521" t="s">
        <v>10</v>
      </c>
      <c r="X1177" s="521" t="s">
        <v>11</v>
      </c>
      <c r="Y1177" s="522" t="s">
        <v>2092</v>
      </c>
      <c r="Z1177" s="523" t="s">
        <v>2634</v>
      </c>
    </row>
    <row r="1178" spans="1:26" ht="29">
      <c r="A1178" s="513">
        <v>1176</v>
      </c>
      <c r="B1178" s="390"/>
      <c r="C1178" s="515" t="s">
        <v>3316</v>
      </c>
      <c r="D1178" s="262" t="s">
        <v>3317</v>
      </c>
      <c r="E1178" s="513">
        <v>1177</v>
      </c>
      <c r="F1178" s="544" t="s">
        <v>3316</v>
      </c>
      <c r="G1178" s="543">
        <v>45640</v>
      </c>
      <c r="H1178" s="543">
        <v>45642</v>
      </c>
      <c r="I1178" s="543">
        <v>45642</v>
      </c>
      <c r="J1178" s="543">
        <v>45642</v>
      </c>
      <c r="K1178" s="517">
        <v>45642</v>
      </c>
      <c r="L1178" s="518" t="s">
        <v>2180</v>
      </c>
      <c r="M1178" s="264" t="s">
        <v>2587</v>
      </c>
      <c r="N1178" s="262" t="s">
        <v>1004</v>
      </c>
      <c r="O1178" s="390" t="s">
        <v>566</v>
      </c>
      <c r="P1178" s="264" t="s">
        <v>2985</v>
      </c>
      <c r="Q1178" s="264" t="s">
        <v>1545</v>
      </c>
      <c r="R1178" s="519" t="s">
        <v>2986</v>
      </c>
      <c r="S1178" s="399">
        <v>3</v>
      </c>
      <c r="T1178" s="348" t="s">
        <v>3372</v>
      </c>
      <c r="U1178" s="520">
        <v>65000</v>
      </c>
      <c r="V1178" s="266">
        <v>195000</v>
      </c>
      <c r="W1178" s="521" t="s">
        <v>10</v>
      </c>
      <c r="X1178" s="521" t="s">
        <v>11</v>
      </c>
      <c r="Y1178" s="522" t="s">
        <v>2092</v>
      </c>
      <c r="Z1178" s="523" t="s">
        <v>2634</v>
      </c>
    </row>
    <row r="1179" spans="1:26" ht="29">
      <c r="A1179" s="513">
        <v>1177</v>
      </c>
      <c r="B1179" s="390"/>
      <c r="C1179" s="515" t="s">
        <v>3319</v>
      </c>
      <c r="D1179" s="262" t="s">
        <v>3320</v>
      </c>
      <c r="E1179" s="513">
        <v>1178</v>
      </c>
      <c r="F1179" s="544" t="s">
        <v>3319</v>
      </c>
      <c r="G1179" s="543">
        <v>45640</v>
      </c>
      <c r="H1179" s="543">
        <v>45642</v>
      </c>
      <c r="I1179" s="543">
        <v>45642</v>
      </c>
      <c r="J1179" s="543">
        <v>45642</v>
      </c>
      <c r="K1179" s="517">
        <v>45642</v>
      </c>
      <c r="L1179" s="518" t="s">
        <v>2180</v>
      </c>
      <c r="M1179" s="264" t="s">
        <v>2587</v>
      </c>
      <c r="N1179" s="262" t="s">
        <v>1004</v>
      </c>
      <c r="O1179" s="390" t="s">
        <v>3321</v>
      </c>
      <c r="P1179" s="264" t="s">
        <v>467</v>
      </c>
      <c r="Q1179" s="264" t="s">
        <v>8</v>
      </c>
      <c r="R1179" s="519" t="s">
        <v>2635</v>
      </c>
      <c r="S1179" s="399">
        <v>30</v>
      </c>
      <c r="T1179" s="348" t="s">
        <v>3365</v>
      </c>
      <c r="U1179" s="520">
        <v>35000</v>
      </c>
      <c r="V1179" s="266">
        <v>1050000</v>
      </c>
      <c r="W1179" s="521" t="s">
        <v>2507</v>
      </c>
      <c r="X1179" s="521" t="s">
        <v>2508</v>
      </c>
      <c r="Y1179" s="522" t="s">
        <v>2516</v>
      </c>
      <c r="Z1179" s="523" t="s">
        <v>2636</v>
      </c>
    </row>
    <row r="1180" spans="1:26">
      <c r="A1180" s="513">
        <v>1178</v>
      </c>
      <c r="B1180" s="390"/>
      <c r="C1180" s="515" t="s">
        <v>3322</v>
      </c>
      <c r="D1180" s="262" t="s">
        <v>3323</v>
      </c>
      <c r="E1180" s="513">
        <v>1179</v>
      </c>
      <c r="F1180" s="544" t="s">
        <v>3322</v>
      </c>
      <c r="G1180" s="543">
        <v>45644</v>
      </c>
      <c r="H1180" s="543">
        <v>45644</v>
      </c>
      <c r="I1180" s="543">
        <v>45644</v>
      </c>
      <c r="J1180" s="543">
        <v>45644</v>
      </c>
      <c r="K1180" s="517">
        <v>45644</v>
      </c>
      <c r="L1180" s="518" t="s">
        <v>2710</v>
      </c>
      <c r="M1180" s="264" t="s">
        <v>2679</v>
      </c>
      <c r="N1180" s="262" t="s">
        <v>2711</v>
      </c>
      <c r="O1180" s="390" t="s">
        <v>3173</v>
      </c>
      <c r="P1180" s="264" t="str">
        <f t="shared" ref="P1180:P1198" si="47">O1180</f>
        <v>Thomas Hondro</v>
      </c>
      <c r="Q1180" s="264" t="s">
        <v>2713</v>
      </c>
      <c r="R1180" s="528" t="s">
        <v>2714</v>
      </c>
      <c r="S1180" s="399">
        <v>1</v>
      </c>
      <c r="T1180" s="348" t="s">
        <v>3373</v>
      </c>
      <c r="U1180" s="520">
        <v>1000000</v>
      </c>
      <c r="V1180" s="266">
        <v>1000000</v>
      </c>
      <c r="W1180" s="521" t="s">
        <v>2715</v>
      </c>
      <c r="X1180" s="264"/>
      <c r="Y1180" s="264"/>
      <c r="Z1180" s="528"/>
    </row>
    <row r="1181" spans="1:26">
      <c r="A1181" s="513">
        <v>1179</v>
      </c>
      <c r="B1181" s="390"/>
      <c r="C1181" s="515" t="s">
        <v>3324</v>
      </c>
      <c r="D1181" s="262" t="s">
        <v>3325</v>
      </c>
      <c r="E1181" s="513">
        <v>1180</v>
      </c>
      <c r="F1181" s="544" t="s">
        <v>3324</v>
      </c>
      <c r="G1181" s="543">
        <v>45644</v>
      </c>
      <c r="H1181" s="543">
        <v>45644</v>
      </c>
      <c r="I1181" s="543">
        <v>45644</v>
      </c>
      <c r="J1181" s="543">
        <v>45644</v>
      </c>
      <c r="K1181" s="517">
        <v>45644</v>
      </c>
      <c r="L1181" s="518" t="s">
        <v>2678</v>
      </c>
      <c r="M1181" s="264" t="s">
        <v>2679</v>
      </c>
      <c r="N1181" s="262" t="s">
        <v>2680</v>
      </c>
      <c r="O1181" s="390" t="s">
        <v>2681</v>
      </c>
      <c r="P1181" s="264" t="str">
        <f t="shared" si="47"/>
        <v>Selatieli Nehe</v>
      </c>
      <c r="Q1181" s="264" t="s">
        <v>2682</v>
      </c>
      <c r="R1181" s="528" t="s">
        <v>2683</v>
      </c>
      <c r="S1181" s="399">
        <v>33</v>
      </c>
      <c r="T1181" s="348" t="s">
        <v>3374</v>
      </c>
      <c r="U1181" s="520">
        <v>75000</v>
      </c>
      <c r="V1181" s="266">
        <v>2700000</v>
      </c>
      <c r="W1181" s="521" t="s">
        <v>2684</v>
      </c>
      <c r="X1181" s="264"/>
      <c r="Y1181" s="264"/>
      <c r="Z1181" s="528"/>
    </row>
    <row r="1182" spans="1:26">
      <c r="A1182" s="513">
        <v>1180</v>
      </c>
      <c r="B1182" s="390"/>
      <c r="C1182" s="515" t="s">
        <v>3326</v>
      </c>
      <c r="D1182" s="262" t="s">
        <v>3327</v>
      </c>
      <c r="E1182" s="513">
        <v>1181</v>
      </c>
      <c r="F1182" s="544" t="s">
        <v>3326</v>
      </c>
      <c r="G1182" s="543">
        <v>45644</v>
      </c>
      <c r="H1182" s="543">
        <v>45644</v>
      </c>
      <c r="I1182" s="543">
        <v>45644</v>
      </c>
      <c r="J1182" s="543">
        <v>45644</v>
      </c>
      <c r="K1182" s="517">
        <v>45644</v>
      </c>
      <c r="L1182" s="518" t="s">
        <v>2678</v>
      </c>
      <c r="M1182" s="264" t="s">
        <v>2679</v>
      </c>
      <c r="N1182" s="262" t="s">
        <v>2680</v>
      </c>
      <c r="O1182" s="390" t="s">
        <v>2686</v>
      </c>
      <c r="P1182" s="264" t="str">
        <f t="shared" si="47"/>
        <v>Arifin Metodi Bate'e</v>
      </c>
      <c r="Q1182" s="264" t="s">
        <v>2682</v>
      </c>
      <c r="R1182" s="528" t="s">
        <v>2683</v>
      </c>
      <c r="S1182" s="399">
        <v>34</v>
      </c>
      <c r="T1182" s="348" t="s">
        <v>3374</v>
      </c>
      <c r="U1182" s="520">
        <v>75000</v>
      </c>
      <c r="V1182" s="266">
        <v>2400000</v>
      </c>
      <c r="W1182" s="521" t="s">
        <v>2684</v>
      </c>
      <c r="X1182" s="264"/>
      <c r="Y1182" s="264"/>
      <c r="Z1182" s="528"/>
    </row>
    <row r="1183" spans="1:26">
      <c r="A1183" s="513">
        <v>1181</v>
      </c>
      <c r="B1183" s="390"/>
      <c r="C1183" s="515" t="s">
        <v>3328</v>
      </c>
      <c r="D1183" s="262" t="s">
        <v>3329</v>
      </c>
      <c r="E1183" s="513">
        <v>1182</v>
      </c>
      <c r="F1183" s="544" t="s">
        <v>3328</v>
      </c>
      <c r="G1183" s="543">
        <v>45644</v>
      </c>
      <c r="H1183" s="543">
        <v>45644</v>
      </c>
      <c r="I1183" s="543">
        <v>45644</v>
      </c>
      <c r="J1183" s="543">
        <v>45644</v>
      </c>
      <c r="K1183" s="517">
        <v>45644</v>
      </c>
      <c r="L1183" s="518" t="s">
        <v>2678</v>
      </c>
      <c r="M1183" s="264" t="s">
        <v>2679</v>
      </c>
      <c r="N1183" s="262" t="s">
        <v>2680</v>
      </c>
      <c r="O1183" s="390" t="s">
        <v>2688</v>
      </c>
      <c r="P1183" s="264" t="str">
        <f t="shared" si="47"/>
        <v>Ferdiwati Wau</v>
      </c>
      <c r="Q1183" s="264" t="s">
        <v>2682</v>
      </c>
      <c r="R1183" s="528" t="s">
        <v>2683</v>
      </c>
      <c r="S1183" s="399">
        <v>30</v>
      </c>
      <c r="T1183" s="348" t="s">
        <v>3374</v>
      </c>
      <c r="U1183" s="520">
        <v>75000</v>
      </c>
      <c r="V1183" s="266">
        <v>2175000</v>
      </c>
      <c r="W1183" s="521" t="s">
        <v>2684</v>
      </c>
      <c r="X1183" s="264"/>
      <c r="Y1183" s="264"/>
      <c r="Z1183" s="528"/>
    </row>
    <row r="1184" spans="1:26">
      <c r="A1184" s="513">
        <v>1182</v>
      </c>
      <c r="B1184" s="390"/>
      <c r="C1184" s="515" t="s">
        <v>3330</v>
      </c>
      <c r="D1184" s="262" t="s">
        <v>3331</v>
      </c>
      <c r="E1184" s="513">
        <v>1183</v>
      </c>
      <c r="F1184" s="544" t="s">
        <v>3330</v>
      </c>
      <c r="G1184" s="543">
        <v>45644</v>
      </c>
      <c r="H1184" s="543">
        <v>45644</v>
      </c>
      <c r="I1184" s="543">
        <v>45644</v>
      </c>
      <c r="J1184" s="543">
        <v>45644</v>
      </c>
      <c r="K1184" s="517">
        <v>45644</v>
      </c>
      <c r="L1184" s="518" t="s">
        <v>2678</v>
      </c>
      <c r="M1184" s="264" t="s">
        <v>2679</v>
      </c>
      <c r="N1184" s="262" t="s">
        <v>2680</v>
      </c>
      <c r="O1184" s="390" t="s">
        <v>2690</v>
      </c>
      <c r="P1184" s="264" t="str">
        <f t="shared" si="47"/>
        <v>Noni Alfanita Sarumaha, S.Pd</v>
      </c>
      <c r="Q1184" s="264" t="s">
        <v>2682</v>
      </c>
      <c r="R1184" s="528" t="s">
        <v>2683</v>
      </c>
      <c r="S1184" s="399">
        <v>33</v>
      </c>
      <c r="T1184" s="348" t="s">
        <v>3374</v>
      </c>
      <c r="U1184" s="520">
        <v>75000</v>
      </c>
      <c r="V1184" s="266">
        <v>2625000</v>
      </c>
      <c r="W1184" s="521" t="s">
        <v>2684</v>
      </c>
      <c r="X1184" s="264"/>
      <c r="Y1184" s="264"/>
      <c r="Z1184" s="528"/>
    </row>
    <row r="1185" spans="1:26">
      <c r="A1185" s="513">
        <v>1183</v>
      </c>
      <c r="B1185" s="390"/>
      <c r="C1185" s="515" t="s">
        <v>3332</v>
      </c>
      <c r="D1185" s="262" t="s">
        <v>3333</v>
      </c>
      <c r="E1185" s="513">
        <v>1184</v>
      </c>
      <c r="F1185" s="544" t="s">
        <v>3332</v>
      </c>
      <c r="G1185" s="543">
        <v>45644</v>
      </c>
      <c r="H1185" s="543">
        <v>45644</v>
      </c>
      <c r="I1185" s="543">
        <v>45644</v>
      </c>
      <c r="J1185" s="543">
        <v>45644</v>
      </c>
      <c r="K1185" s="517">
        <v>45644</v>
      </c>
      <c r="L1185" s="518" t="s">
        <v>2678</v>
      </c>
      <c r="M1185" s="264" t="s">
        <v>2679</v>
      </c>
      <c r="N1185" s="262" t="s">
        <v>2680</v>
      </c>
      <c r="O1185" s="390" t="s">
        <v>2692</v>
      </c>
      <c r="P1185" s="264" t="str">
        <f t="shared" si="47"/>
        <v>EMILA HAFO</v>
      </c>
      <c r="Q1185" s="264" t="s">
        <v>2682</v>
      </c>
      <c r="R1185" s="528" t="s">
        <v>2683</v>
      </c>
      <c r="S1185" s="399">
        <v>28</v>
      </c>
      <c r="T1185" s="348" t="s">
        <v>3374</v>
      </c>
      <c r="U1185" s="520">
        <v>75000</v>
      </c>
      <c r="V1185" s="266">
        <v>2475000</v>
      </c>
      <c r="W1185" s="521" t="s">
        <v>2684</v>
      </c>
      <c r="X1185" s="264"/>
      <c r="Y1185" s="264"/>
      <c r="Z1185" s="528"/>
    </row>
    <row r="1186" spans="1:26">
      <c r="A1186" s="513">
        <v>1184</v>
      </c>
      <c r="B1186" s="390"/>
      <c r="C1186" s="515" t="s">
        <v>3334</v>
      </c>
      <c r="D1186" s="262" t="s">
        <v>3335</v>
      </c>
      <c r="E1186" s="513">
        <v>1185</v>
      </c>
      <c r="F1186" s="544" t="s">
        <v>3334</v>
      </c>
      <c r="G1186" s="543">
        <v>45644</v>
      </c>
      <c r="H1186" s="543">
        <v>45644</v>
      </c>
      <c r="I1186" s="543">
        <v>45644</v>
      </c>
      <c r="J1186" s="543">
        <v>45644</v>
      </c>
      <c r="K1186" s="517">
        <v>45644</v>
      </c>
      <c r="L1186" s="518" t="s">
        <v>2678</v>
      </c>
      <c r="M1186" s="264" t="s">
        <v>2679</v>
      </c>
      <c r="N1186" s="262" t="s">
        <v>2680</v>
      </c>
      <c r="O1186" s="390" t="s">
        <v>2694</v>
      </c>
      <c r="P1186" s="264" t="str">
        <f t="shared" si="47"/>
        <v>Asep Nurhidayat</v>
      </c>
      <c r="Q1186" s="264" t="s">
        <v>2699</v>
      </c>
      <c r="R1186" s="528" t="s">
        <v>2700</v>
      </c>
      <c r="S1186" s="399">
        <v>33</v>
      </c>
      <c r="T1186" s="348" t="s">
        <v>3374</v>
      </c>
      <c r="U1186" s="520">
        <v>75000</v>
      </c>
      <c r="V1186" s="266">
        <v>1575000</v>
      </c>
      <c r="W1186" s="521" t="s">
        <v>2684</v>
      </c>
      <c r="X1186" s="264"/>
      <c r="Y1186" s="264"/>
      <c r="Z1186" s="528"/>
    </row>
    <row r="1187" spans="1:26">
      <c r="A1187" s="513">
        <v>1185</v>
      </c>
      <c r="B1187" s="390"/>
      <c r="C1187" s="515" t="s">
        <v>3336</v>
      </c>
      <c r="D1187" s="262" t="s">
        <v>3337</v>
      </c>
      <c r="E1187" s="513">
        <v>1186</v>
      </c>
      <c r="F1187" s="544" t="s">
        <v>3336</v>
      </c>
      <c r="G1187" s="543">
        <v>45644</v>
      </c>
      <c r="H1187" s="543">
        <v>45644</v>
      </c>
      <c r="I1187" s="543">
        <v>45644</v>
      </c>
      <c r="J1187" s="543">
        <v>45644</v>
      </c>
      <c r="K1187" s="517">
        <v>45644</v>
      </c>
      <c r="L1187" s="518" t="s">
        <v>2696</v>
      </c>
      <c r="M1187" s="264" t="s">
        <v>2679</v>
      </c>
      <c r="N1187" s="262" t="s">
        <v>2697</v>
      </c>
      <c r="O1187" s="390" t="s">
        <v>2698</v>
      </c>
      <c r="P1187" s="264" t="str">
        <f t="shared" si="47"/>
        <v>Estera Nehe</v>
      </c>
      <c r="Q1187" s="264" t="s">
        <v>2699</v>
      </c>
      <c r="R1187" s="528" t="s">
        <v>2700</v>
      </c>
      <c r="S1187" s="399">
        <v>1</v>
      </c>
      <c r="T1187" s="348" t="s">
        <v>3373</v>
      </c>
      <c r="U1187" s="520">
        <v>2000000</v>
      </c>
      <c r="V1187" s="266">
        <v>2000000</v>
      </c>
      <c r="W1187" s="521" t="s">
        <v>2684</v>
      </c>
      <c r="X1187" s="264"/>
      <c r="Y1187" s="264"/>
      <c r="Z1187" s="528"/>
    </row>
    <row r="1188" spans="1:26">
      <c r="A1188" s="513">
        <v>1186</v>
      </c>
      <c r="B1188" s="390"/>
      <c r="C1188" s="515" t="s">
        <v>3338</v>
      </c>
      <c r="D1188" s="262" t="s">
        <v>3339</v>
      </c>
      <c r="E1188" s="513">
        <v>1187</v>
      </c>
      <c r="F1188" s="544" t="s">
        <v>3338</v>
      </c>
      <c r="G1188" s="543">
        <v>45644</v>
      </c>
      <c r="H1188" s="543">
        <v>45644</v>
      </c>
      <c r="I1188" s="543">
        <v>45644</v>
      </c>
      <c r="J1188" s="543">
        <v>45644</v>
      </c>
      <c r="K1188" s="517">
        <v>45644</v>
      </c>
      <c r="L1188" s="518" t="s">
        <v>2696</v>
      </c>
      <c r="M1188" s="264" t="s">
        <v>2679</v>
      </c>
      <c r="N1188" s="262" t="s">
        <v>2697</v>
      </c>
      <c r="O1188" s="390" t="s">
        <v>2702</v>
      </c>
      <c r="P1188" s="264" t="str">
        <f t="shared" si="47"/>
        <v>Hatieli Buulolo</v>
      </c>
      <c r="Q1188" s="264" t="s">
        <v>2699</v>
      </c>
      <c r="R1188" s="528" t="s">
        <v>2700</v>
      </c>
      <c r="S1188" s="399">
        <v>1</v>
      </c>
      <c r="T1188" s="348" t="s">
        <v>3373</v>
      </c>
      <c r="U1188" s="520">
        <v>2000000</v>
      </c>
      <c r="V1188" s="266">
        <v>2000000</v>
      </c>
      <c r="W1188" s="521" t="s">
        <v>2684</v>
      </c>
      <c r="X1188" s="264"/>
      <c r="Y1188" s="264"/>
      <c r="Z1188" s="528"/>
    </row>
    <row r="1189" spans="1:26">
      <c r="A1189" s="513">
        <v>1187</v>
      </c>
      <c r="B1189" s="390"/>
      <c r="C1189" s="515" t="s">
        <v>3340</v>
      </c>
      <c r="D1189" s="262" t="s">
        <v>3341</v>
      </c>
      <c r="E1189" s="513">
        <v>1188</v>
      </c>
      <c r="F1189" s="544" t="s">
        <v>3340</v>
      </c>
      <c r="G1189" s="543">
        <v>45644</v>
      </c>
      <c r="H1189" s="543">
        <v>45644</v>
      </c>
      <c r="I1189" s="543">
        <v>45644</v>
      </c>
      <c r="J1189" s="543">
        <v>45644</v>
      </c>
      <c r="K1189" s="517">
        <v>45644</v>
      </c>
      <c r="L1189" s="518" t="s">
        <v>2696</v>
      </c>
      <c r="M1189" s="264" t="s">
        <v>2679</v>
      </c>
      <c r="N1189" s="262" t="s">
        <v>2697</v>
      </c>
      <c r="O1189" s="390" t="s">
        <v>2704</v>
      </c>
      <c r="P1189" s="264" t="str">
        <f t="shared" si="47"/>
        <v>David J. Sitinjak</v>
      </c>
      <c r="Q1189" s="264" t="s">
        <v>2699</v>
      </c>
      <c r="R1189" s="528" t="s">
        <v>2700</v>
      </c>
      <c r="S1189" s="399">
        <v>1</v>
      </c>
      <c r="T1189" s="348" t="s">
        <v>3373</v>
      </c>
      <c r="U1189" s="520">
        <v>2000000</v>
      </c>
      <c r="V1189" s="266">
        <v>2000000</v>
      </c>
      <c r="W1189" s="521" t="s">
        <v>2684</v>
      </c>
      <c r="X1189" s="264"/>
      <c r="Y1189" s="264"/>
      <c r="Z1189" s="528"/>
    </row>
    <row r="1190" spans="1:26">
      <c r="A1190" s="513">
        <v>1188</v>
      </c>
      <c r="B1190" s="390"/>
      <c r="C1190" s="515" t="s">
        <v>3342</v>
      </c>
      <c r="D1190" s="262" t="s">
        <v>3343</v>
      </c>
      <c r="E1190" s="513">
        <v>1189</v>
      </c>
      <c r="F1190" s="544" t="s">
        <v>3342</v>
      </c>
      <c r="G1190" s="543">
        <v>45644</v>
      </c>
      <c r="H1190" s="543">
        <v>45644</v>
      </c>
      <c r="I1190" s="543">
        <v>45644</v>
      </c>
      <c r="J1190" s="543">
        <v>45644</v>
      </c>
      <c r="K1190" s="517">
        <v>45644</v>
      </c>
      <c r="L1190" s="518" t="s">
        <v>2696</v>
      </c>
      <c r="M1190" s="264" t="s">
        <v>2679</v>
      </c>
      <c r="N1190" s="262" t="s">
        <v>2697</v>
      </c>
      <c r="O1190" s="390" t="s">
        <v>2706</v>
      </c>
      <c r="P1190" s="264" t="str">
        <f t="shared" si="47"/>
        <v>Siona Ziraluo</v>
      </c>
      <c r="Q1190" s="264" t="s">
        <v>2699</v>
      </c>
      <c r="R1190" s="528" t="s">
        <v>2700</v>
      </c>
      <c r="S1190" s="399">
        <v>1</v>
      </c>
      <c r="T1190" s="348" t="s">
        <v>3373</v>
      </c>
      <c r="U1190" s="520">
        <v>2000000</v>
      </c>
      <c r="V1190" s="266">
        <v>2000000</v>
      </c>
      <c r="W1190" s="521" t="s">
        <v>2684</v>
      </c>
      <c r="X1190" s="264"/>
      <c r="Y1190" s="264"/>
      <c r="Z1190" s="528"/>
    </row>
    <row r="1191" spans="1:26">
      <c r="A1191" s="513">
        <v>1189</v>
      </c>
      <c r="B1191" s="390"/>
      <c r="C1191" s="515" t="s">
        <v>3344</v>
      </c>
      <c r="D1191" s="262" t="s">
        <v>3345</v>
      </c>
      <c r="E1191" s="513">
        <v>1190</v>
      </c>
      <c r="F1191" s="544" t="s">
        <v>3344</v>
      </c>
      <c r="G1191" s="543">
        <v>45644</v>
      </c>
      <c r="H1191" s="543">
        <v>45644</v>
      </c>
      <c r="I1191" s="543">
        <v>45644</v>
      </c>
      <c r="J1191" s="543">
        <v>45644</v>
      </c>
      <c r="K1191" s="517">
        <v>45644</v>
      </c>
      <c r="L1191" s="518" t="s">
        <v>2696</v>
      </c>
      <c r="M1191" s="264" t="s">
        <v>2679</v>
      </c>
      <c r="N1191" s="262" t="s">
        <v>2697</v>
      </c>
      <c r="O1191" s="390" t="s">
        <v>2708</v>
      </c>
      <c r="P1191" s="264" t="str">
        <f t="shared" si="47"/>
        <v>Merdina Ziraluo</v>
      </c>
      <c r="Q1191" s="264" t="s">
        <v>2699</v>
      </c>
      <c r="R1191" s="528" t="s">
        <v>2700</v>
      </c>
      <c r="S1191" s="399">
        <v>1</v>
      </c>
      <c r="T1191" s="348" t="s">
        <v>3373</v>
      </c>
      <c r="U1191" s="520">
        <v>2000000</v>
      </c>
      <c r="V1191" s="266">
        <v>2000000</v>
      </c>
      <c r="W1191" s="521" t="s">
        <v>2684</v>
      </c>
      <c r="X1191" s="264"/>
      <c r="Y1191" s="264"/>
      <c r="Z1191" s="528"/>
    </row>
    <row r="1192" spans="1:26">
      <c r="A1192" s="513">
        <v>1190</v>
      </c>
      <c r="B1192" s="390"/>
      <c r="C1192" s="515" t="s">
        <v>3346</v>
      </c>
      <c r="D1192" s="262" t="s">
        <v>3347</v>
      </c>
      <c r="E1192" s="513">
        <v>1191</v>
      </c>
      <c r="F1192" s="544" t="s">
        <v>3346</v>
      </c>
      <c r="G1192" s="543">
        <v>45644</v>
      </c>
      <c r="H1192" s="543">
        <v>45644</v>
      </c>
      <c r="I1192" s="543">
        <v>45644</v>
      </c>
      <c r="J1192" s="543">
        <v>45644</v>
      </c>
      <c r="K1192" s="517">
        <v>45644</v>
      </c>
      <c r="L1192" s="518" t="s">
        <v>2696</v>
      </c>
      <c r="M1192" s="264" t="s">
        <v>2679</v>
      </c>
      <c r="N1192" s="262" t="s">
        <v>2697</v>
      </c>
      <c r="O1192" s="390" t="s">
        <v>3157</v>
      </c>
      <c r="P1192" s="264" t="str">
        <f t="shared" si="47"/>
        <v>Oksilia Buulolo, S.S</v>
      </c>
      <c r="Q1192" s="264" t="s">
        <v>2699</v>
      </c>
      <c r="R1192" s="528" t="s">
        <v>2700</v>
      </c>
      <c r="S1192" s="399">
        <v>1</v>
      </c>
      <c r="T1192" s="348" t="s">
        <v>3373</v>
      </c>
      <c r="U1192" s="520">
        <v>2000000</v>
      </c>
      <c r="V1192" s="266">
        <v>2000000</v>
      </c>
      <c r="W1192" s="521" t="s">
        <v>2684</v>
      </c>
      <c r="X1192" s="264"/>
      <c r="Y1192" s="264"/>
      <c r="Z1192" s="528"/>
    </row>
    <row r="1193" spans="1:26">
      <c r="A1193" s="513">
        <v>1191</v>
      </c>
      <c r="B1193" s="390"/>
      <c r="C1193" s="515" t="s">
        <v>3348</v>
      </c>
      <c r="D1193" s="262" t="s">
        <v>3349</v>
      </c>
      <c r="E1193" s="513">
        <v>1192</v>
      </c>
      <c r="F1193" s="544" t="s">
        <v>3348</v>
      </c>
      <c r="G1193" s="543">
        <v>45644</v>
      </c>
      <c r="H1193" s="543">
        <v>45644</v>
      </c>
      <c r="I1193" s="543">
        <v>45644</v>
      </c>
      <c r="J1193" s="543">
        <v>45644</v>
      </c>
      <c r="K1193" s="517">
        <v>45644</v>
      </c>
      <c r="L1193" s="518" t="s">
        <v>2696</v>
      </c>
      <c r="M1193" s="264" t="s">
        <v>2679</v>
      </c>
      <c r="N1193" s="262" t="s">
        <v>2697</v>
      </c>
      <c r="O1193" s="390" t="s">
        <v>3162</v>
      </c>
      <c r="P1193" s="264" t="str">
        <f t="shared" si="47"/>
        <v>Novika Efdimasari Halawa, S.S.I</v>
      </c>
      <c r="Q1193" s="264" t="s">
        <v>2699</v>
      </c>
      <c r="R1193" s="528" t="s">
        <v>2700</v>
      </c>
      <c r="S1193" s="399">
        <v>1</v>
      </c>
      <c r="T1193" s="348" t="s">
        <v>3373</v>
      </c>
      <c r="U1193" s="520">
        <v>2000000</v>
      </c>
      <c r="V1193" s="266">
        <v>2000000</v>
      </c>
      <c r="W1193" s="521" t="s">
        <v>2684</v>
      </c>
      <c r="X1193" s="264"/>
      <c r="Y1193" s="264"/>
      <c r="Z1193" s="528"/>
    </row>
    <row r="1194" spans="1:26">
      <c r="A1194" s="513">
        <v>1192</v>
      </c>
      <c r="B1194" s="390"/>
      <c r="C1194" s="515" t="s">
        <v>3350</v>
      </c>
      <c r="D1194" s="262" t="s">
        <v>3351</v>
      </c>
      <c r="E1194" s="513">
        <v>1193</v>
      </c>
      <c r="F1194" s="544" t="s">
        <v>3350</v>
      </c>
      <c r="G1194" s="543">
        <v>45644</v>
      </c>
      <c r="H1194" s="543">
        <v>45644</v>
      </c>
      <c r="I1194" s="543">
        <v>45644</v>
      </c>
      <c r="J1194" s="543">
        <v>45644</v>
      </c>
      <c r="K1194" s="517">
        <v>45644</v>
      </c>
      <c r="L1194" s="518" t="s">
        <v>1198</v>
      </c>
      <c r="M1194" s="264" t="s">
        <v>2679</v>
      </c>
      <c r="N1194" s="262" t="s">
        <v>2711</v>
      </c>
      <c r="O1194" s="524" t="s">
        <v>3081</v>
      </c>
      <c r="P1194" s="264" t="str">
        <f t="shared" si="47"/>
        <v>Zefrianus Zai</v>
      </c>
      <c r="Q1194" s="264" t="s">
        <v>2699</v>
      </c>
      <c r="R1194" s="528" t="s">
        <v>2700</v>
      </c>
      <c r="S1194" s="399">
        <v>1</v>
      </c>
      <c r="T1194" s="348" t="s">
        <v>3373</v>
      </c>
      <c r="U1194" s="520">
        <v>2000000</v>
      </c>
      <c r="V1194" s="266">
        <v>2000000</v>
      </c>
      <c r="W1194" s="521" t="s">
        <v>3168</v>
      </c>
      <c r="X1194" s="264"/>
      <c r="Y1194" s="264"/>
      <c r="Z1194" s="528"/>
    </row>
    <row r="1195" spans="1:26" ht="29">
      <c r="A1195" s="513">
        <v>1193</v>
      </c>
      <c r="B1195" s="390"/>
      <c r="C1195" s="515" t="s">
        <v>3352</v>
      </c>
      <c r="D1195" s="262" t="s">
        <v>3353</v>
      </c>
      <c r="E1195" s="513">
        <v>1194</v>
      </c>
      <c r="F1195" s="544" t="s">
        <v>3352</v>
      </c>
      <c r="G1195" s="543">
        <v>45645</v>
      </c>
      <c r="H1195" s="543">
        <v>45645</v>
      </c>
      <c r="I1195" s="543">
        <v>45645</v>
      </c>
      <c r="J1195" s="543">
        <v>45645</v>
      </c>
      <c r="K1195" s="517">
        <v>45645</v>
      </c>
      <c r="L1195" s="518" t="s">
        <v>584</v>
      </c>
      <c r="M1195" s="264" t="s">
        <v>2663</v>
      </c>
      <c r="N1195" s="262" t="s">
        <v>2186</v>
      </c>
      <c r="O1195" s="390" t="s">
        <v>2291</v>
      </c>
      <c r="P1195" s="264" t="str">
        <f t="shared" si="47"/>
        <v>Biaya Rekening Listrik--</v>
      </c>
      <c r="Q1195" s="264" t="s">
        <v>2664</v>
      </c>
      <c r="R1195" s="519" t="s">
        <v>2665</v>
      </c>
      <c r="S1195" s="399">
        <v>1</v>
      </c>
      <c r="T1195" s="348" t="s">
        <v>3373</v>
      </c>
      <c r="U1195" s="520">
        <v>2000000</v>
      </c>
      <c r="V1195" s="266">
        <v>2000000</v>
      </c>
      <c r="W1195" s="521" t="s">
        <v>2666</v>
      </c>
      <c r="X1195" s="521" t="s">
        <v>2659</v>
      </c>
      <c r="Y1195" s="522" t="s">
        <v>2660</v>
      </c>
      <c r="Z1195" s="523" t="s">
        <v>2661</v>
      </c>
    </row>
    <row r="1196" spans="1:26" ht="29">
      <c r="A1196" s="513">
        <v>1194</v>
      </c>
      <c r="B1196" s="390"/>
      <c r="C1196" s="515" t="s">
        <v>3354</v>
      </c>
      <c r="D1196" s="262" t="s">
        <v>3355</v>
      </c>
      <c r="E1196" s="513">
        <v>1195</v>
      </c>
      <c r="F1196" s="544" t="s">
        <v>3354</v>
      </c>
      <c r="G1196" s="543">
        <v>45645</v>
      </c>
      <c r="H1196" s="543">
        <v>45645</v>
      </c>
      <c r="I1196" s="543">
        <v>45645</v>
      </c>
      <c r="J1196" s="543">
        <v>45645</v>
      </c>
      <c r="K1196" s="517">
        <v>45645</v>
      </c>
      <c r="L1196" s="518" t="s">
        <v>590</v>
      </c>
      <c r="M1196" s="264" t="s">
        <v>2663</v>
      </c>
      <c r="N1196" s="262" t="s">
        <v>2187</v>
      </c>
      <c r="O1196" s="390" t="s">
        <v>2292</v>
      </c>
      <c r="P1196" s="264" t="str">
        <f t="shared" si="47"/>
        <v>Biaya Langganan Internet--</v>
      </c>
      <c r="Q1196" s="264" t="s">
        <v>2668</v>
      </c>
      <c r="R1196" s="519" t="s">
        <v>2669</v>
      </c>
      <c r="S1196" s="399">
        <v>1</v>
      </c>
      <c r="T1196" s="348" t="s">
        <v>3373</v>
      </c>
      <c r="U1196" s="520">
        <v>1500000</v>
      </c>
      <c r="V1196" s="266">
        <v>1500000</v>
      </c>
      <c r="W1196" s="521" t="s">
        <v>3381</v>
      </c>
      <c r="X1196" s="521" t="s">
        <v>2659</v>
      </c>
      <c r="Y1196" s="522" t="s">
        <v>2660</v>
      </c>
      <c r="Z1196" s="523" t="s">
        <v>2661</v>
      </c>
    </row>
    <row r="1197" spans="1:26" ht="29">
      <c r="A1197" s="513">
        <v>1195</v>
      </c>
      <c r="B1197" s="390"/>
      <c r="C1197" s="515" t="s">
        <v>3356</v>
      </c>
      <c r="D1197" s="262" t="s">
        <v>3357</v>
      </c>
      <c r="E1197" s="513">
        <v>1196</v>
      </c>
      <c r="F1197" s="544" t="s">
        <v>3356</v>
      </c>
      <c r="G1197" s="543">
        <v>45645</v>
      </c>
      <c r="H1197" s="543">
        <v>45645</v>
      </c>
      <c r="I1197" s="543">
        <v>45645</v>
      </c>
      <c r="J1197" s="543">
        <v>45645</v>
      </c>
      <c r="K1197" s="517">
        <v>45645</v>
      </c>
      <c r="L1197" s="518" t="s">
        <v>611</v>
      </c>
      <c r="M1197" s="264" t="s">
        <v>2587</v>
      </c>
      <c r="N1197" s="262" t="s">
        <v>2189</v>
      </c>
      <c r="O1197" s="390" t="s">
        <v>2294</v>
      </c>
      <c r="P1197" s="264" t="str">
        <f t="shared" si="47"/>
        <v>Belanja Jasa Tenaga Operator Komputer--</v>
      </c>
      <c r="Q1197" s="264" t="s">
        <v>2672</v>
      </c>
      <c r="R1197" s="528" t="s">
        <v>2673</v>
      </c>
      <c r="S1197" s="399">
        <v>1</v>
      </c>
      <c r="T1197" s="348" t="s">
        <v>3373</v>
      </c>
      <c r="U1197" s="520">
        <v>1000000</v>
      </c>
      <c r="V1197" s="266">
        <v>1000000</v>
      </c>
      <c r="W1197" s="521" t="s">
        <v>2659</v>
      </c>
      <c r="X1197" s="521" t="s">
        <v>2659</v>
      </c>
      <c r="Y1197" s="522" t="s">
        <v>2660</v>
      </c>
      <c r="Z1197" s="523" t="s">
        <v>2661</v>
      </c>
    </row>
    <row r="1198" spans="1:26" ht="29">
      <c r="A1198" s="513">
        <v>1196</v>
      </c>
      <c r="B1198" s="390"/>
      <c r="C1198" s="515" t="s">
        <v>3358</v>
      </c>
      <c r="D1198" s="262" t="s">
        <v>3359</v>
      </c>
      <c r="E1198" s="513">
        <v>1197</v>
      </c>
      <c r="F1198" s="544" t="s">
        <v>3358</v>
      </c>
      <c r="G1198" s="543">
        <v>45645</v>
      </c>
      <c r="H1198" s="543">
        <v>45645</v>
      </c>
      <c r="I1198" s="543">
        <v>45645</v>
      </c>
      <c r="J1198" s="543">
        <v>45645</v>
      </c>
      <c r="K1198" s="517">
        <v>45645</v>
      </c>
      <c r="L1198" s="518" t="s">
        <v>571</v>
      </c>
      <c r="M1198" s="264" t="s">
        <v>2649</v>
      </c>
      <c r="N1198" s="262" t="s">
        <v>2185</v>
      </c>
      <c r="O1198" s="390" t="s">
        <v>2287</v>
      </c>
      <c r="P1198" s="264" t="str">
        <f t="shared" si="47"/>
        <v>Spanduk Uk. 1 x 6 meter-</v>
      </c>
      <c r="Q1198" s="264" t="s">
        <v>2650</v>
      </c>
      <c r="R1198" s="528" t="s">
        <v>2651</v>
      </c>
      <c r="S1198" s="399">
        <v>2</v>
      </c>
      <c r="T1198" s="348" t="s">
        <v>3363</v>
      </c>
      <c r="U1198" s="520">
        <v>300000</v>
      </c>
      <c r="V1198" s="266">
        <v>900000</v>
      </c>
      <c r="W1198" s="521" t="s">
        <v>2652</v>
      </c>
      <c r="X1198" s="521" t="s">
        <v>2653</v>
      </c>
      <c r="Y1198" s="522" t="s">
        <v>2512</v>
      </c>
      <c r="Z1198" s="523" t="s">
        <v>541</v>
      </c>
    </row>
    <row r="1199" spans="1:26" ht="29">
      <c r="A1199" s="513">
        <v>1197</v>
      </c>
      <c r="B1199" s="547"/>
      <c r="C1199" s="515" t="s">
        <v>3360</v>
      </c>
      <c r="D1199" s="545" t="s">
        <v>3361</v>
      </c>
      <c r="E1199" s="513">
        <v>1198</v>
      </c>
      <c r="F1199" s="544" t="s">
        <v>3360</v>
      </c>
      <c r="G1199" s="543">
        <v>45645</v>
      </c>
      <c r="H1199" s="543">
        <v>45645</v>
      </c>
      <c r="I1199" s="543">
        <v>45645</v>
      </c>
      <c r="J1199" s="543">
        <v>45645</v>
      </c>
      <c r="K1199" s="546">
        <v>45645</v>
      </c>
      <c r="L1199" s="518" t="s">
        <v>2180</v>
      </c>
      <c r="M1199" s="264" t="s">
        <v>2587</v>
      </c>
      <c r="N1199" s="545" t="s">
        <v>1004</v>
      </c>
      <c r="O1199" s="547" t="s">
        <v>2297</v>
      </c>
      <c r="P1199" s="264" t="s">
        <v>2633</v>
      </c>
      <c r="Q1199" s="264" t="s">
        <v>280</v>
      </c>
      <c r="R1199" s="528" t="s">
        <v>165</v>
      </c>
      <c r="S1199" s="399">
        <v>60</v>
      </c>
      <c r="T1199" s="348" t="s">
        <v>3363</v>
      </c>
      <c r="U1199" s="520">
        <v>15000</v>
      </c>
      <c r="V1199" s="548">
        <v>900000</v>
      </c>
      <c r="W1199" s="521" t="s">
        <v>10</v>
      </c>
      <c r="X1199" s="264" t="s">
        <v>11</v>
      </c>
      <c r="Y1199" s="522" t="s">
        <v>2092</v>
      </c>
      <c r="Z1199" s="523" t="s">
        <v>2634</v>
      </c>
    </row>
    <row r="1200" spans="1:26">
      <c r="A1200" s="581"/>
    </row>
    <row r="1201" spans="1:1">
      <c r="A1201" s="581"/>
    </row>
    <row r="1202" spans="1:1">
      <c r="A1202" s="581"/>
    </row>
    <row r="1203" spans="1:1">
      <c r="A1203" s="581"/>
    </row>
    <row r="1204" spans="1:1">
      <c r="A1204" s="581"/>
    </row>
    <row r="1205" spans="1:1">
      <c r="A1205" s="581"/>
    </row>
    <row r="1206" spans="1:1">
      <c r="A1206" s="581"/>
    </row>
    <row r="1207" spans="1:1">
      <c r="A1207" s="581"/>
    </row>
    <row r="1208" spans="1:1">
      <c r="A1208" s="581"/>
    </row>
    <row r="1209" spans="1:1">
      <c r="A1209" s="581"/>
    </row>
    <row r="1210" spans="1:1">
      <c r="A1210" s="581"/>
    </row>
    <row r="1211" spans="1:1">
      <c r="A1211" s="581"/>
    </row>
    <row r="1212" spans="1:1">
      <c r="A1212" s="581"/>
    </row>
    <row r="1213" spans="1:1">
      <c r="A1213" s="581"/>
    </row>
    <row r="1214" spans="1:1">
      <c r="A1214" s="581"/>
    </row>
    <row r="1215" spans="1:1">
      <c r="A1215" s="581"/>
    </row>
    <row r="1216" spans="1:1">
      <c r="A1216" s="581"/>
    </row>
    <row r="1217" spans="1:1">
      <c r="A1217" s="581"/>
    </row>
    <row r="1218" spans="1:1">
      <c r="A1218" s="581"/>
    </row>
    <row r="1219" spans="1:1">
      <c r="A1219" s="581"/>
    </row>
    <row r="1220" spans="1:1">
      <c r="A1220" s="581"/>
    </row>
    <row r="1221" spans="1:1">
      <c r="A1221" s="581"/>
    </row>
    <row r="1222" spans="1:1">
      <c r="A1222" s="581"/>
    </row>
    <row r="1223" spans="1:1">
      <c r="A1223" s="581"/>
    </row>
    <row r="1224" spans="1:1">
      <c r="A1224" s="581"/>
    </row>
    <row r="1225" spans="1:1">
      <c r="A1225" s="581"/>
    </row>
    <row r="1226" spans="1:1">
      <c r="A1226" s="581"/>
    </row>
    <row r="1227" spans="1:1">
      <c r="A1227" s="581"/>
    </row>
    <row r="1228" spans="1:1">
      <c r="A1228" s="581"/>
    </row>
    <row r="1229" spans="1:1">
      <c r="A1229" s="581"/>
    </row>
    <row r="1230" spans="1:1">
      <c r="A1230" s="581"/>
    </row>
    <row r="1231" spans="1:1">
      <c r="A1231" s="581"/>
    </row>
    <row r="1232" spans="1:1">
      <c r="A1232" s="581"/>
    </row>
    <row r="1233" spans="1:1">
      <c r="A1233" s="581"/>
    </row>
    <row r="1234" spans="1:1">
      <c r="A1234" s="581"/>
    </row>
    <row r="1235" spans="1:1">
      <c r="A1235" s="581"/>
    </row>
    <row r="1236" spans="1:1">
      <c r="A1236" s="581"/>
    </row>
    <row r="1237" spans="1:1">
      <c r="A1237" s="581"/>
    </row>
    <row r="1238" spans="1:1">
      <c r="A1238" s="581"/>
    </row>
    <row r="1239" spans="1:1">
      <c r="A1239" s="581"/>
    </row>
    <row r="1240" spans="1:1">
      <c r="A1240" s="581"/>
    </row>
    <row r="1241" spans="1:1">
      <c r="A1241" s="581"/>
    </row>
    <row r="1242" spans="1:1">
      <c r="A1242" s="581"/>
    </row>
    <row r="1243" spans="1:1">
      <c r="A1243" s="581"/>
    </row>
    <row r="1244" spans="1:1">
      <c r="A1244" s="581"/>
    </row>
    <row r="1245" spans="1:1">
      <c r="A1245" s="581"/>
    </row>
    <row r="1246" spans="1:1">
      <c r="A1246" s="581"/>
    </row>
    <row r="1247" spans="1:1">
      <c r="A1247" s="581"/>
    </row>
    <row r="1248" spans="1:1">
      <c r="A1248" s="581"/>
    </row>
    <row r="1249" spans="1:1">
      <c r="A1249" s="581"/>
    </row>
    <row r="1250" spans="1:1">
      <c r="A1250" s="581"/>
    </row>
    <row r="1251" spans="1:1">
      <c r="A1251" s="581"/>
    </row>
    <row r="1252" spans="1:1">
      <c r="A1252" s="581"/>
    </row>
    <row r="1253" spans="1:1">
      <c r="A1253" s="581"/>
    </row>
    <row r="1254" spans="1:1">
      <c r="A1254" s="581"/>
    </row>
    <row r="1255" spans="1:1">
      <c r="A1255" s="581"/>
    </row>
    <row r="1256" spans="1:1">
      <c r="A1256" s="581"/>
    </row>
    <row r="1257" spans="1:1">
      <c r="A1257" s="581"/>
    </row>
    <row r="1258" spans="1:1">
      <c r="A1258" s="581"/>
    </row>
  </sheetData>
  <conditionalFormatting sqref="O3">
    <cfRule type="expression" dxfId="7" priority="3">
      <formula>$T3="BELUM"</formula>
    </cfRule>
    <cfRule type="expression" dxfId="6" priority="4">
      <formula>$T3="MASUK BKU"</formula>
    </cfRule>
  </conditionalFormatting>
  <conditionalFormatting sqref="B3:B498">
    <cfRule type="expression" dxfId="5" priority="1">
      <formula>$T3="BELUM"</formula>
    </cfRule>
    <cfRule type="expression" dxfId="4" priority="2">
      <formula>$T3="MASUK BKU"</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1:E653"/>
  <sheetViews>
    <sheetView zoomScale="70" zoomScaleNormal="70" workbookViewId="0">
      <selection activeCell="J13" sqref="J13"/>
    </sheetView>
  </sheetViews>
  <sheetFormatPr defaultRowHeight="14.5"/>
  <cols>
    <col min="3" max="3" width="15.7265625" style="135" customWidth="1"/>
    <col min="5" max="5" width="14.54296875" style="222" customWidth="1"/>
  </cols>
  <sheetData>
    <row r="1" spans="3:5" ht="15.5" thickTop="1" thickBot="1">
      <c r="C1" s="138" t="s">
        <v>383</v>
      </c>
      <c r="E1" s="222" t="s">
        <v>1562</v>
      </c>
    </row>
    <row r="2" spans="3:5" ht="15" thickTop="1">
      <c r="C2" s="137" t="s">
        <v>226</v>
      </c>
      <c r="D2" s="332"/>
      <c r="E2" s="223" t="s">
        <v>1542</v>
      </c>
    </row>
    <row r="3" spans="3:5">
      <c r="C3" s="136" t="s">
        <v>266</v>
      </c>
      <c r="D3" s="331"/>
      <c r="E3" s="223" t="s">
        <v>1544</v>
      </c>
    </row>
    <row r="4" spans="3:5">
      <c r="C4" s="136" t="s">
        <v>277</v>
      </c>
      <c r="D4" s="331"/>
      <c r="E4" s="223" t="s">
        <v>1546</v>
      </c>
    </row>
    <row r="5" spans="3:5">
      <c r="C5" s="136" t="s">
        <v>279</v>
      </c>
      <c r="D5" s="331"/>
      <c r="E5" s="223" t="s">
        <v>1547</v>
      </c>
    </row>
    <row r="6" spans="3:5">
      <c r="C6" s="136" t="s">
        <v>281</v>
      </c>
      <c r="D6" s="331"/>
      <c r="E6" s="223" t="s">
        <v>1548</v>
      </c>
    </row>
    <row r="7" spans="3:5">
      <c r="C7" s="136" t="s">
        <v>283</v>
      </c>
      <c r="D7" s="331"/>
      <c r="E7" s="223" t="s">
        <v>1549</v>
      </c>
    </row>
    <row r="8" spans="3:5">
      <c r="C8" s="136" t="s">
        <v>284</v>
      </c>
      <c r="D8" s="331"/>
      <c r="E8" s="223" t="s">
        <v>1550</v>
      </c>
    </row>
    <row r="9" spans="3:5">
      <c r="C9" s="136" t="s">
        <v>285</v>
      </c>
      <c r="D9" s="331"/>
      <c r="E9" s="223" t="s">
        <v>1551</v>
      </c>
    </row>
    <row r="10" spans="3:5">
      <c r="C10" s="136" t="s">
        <v>286</v>
      </c>
      <c r="D10" s="331"/>
      <c r="E10" s="223" t="s">
        <v>1552</v>
      </c>
    </row>
    <row r="11" spans="3:5">
      <c r="C11" s="136" t="s">
        <v>287</v>
      </c>
      <c r="D11" s="331"/>
      <c r="E11" s="222">
        <v>10</v>
      </c>
    </row>
    <row r="12" spans="3:5">
      <c r="C12" s="136" t="s">
        <v>290</v>
      </c>
      <c r="D12" s="331"/>
      <c r="E12" s="222">
        <v>11</v>
      </c>
    </row>
    <row r="13" spans="3:5">
      <c r="C13" s="136" t="s">
        <v>291</v>
      </c>
      <c r="D13" s="331"/>
      <c r="E13" s="222">
        <v>12</v>
      </c>
    </row>
    <row r="14" spans="3:5">
      <c r="C14" s="136" t="s">
        <v>292</v>
      </c>
      <c r="D14" s="331"/>
      <c r="E14" s="222">
        <v>13</v>
      </c>
    </row>
    <row r="15" spans="3:5">
      <c r="C15" s="136" t="s">
        <v>293</v>
      </c>
      <c r="D15" s="331"/>
      <c r="E15" s="222">
        <v>14</v>
      </c>
    </row>
    <row r="16" spans="3:5">
      <c r="C16" s="136" t="s">
        <v>294</v>
      </c>
      <c r="D16" s="331"/>
      <c r="E16" s="222">
        <v>15</v>
      </c>
    </row>
    <row r="17" spans="3:5">
      <c r="C17" s="136" t="s">
        <v>295</v>
      </c>
      <c r="D17" s="331"/>
      <c r="E17" s="222">
        <v>16</v>
      </c>
    </row>
    <row r="18" spans="3:5">
      <c r="C18" s="136" t="s">
        <v>298</v>
      </c>
      <c r="D18" s="331"/>
      <c r="E18" s="222">
        <v>17</v>
      </c>
    </row>
    <row r="19" spans="3:5">
      <c r="C19" s="136" t="s">
        <v>299</v>
      </c>
      <c r="D19" s="331"/>
      <c r="E19" s="222">
        <v>18</v>
      </c>
    </row>
    <row r="20" spans="3:5">
      <c r="C20" s="136" t="s">
        <v>300</v>
      </c>
      <c r="D20" s="331"/>
      <c r="E20" s="222">
        <v>19</v>
      </c>
    </row>
    <row r="21" spans="3:5">
      <c r="C21" s="136" t="s">
        <v>336</v>
      </c>
      <c r="D21" s="331"/>
      <c r="E21" s="222">
        <v>20</v>
      </c>
    </row>
    <row r="22" spans="3:5">
      <c r="C22" s="136" t="s">
        <v>337</v>
      </c>
      <c r="D22" s="331"/>
      <c r="E22" s="222">
        <v>21</v>
      </c>
    </row>
    <row r="23" spans="3:5">
      <c r="C23" s="136" t="s">
        <v>301</v>
      </c>
      <c r="D23" s="331"/>
      <c r="E23" s="222">
        <v>22</v>
      </c>
    </row>
    <row r="24" spans="3:5">
      <c r="C24" s="136" t="s">
        <v>302</v>
      </c>
      <c r="D24" s="331"/>
      <c r="E24" s="222">
        <v>23</v>
      </c>
    </row>
    <row r="25" spans="3:5">
      <c r="C25" s="136" t="s">
        <v>305</v>
      </c>
      <c r="D25" s="331"/>
      <c r="E25" s="222">
        <v>24</v>
      </c>
    </row>
    <row r="26" spans="3:5">
      <c r="C26" s="136" t="s">
        <v>307</v>
      </c>
      <c r="D26" s="331"/>
      <c r="E26" s="222">
        <v>25</v>
      </c>
    </row>
    <row r="27" spans="3:5">
      <c r="C27" s="136" t="s">
        <v>338</v>
      </c>
      <c r="D27" s="331"/>
      <c r="E27" s="222">
        <v>26</v>
      </c>
    </row>
    <row r="28" spans="3:5">
      <c r="C28" s="136" t="s">
        <v>339</v>
      </c>
      <c r="D28" s="331"/>
      <c r="E28" s="222">
        <v>27</v>
      </c>
    </row>
    <row r="29" spans="3:5">
      <c r="C29" s="136" t="s">
        <v>340</v>
      </c>
      <c r="D29" s="331"/>
      <c r="E29" s="222">
        <v>28</v>
      </c>
    </row>
    <row r="30" spans="3:5">
      <c r="C30" s="136" t="s">
        <v>341</v>
      </c>
      <c r="D30" s="331"/>
      <c r="E30" s="222">
        <v>29</v>
      </c>
    </row>
    <row r="31" spans="3:5">
      <c r="C31" s="136" t="s">
        <v>342</v>
      </c>
      <c r="D31" s="331"/>
      <c r="E31" s="222">
        <v>30</v>
      </c>
    </row>
    <row r="32" spans="3:5">
      <c r="C32" s="136" t="s">
        <v>343</v>
      </c>
      <c r="D32" s="331"/>
      <c r="E32" s="222">
        <v>31</v>
      </c>
    </row>
    <row r="33" spans="3:5">
      <c r="C33" s="136" t="s">
        <v>344</v>
      </c>
      <c r="D33" s="331"/>
      <c r="E33" s="222">
        <v>32</v>
      </c>
    </row>
    <row r="34" spans="3:5">
      <c r="C34" s="136" t="s">
        <v>345</v>
      </c>
      <c r="D34" s="331"/>
      <c r="E34" s="222">
        <v>33</v>
      </c>
    </row>
    <row r="35" spans="3:5">
      <c r="C35" s="136" t="s">
        <v>346</v>
      </c>
      <c r="D35" s="331"/>
      <c r="E35" s="222">
        <v>34</v>
      </c>
    </row>
    <row r="36" spans="3:5">
      <c r="C36" s="136" t="s">
        <v>347</v>
      </c>
      <c r="D36" s="331"/>
      <c r="E36" s="222">
        <v>35</v>
      </c>
    </row>
    <row r="37" spans="3:5">
      <c r="C37" s="136" t="s">
        <v>348</v>
      </c>
      <c r="D37" s="331"/>
      <c r="E37" s="222">
        <v>36</v>
      </c>
    </row>
    <row r="38" spans="3:5">
      <c r="C38" s="136" t="s">
        <v>349</v>
      </c>
      <c r="D38" s="331"/>
      <c r="E38" s="222">
        <v>37</v>
      </c>
    </row>
    <row r="39" spans="3:5">
      <c r="C39" s="136" t="s">
        <v>308</v>
      </c>
      <c r="D39" s="331"/>
      <c r="E39" s="222">
        <v>38</v>
      </c>
    </row>
    <row r="40" spans="3:5">
      <c r="C40" s="136" t="s">
        <v>309</v>
      </c>
      <c r="D40" s="331"/>
      <c r="E40" s="222">
        <v>39</v>
      </c>
    </row>
    <row r="41" spans="3:5">
      <c r="C41" s="136" t="s">
        <v>310</v>
      </c>
      <c r="D41" s="331"/>
      <c r="E41" s="222">
        <v>40</v>
      </c>
    </row>
    <row r="42" spans="3:5">
      <c r="C42" s="136" t="s">
        <v>311</v>
      </c>
      <c r="D42" s="331"/>
      <c r="E42" s="222">
        <v>41</v>
      </c>
    </row>
    <row r="43" spans="3:5">
      <c r="C43" s="136" t="s">
        <v>312</v>
      </c>
      <c r="D43" s="331"/>
      <c r="E43" s="222">
        <v>42</v>
      </c>
    </row>
    <row r="44" spans="3:5">
      <c r="C44" s="136" t="s">
        <v>314</v>
      </c>
      <c r="D44" s="331"/>
      <c r="E44" s="222">
        <v>43</v>
      </c>
    </row>
    <row r="45" spans="3:5">
      <c r="C45" s="136" t="s">
        <v>315</v>
      </c>
      <c r="D45" s="331"/>
      <c r="E45" s="222">
        <v>44</v>
      </c>
    </row>
    <row r="46" spans="3:5">
      <c r="C46" s="136" t="s">
        <v>316</v>
      </c>
      <c r="D46" s="331"/>
      <c r="E46" s="222">
        <v>45</v>
      </c>
    </row>
    <row r="47" spans="3:5">
      <c r="C47" s="136" t="s">
        <v>317</v>
      </c>
      <c r="D47" s="331"/>
      <c r="E47" s="222">
        <v>46</v>
      </c>
    </row>
    <row r="48" spans="3:5">
      <c r="C48" s="136" t="s">
        <v>318</v>
      </c>
      <c r="D48" s="331"/>
      <c r="E48" s="222">
        <v>47</v>
      </c>
    </row>
    <row r="49" spans="3:5">
      <c r="C49" s="136" t="s">
        <v>350</v>
      </c>
      <c r="D49" s="331"/>
      <c r="E49" s="222">
        <v>48</v>
      </c>
    </row>
    <row r="50" spans="3:5">
      <c r="C50" s="136" t="s">
        <v>319</v>
      </c>
      <c r="D50" s="331"/>
      <c r="E50" s="222">
        <v>49</v>
      </c>
    </row>
    <row r="51" spans="3:5">
      <c r="C51" s="136" t="s">
        <v>351</v>
      </c>
      <c r="D51" s="331"/>
      <c r="E51" s="222">
        <v>50</v>
      </c>
    </row>
    <row r="52" spans="3:5">
      <c r="C52" s="136" t="s">
        <v>352</v>
      </c>
      <c r="D52" s="331"/>
      <c r="E52" s="222">
        <v>51</v>
      </c>
    </row>
    <row r="53" spans="3:5">
      <c r="C53" s="136" t="s">
        <v>320</v>
      </c>
      <c r="D53" s="331"/>
      <c r="E53" s="222">
        <v>52</v>
      </c>
    </row>
    <row r="54" spans="3:5">
      <c r="C54" s="136" t="s">
        <v>313</v>
      </c>
      <c r="D54" s="331"/>
      <c r="E54" s="222">
        <v>53</v>
      </c>
    </row>
    <row r="55" spans="3:5">
      <c r="C55" s="136" t="s">
        <v>353</v>
      </c>
      <c r="D55" s="331"/>
      <c r="E55" s="222">
        <v>54</v>
      </c>
    </row>
    <row r="56" spans="3:5">
      <c r="C56" s="136" t="s">
        <v>354</v>
      </c>
      <c r="D56" s="331"/>
      <c r="E56" s="222">
        <v>55</v>
      </c>
    </row>
    <row r="57" spans="3:5">
      <c r="C57" s="136" t="s">
        <v>355</v>
      </c>
      <c r="D57" s="331"/>
      <c r="E57" s="222">
        <v>56</v>
      </c>
    </row>
    <row r="58" spans="3:5">
      <c r="C58" s="136" t="s">
        <v>356</v>
      </c>
      <c r="D58" s="331"/>
      <c r="E58" s="222">
        <v>57</v>
      </c>
    </row>
    <row r="59" spans="3:5">
      <c r="C59" s="136" t="s">
        <v>357</v>
      </c>
      <c r="D59" s="331"/>
      <c r="E59" s="222">
        <v>58</v>
      </c>
    </row>
    <row r="60" spans="3:5">
      <c r="C60" s="136" t="s">
        <v>358</v>
      </c>
      <c r="D60" s="331"/>
      <c r="E60" s="222">
        <v>59</v>
      </c>
    </row>
    <row r="61" spans="3:5">
      <c r="C61" s="136" t="s">
        <v>359</v>
      </c>
      <c r="D61" s="331"/>
      <c r="E61" s="222">
        <v>60</v>
      </c>
    </row>
    <row r="62" spans="3:5">
      <c r="C62" s="136" t="s">
        <v>360</v>
      </c>
      <c r="D62" s="331"/>
      <c r="E62" s="222">
        <v>61</v>
      </c>
    </row>
    <row r="63" spans="3:5">
      <c r="C63" s="136" t="s">
        <v>361</v>
      </c>
      <c r="D63" s="331"/>
      <c r="E63" s="222">
        <v>62</v>
      </c>
    </row>
    <row r="64" spans="3:5">
      <c r="C64" s="136" t="s">
        <v>362</v>
      </c>
      <c r="D64" s="331"/>
      <c r="E64" s="222">
        <v>63</v>
      </c>
    </row>
    <row r="65" spans="3:5">
      <c r="C65" s="136" t="s">
        <v>363</v>
      </c>
      <c r="D65" s="331"/>
      <c r="E65" s="222">
        <v>64</v>
      </c>
    </row>
    <row r="66" spans="3:5">
      <c r="C66" s="136" t="s">
        <v>364</v>
      </c>
      <c r="D66" s="331"/>
      <c r="E66" s="222">
        <v>65</v>
      </c>
    </row>
    <row r="67" spans="3:5">
      <c r="C67" s="136" t="s">
        <v>365</v>
      </c>
      <c r="D67" s="331"/>
      <c r="E67" s="222">
        <v>66</v>
      </c>
    </row>
    <row r="68" spans="3:5">
      <c r="C68" s="136" t="s">
        <v>321</v>
      </c>
      <c r="D68" s="331"/>
      <c r="E68" s="222">
        <v>67</v>
      </c>
    </row>
    <row r="69" spans="3:5">
      <c r="C69" s="136" t="s">
        <v>322</v>
      </c>
      <c r="D69" s="331"/>
      <c r="E69" s="222">
        <v>68</v>
      </c>
    </row>
    <row r="70" spans="3:5">
      <c r="C70" s="136" t="s">
        <v>323</v>
      </c>
      <c r="D70" s="331"/>
      <c r="E70" s="222">
        <v>69</v>
      </c>
    </row>
    <row r="71" spans="3:5">
      <c r="C71" s="136" t="s">
        <v>324</v>
      </c>
      <c r="D71" s="331"/>
      <c r="E71" s="222">
        <v>70</v>
      </c>
    </row>
    <row r="72" spans="3:5">
      <c r="C72" s="136" t="s">
        <v>325</v>
      </c>
      <c r="D72" s="331"/>
      <c r="E72" s="222">
        <v>71</v>
      </c>
    </row>
    <row r="73" spans="3:5">
      <c r="C73" s="136" t="s">
        <v>326</v>
      </c>
      <c r="D73" s="331"/>
      <c r="E73" s="222">
        <v>72</v>
      </c>
    </row>
    <row r="74" spans="3:5">
      <c r="C74" s="136" t="s">
        <v>327</v>
      </c>
      <c r="D74" s="331"/>
      <c r="E74" s="222">
        <v>73</v>
      </c>
    </row>
    <row r="75" spans="3:5">
      <c r="C75" s="136" t="s">
        <v>329</v>
      </c>
      <c r="D75" s="331"/>
      <c r="E75" s="222">
        <v>74</v>
      </c>
    </row>
    <row r="76" spans="3:5">
      <c r="C76" s="136" t="s">
        <v>330</v>
      </c>
      <c r="D76" s="331"/>
      <c r="E76" s="222">
        <v>75</v>
      </c>
    </row>
    <row r="77" spans="3:5">
      <c r="C77" s="136" t="s">
        <v>331</v>
      </c>
      <c r="D77" s="331"/>
      <c r="E77" s="222">
        <v>76</v>
      </c>
    </row>
    <row r="78" spans="3:5">
      <c r="C78" s="136" t="s">
        <v>366</v>
      </c>
      <c r="D78" s="331"/>
      <c r="E78" s="222">
        <v>77</v>
      </c>
    </row>
    <row r="79" spans="3:5">
      <c r="C79" s="136" t="s">
        <v>367</v>
      </c>
      <c r="D79" s="331"/>
      <c r="E79" s="222">
        <v>78</v>
      </c>
    </row>
    <row r="80" spans="3:5">
      <c r="C80" s="136" t="s">
        <v>332</v>
      </c>
      <c r="D80" s="331"/>
      <c r="E80" s="222">
        <v>79</v>
      </c>
    </row>
    <row r="81" spans="3:5">
      <c r="C81" s="136" t="s">
        <v>333</v>
      </c>
      <c r="D81" s="331"/>
      <c r="E81" s="222">
        <v>80</v>
      </c>
    </row>
    <row r="82" spans="3:5">
      <c r="C82" s="136" t="s">
        <v>368</v>
      </c>
      <c r="D82" s="331"/>
      <c r="E82" s="222">
        <v>81</v>
      </c>
    </row>
    <row r="83" spans="3:5">
      <c r="C83" s="136" t="s">
        <v>369</v>
      </c>
      <c r="D83" s="331"/>
      <c r="E83" s="222">
        <v>82</v>
      </c>
    </row>
    <row r="84" spans="3:5">
      <c r="C84" s="136" t="s">
        <v>370</v>
      </c>
      <c r="D84" s="331"/>
      <c r="E84" s="222">
        <v>83</v>
      </c>
    </row>
    <row r="85" spans="3:5">
      <c r="C85" s="136" t="s">
        <v>371</v>
      </c>
      <c r="D85" s="331"/>
      <c r="E85" s="222">
        <v>84</v>
      </c>
    </row>
    <row r="86" spans="3:5">
      <c r="C86" s="136" t="s">
        <v>372</v>
      </c>
      <c r="D86" s="331"/>
      <c r="E86" s="222">
        <v>85</v>
      </c>
    </row>
    <row r="87" spans="3:5">
      <c r="C87" s="136" t="s">
        <v>373</v>
      </c>
      <c r="D87" s="331"/>
      <c r="E87" s="222">
        <v>86</v>
      </c>
    </row>
    <row r="88" spans="3:5">
      <c r="C88" s="136" t="s">
        <v>374</v>
      </c>
      <c r="D88" s="331"/>
      <c r="E88" s="222">
        <v>87</v>
      </c>
    </row>
    <row r="89" spans="3:5">
      <c r="C89" s="136" t="s">
        <v>375</v>
      </c>
      <c r="D89" s="331"/>
      <c r="E89" s="222">
        <v>88</v>
      </c>
    </row>
    <row r="90" spans="3:5">
      <c r="C90" s="136" t="s">
        <v>376</v>
      </c>
      <c r="D90" s="331"/>
      <c r="E90" s="222">
        <v>89</v>
      </c>
    </row>
    <row r="91" spans="3:5">
      <c r="C91" s="136" t="s">
        <v>377</v>
      </c>
      <c r="D91" s="331"/>
      <c r="E91" s="222">
        <v>90</v>
      </c>
    </row>
    <row r="92" spans="3:5">
      <c r="C92" s="136" t="s">
        <v>378</v>
      </c>
      <c r="D92" s="331"/>
      <c r="E92" s="222">
        <v>91</v>
      </c>
    </row>
    <row r="93" spans="3:5">
      <c r="C93" s="136" t="s">
        <v>379</v>
      </c>
      <c r="D93" s="331"/>
      <c r="E93" s="222">
        <v>92</v>
      </c>
    </row>
    <row r="94" spans="3:5">
      <c r="C94" s="136" t="s">
        <v>380</v>
      </c>
      <c r="D94" s="331"/>
      <c r="E94" s="222">
        <v>93</v>
      </c>
    </row>
    <row r="95" spans="3:5">
      <c r="C95" s="136" t="s">
        <v>381</v>
      </c>
      <c r="D95" s="331"/>
      <c r="E95" s="222">
        <v>94</v>
      </c>
    </row>
    <row r="96" spans="3:5">
      <c r="C96" s="136" t="s">
        <v>334</v>
      </c>
      <c r="D96" s="331"/>
      <c r="E96" s="222">
        <v>95</v>
      </c>
    </row>
    <row r="97" spans="3:5">
      <c r="C97" s="136" t="s">
        <v>335</v>
      </c>
      <c r="D97" s="331"/>
      <c r="E97" s="222">
        <v>96</v>
      </c>
    </row>
    <row r="98" spans="3:5">
      <c r="C98" s="136" t="s">
        <v>382</v>
      </c>
      <c r="D98" s="331"/>
      <c r="E98" s="222">
        <v>97</v>
      </c>
    </row>
    <row r="99" spans="3:5">
      <c r="C99" s="136" t="s">
        <v>328</v>
      </c>
      <c r="D99" s="331"/>
      <c r="E99" s="222">
        <v>98</v>
      </c>
    </row>
    <row r="100" spans="3:5">
      <c r="C100" s="136" t="s">
        <v>384</v>
      </c>
      <c r="D100" s="331"/>
      <c r="E100" s="222">
        <v>99</v>
      </c>
    </row>
    <row r="101" spans="3:5">
      <c r="C101" s="136" t="s">
        <v>385</v>
      </c>
      <c r="D101" s="331"/>
      <c r="E101" s="222">
        <v>100</v>
      </c>
    </row>
    <row r="102" spans="3:5">
      <c r="C102" s="136" t="s">
        <v>386</v>
      </c>
      <c r="D102" s="331"/>
      <c r="E102" s="222">
        <v>101</v>
      </c>
    </row>
    <row r="103" spans="3:5">
      <c r="C103" s="136" t="s">
        <v>387</v>
      </c>
      <c r="D103" s="331"/>
      <c r="E103" s="222">
        <v>102</v>
      </c>
    </row>
    <row r="104" spans="3:5">
      <c r="C104" s="136" t="s">
        <v>388</v>
      </c>
      <c r="D104" s="331"/>
      <c r="E104" s="222">
        <v>103</v>
      </c>
    </row>
    <row r="105" spans="3:5">
      <c r="C105" s="136" t="s">
        <v>389</v>
      </c>
      <c r="D105" s="331"/>
      <c r="E105" s="222">
        <v>104</v>
      </c>
    </row>
    <row r="106" spans="3:5">
      <c r="C106" s="136" t="s">
        <v>390</v>
      </c>
      <c r="D106" s="331"/>
      <c r="E106" s="222">
        <v>105</v>
      </c>
    </row>
    <row r="107" spans="3:5">
      <c r="C107" s="136" t="s">
        <v>391</v>
      </c>
      <c r="D107" s="331"/>
      <c r="E107" s="222">
        <v>106</v>
      </c>
    </row>
    <row r="108" spans="3:5">
      <c r="C108" s="136" t="s">
        <v>392</v>
      </c>
      <c r="D108" s="331"/>
      <c r="E108" s="222">
        <v>107</v>
      </c>
    </row>
    <row r="109" spans="3:5">
      <c r="C109" s="136" t="s">
        <v>393</v>
      </c>
      <c r="D109" s="331"/>
      <c r="E109" s="222">
        <v>108</v>
      </c>
    </row>
    <row r="110" spans="3:5">
      <c r="C110" s="136" t="s">
        <v>394</v>
      </c>
      <c r="D110" s="331"/>
      <c r="E110" s="222">
        <v>109</v>
      </c>
    </row>
    <row r="111" spans="3:5">
      <c r="C111" s="136" t="s">
        <v>395</v>
      </c>
      <c r="D111" s="331"/>
      <c r="E111" s="222">
        <v>110</v>
      </c>
    </row>
    <row r="112" spans="3:5">
      <c r="C112" s="136" t="s">
        <v>396</v>
      </c>
      <c r="D112" s="331"/>
      <c r="E112" s="222">
        <v>111</v>
      </c>
    </row>
    <row r="113" spans="3:5">
      <c r="C113" s="136" t="s">
        <v>397</v>
      </c>
      <c r="D113" s="331"/>
      <c r="E113" s="222">
        <v>112</v>
      </c>
    </row>
    <row r="114" spans="3:5">
      <c r="C114" s="136" t="s">
        <v>398</v>
      </c>
      <c r="D114" s="331"/>
      <c r="E114" s="222">
        <v>113</v>
      </c>
    </row>
    <row r="115" spans="3:5">
      <c r="C115" s="136" t="s">
        <v>399</v>
      </c>
      <c r="D115" s="331"/>
      <c r="E115" s="222">
        <v>114</v>
      </c>
    </row>
    <row r="116" spans="3:5">
      <c r="C116" s="136" t="s">
        <v>400</v>
      </c>
      <c r="D116" s="331"/>
      <c r="E116" s="222">
        <v>115</v>
      </c>
    </row>
    <row r="117" spans="3:5">
      <c r="C117" s="136" t="s">
        <v>401</v>
      </c>
      <c r="D117" s="331"/>
      <c r="E117" s="222">
        <v>116</v>
      </c>
    </row>
    <row r="118" spans="3:5">
      <c r="C118" s="136" t="s">
        <v>402</v>
      </c>
      <c r="D118" s="331"/>
      <c r="E118" s="222">
        <v>117</v>
      </c>
    </row>
    <row r="119" spans="3:5">
      <c r="C119" s="136" t="s">
        <v>403</v>
      </c>
      <c r="D119" s="331"/>
      <c r="E119" s="222">
        <v>118</v>
      </c>
    </row>
    <row r="120" spans="3:5">
      <c r="C120" s="136" t="s">
        <v>404</v>
      </c>
      <c r="D120" s="331"/>
      <c r="E120" s="222">
        <v>119</v>
      </c>
    </row>
    <row r="121" spans="3:5">
      <c r="C121" s="136" t="s">
        <v>405</v>
      </c>
      <c r="D121" s="331"/>
      <c r="E121" s="222">
        <v>120</v>
      </c>
    </row>
    <row r="122" spans="3:5">
      <c r="C122" s="136" t="s">
        <v>406</v>
      </c>
      <c r="D122" s="331"/>
      <c r="E122" s="222">
        <v>121</v>
      </c>
    </row>
    <row r="123" spans="3:5">
      <c r="C123" s="136" t="s">
        <v>407</v>
      </c>
      <c r="D123" s="331"/>
      <c r="E123" s="222">
        <v>122</v>
      </c>
    </row>
    <row r="124" spans="3:5">
      <c r="C124" s="136" t="s">
        <v>408</v>
      </c>
      <c r="D124" s="331"/>
      <c r="E124" s="222">
        <v>123</v>
      </c>
    </row>
    <row r="125" spans="3:5">
      <c r="C125" s="136" t="s">
        <v>409</v>
      </c>
      <c r="D125" s="331"/>
      <c r="E125" s="222">
        <v>124</v>
      </c>
    </row>
    <row r="126" spans="3:5">
      <c r="C126" s="136" t="s">
        <v>410</v>
      </c>
      <c r="D126" s="331"/>
      <c r="E126" s="222">
        <v>125</v>
      </c>
    </row>
    <row r="127" spans="3:5">
      <c r="C127" s="136" t="s">
        <v>411</v>
      </c>
      <c r="D127" s="331"/>
      <c r="E127" s="222">
        <v>126</v>
      </c>
    </row>
    <row r="128" spans="3:5">
      <c r="C128" s="136" t="s">
        <v>412</v>
      </c>
      <c r="D128" s="331"/>
      <c r="E128" s="222">
        <v>127</v>
      </c>
    </row>
    <row r="129" spans="3:5">
      <c r="C129" s="136" t="s">
        <v>413</v>
      </c>
      <c r="D129" s="331"/>
      <c r="E129" s="222">
        <v>128</v>
      </c>
    </row>
    <row r="130" spans="3:5">
      <c r="C130" s="136" t="s">
        <v>414</v>
      </c>
      <c r="D130" s="331"/>
      <c r="E130" s="222">
        <v>129</v>
      </c>
    </row>
    <row r="131" spans="3:5">
      <c r="C131" s="136" t="s">
        <v>415</v>
      </c>
      <c r="D131" s="331"/>
      <c r="E131" s="222">
        <v>130</v>
      </c>
    </row>
    <row r="132" spans="3:5">
      <c r="C132" s="136" t="s">
        <v>1569</v>
      </c>
      <c r="D132" s="331"/>
      <c r="E132" s="222">
        <v>131</v>
      </c>
    </row>
    <row r="133" spans="3:5">
      <c r="C133" s="136" t="s">
        <v>1570</v>
      </c>
      <c r="D133" s="331"/>
      <c r="E133" s="222">
        <v>132</v>
      </c>
    </row>
    <row r="134" spans="3:5">
      <c r="C134" s="136" t="s">
        <v>1571</v>
      </c>
      <c r="D134" s="331"/>
      <c r="E134" s="222">
        <v>133</v>
      </c>
    </row>
    <row r="135" spans="3:5">
      <c r="C135" s="136" t="s">
        <v>1572</v>
      </c>
      <c r="D135" s="331"/>
      <c r="E135" s="222">
        <v>134</v>
      </c>
    </row>
    <row r="136" spans="3:5">
      <c r="C136" s="136" t="s">
        <v>1573</v>
      </c>
      <c r="D136" s="331"/>
      <c r="E136" s="222">
        <v>135</v>
      </c>
    </row>
    <row r="137" spans="3:5">
      <c r="C137" s="136" t="s">
        <v>1574</v>
      </c>
      <c r="D137" s="331"/>
      <c r="E137" s="222">
        <v>136</v>
      </c>
    </row>
    <row r="138" spans="3:5">
      <c r="C138" s="136" t="s">
        <v>1575</v>
      </c>
      <c r="D138" s="331"/>
      <c r="E138" s="222">
        <v>137</v>
      </c>
    </row>
    <row r="139" spans="3:5">
      <c r="C139" s="136" t="s">
        <v>1576</v>
      </c>
      <c r="D139" s="331"/>
      <c r="E139" s="222">
        <v>138</v>
      </c>
    </row>
    <row r="140" spans="3:5">
      <c r="C140" s="136" t="s">
        <v>1577</v>
      </c>
      <c r="D140" s="331"/>
      <c r="E140" s="222">
        <v>139</v>
      </c>
    </row>
    <row r="141" spans="3:5">
      <c r="C141" s="136" t="s">
        <v>1578</v>
      </c>
      <c r="D141" s="331"/>
      <c r="E141" s="222">
        <v>140</v>
      </c>
    </row>
    <row r="142" spans="3:5">
      <c r="C142" s="136" t="s">
        <v>1579</v>
      </c>
      <c r="D142" s="331"/>
      <c r="E142" s="222">
        <v>141</v>
      </c>
    </row>
    <row r="143" spans="3:5">
      <c r="C143" s="136" t="s">
        <v>1580</v>
      </c>
      <c r="D143" s="331"/>
      <c r="E143" s="222">
        <v>142</v>
      </c>
    </row>
    <row r="144" spans="3:5">
      <c r="C144" s="136" t="s">
        <v>1581</v>
      </c>
      <c r="D144" s="331"/>
      <c r="E144" s="222">
        <v>143</v>
      </c>
    </row>
    <row r="145" spans="3:5">
      <c r="C145" s="136" t="s">
        <v>1582</v>
      </c>
      <c r="D145" s="331"/>
      <c r="E145" s="222">
        <v>144</v>
      </c>
    </row>
    <row r="146" spans="3:5">
      <c r="C146" s="136" t="s">
        <v>1583</v>
      </c>
      <c r="D146" s="331"/>
      <c r="E146" s="222">
        <v>145</v>
      </c>
    </row>
    <row r="147" spans="3:5">
      <c r="C147" s="136" t="s">
        <v>1584</v>
      </c>
      <c r="D147" s="331"/>
      <c r="E147" s="222">
        <v>146</v>
      </c>
    </row>
    <row r="148" spans="3:5">
      <c r="C148" s="136" t="s">
        <v>1585</v>
      </c>
      <c r="D148" s="331"/>
      <c r="E148" s="222">
        <v>147</v>
      </c>
    </row>
    <row r="149" spans="3:5">
      <c r="C149" s="136" t="s">
        <v>1586</v>
      </c>
      <c r="D149" s="331"/>
      <c r="E149" s="222">
        <v>148</v>
      </c>
    </row>
    <row r="150" spans="3:5">
      <c r="C150" s="136" t="s">
        <v>1587</v>
      </c>
      <c r="D150" s="331"/>
      <c r="E150" s="222">
        <v>149</v>
      </c>
    </row>
    <row r="151" spans="3:5">
      <c r="C151" s="136" t="s">
        <v>1588</v>
      </c>
      <c r="D151" s="331"/>
      <c r="E151" s="222">
        <v>150</v>
      </c>
    </row>
    <row r="152" spans="3:5">
      <c r="C152" s="136" t="s">
        <v>1589</v>
      </c>
      <c r="D152" s="331"/>
      <c r="E152" s="222">
        <v>151</v>
      </c>
    </row>
    <row r="153" spans="3:5">
      <c r="C153" s="136" t="s">
        <v>1590</v>
      </c>
      <c r="D153" s="331"/>
      <c r="E153" s="222">
        <v>152</v>
      </c>
    </row>
    <row r="154" spans="3:5">
      <c r="C154" s="136" t="s">
        <v>1591</v>
      </c>
      <c r="D154" s="331"/>
      <c r="E154" s="222">
        <v>153</v>
      </c>
    </row>
    <row r="155" spans="3:5">
      <c r="C155" s="136" t="s">
        <v>1592</v>
      </c>
      <c r="D155" s="331"/>
      <c r="E155" s="222">
        <v>154</v>
      </c>
    </row>
    <row r="156" spans="3:5">
      <c r="C156" s="136" t="s">
        <v>1593</v>
      </c>
      <c r="D156" s="331"/>
      <c r="E156" s="222">
        <v>155</v>
      </c>
    </row>
    <row r="157" spans="3:5">
      <c r="C157" s="136" t="s">
        <v>1594</v>
      </c>
      <c r="D157" s="331"/>
      <c r="E157" s="222">
        <v>156</v>
      </c>
    </row>
    <row r="158" spans="3:5">
      <c r="C158" s="136" t="s">
        <v>1595</v>
      </c>
      <c r="D158" s="331"/>
      <c r="E158" s="222">
        <v>157</v>
      </c>
    </row>
    <row r="159" spans="3:5">
      <c r="C159" s="136" t="s">
        <v>1596</v>
      </c>
      <c r="D159" s="331"/>
      <c r="E159" s="222">
        <v>158</v>
      </c>
    </row>
    <row r="160" spans="3:5">
      <c r="C160" s="136" t="s">
        <v>1597</v>
      </c>
      <c r="D160" s="331"/>
      <c r="E160" s="222">
        <v>159</v>
      </c>
    </row>
    <row r="161" spans="3:5">
      <c r="C161" s="136" t="s">
        <v>1598</v>
      </c>
      <c r="D161" s="331"/>
      <c r="E161" s="222">
        <v>160</v>
      </c>
    </row>
    <row r="162" spans="3:5">
      <c r="C162" s="136" t="s">
        <v>1599</v>
      </c>
      <c r="D162" s="331"/>
      <c r="E162" s="222">
        <v>161</v>
      </c>
    </row>
    <row r="163" spans="3:5">
      <c r="C163" s="136" t="s">
        <v>1600</v>
      </c>
      <c r="D163" s="331"/>
      <c r="E163" s="222">
        <v>162</v>
      </c>
    </row>
    <row r="164" spans="3:5">
      <c r="C164" s="136" t="s">
        <v>1601</v>
      </c>
      <c r="D164" s="331"/>
      <c r="E164" s="222">
        <v>163</v>
      </c>
    </row>
    <row r="165" spans="3:5">
      <c r="C165" s="136" t="s">
        <v>1602</v>
      </c>
      <c r="D165" s="331"/>
      <c r="E165" s="222">
        <v>164</v>
      </c>
    </row>
    <row r="166" spans="3:5">
      <c r="C166" s="136" t="s">
        <v>1603</v>
      </c>
      <c r="D166" s="331"/>
      <c r="E166" s="222">
        <v>165</v>
      </c>
    </row>
    <row r="167" spans="3:5">
      <c r="C167" s="136" t="s">
        <v>1604</v>
      </c>
      <c r="D167" s="331"/>
      <c r="E167" s="222">
        <v>166</v>
      </c>
    </row>
    <row r="168" spans="3:5">
      <c r="C168" s="136" t="s">
        <v>1605</v>
      </c>
      <c r="D168" s="331"/>
      <c r="E168" s="222">
        <v>167</v>
      </c>
    </row>
    <row r="169" spans="3:5">
      <c r="C169" s="136" t="s">
        <v>1606</v>
      </c>
      <c r="D169" s="331"/>
      <c r="E169" s="222">
        <v>168</v>
      </c>
    </row>
    <row r="170" spans="3:5">
      <c r="C170" s="136" t="s">
        <v>1607</v>
      </c>
      <c r="D170" s="331"/>
      <c r="E170" s="222">
        <v>169</v>
      </c>
    </row>
    <row r="171" spans="3:5">
      <c r="C171" s="136" t="s">
        <v>1608</v>
      </c>
      <c r="D171" s="331"/>
      <c r="E171" s="222">
        <v>170</v>
      </c>
    </row>
    <row r="172" spans="3:5">
      <c r="C172" s="136" t="s">
        <v>1609</v>
      </c>
      <c r="D172" s="331"/>
      <c r="E172" s="222">
        <v>171</v>
      </c>
    </row>
    <row r="173" spans="3:5">
      <c r="C173" s="136" t="s">
        <v>1610</v>
      </c>
      <c r="D173" s="331"/>
      <c r="E173" s="222">
        <v>172</v>
      </c>
    </row>
    <row r="174" spans="3:5">
      <c r="C174" s="136" t="s">
        <v>1611</v>
      </c>
      <c r="D174" s="331"/>
      <c r="E174" s="222">
        <v>173</v>
      </c>
    </row>
    <row r="175" spans="3:5">
      <c r="C175" s="136" t="s">
        <v>1612</v>
      </c>
      <c r="D175" s="331"/>
      <c r="E175" s="222">
        <v>174</v>
      </c>
    </row>
    <row r="176" spans="3:5">
      <c r="C176" s="136" t="s">
        <v>1613</v>
      </c>
      <c r="D176" s="331"/>
      <c r="E176" s="222">
        <v>175</v>
      </c>
    </row>
    <row r="177" spans="3:5">
      <c r="C177" s="136" t="s">
        <v>1614</v>
      </c>
      <c r="D177" s="331"/>
      <c r="E177" s="222">
        <v>176</v>
      </c>
    </row>
    <row r="178" spans="3:5">
      <c r="C178" s="136" t="s">
        <v>1615</v>
      </c>
      <c r="D178" s="331"/>
      <c r="E178" s="222">
        <v>177</v>
      </c>
    </row>
    <row r="179" spans="3:5">
      <c r="C179" s="136" t="s">
        <v>1616</v>
      </c>
      <c r="D179" s="331"/>
      <c r="E179" s="222">
        <v>178</v>
      </c>
    </row>
    <row r="180" spans="3:5">
      <c r="C180" s="136" t="s">
        <v>1617</v>
      </c>
      <c r="D180" s="331"/>
      <c r="E180" s="222">
        <v>179</v>
      </c>
    </row>
    <row r="181" spans="3:5">
      <c r="C181" s="136" t="s">
        <v>1618</v>
      </c>
      <c r="D181" s="331"/>
      <c r="E181" s="222">
        <v>180</v>
      </c>
    </row>
    <row r="182" spans="3:5">
      <c r="C182" s="136" t="s">
        <v>1619</v>
      </c>
      <c r="D182" s="331"/>
      <c r="E182" s="222">
        <v>181</v>
      </c>
    </row>
    <row r="183" spans="3:5">
      <c r="C183" s="136" t="s">
        <v>1620</v>
      </c>
      <c r="D183" s="331"/>
      <c r="E183" s="222">
        <v>182</v>
      </c>
    </row>
    <row r="184" spans="3:5">
      <c r="C184" s="136" t="s">
        <v>1621</v>
      </c>
      <c r="D184" s="331"/>
      <c r="E184" s="222">
        <v>183</v>
      </c>
    </row>
    <row r="185" spans="3:5">
      <c r="C185" s="136" t="s">
        <v>1622</v>
      </c>
      <c r="D185" s="331"/>
      <c r="E185" s="222">
        <v>184</v>
      </c>
    </row>
    <row r="186" spans="3:5">
      <c r="C186" s="136" t="s">
        <v>1623</v>
      </c>
      <c r="D186" s="331"/>
      <c r="E186" s="222">
        <v>185</v>
      </c>
    </row>
    <row r="187" spans="3:5">
      <c r="C187" s="136" t="s">
        <v>1624</v>
      </c>
      <c r="D187" s="331"/>
      <c r="E187" s="222">
        <v>186</v>
      </c>
    </row>
    <row r="188" spans="3:5">
      <c r="C188" s="136" t="s">
        <v>1625</v>
      </c>
      <c r="D188" s="331"/>
      <c r="E188" s="222">
        <v>187</v>
      </c>
    </row>
    <row r="189" spans="3:5">
      <c r="C189" s="136" t="s">
        <v>1626</v>
      </c>
      <c r="D189" s="331"/>
      <c r="E189" s="222">
        <v>188</v>
      </c>
    </row>
    <row r="190" spans="3:5">
      <c r="C190" s="136" t="s">
        <v>1627</v>
      </c>
      <c r="D190" s="331"/>
      <c r="E190" s="222">
        <v>189</v>
      </c>
    </row>
    <row r="191" spans="3:5">
      <c r="C191" s="136" t="s">
        <v>1628</v>
      </c>
      <c r="D191" s="331"/>
      <c r="E191" s="222">
        <v>190</v>
      </c>
    </row>
    <row r="192" spans="3:5">
      <c r="C192" s="136" t="s">
        <v>1629</v>
      </c>
      <c r="D192" s="331"/>
      <c r="E192" s="222">
        <v>191</v>
      </c>
    </row>
    <row r="193" spans="3:5">
      <c r="C193" s="136" t="s">
        <v>1630</v>
      </c>
      <c r="D193" s="331"/>
      <c r="E193" s="222">
        <v>192</v>
      </c>
    </row>
    <row r="194" spans="3:5">
      <c r="C194" s="136" t="s">
        <v>1631</v>
      </c>
      <c r="D194" s="331"/>
      <c r="E194" s="222">
        <v>193</v>
      </c>
    </row>
    <row r="195" spans="3:5">
      <c r="C195" s="136" t="s">
        <v>1632</v>
      </c>
      <c r="D195" s="331"/>
      <c r="E195" s="222">
        <v>194</v>
      </c>
    </row>
    <row r="196" spans="3:5">
      <c r="C196" s="136" t="s">
        <v>1633</v>
      </c>
      <c r="D196" s="331"/>
      <c r="E196" s="222">
        <v>195</v>
      </c>
    </row>
    <row r="197" spans="3:5">
      <c r="C197" s="136" t="s">
        <v>1634</v>
      </c>
      <c r="D197" s="331"/>
      <c r="E197" s="222">
        <v>196</v>
      </c>
    </row>
    <row r="198" spans="3:5">
      <c r="C198" s="136" t="s">
        <v>1635</v>
      </c>
      <c r="D198" s="331"/>
      <c r="E198" s="222">
        <v>197</v>
      </c>
    </row>
    <row r="199" spans="3:5">
      <c r="C199" s="136" t="s">
        <v>1636</v>
      </c>
      <c r="D199" s="331"/>
      <c r="E199" s="222">
        <v>198</v>
      </c>
    </row>
    <row r="200" spans="3:5">
      <c r="C200" s="136" t="s">
        <v>1637</v>
      </c>
      <c r="D200" s="331"/>
      <c r="E200" s="222">
        <v>199</v>
      </c>
    </row>
    <row r="201" spans="3:5">
      <c r="C201" s="136" t="s">
        <v>1638</v>
      </c>
      <c r="D201" s="331"/>
      <c r="E201" s="222">
        <v>200</v>
      </c>
    </row>
    <row r="202" spans="3:5">
      <c r="C202" s="136" t="s">
        <v>1639</v>
      </c>
      <c r="D202" s="331"/>
      <c r="E202" s="222">
        <v>201</v>
      </c>
    </row>
    <row r="203" spans="3:5">
      <c r="C203" s="136" t="s">
        <v>1640</v>
      </c>
      <c r="D203" s="331"/>
      <c r="E203" s="222">
        <v>202</v>
      </c>
    </row>
    <row r="204" spans="3:5">
      <c r="C204" s="136" t="s">
        <v>1641</v>
      </c>
      <c r="D204" s="331"/>
      <c r="E204" s="222">
        <v>203</v>
      </c>
    </row>
    <row r="205" spans="3:5">
      <c r="C205" s="136" t="s">
        <v>1642</v>
      </c>
      <c r="D205" s="331"/>
      <c r="E205" s="222">
        <v>204</v>
      </c>
    </row>
    <row r="206" spans="3:5">
      <c r="C206" s="136" t="s">
        <v>1643</v>
      </c>
      <c r="D206" s="331"/>
      <c r="E206" s="222">
        <v>205</v>
      </c>
    </row>
    <row r="207" spans="3:5">
      <c r="C207" s="136" t="s">
        <v>1644</v>
      </c>
      <c r="D207" s="331"/>
      <c r="E207" s="222">
        <v>206</v>
      </c>
    </row>
    <row r="208" spans="3:5">
      <c r="C208" s="136" t="s">
        <v>1645</v>
      </c>
      <c r="D208" s="331"/>
      <c r="E208" s="222">
        <v>207</v>
      </c>
    </row>
    <row r="209" spans="3:5">
      <c r="C209" s="136" t="s">
        <v>1646</v>
      </c>
      <c r="D209" s="331"/>
      <c r="E209" s="222">
        <v>208</v>
      </c>
    </row>
    <row r="210" spans="3:5">
      <c r="C210" s="136" t="s">
        <v>1647</v>
      </c>
      <c r="D210" s="331"/>
      <c r="E210" s="222">
        <v>209</v>
      </c>
    </row>
    <row r="211" spans="3:5">
      <c r="C211" s="136" t="s">
        <v>1648</v>
      </c>
      <c r="D211" s="331"/>
      <c r="E211" s="222">
        <v>210</v>
      </c>
    </row>
    <row r="212" spans="3:5">
      <c r="C212" s="136" t="s">
        <v>1649</v>
      </c>
      <c r="D212" s="331"/>
      <c r="E212" s="222">
        <v>211</v>
      </c>
    </row>
    <row r="213" spans="3:5">
      <c r="C213" s="136" t="s">
        <v>1650</v>
      </c>
      <c r="D213" s="331"/>
      <c r="E213" s="222">
        <v>212</v>
      </c>
    </row>
    <row r="214" spans="3:5">
      <c r="C214" s="136" t="s">
        <v>1651</v>
      </c>
      <c r="D214" s="331"/>
      <c r="E214" s="222">
        <v>213</v>
      </c>
    </row>
    <row r="215" spans="3:5">
      <c r="C215" s="136" t="s">
        <v>1652</v>
      </c>
      <c r="D215" s="331"/>
      <c r="E215" s="222">
        <v>214</v>
      </c>
    </row>
    <row r="216" spans="3:5">
      <c r="C216" s="136" t="s">
        <v>1653</v>
      </c>
      <c r="D216" s="331"/>
      <c r="E216" s="222">
        <v>215</v>
      </c>
    </row>
    <row r="217" spans="3:5">
      <c r="C217" s="136" t="s">
        <v>1654</v>
      </c>
      <c r="D217" s="331"/>
      <c r="E217" s="222">
        <v>216</v>
      </c>
    </row>
    <row r="218" spans="3:5">
      <c r="C218" s="136" t="s">
        <v>1655</v>
      </c>
      <c r="D218" s="331"/>
      <c r="E218" s="222">
        <v>217</v>
      </c>
    </row>
    <row r="219" spans="3:5">
      <c r="C219" s="136" t="s">
        <v>1656</v>
      </c>
      <c r="D219" s="331"/>
      <c r="E219" s="222">
        <v>218</v>
      </c>
    </row>
    <row r="220" spans="3:5">
      <c r="C220" s="136" t="s">
        <v>1657</v>
      </c>
      <c r="D220" s="331"/>
      <c r="E220" s="222">
        <v>219</v>
      </c>
    </row>
    <row r="221" spans="3:5">
      <c r="C221" s="136" t="s">
        <v>1658</v>
      </c>
      <c r="D221" s="331"/>
      <c r="E221" s="222">
        <v>220</v>
      </c>
    </row>
    <row r="222" spans="3:5">
      <c r="C222" s="136" t="s">
        <v>1659</v>
      </c>
      <c r="D222" s="331"/>
      <c r="E222" s="222">
        <v>221</v>
      </c>
    </row>
    <row r="223" spans="3:5">
      <c r="C223" s="136" t="s">
        <v>1660</v>
      </c>
      <c r="D223" s="331"/>
      <c r="E223" s="222">
        <v>222</v>
      </c>
    </row>
    <row r="224" spans="3:5">
      <c r="C224" s="136" t="s">
        <v>1661</v>
      </c>
      <c r="D224" s="331"/>
      <c r="E224" s="222">
        <v>223</v>
      </c>
    </row>
    <row r="225" spans="3:5">
      <c r="C225" s="136" t="s">
        <v>1662</v>
      </c>
      <c r="D225" s="331"/>
      <c r="E225" s="222">
        <v>224</v>
      </c>
    </row>
    <row r="226" spans="3:5">
      <c r="C226" s="136" t="s">
        <v>1663</v>
      </c>
      <c r="D226" s="331"/>
      <c r="E226" s="222">
        <v>225</v>
      </c>
    </row>
    <row r="227" spans="3:5">
      <c r="C227" s="136" t="s">
        <v>1664</v>
      </c>
      <c r="D227" s="331"/>
      <c r="E227" s="222">
        <v>226</v>
      </c>
    </row>
    <row r="228" spans="3:5">
      <c r="C228" s="136" t="s">
        <v>1665</v>
      </c>
      <c r="D228" s="331"/>
      <c r="E228" s="222">
        <v>227</v>
      </c>
    </row>
    <row r="229" spans="3:5">
      <c r="C229" s="136" t="s">
        <v>1666</v>
      </c>
      <c r="D229" s="331"/>
      <c r="E229" s="222">
        <v>228</v>
      </c>
    </row>
    <row r="230" spans="3:5">
      <c r="C230" s="136" t="s">
        <v>1667</v>
      </c>
      <c r="D230" s="331"/>
      <c r="E230" s="222">
        <v>229</v>
      </c>
    </row>
    <row r="231" spans="3:5">
      <c r="C231" s="136" t="s">
        <v>1668</v>
      </c>
      <c r="D231" s="331"/>
      <c r="E231" s="222">
        <v>230</v>
      </c>
    </row>
    <row r="232" spans="3:5">
      <c r="C232" s="136" t="s">
        <v>1669</v>
      </c>
      <c r="D232" s="331"/>
      <c r="E232" s="222">
        <v>231</v>
      </c>
    </row>
    <row r="233" spans="3:5">
      <c r="C233" s="136" t="s">
        <v>1670</v>
      </c>
      <c r="D233" s="331"/>
      <c r="E233" s="222">
        <v>232</v>
      </c>
    </row>
    <row r="234" spans="3:5">
      <c r="C234" s="136" t="s">
        <v>1671</v>
      </c>
      <c r="D234" s="331"/>
      <c r="E234" s="222">
        <v>233</v>
      </c>
    </row>
    <row r="235" spans="3:5">
      <c r="C235" s="136" t="s">
        <v>1672</v>
      </c>
      <c r="D235" s="331"/>
      <c r="E235" s="222">
        <v>234</v>
      </c>
    </row>
    <row r="236" spans="3:5">
      <c r="C236" s="136" t="s">
        <v>1673</v>
      </c>
      <c r="D236" s="331"/>
      <c r="E236" s="222">
        <v>235</v>
      </c>
    </row>
    <row r="237" spans="3:5">
      <c r="C237" s="136" t="s">
        <v>1674</v>
      </c>
      <c r="D237" s="331"/>
      <c r="E237" s="222">
        <v>236</v>
      </c>
    </row>
    <row r="238" spans="3:5">
      <c r="C238" s="136" t="s">
        <v>1675</v>
      </c>
      <c r="D238" s="331"/>
      <c r="E238" s="222">
        <v>237</v>
      </c>
    </row>
    <row r="239" spans="3:5">
      <c r="C239" s="136" t="s">
        <v>1676</v>
      </c>
      <c r="D239" s="331"/>
      <c r="E239" s="222">
        <v>238</v>
      </c>
    </row>
    <row r="240" spans="3:5">
      <c r="C240" s="136" t="s">
        <v>1677</v>
      </c>
      <c r="D240" s="331"/>
      <c r="E240" s="222">
        <v>239</v>
      </c>
    </row>
    <row r="241" spans="3:5">
      <c r="C241" s="136" t="s">
        <v>1678</v>
      </c>
      <c r="D241" s="331"/>
      <c r="E241" s="222">
        <v>240</v>
      </c>
    </row>
    <row r="242" spans="3:5">
      <c r="C242" s="136" t="s">
        <v>1679</v>
      </c>
      <c r="D242" s="331"/>
      <c r="E242" s="222">
        <v>241</v>
      </c>
    </row>
    <row r="243" spans="3:5">
      <c r="C243" s="136" t="s">
        <v>1680</v>
      </c>
      <c r="D243" s="331"/>
      <c r="E243" s="222">
        <v>242</v>
      </c>
    </row>
    <row r="244" spans="3:5">
      <c r="C244" s="136" t="s">
        <v>1681</v>
      </c>
      <c r="D244" s="331"/>
      <c r="E244" s="222">
        <v>243</v>
      </c>
    </row>
    <row r="245" spans="3:5">
      <c r="C245" s="136" t="s">
        <v>1682</v>
      </c>
      <c r="D245" s="331"/>
      <c r="E245" s="222">
        <v>244</v>
      </c>
    </row>
    <row r="246" spans="3:5">
      <c r="C246" s="136" t="s">
        <v>1683</v>
      </c>
      <c r="D246" s="331"/>
      <c r="E246" s="222">
        <v>245</v>
      </c>
    </row>
    <row r="247" spans="3:5">
      <c r="C247" s="136" t="s">
        <v>1684</v>
      </c>
      <c r="D247" s="331"/>
      <c r="E247" s="222">
        <v>246</v>
      </c>
    </row>
    <row r="248" spans="3:5">
      <c r="C248" s="136" t="s">
        <v>1685</v>
      </c>
      <c r="D248" s="331"/>
      <c r="E248" s="222">
        <v>247</v>
      </c>
    </row>
    <row r="249" spans="3:5">
      <c r="C249" s="136" t="s">
        <v>1686</v>
      </c>
      <c r="D249" s="331"/>
      <c r="E249" s="222">
        <v>248</v>
      </c>
    </row>
    <row r="250" spans="3:5">
      <c r="C250" s="136" t="s">
        <v>1687</v>
      </c>
      <c r="D250" s="331"/>
      <c r="E250" s="222">
        <v>249</v>
      </c>
    </row>
    <row r="251" spans="3:5">
      <c r="C251" s="136" t="s">
        <v>1688</v>
      </c>
      <c r="D251" s="331"/>
      <c r="E251" s="222">
        <v>250</v>
      </c>
    </row>
    <row r="252" spans="3:5">
      <c r="C252" s="136" t="s">
        <v>1689</v>
      </c>
      <c r="D252" s="331"/>
      <c r="E252" s="222">
        <v>251</v>
      </c>
    </row>
    <row r="253" spans="3:5">
      <c r="C253" s="136" t="s">
        <v>1690</v>
      </c>
      <c r="D253" s="331"/>
      <c r="E253" s="222">
        <v>252</v>
      </c>
    </row>
    <row r="254" spans="3:5">
      <c r="C254" s="136" t="s">
        <v>1691</v>
      </c>
      <c r="D254" s="331"/>
      <c r="E254" s="222">
        <v>253</v>
      </c>
    </row>
    <row r="255" spans="3:5">
      <c r="C255" s="136" t="s">
        <v>1692</v>
      </c>
      <c r="D255" s="331"/>
      <c r="E255" s="222">
        <v>254</v>
      </c>
    </row>
    <row r="256" spans="3:5">
      <c r="C256" s="136" t="s">
        <v>1693</v>
      </c>
      <c r="D256" s="331"/>
      <c r="E256" s="222">
        <v>255</v>
      </c>
    </row>
    <row r="257" spans="3:5">
      <c r="C257" s="136" t="s">
        <v>1694</v>
      </c>
      <c r="D257" s="331"/>
      <c r="E257" s="222">
        <v>256</v>
      </c>
    </row>
    <row r="258" spans="3:5">
      <c r="C258" s="136" t="s">
        <v>1695</v>
      </c>
      <c r="D258" s="331"/>
      <c r="E258" s="222">
        <v>257</v>
      </c>
    </row>
    <row r="259" spans="3:5">
      <c r="C259" s="136" t="s">
        <v>1696</v>
      </c>
      <c r="D259" s="331"/>
      <c r="E259" s="222">
        <v>258</v>
      </c>
    </row>
    <row r="260" spans="3:5">
      <c r="C260" s="136" t="s">
        <v>1697</v>
      </c>
      <c r="D260" s="331"/>
      <c r="E260" s="222">
        <v>259</v>
      </c>
    </row>
    <row r="261" spans="3:5">
      <c r="C261" s="136" t="s">
        <v>1698</v>
      </c>
      <c r="D261" s="331"/>
      <c r="E261" s="222">
        <v>260</v>
      </c>
    </row>
    <row r="262" spans="3:5">
      <c r="C262" s="136" t="s">
        <v>1699</v>
      </c>
      <c r="D262" s="331"/>
      <c r="E262" s="222">
        <v>261</v>
      </c>
    </row>
    <row r="263" spans="3:5">
      <c r="C263" s="136" t="s">
        <v>1700</v>
      </c>
      <c r="D263" s="331"/>
      <c r="E263" s="222">
        <v>262</v>
      </c>
    </row>
    <row r="264" spans="3:5">
      <c r="C264" s="136" t="s">
        <v>1701</v>
      </c>
      <c r="D264" s="331"/>
      <c r="E264" s="222">
        <v>263</v>
      </c>
    </row>
    <row r="265" spans="3:5">
      <c r="C265" s="136" t="s">
        <v>1702</v>
      </c>
      <c r="D265" s="331"/>
      <c r="E265" s="222">
        <v>264</v>
      </c>
    </row>
    <row r="266" spans="3:5">
      <c r="C266" s="136" t="s">
        <v>1703</v>
      </c>
      <c r="D266" s="331"/>
      <c r="E266" s="222">
        <v>265</v>
      </c>
    </row>
    <row r="267" spans="3:5">
      <c r="C267" s="136" t="s">
        <v>1704</v>
      </c>
      <c r="D267" s="331"/>
      <c r="E267" s="222">
        <v>266</v>
      </c>
    </row>
    <row r="268" spans="3:5">
      <c r="C268" s="136" t="s">
        <v>1705</v>
      </c>
      <c r="D268" s="331"/>
      <c r="E268" s="222">
        <v>267</v>
      </c>
    </row>
    <row r="269" spans="3:5">
      <c r="C269" s="136" t="s">
        <v>1706</v>
      </c>
      <c r="D269" s="331"/>
      <c r="E269" s="222">
        <v>268</v>
      </c>
    </row>
    <row r="270" spans="3:5">
      <c r="C270" s="136" t="s">
        <v>1707</v>
      </c>
      <c r="D270" s="331"/>
      <c r="E270" s="222">
        <v>269</v>
      </c>
    </row>
    <row r="271" spans="3:5">
      <c r="C271" s="136" t="s">
        <v>1708</v>
      </c>
      <c r="D271" s="331"/>
      <c r="E271" s="222">
        <v>270</v>
      </c>
    </row>
    <row r="272" spans="3:5">
      <c r="C272" s="136" t="s">
        <v>1709</v>
      </c>
      <c r="D272" s="331"/>
      <c r="E272" s="222">
        <v>271</v>
      </c>
    </row>
    <row r="273" spans="3:5">
      <c r="C273" s="136" t="s">
        <v>1710</v>
      </c>
      <c r="D273" s="331"/>
      <c r="E273" s="222">
        <v>272</v>
      </c>
    </row>
    <row r="274" spans="3:5">
      <c r="C274" s="136" t="s">
        <v>1711</v>
      </c>
      <c r="D274" s="331"/>
      <c r="E274" s="222">
        <v>273</v>
      </c>
    </row>
    <row r="275" spans="3:5">
      <c r="C275" s="136" t="s">
        <v>1712</v>
      </c>
      <c r="D275" s="331"/>
      <c r="E275" s="222">
        <v>274</v>
      </c>
    </row>
    <row r="276" spans="3:5">
      <c r="C276" s="136" t="s">
        <v>1713</v>
      </c>
      <c r="D276" s="331"/>
      <c r="E276" s="222">
        <v>275</v>
      </c>
    </row>
    <row r="277" spans="3:5">
      <c r="C277" s="136" t="s">
        <v>1714</v>
      </c>
      <c r="D277" s="331"/>
      <c r="E277" s="222">
        <v>276</v>
      </c>
    </row>
    <row r="278" spans="3:5">
      <c r="C278" s="136" t="s">
        <v>1715</v>
      </c>
      <c r="D278" s="331"/>
      <c r="E278" s="222">
        <v>277</v>
      </c>
    </row>
    <row r="279" spans="3:5">
      <c r="C279" s="136" t="s">
        <v>1716</v>
      </c>
      <c r="D279" s="331"/>
      <c r="E279" s="222">
        <v>278</v>
      </c>
    </row>
    <row r="280" spans="3:5">
      <c r="C280" s="136" t="s">
        <v>1717</v>
      </c>
      <c r="D280" s="331"/>
      <c r="E280" s="222">
        <v>279</v>
      </c>
    </row>
    <row r="281" spans="3:5">
      <c r="C281" s="136" t="s">
        <v>1718</v>
      </c>
      <c r="D281" s="331"/>
      <c r="E281" s="222">
        <v>280</v>
      </c>
    </row>
    <row r="282" spans="3:5">
      <c r="C282" s="136" t="s">
        <v>1719</v>
      </c>
      <c r="D282" s="331"/>
      <c r="E282" s="222">
        <v>281</v>
      </c>
    </row>
    <row r="283" spans="3:5">
      <c r="C283" s="136" t="s">
        <v>1720</v>
      </c>
      <c r="D283" s="331"/>
      <c r="E283" s="222">
        <v>282</v>
      </c>
    </row>
    <row r="284" spans="3:5">
      <c r="C284" s="136" t="s">
        <v>1721</v>
      </c>
      <c r="D284" s="331"/>
      <c r="E284" s="222">
        <v>283</v>
      </c>
    </row>
    <row r="285" spans="3:5">
      <c r="C285" s="136" t="s">
        <v>1722</v>
      </c>
      <c r="D285" s="331"/>
      <c r="E285" s="222">
        <v>284</v>
      </c>
    </row>
    <row r="286" spans="3:5">
      <c r="C286" s="136" t="s">
        <v>1723</v>
      </c>
      <c r="D286" s="331"/>
      <c r="E286" s="222">
        <v>285</v>
      </c>
    </row>
    <row r="287" spans="3:5">
      <c r="C287" s="136" t="s">
        <v>1724</v>
      </c>
      <c r="D287" s="331"/>
      <c r="E287" s="222">
        <v>286</v>
      </c>
    </row>
    <row r="288" spans="3:5">
      <c r="C288" s="136" t="s">
        <v>1725</v>
      </c>
      <c r="D288" s="331"/>
      <c r="E288" s="222">
        <v>287</v>
      </c>
    </row>
    <row r="289" spans="3:5">
      <c r="C289" s="136" t="s">
        <v>1726</v>
      </c>
      <c r="D289" s="331"/>
      <c r="E289" s="222">
        <v>288</v>
      </c>
    </row>
    <row r="290" spans="3:5">
      <c r="C290" s="136" t="s">
        <v>1727</v>
      </c>
      <c r="D290" s="331"/>
      <c r="E290" s="222">
        <v>289</v>
      </c>
    </row>
    <row r="291" spans="3:5">
      <c r="C291" s="136" t="s">
        <v>1728</v>
      </c>
      <c r="D291" s="331"/>
      <c r="E291" s="222">
        <v>290</v>
      </c>
    </row>
    <row r="292" spans="3:5">
      <c r="C292" s="136" t="s">
        <v>1729</v>
      </c>
      <c r="D292" s="331"/>
      <c r="E292" s="222">
        <v>291</v>
      </c>
    </row>
    <row r="293" spans="3:5">
      <c r="C293" s="136" t="s">
        <v>1730</v>
      </c>
      <c r="D293" s="331"/>
      <c r="E293" s="222">
        <v>292</v>
      </c>
    </row>
    <row r="294" spans="3:5">
      <c r="C294" s="136" t="s">
        <v>1731</v>
      </c>
      <c r="D294" s="331"/>
      <c r="E294" s="222">
        <v>293</v>
      </c>
    </row>
    <row r="295" spans="3:5">
      <c r="C295" s="136" t="s">
        <v>1732</v>
      </c>
      <c r="D295" s="331"/>
      <c r="E295" s="222">
        <v>294</v>
      </c>
    </row>
    <row r="296" spans="3:5">
      <c r="C296" s="136" t="s">
        <v>1733</v>
      </c>
      <c r="D296" s="331"/>
      <c r="E296" s="222">
        <v>295</v>
      </c>
    </row>
    <row r="297" spans="3:5">
      <c r="C297" s="136" t="s">
        <v>1734</v>
      </c>
      <c r="D297" s="331"/>
      <c r="E297" s="222">
        <v>296</v>
      </c>
    </row>
    <row r="298" spans="3:5">
      <c r="C298" s="136" t="s">
        <v>1735</v>
      </c>
      <c r="D298" s="331"/>
      <c r="E298" s="222">
        <v>297</v>
      </c>
    </row>
    <row r="299" spans="3:5">
      <c r="C299" s="136" t="s">
        <v>1736</v>
      </c>
      <c r="D299" s="331"/>
      <c r="E299" s="222">
        <v>298</v>
      </c>
    </row>
    <row r="300" spans="3:5">
      <c r="C300" s="136" t="s">
        <v>1737</v>
      </c>
      <c r="D300" s="331"/>
      <c r="E300" s="222">
        <v>299</v>
      </c>
    </row>
    <row r="301" spans="3:5">
      <c r="C301" s="136" t="s">
        <v>1738</v>
      </c>
      <c r="D301" s="331"/>
      <c r="E301" s="222">
        <v>300</v>
      </c>
    </row>
    <row r="302" spans="3:5">
      <c r="C302" s="136" t="s">
        <v>1739</v>
      </c>
      <c r="D302" s="331"/>
      <c r="E302" s="222">
        <v>301</v>
      </c>
    </row>
    <row r="303" spans="3:5">
      <c r="C303" s="136" t="s">
        <v>1740</v>
      </c>
      <c r="D303" s="331"/>
      <c r="E303" s="222">
        <v>302</v>
      </c>
    </row>
    <row r="304" spans="3:5">
      <c r="C304" s="136" t="s">
        <v>1741</v>
      </c>
      <c r="D304" s="331"/>
      <c r="E304" s="222">
        <v>303</v>
      </c>
    </row>
    <row r="305" spans="3:5">
      <c r="C305" s="136" t="s">
        <v>1742</v>
      </c>
      <c r="D305" s="331"/>
      <c r="E305" s="222">
        <v>304</v>
      </c>
    </row>
    <row r="306" spans="3:5">
      <c r="C306" s="136" t="s">
        <v>1743</v>
      </c>
      <c r="D306" s="331"/>
      <c r="E306" s="222">
        <v>305</v>
      </c>
    </row>
    <row r="307" spans="3:5">
      <c r="C307" s="136" t="s">
        <v>1744</v>
      </c>
      <c r="D307" s="331"/>
      <c r="E307" s="222">
        <v>306</v>
      </c>
    </row>
    <row r="308" spans="3:5">
      <c r="C308" s="136" t="s">
        <v>1745</v>
      </c>
      <c r="D308" s="331"/>
      <c r="E308" s="222">
        <v>307</v>
      </c>
    </row>
    <row r="309" spans="3:5">
      <c r="C309" s="136" t="s">
        <v>1746</v>
      </c>
      <c r="D309" s="331"/>
      <c r="E309" s="222">
        <v>308</v>
      </c>
    </row>
    <row r="310" spans="3:5">
      <c r="C310" s="136" t="s">
        <v>1747</v>
      </c>
      <c r="D310" s="331"/>
      <c r="E310" s="222">
        <v>309</v>
      </c>
    </row>
    <row r="311" spans="3:5">
      <c r="C311" s="136" t="s">
        <v>1748</v>
      </c>
      <c r="D311" s="331"/>
      <c r="E311" s="222">
        <v>310</v>
      </c>
    </row>
    <row r="312" spans="3:5">
      <c r="C312" s="136" t="s">
        <v>1749</v>
      </c>
      <c r="D312" s="331"/>
      <c r="E312" s="222">
        <v>311</v>
      </c>
    </row>
    <row r="313" spans="3:5">
      <c r="C313" s="136" t="s">
        <v>1750</v>
      </c>
      <c r="D313" s="331"/>
      <c r="E313" s="222">
        <v>312</v>
      </c>
    </row>
    <row r="314" spans="3:5">
      <c r="C314" s="136" t="s">
        <v>1751</v>
      </c>
      <c r="D314" s="331"/>
      <c r="E314" s="222">
        <v>313</v>
      </c>
    </row>
    <row r="315" spans="3:5">
      <c r="C315" s="136" t="s">
        <v>1752</v>
      </c>
      <c r="D315" s="331"/>
      <c r="E315" s="222">
        <v>314</v>
      </c>
    </row>
    <row r="316" spans="3:5">
      <c r="C316" s="136" t="s">
        <v>1753</v>
      </c>
      <c r="D316" s="331"/>
      <c r="E316" s="222">
        <v>315</v>
      </c>
    </row>
    <row r="317" spans="3:5">
      <c r="C317" s="136" t="s">
        <v>1754</v>
      </c>
      <c r="D317" s="331"/>
      <c r="E317" s="222">
        <v>316</v>
      </c>
    </row>
    <row r="318" spans="3:5">
      <c r="C318" s="136" t="s">
        <v>1755</v>
      </c>
      <c r="D318" s="331"/>
      <c r="E318" s="222">
        <v>317</v>
      </c>
    </row>
    <row r="319" spans="3:5">
      <c r="C319" s="136" t="s">
        <v>1756</v>
      </c>
      <c r="D319" s="331"/>
      <c r="E319" s="222">
        <v>318</v>
      </c>
    </row>
    <row r="320" spans="3:5">
      <c r="C320" s="136" t="s">
        <v>1757</v>
      </c>
      <c r="D320" s="331"/>
      <c r="E320" s="222">
        <v>319</v>
      </c>
    </row>
    <row r="321" spans="3:5">
      <c r="C321" s="136" t="s">
        <v>1758</v>
      </c>
      <c r="D321" s="331"/>
      <c r="E321" s="222">
        <v>320</v>
      </c>
    </row>
    <row r="322" spans="3:5">
      <c r="C322" s="136" t="s">
        <v>1759</v>
      </c>
      <c r="D322" s="331"/>
      <c r="E322" s="222">
        <v>321</v>
      </c>
    </row>
    <row r="323" spans="3:5">
      <c r="C323" s="136" t="s">
        <v>1760</v>
      </c>
      <c r="D323" s="331"/>
      <c r="E323" s="222">
        <v>322</v>
      </c>
    </row>
    <row r="324" spans="3:5">
      <c r="C324" s="136" t="s">
        <v>1761</v>
      </c>
      <c r="D324" s="331"/>
      <c r="E324" s="222">
        <v>323</v>
      </c>
    </row>
    <row r="325" spans="3:5">
      <c r="C325" s="136" t="s">
        <v>1762</v>
      </c>
      <c r="D325" s="331"/>
      <c r="E325" s="222">
        <v>324</v>
      </c>
    </row>
    <row r="326" spans="3:5">
      <c r="C326" s="136" t="s">
        <v>1763</v>
      </c>
      <c r="D326" s="331"/>
      <c r="E326" s="222">
        <v>325</v>
      </c>
    </row>
    <row r="327" spans="3:5">
      <c r="C327" s="136" t="s">
        <v>1764</v>
      </c>
      <c r="D327" s="331"/>
      <c r="E327" s="222">
        <v>326</v>
      </c>
    </row>
    <row r="328" spans="3:5">
      <c r="C328" s="136" t="s">
        <v>1765</v>
      </c>
      <c r="D328" s="331"/>
      <c r="E328" s="222">
        <v>327</v>
      </c>
    </row>
    <row r="329" spans="3:5">
      <c r="C329" s="136" t="s">
        <v>1766</v>
      </c>
      <c r="D329" s="331"/>
      <c r="E329" s="222">
        <v>328</v>
      </c>
    </row>
    <row r="330" spans="3:5">
      <c r="C330" s="136" t="s">
        <v>7</v>
      </c>
      <c r="D330" s="331"/>
      <c r="E330" s="222">
        <v>329</v>
      </c>
    </row>
    <row r="331" spans="3:5">
      <c r="C331" s="136" t="s">
        <v>1767</v>
      </c>
      <c r="D331" s="331"/>
      <c r="E331" s="222">
        <v>330</v>
      </c>
    </row>
    <row r="332" spans="3:5">
      <c r="C332" s="136" t="s">
        <v>1768</v>
      </c>
      <c r="D332" s="331"/>
      <c r="E332" s="222">
        <v>331</v>
      </c>
    </row>
    <row r="333" spans="3:5">
      <c r="C333" s="136" t="s">
        <v>1769</v>
      </c>
      <c r="D333" s="331"/>
      <c r="E333" s="222">
        <v>332</v>
      </c>
    </row>
    <row r="334" spans="3:5">
      <c r="C334" s="136" t="s">
        <v>1770</v>
      </c>
      <c r="D334" s="331"/>
      <c r="E334" s="222">
        <v>333</v>
      </c>
    </row>
    <row r="335" spans="3:5">
      <c r="C335" s="136" t="s">
        <v>1771</v>
      </c>
      <c r="D335" s="331"/>
      <c r="E335" s="222">
        <v>334</v>
      </c>
    </row>
    <row r="336" spans="3:5">
      <c r="C336" s="136" t="s">
        <v>1772</v>
      </c>
      <c r="D336" s="331"/>
      <c r="E336" s="222">
        <v>335</v>
      </c>
    </row>
    <row r="337" spans="3:5">
      <c r="C337" s="136" t="s">
        <v>1773</v>
      </c>
      <c r="D337" s="331"/>
      <c r="E337" s="222">
        <v>336</v>
      </c>
    </row>
    <row r="338" spans="3:5">
      <c r="C338" s="136" t="s">
        <v>1774</v>
      </c>
      <c r="D338" s="331"/>
      <c r="E338" s="222">
        <v>337</v>
      </c>
    </row>
    <row r="339" spans="3:5">
      <c r="C339" s="136" t="s">
        <v>1775</v>
      </c>
      <c r="D339" s="331"/>
      <c r="E339" s="222">
        <v>338</v>
      </c>
    </row>
    <row r="340" spans="3:5">
      <c r="C340" s="136" t="s">
        <v>1776</v>
      </c>
      <c r="D340" s="331"/>
      <c r="E340" s="222">
        <v>339</v>
      </c>
    </row>
    <row r="341" spans="3:5">
      <c r="C341" s="136" t="s">
        <v>1777</v>
      </c>
      <c r="D341" s="331"/>
      <c r="E341" s="222">
        <v>340</v>
      </c>
    </row>
    <row r="342" spans="3:5">
      <c r="C342" s="136" t="s">
        <v>1778</v>
      </c>
      <c r="D342" s="331"/>
      <c r="E342" s="222">
        <v>341</v>
      </c>
    </row>
    <row r="343" spans="3:5">
      <c r="C343" s="136" t="s">
        <v>1779</v>
      </c>
      <c r="D343" s="331"/>
      <c r="E343" s="222">
        <v>342</v>
      </c>
    </row>
    <row r="344" spans="3:5">
      <c r="C344" s="136" t="s">
        <v>1780</v>
      </c>
      <c r="D344" s="331"/>
      <c r="E344" s="222">
        <v>343</v>
      </c>
    </row>
    <row r="345" spans="3:5">
      <c r="C345" s="136" t="s">
        <v>1781</v>
      </c>
      <c r="D345" s="331"/>
      <c r="E345" s="222">
        <v>344</v>
      </c>
    </row>
    <row r="346" spans="3:5">
      <c r="C346" s="136" t="s">
        <v>1782</v>
      </c>
      <c r="D346" s="331"/>
      <c r="E346" s="222">
        <v>345</v>
      </c>
    </row>
    <row r="347" spans="3:5">
      <c r="C347" s="136" t="s">
        <v>1783</v>
      </c>
      <c r="D347" s="331"/>
      <c r="E347" s="222">
        <v>346</v>
      </c>
    </row>
    <row r="348" spans="3:5">
      <c r="C348" s="136" t="s">
        <v>1784</v>
      </c>
      <c r="D348" s="331"/>
      <c r="E348" s="222">
        <v>347</v>
      </c>
    </row>
    <row r="349" spans="3:5">
      <c r="C349" s="136" t="s">
        <v>1785</v>
      </c>
      <c r="D349" s="331"/>
      <c r="E349" s="222">
        <v>348</v>
      </c>
    </row>
    <row r="350" spans="3:5">
      <c r="C350" s="136" t="s">
        <v>1786</v>
      </c>
      <c r="D350" s="331"/>
      <c r="E350" s="222">
        <v>349</v>
      </c>
    </row>
    <row r="351" spans="3:5">
      <c r="C351" s="136" t="s">
        <v>1787</v>
      </c>
      <c r="D351" s="331"/>
      <c r="E351" s="222">
        <v>350</v>
      </c>
    </row>
    <row r="352" spans="3:5">
      <c r="C352" s="136" t="s">
        <v>1788</v>
      </c>
      <c r="D352" s="331"/>
      <c r="E352" s="222">
        <v>351</v>
      </c>
    </row>
    <row r="353" spans="3:5">
      <c r="C353" s="136" t="s">
        <v>1789</v>
      </c>
      <c r="D353" s="331"/>
      <c r="E353" s="222">
        <v>352</v>
      </c>
    </row>
    <row r="354" spans="3:5">
      <c r="C354" s="136" t="s">
        <v>1790</v>
      </c>
      <c r="D354" s="331"/>
      <c r="E354" s="222">
        <v>353</v>
      </c>
    </row>
    <row r="355" spans="3:5">
      <c r="C355" s="136" t="s">
        <v>1791</v>
      </c>
      <c r="D355" s="331"/>
      <c r="E355" s="222">
        <v>354</v>
      </c>
    </row>
    <row r="356" spans="3:5">
      <c r="C356" s="136" t="s">
        <v>1792</v>
      </c>
      <c r="D356" s="331"/>
      <c r="E356" s="222">
        <v>355</v>
      </c>
    </row>
    <row r="357" spans="3:5">
      <c r="C357" s="136" t="s">
        <v>1793</v>
      </c>
      <c r="D357" s="331"/>
      <c r="E357" s="222">
        <v>356</v>
      </c>
    </row>
    <row r="358" spans="3:5">
      <c r="C358" s="136" t="s">
        <v>1794</v>
      </c>
      <c r="D358" s="331"/>
      <c r="E358" s="222">
        <v>357</v>
      </c>
    </row>
    <row r="359" spans="3:5">
      <c r="C359" s="136" t="s">
        <v>1795</v>
      </c>
      <c r="D359" s="331"/>
      <c r="E359" s="222">
        <v>358</v>
      </c>
    </row>
    <row r="360" spans="3:5">
      <c r="C360" s="136" t="s">
        <v>1796</v>
      </c>
      <c r="D360" s="331"/>
      <c r="E360" s="222">
        <v>359</v>
      </c>
    </row>
    <row r="361" spans="3:5">
      <c r="C361" s="136" t="s">
        <v>1797</v>
      </c>
      <c r="D361" s="331"/>
      <c r="E361" s="222">
        <v>360</v>
      </c>
    </row>
    <row r="362" spans="3:5">
      <c r="C362" s="136" t="s">
        <v>1798</v>
      </c>
      <c r="D362" s="331"/>
      <c r="E362" s="222">
        <v>361</v>
      </c>
    </row>
    <row r="363" spans="3:5">
      <c r="C363" s="136" t="s">
        <v>1799</v>
      </c>
      <c r="D363" s="331"/>
      <c r="E363" s="222">
        <v>362</v>
      </c>
    </row>
    <row r="364" spans="3:5">
      <c r="C364" s="136" t="s">
        <v>1800</v>
      </c>
      <c r="D364" s="331"/>
      <c r="E364" s="222">
        <v>363</v>
      </c>
    </row>
    <row r="365" spans="3:5">
      <c r="C365" s="136" t="s">
        <v>1801</v>
      </c>
      <c r="D365" s="331"/>
      <c r="E365" s="222">
        <v>364</v>
      </c>
    </row>
    <row r="366" spans="3:5">
      <c r="C366" s="136" t="s">
        <v>1802</v>
      </c>
      <c r="D366" s="331"/>
      <c r="E366" s="222">
        <v>365</v>
      </c>
    </row>
    <row r="367" spans="3:5">
      <c r="C367" s="136" t="s">
        <v>1803</v>
      </c>
      <c r="D367" s="331"/>
      <c r="E367" s="222">
        <v>366</v>
      </c>
    </row>
    <row r="368" spans="3:5">
      <c r="C368" s="136" t="s">
        <v>1804</v>
      </c>
      <c r="D368" s="331"/>
      <c r="E368" s="222">
        <v>367</v>
      </c>
    </row>
    <row r="369" spans="3:5">
      <c r="C369" s="136" t="s">
        <v>1805</v>
      </c>
      <c r="D369" s="331"/>
      <c r="E369" s="222">
        <v>368</v>
      </c>
    </row>
    <row r="370" spans="3:5">
      <c r="C370" s="136" t="s">
        <v>1806</v>
      </c>
      <c r="D370" s="331"/>
      <c r="E370" s="222">
        <v>369</v>
      </c>
    </row>
    <row r="371" spans="3:5">
      <c r="C371" s="136" t="s">
        <v>1807</v>
      </c>
      <c r="D371" s="331"/>
      <c r="E371" s="222">
        <v>370</v>
      </c>
    </row>
    <row r="372" spans="3:5">
      <c r="C372" s="136" t="s">
        <v>1808</v>
      </c>
      <c r="D372" s="331"/>
      <c r="E372" s="222">
        <v>371</v>
      </c>
    </row>
    <row r="373" spans="3:5">
      <c r="C373" s="136" t="s">
        <v>1809</v>
      </c>
      <c r="D373" s="331"/>
      <c r="E373" s="222">
        <v>372</v>
      </c>
    </row>
    <row r="374" spans="3:5">
      <c r="C374" s="136" t="s">
        <v>1810</v>
      </c>
      <c r="D374" s="331"/>
      <c r="E374" s="222">
        <v>373</v>
      </c>
    </row>
    <row r="375" spans="3:5">
      <c r="C375" s="136" t="s">
        <v>1811</v>
      </c>
      <c r="D375" s="331"/>
      <c r="E375" s="222">
        <v>374</v>
      </c>
    </row>
    <row r="376" spans="3:5">
      <c r="C376" s="136" t="s">
        <v>1812</v>
      </c>
      <c r="D376" s="331"/>
      <c r="E376" s="222">
        <v>375</v>
      </c>
    </row>
    <row r="377" spans="3:5">
      <c r="C377" s="136" t="s">
        <v>1813</v>
      </c>
      <c r="D377" s="331"/>
      <c r="E377" s="222">
        <v>376</v>
      </c>
    </row>
    <row r="378" spans="3:5">
      <c r="C378" s="136" t="s">
        <v>1814</v>
      </c>
      <c r="D378" s="331"/>
      <c r="E378" s="222">
        <v>377</v>
      </c>
    </row>
    <row r="379" spans="3:5">
      <c r="C379" s="136" t="s">
        <v>1815</v>
      </c>
      <c r="D379" s="331"/>
      <c r="E379" s="222">
        <v>378</v>
      </c>
    </row>
    <row r="380" spans="3:5">
      <c r="C380" s="136" t="s">
        <v>1816</v>
      </c>
      <c r="D380" s="331"/>
      <c r="E380" s="222">
        <v>379</v>
      </c>
    </row>
    <row r="381" spans="3:5">
      <c r="C381" s="136" t="s">
        <v>1817</v>
      </c>
      <c r="D381" s="331"/>
      <c r="E381" s="222">
        <v>380</v>
      </c>
    </row>
    <row r="382" spans="3:5">
      <c r="C382" s="136" t="s">
        <v>1818</v>
      </c>
      <c r="D382" s="331"/>
      <c r="E382" s="222">
        <v>381</v>
      </c>
    </row>
    <row r="383" spans="3:5">
      <c r="C383" s="136" t="s">
        <v>1819</v>
      </c>
      <c r="D383" s="331"/>
      <c r="E383" s="222">
        <v>382</v>
      </c>
    </row>
    <row r="384" spans="3:5">
      <c r="C384" s="136" t="s">
        <v>1820</v>
      </c>
      <c r="D384" s="331"/>
      <c r="E384" s="222">
        <v>383</v>
      </c>
    </row>
    <row r="385" spans="3:5">
      <c r="C385" s="136" t="s">
        <v>1821</v>
      </c>
      <c r="D385" s="331"/>
      <c r="E385" s="222">
        <v>384</v>
      </c>
    </row>
    <row r="386" spans="3:5">
      <c r="C386" s="136" t="s">
        <v>1822</v>
      </c>
      <c r="D386" s="331"/>
      <c r="E386" s="222">
        <v>385</v>
      </c>
    </row>
    <row r="387" spans="3:5">
      <c r="C387" s="136" t="s">
        <v>1823</v>
      </c>
      <c r="D387" s="331"/>
      <c r="E387" s="222">
        <v>386</v>
      </c>
    </row>
    <row r="388" spans="3:5">
      <c r="C388" s="136" t="s">
        <v>1824</v>
      </c>
      <c r="D388" s="331"/>
      <c r="E388" s="222">
        <v>387</v>
      </c>
    </row>
    <row r="389" spans="3:5">
      <c r="C389" s="136" t="s">
        <v>1825</v>
      </c>
      <c r="D389" s="331"/>
      <c r="E389" s="222">
        <v>388</v>
      </c>
    </row>
    <row r="390" spans="3:5">
      <c r="C390" s="136" t="s">
        <v>1826</v>
      </c>
      <c r="D390" s="331"/>
      <c r="E390" s="222">
        <v>389</v>
      </c>
    </row>
    <row r="391" spans="3:5">
      <c r="C391" s="136" t="s">
        <v>1827</v>
      </c>
      <c r="D391" s="331"/>
      <c r="E391" s="222">
        <v>390</v>
      </c>
    </row>
    <row r="392" spans="3:5">
      <c r="C392" s="136" t="s">
        <v>1828</v>
      </c>
      <c r="D392" s="331"/>
      <c r="E392" s="222">
        <v>391</v>
      </c>
    </row>
    <row r="393" spans="3:5">
      <c r="C393" s="136" t="s">
        <v>1829</v>
      </c>
      <c r="D393" s="331"/>
      <c r="E393" s="222">
        <v>392</v>
      </c>
    </row>
    <row r="394" spans="3:5">
      <c r="C394" s="136" t="s">
        <v>1830</v>
      </c>
      <c r="D394" s="331"/>
      <c r="E394" s="222">
        <v>393</v>
      </c>
    </row>
    <row r="395" spans="3:5">
      <c r="C395" s="136" t="s">
        <v>1831</v>
      </c>
      <c r="D395" s="331"/>
      <c r="E395" s="222">
        <v>394</v>
      </c>
    </row>
    <row r="396" spans="3:5">
      <c r="C396" s="136" t="s">
        <v>1832</v>
      </c>
      <c r="D396" s="331"/>
      <c r="E396" s="222">
        <v>395</v>
      </c>
    </row>
    <row r="397" spans="3:5">
      <c r="C397" s="136" t="s">
        <v>1833</v>
      </c>
      <c r="D397" s="331"/>
      <c r="E397" s="222">
        <v>396</v>
      </c>
    </row>
    <row r="398" spans="3:5">
      <c r="C398" s="136" t="s">
        <v>1834</v>
      </c>
      <c r="D398" s="331"/>
      <c r="E398" s="222">
        <v>397</v>
      </c>
    </row>
    <row r="399" spans="3:5">
      <c r="C399" s="136" t="s">
        <v>1835</v>
      </c>
      <c r="D399" s="331"/>
      <c r="E399" s="222">
        <v>398</v>
      </c>
    </row>
    <row r="400" spans="3:5">
      <c r="C400" s="136" t="s">
        <v>1836</v>
      </c>
      <c r="D400" s="331"/>
      <c r="E400" s="222">
        <v>399</v>
      </c>
    </row>
    <row r="401" spans="3:5">
      <c r="C401" s="136" t="s">
        <v>1837</v>
      </c>
      <c r="D401" s="331"/>
      <c r="E401" s="222">
        <v>400</v>
      </c>
    </row>
    <row r="402" spans="3:5">
      <c r="C402" s="136" t="s">
        <v>1838</v>
      </c>
      <c r="D402" s="331"/>
      <c r="E402" s="222">
        <v>401</v>
      </c>
    </row>
    <row r="403" spans="3:5">
      <c r="C403" s="136" t="s">
        <v>1839</v>
      </c>
      <c r="D403" s="331"/>
      <c r="E403" s="222">
        <v>402</v>
      </c>
    </row>
    <row r="404" spans="3:5">
      <c r="C404" s="136" t="s">
        <v>1840</v>
      </c>
      <c r="D404" s="331"/>
      <c r="E404" s="222">
        <v>403</v>
      </c>
    </row>
    <row r="405" spans="3:5">
      <c r="C405" s="136" t="s">
        <v>1841</v>
      </c>
      <c r="D405" s="331"/>
      <c r="E405" s="222">
        <v>404</v>
      </c>
    </row>
    <row r="406" spans="3:5">
      <c r="C406" s="136" t="s">
        <v>1842</v>
      </c>
      <c r="D406" s="331"/>
      <c r="E406" s="222">
        <v>405</v>
      </c>
    </row>
    <row r="407" spans="3:5">
      <c r="C407" s="136" t="s">
        <v>1843</v>
      </c>
      <c r="D407" s="331"/>
      <c r="E407" s="222">
        <v>406</v>
      </c>
    </row>
    <row r="408" spans="3:5">
      <c r="C408" s="136" t="s">
        <v>1844</v>
      </c>
      <c r="D408" s="331"/>
      <c r="E408" s="222">
        <v>407</v>
      </c>
    </row>
    <row r="409" spans="3:5">
      <c r="C409" s="136" t="s">
        <v>1845</v>
      </c>
      <c r="D409" s="331"/>
      <c r="E409" s="222">
        <v>408</v>
      </c>
    </row>
    <row r="410" spans="3:5">
      <c r="C410" s="136" t="s">
        <v>1846</v>
      </c>
      <c r="D410" s="331"/>
      <c r="E410" s="222">
        <v>409</v>
      </c>
    </row>
    <row r="411" spans="3:5">
      <c r="C411" s="136" t="s">
        <v>1847</v>
      </c>
      <c r="D411" s="331"/>
      <c r="E411" s="222">
        <v>410</v>
      </c>
    </row>
    <row r="412" spans="3:5">
      <c r="C412" s="136" t="s">
        <v>1848</v>
      </c>
      <c r="D412" s="331"/>
      <c r="E412" s="222">
        <v>411</v>
      </c>
    </row>
    <row r="413" spans="3:5">
      <c r="C413" s="136" t="s">
        <v>1849</v>
      </c>
      <c r="D413" s="331"/>
      <c r="E413" s="222">
        <v>412</v>
      </c>
    </row>
    <row r="414" spans="3:5">
      <c r="C414" s="136" t="s">
        <v>1850</v>
      </c>
      <c r="D414" s="331"/>
      <c r="E414" s="222">
        <v>413</v>
      </c>
    </row>
    <row r="415" spans="3:5">
      <c r="C415" s="136" t="s">
        <v>1851</v>
      </c>
      <c r="D415" s="331"/>
      <c r="E415" s="222">
        <v>414</v>
      </c>
    </row>
    <row r="416" spans="3:5">
      <c r="C416" s="136" t="s">
        <v>1852</v>
      </c>
      <c r="D416" s="331"/>
      <c r="E416" s="222">
        <v>415</v>
      </c>
    </row>
    <row r="417" spans="3:5">
      <c r="C417" s="136" t="s">
        <v>1853</v>
      </c>
      <c r="D417" s="331"/>
      <c r="E417" s="222">
        <v>416</v>
      </c>
    </row>
    <row r="418" spans="3:5">
      <c r="C418" s="136" t="s">
        <v>1854</v>
      </c>
      <c r="D418" s="331"/>
      <c r="E418" s="222">
        <v>417</v>
      </c>
    </row>
    <row r="419" spans="3:5">
      <c r="C419" s="136" t="s">
        <v>1855</v>
      </c>
      <c r="D419" s="331"/>
      <c r="E419" s="222">
        <v>418</v>
      </c>
    </row>
    <row r="420" spans="3:5">
      <c r="C420" s="136" t="s">
        <v>1856</v>
      </c>
      <c r="D420" s="331"/>
      <c r="E420" s="222">
        <v>419</v>
      </c>
    </row>
    <row r="421" spans="3:5">
      <c r="C421" s="136" t="s">
        <v>1857</v>
      </c>
      <c r="D421" s="331"/>
      <c r="E421" s="222">
        <v>420</v>
      </c>
    </row>
    <row r="422" spans="3:5">
      <c r="C422" s="136" t="s">
        <v>1858</v>
      </c>
      <c r="D422" s="331"/>
      <c r="E422" s="222">
        <v>421</v>
      </c>
    </row>
    <row r="423" spans="3:5">
      <c r="C423" s="136" t="s">
        <v>1859</v>
      </c>
      <c r="D423" s="331"/>
      <c r="E423" s="222">
        <v>422</v>
      </c>
    </row>
    <row r="424" spans="3:5">
      <c r="C424" s="136" t="s">
        <v>1860</v>
      </c>
      <c r="D424" s="331"/>
      <c r="E424" s="222">
        <v>423</v>
      </c>
    </row>
    <row r="425" spans="3:5">
      <c r="C425" s="136" t="s">
        <v>1861</v>
      </c>
      <c r="D425" s="331"/>
      <c r="E425" s="222">
        <v>424</v>
      </c>
    </row>
    <row r="426" spans="3:5">
      <c r="C426" s="136" t="s">
        <v>1862</v>
      </c>
      <c r="D426" s="331"/>
      <c r="E426" s="222">
        <v>425</v>
      </c>
    </row>
    <row r="427" spans="3:5">
      <c r="C427" s="136" t="s">
        <v>1863</v>
      </c>
      <c r="D427" s="331"/>
      <c r="E427" s="222">
        <v>426</v>
      </c>
    </row>
    <row r="428" spans="3:5">
      <c r="C428" s="136" t="s">
        <v>1864</v>
      </c>
      <c r="D428" s="331"/>
      <c r="E428" s="222">
        <v>427</v>
      </c>
    </row>
    <row r="429" spans="3:5">
      <c r="C429" s="136" t="s">
        <v>1865</v>
      </c>
      <c r="D429" s="331"/>
      <c r="E429" s="222">
        <v>428</v>
      </c>
    </row>
    <row r="430" spans="3:5">
      <c r="C430" s="136" t="s">
        <v>1866</v>
      </c>
      <c r="D430" s="331"/>
      <c r="E430" s="222">
        <v>429</v>
      </c>
    </row>
    <row r="431" spans="3:5">
      <c r="C431" s="136" t="s">
        <v>1867</v>
      </c>
      <c r="D431" s="331"/>
      <c r="E431" s="222">
        <v>430</v>
      </c>
    </row>
    <row r="432" spans="3:5">
      <c r="C432" s="136" t="s">
        <v>1868</v>
      </c>
      <c r="D432" s="331"/>
      <c r="E432" s="222">
        <v>431</v>
      </c>
    </row>
    <row r="433" spans="3:5">
      <c r="C433" s="136" t="s">
        <v>1869</v>
      </c>
      <c r="D433" s="331"/>
      <c r="E433" s="222">
        <v>432</v>
      </c>
    </row>
    <row r="434" spans="3:5">
      <c r="C434" s="136" t="s">
        <v>1870</v>
      </c>
      <c r="D434" s="331"/>
      <c r="E434" s="222">
        <v>433</v>
      </c>
    </row>
    <row r="435" spans="3:5">
      <c r="C435" s="136" t="s">
        <v>1871</v>
      </c>
      <c r="D435" s="331"/>
      <c r="E435" s="222">
        <v>434</v>
      </c>
    </row>
    <row r="436" spans="3:5">
      <c r="C436" s="136" t="s">
        <v>1872</v>
      </c>
      <c r="D436" s="331"/>
      <c r="E436" s="222">
        <v>435</v>
      </c>
    </row>
    <row r="437" spans="3:5">
      <c r="C437" s="136" t="s">
        <v>1873</v>
      </c>
      <c r="D437" s="331"/>
      <c r="E437" s="222">
        <v>436</v>
      </c>
    </row>
    <row r="438" spans="3:5">
      <c r="C438" s="136" t="s">
        <v>1874</v>
      </c>
      <c r="D438" s="331"/>
      <c r="E438" s="222">
        <v>437</v>
      </c>
    </row>
    <row r="439" spans="3:5">
      <c r="C439" s="136" t="s">
        <v>1875</v>
      </c>
      <c r="D439" s="331"/>
      <c r="E439" s="222">
        <v>438</v>
      </c>
    </row>
    <row r="440" spans="3:5">
      <c r="C440" s="136" t="s">
        <v>1876</v>
      </c>
      <c r="D440" s="331"/>
      <c r="E440" s="222">
        <v>439</v>
      </c>
    </row>
    <row r="441" spans="3:5">
      <c r="C441" s="136" t="s">
        <v>1877</v>
      </c>
      <c r="D441" s="331"/>
      <c r="E441" s="222">
        <v>440</v>
      </c>
    </row>
    <row r="442" spans="3:5">
      <c r="C442" s="136" t="s">
        <v>1878</v>
      </c>
      <c r="D442" s="331"/>
      <c r="E442" s="222">
        <v>441</v>
      </c>
    </row>
    <row r="443" spans="3:5">
      <c r="C443" s="136" t="s">
        <v>1879</v>
      </c>
      <c r="D443" s="331"/>
      <c r="E443" s="222">
        <v>442</v>
      </c>
    </row>
    <row r="444" spans="3:5">
      <c r="C444" s="136" t="s">
        <v>1880</v>
      </c>
      <c r="D444" s="331"/>
      <c r="E444" s="222">
        <v>443</v>
      </c>
    </row>
    <row r="445" spans="3:5">
      <c r="C445" s="136" t="s">
        <v>1881</v>
      </c>
      <c r="D445" s="331"/>
      <c r="E445" s="222">
        <v>444</v>
      </c>
    </row>
    <row r="446" spans="3:5">
      <c r="C446" s="136" t="s">
        <v>1882</v>
      </c>
      <c r="D446" s="331"/>
      <c r="E446" s="222">
        <v>445</v>
      </c>
    </row>
    <row r="447" spans="3:5">
      <c r="C447" s="136" t="s">
        <v>1883</v>
      </c>
      <c r="D447" s="331"/>
      <c r="E447" s="222">
        <v>446</v>
      </c>
    </row>
    <row r="448" spans="3:5">
      <c r="C448" s="136" t="s">
        <v>1884</v>
      </c>
      <c r="D448" s="331"/>
      <c r="E448" s="222">
        <v>447</v>
      </c>
    </row>
    <row r="449" spans="3:5">
      <c r="C449" s="136" t="s">
        <v>1885</v>
      </c>
      <c r="D449" s="331"/>
      <c r="E449" s="222">
        <v>448</v>
      </c>
    </row>
    <row r="450" spans="3:5">
      <c r="C450" s="136" t="s">
        <v>1886</v>
      </c>
      <c r="D450" s="331"/>
      <c r="E450" s="222">
        <v>449</v>
      </c>
    </row>
    <row r="451" spans="3:5">
      <c r="C451" s="136" t="s">
        <v>1887</v>
      </c>
      <c r="D451" s="331"/>
      <c r="E451" s="222">
        <v>450</v>
      </c>
    </row>
    <row r="452" spans="3:5">
      <c r="C452" s="136" t="s">
        <v>1888</v>
      </c>
      <c r="D452" s="331"/>
      <c r="E452" s="222">
        <v>451</v>
      </c>
    </row>
    <row r="453" spans="3:5">
      <c r="C453" s="136" t="s">
        <v>1889</v>
      </c>
      <c r="D453" s="331"/>
      <c r="E453" s="222">
        <v>452</v>
      </c>
    </row>
    <row r="454" spans="3:5">
      <c r="C454" s="136" t="s">
        <v>1890</v>
      </c>
      <c r="D454" s="331"/>
      <c r="E454" s="222">
        <v>453</v>
      </c>
    </row>
    <row r="455" spans="3:5">
      <c r="C455" s="136" t="s">
        <v>1891</v>
      </c>
      <c r="D455" s="331"/>
      <c r="E455" s="222">
        <v>454</v>
      </c>
    </row>
    <row r="456" spans="3:5">
      <c r="C456" s="136" t="s">
        <v>1892</v>
      </c>
      <c r="D456" s="331"/>
      <c r="E456" s="222">
        <v>455</v>
      </c>
    </row>
    <row r="457" spans="3:5">
      <c r="C457" s="136" t="s">
        <v>1893</v>
      </c>
      <c r="D457" s="331"/>
      <c r="E457" s="222">
        <v>456</v>
      </c>
    </row>
    <row r="458" spans="3:5">
      <c r="C458" s="136" t="s">
        <v>1894</v>
      </c>
      <c r="D458" s="331"/>
      <c r="E458" s="222">
        <v>457</v>
      </c>
    </row>
    <row r="459" spans="3:5">
      <c r="C459" s="136" t="s">
        <v>1895</v>
      </c>
      <c r="D459" s="331"/>
      <c r="E459" s="222">
        <v>458</v>
      </c>
    </row>
    <row r="460" spans="3:5">
      <c r="C460" s="136" t="s">
        <v>1896</v>
      </c>
      <c r="D460" s="331"/>
      <c r="E460" s="222">
        <v>459</v>
      </c>
    </row>
    <row r="461" spans="3:5">
      <c r="C461" s="136" t="s">
        <v>1897</v>
      </c>
      <c r="D461" s="331"/>
      <c r="E461" s="222">
        <v>460</v>
      </c>
    </row>
    <row r="462" spans="3:5">
      <c r="C462" s="136" t="s">
        <v>1898</v>
      </c>
      <c r="D462" s="331"/>
      <c r="E462" s="222">
        <v>461</v>
      </c>
    </row>
    <row r="463" spans="3:5">
      <c r="C463" s="136" t="s">
        <v>1899</v>
      </c>
      <c r="D463" s="331"/>
      <c r="E463" s="222">
        <v>462</v>
      </c>
    </row>
    <row r="464" spans="3:5">
      <c r="C464" s="136" t="s">
        <v>1900</v>
      </c>
      <c r="D464" s="331"/>
      <c r="E464" s="222">
        <v>463</v>
      </c>
    </row>
    <row r="465" spans="3:5">
      <c r="C465" s="136" t="s">
        <v>1901</v>
      </c>
      <c r="D465" s="331"/>
      <c r="E465" s="222">
        <v>464</v>
      </c>
    </row>
    <row r="466" spans="3:5">
      <c r="C466" s="136" t="s">
        <v>1902</v>
      </c>
      <c r="D466" s="331"/>
      <c r="E466" s="222">
        <v>465</v>
      </c>
    </row>
    <row r="467" spans="3:5">
      <c r="C467" s="136" t="s">
        <v>1903</v>
      </c>
      <c r="D467" s="331"/>
      <c r="E467" s="222">
        <v>466</v>
      </c>
    </row>
    <row r="468" spans="3:5">
      <c r="C468" s="136" t="s">
        <v>1904</v>
      </c>
      <c r="D468" s="331"/>
      <c r="E468" s="222">
        <v>467</v>
      </c>
    </row>
    <row r="469" spans="3:5">
      <c r="C469" s="136" t="s">
        <v>1905</v>
      </c>
      <c r="D469" s="331"/>
      <c r="E469" s="222">
        <v>468</v>
      </c>
    </row>
    <row r="470" spans="3:5">
      <c r="C470" s="136" t="s">
        <v>1906</v>
      </c>
      <c r="D470" s="331"/>
      <c r="E470" s="222">
        <v>469</v>
      </c>
    </row>
    <row r="471" spans="3:5">
      <c r="C471" s="136" t="s">
        <v>1907</v>
      </c>
      <c r="D471" s="331"/>
      <c r="E471" s="222">
        <v>470</v>
      </c>
    </row>
    <row r="472" spans="3:5">
      <c r="C472" s="136" t="s">
        <v>1908</v>
      </c>
      <c r="D472" s="331"/>
      <c r="E472" s="222">
        <v>471</v>
      </c>
    </row>
    <row r="473" spans="3:5">
      <c r="C473" s="136" t="s">
        <v>1909</v>
      </c>
      <c r="D473" s="331"/>
      <c r="E473" s="222">
        <v>472</v>
      </c>
    </row>
    <row r="474" spans="3:5">
      <c r="C474" s="136" t="s">
        <v>1910</v>
      </c>
      <c r="D474" s="331"/>
      <c r="E474" s="222">
        <v>473</v>
      </c>
    </row>
    <row r="475" spans="3:5">
      <c r="C475" s="136" t="s">
        <v>1911</v>
      </c>
      <c r="D475" s="331"/>
      <c r="E475" s="222">
        <v>474</v>
      </c>
    </row>
    <row r="476" spans="3:5">
      <c r="C476" s="136" t="s">
        <v>1912</v>
      </c>
      <c r="D476" s="331"/>
      <c r="E476" s="222">
        <v>475</v>
      </c>
    </row>
    <row r="477" spans="3:5">
      <c r="C477" s="136" t="s">
        <v>1913</v>
      </c>
      <c r="D477" s="331"/>
      <c r="E477" s="222">
        <v>476</v>
      </c>
    </row>
    <row r="478" spans="3:5">
      <c r="C478" s="136" t="s">
        <v>1914</v>
      </c>
      <c r="D478" s="331"/>
      <c r="E478" s="222">
        <v>477</v>
      </c>
    </row>
    <row r="479" spans="3:5">
      <c r="C479" s="136" t="s">
        <v>1915</v>
      </c>
      <c r="D479" s="331"/>
      <c r="E479" s="222">
        <v>478</v>
      </c>
    </row>
    <row r="480" spans="3:5">
      <c r="C480" s="136" t="s">
        <v>1916</v>
      </c>
      <c r="D480" s="331"/>
      <c r="E480" s="222">
        <v>479</v>
      </c>
    </row>
    <row r="481" spans="3:5">
      <c r="C481" s="136" t="s">
        <v>1917</v>
      </c>
      <c r="D481" s="331"/>
      <c r="E481" s="222">
        <v>480</v>
      </c>
    </row>
    <row r="482" spans="3:5">
      <c r="C482" s="136" t="s">
        <v>1918</v>
      </c>
      <c r="D482" s="331"/>
      <c r="E482" s="222">
        <v>481</v>
      </c>
    </row>
    <row r="483" spans="3:5">
      <c r="C483" s="136" t="s">
        <v>1919</v>
      </c>
      <c r="D483" s="331"/>
      <c r="E483" s="222">
        <v>482</v>
      </c>
    </row>
    <row r="484" spans="3:5">
      <c r="C484" s="136" t="s">
        <v>1920</v>
      </c>
      <c r="D484" s="331"/>
      <c r="E484" s="222">
        <v>483</v>
      </c>
    </row>
    <row r="485" spans="3:5">
      <c r="C485" s="136" t="s">
        <v>1921</v>
      </c>
      <c r="D485" s="331"/>
      <c r="E485" s="222">
        <v>484</v>
      </c>
    </row>
    <row r="486" spans="3:5">
      <c r="C486" s="136" t="s">
        <v>1922</v>
      </c>
      <c r="D486" s="331"/>
      <c r="E486" s="222">
        <v>485</v>
      </c>
    </row>
    <row r="487" spans="3:5">
      <c r="C487" s="136" t="s">
        <v>1923</v>
      </c>
      <c r="D487" s="331"/>
      <c r="E487" s="222">
        <v>486</v>
      </c>
    </row>
    <row r="488" spans="3:5">
      <c r="C488" s="136" t="s">
        <v>1924</v>
      </c>
      <c r="D488" s="331"/>
      <c r="E488" s="222">
        <v>487</v>
      </c>
    </row>
    <row r="489" spans="3:5">
      <c r="C489" s="136" t="s">
        <v>1925</v>
      </c>
      <c r="D489" s="331"/>
      <c r="E489" s="222">
        <v>488</v>
      </c>
    </row>
    <row r="490" spans="3:5">
      <c r="C490" s="136" t="s">
        <v>1926</v>
      </c>
      <c r="D490" s="331"/>
      <c r="E490" s="222">
        <v>489</v>
      </c>
    </row>
    <row r="491" spans="3:5">
      <c r="C491" s="136" t="s">
        <v>1927</v>
      </c>
      <c r="D491" s="331"/>
      <c r="E491" s="222">
        <v>490</v>
      </c>
    </row>
    <row r="492" spans="3:5">
      <c r="C492" s="136" t="s">
        <v>1928</v>
      </c>
      <c r="D492" s="331"/>
      <c r="E492" s="222">
        <v>491</v>
      </c>
    </row>
    <row r="493" spans="3:5">
      <c r="C493" s="136" t="s">
        <v>1929</v>
      </c>
      <c r="D493" s="331"/>
      <c r="E493" s="222">
        <v>492</v>
      </c>
    </row>
    <row r="494" spans="3:5">
      <c r="C494" s="136" t="s">
        <v>1930</v>
      </c>
      <c r="D494" s="331"/>
      <c r="E494" s="222">
        <v>493</v>
      </c>
    </row>
    <row r="495" spans="3:5">
      <c r="C495" s="136" t="s">
        <v>1931</v>
      </c>
      <c r="D495" s="331"/>
      <c r="E495" s="222">
        <v>494</v>
      </c>
    </row>
    <row r="496" spans="3:5">
      <c r="C496" s="136" t="s">
        <v>1932</v>
      </c>
      <c r="D496" s="331"/>
      <c r="E496" s="222">
        <v>495</v>
      </c>
    </row>
    <row r="497" spans="3:5">
      <c r="C497" s="136" t="s">
        <v>1933</v>
      </c>
      <c r="D497" s="331"/>
      <c r="E497" s="222">
        <v>496</v>
      </c>
    </row>
    <row r="498" spans="3:5">
      <c r="C498" s="136" t="s">
        <v>1934</v>
      </c>
      <c r="D498" s="331"/>
      <c r="E498" s="222">
        <v>497</v>
      </c>
    </row>
    <row r="499" spans="3:5">
      <c r="C499" s="136" t="s">
        <v>1935</v>
      </c>
      <c r="D499" s="331"/>
      <c r="E499" s="222">
        <v>498</v>
      </c>
    </row>
    <row r="500" spans="3:5">
      <c r="C500" s="136" t="s">
        <v>1936</v>
      </c>
      <c r="D500" s="331"/>
      <c r="E500" s="222">
        <v>499</v>
      </c>
    </row>
    <row r="501" spans="3:5">
      <c r="C501" s="136" t="s">
        <v>1937</v>
      </c>
      <c r="D501" s="331"/>
      <c r="E501" s="222">
        <v>500</v>
      </c>
    </row>
    <row r="502" spans="3:5">
      <c r="C502" s="136" t="s">
        <v>1938</v>
      </c>
      <c r="D502" s="331"/>
      <c r="E502" s="222">
        <v>501</v>
      </c>
    </row>
    <row r="503" spans="3:5">
      <c r="C503" s="136" t="s">
        <v>1939</v>
      </c>
      <c r="D503" s="331"/>
      <c r="E503" s="222">
        <v>502</v>
      </c>
    </row>
    <row r="504" spans="3:5">
      <c r="C504" s="136" t="s">
        <v>1940</v>
      </c>
      <c r="D504" s="331"/>
      <c r="E504" s="222">
        <v>503</v>
      </c>
    </row>
    <row r="505" spans="3:5">
      <c r="C505" s="136" t="s">
        <v>1941</v>
      </c>
      <c r="D505" s="331"/>
      <c r="E505" s="222">
        <v>504</v>
      </c>
    </row>
    <row r="506" spans="3:5">
      <c r="C506" s="136" t="s">
        <v>1942</v>
      </c>
      <c r="D506" s="331"/>
      <c r="E506" s="222">
        <v>505</v>
      </c>
    </row>
    <row r="507" spans="3:5">
      <c r="C507" s="136" t="s">
        <v>1943</v>
      </c>
      <c r="D507" s="331"/>
      <c r="E507" s="222">
        <v>506</v>
      </c>
    </row>
    <row r="508" spans="3:5">
      <c r="C508" s="136" t="s">
        <v>1944</v>
      </c>
      <c r="D508" s="331"/>
      <c r="E508" s="222">
        <v>507</v>
      </c>
    </row>
    <row r="509" spans="3:5">
      <c r="C509" s="136" t="s">
        <v>1945</v>
      </c>
      <c r="D509" s="331"/>
      <c r="E509" s="222">
        <v>508</v>
      </c>
    </row>
    <row r="510" spans="3:5">
      <c r="C510" s="136" t="s">
        <v>1946</v>
      </c>
      <c r="D510" s="331"/>
      <c r="E510" s="222">
        <v>509</v>
      </c>
    </row>
    <row r="511" spans="3:5">
      <c r="C511" s="136" t="s">
        <v>1947</v>
      </c>
      <c r="D511" s="331"/>
      <c r="E511" s="222">
        <v>510</v>
      </c>
    </row>
    <row r="512" spans="3:5">
      <c r="C512" s="136" t="s">
        <v>1948</v>
      </c>
      <c r="D512" s="331"/>
      <c r="E512" s="222">
        <v>511</v>
      </c>
    </row>
    <row r="513" spans="3:5">
      <c r="C513" s="136" t="s">
        <v>1949</v>
      </c>
      <c r="D513" s="331"/>
      <c r="E513" s="222">
        <v>512</v>
      </c>
    </row>
    <row r="514" spans="3:5">
      <c r="C514" s="136" t="s">
        <v>1950</v>
      </c>
      <c r="D514" s="331"/>
      <c r="E514" s="222">
        <v>513</v>
      </c>
    </row>
    <row r="515" spans="3:5">
      <c r="C515" s="136" t="s">
        <v>1951</v>
      </c>
      <c r="D515" s="331"/>
      <c r="E515" s="222">
        <v>514</v>
      </c>
    </row>
    <row r="516" spans="3:5">
      <c r="C516" s="136" t="s">
        <v>1952</v>
      </c>
      <c r="D516" s="331"/>
      <c r="E516" s="222">
        <v>515</v>
      </c>
    </row>
    <row r="517" spans="3:5">
      <c r="C517" s="136" t="s">
        <v>1953</v>
      </c>
      <c r="D517" s="331"/>
      <c r="E517" s="222">
        <v>516</v>
      </c>
    </row>
    <row r="518" spans="3:5">
      <c r="C518" s="136" t="s">
        <v>1954</v>
      </c>
      <c r="D518" s="331"/>
      <c r="E518" s="222">
        <v>517</v>
      </c>
    </row>
    <row r="519" spans="3:5">
      <c r="C519" s="136" t="s">
        <v>1955</v>
      </c>
      <c r="D519" s="331"/>
      <c r="E519" s="222">
        <v>518</v>
      </c>
    </row>
    <row r="520" spans="3:5">
      <c r="C520" s="136" t="s">
        <v>1956</v>
      </c>
      <c r="D520" s="331"/>
      <c r="E520" s="222">
        <v>519</v>
      </c>
    </row>
    <row r="521" spans="3:5">
      <c r="C521" s="136" t="s">
        <v>1957</v>
      </c>
      <c r="D521" s="331"/>
      <c r="E521" s="222">
        <v>520</v>
      </c>
    </row>
    <row r="522" spans="3:5">
      <c r="C522" s="136" t="s">
        <v>1958</v>
      </c>
      <c r="D522" s="331"/>
      <c r="E522" s="222">
        <v>521</v>
      </c>
    </row>
    <row r="523" spans="3:5">
      <c r="C523" s="136" t="s">
        <v>1959</v>
      </c>
      <c r="D523" s="331"/>
      <c r="E523" s="222">
        <v>522</v>
      </c>
    </row>
    <row r="524" spans="3:5">
      <c r="C524" s="136" t="s">
        <v>1960</v>
      </c>
      <c r="D524" s="331"/>
      <c r="E524" s="222">
        <v>523</v>
      </c>
    </row>
    <row r="525" spans="3:5">
      <c r="C525" s="136" t="s">
        <v>1961</v>
      </c>
      <c r="D525" s="331"/>
      <c r="E525" s="222">
        <v>524</v>
      </c>
    </row>
    <row r="526" spans="3:5">
      <c r="C526" s="136" t="s">
        <v>1962</v>
      </c>
      <c r="D526" s="331"/>
      <c r="E526" s="222">
        <v>525</v>
      </c>
    </row>
    <row r="527" spans="3:5">
      <c r="C527" s="136" t="s">
        <v>1963</v>
      </c>
      <c r="D527" s="331"/>
      <c r="E527" s="222">
        <v>526</v>
      </c>
    </row>
    <row r="528" spans="3:5">
      <c r="C528" s="136" t="s">
        <v>1964</v>
      </c>
      <c r="D528" s="331"/>
      <c r="E528" s="222">
        <v>527</v>
      </c>
    </row>
    <row r="529" spans="3:5">
      <c r="C529" s="136" t="s">
        <v>1965</v>
      </c>
      <c r="D529" s="331"/>
      <c r="E529" s="222">
        <v>528</v>
      </c>
    </row>
    <row r="530" spans="3:5">
      <c r="C530" s="136" t="s">
        <v>1966</v>
      </c>
      <c r="D530" s="331"/>
      <c r="E530" s="222">
        <v>529</v>
      </c>
    </row>
    <row r="531" spans="3:5">
      <c r="C531" s="136" t="s">
        <v>1967</v>
      </c>
      <c r="D531" s="331"/>
      <c r="E531" s="222">
        <v>530</v>
      </c>
    </row>
    <row r="532" spans="3:5">
      <c r="C532" s="136" t="s">
        <v>1968</v>
      </c>
      <c r="D532" s="331"/>
      <c r="E532" s="222">
        <v>531</v>
      </c>
    </row>
    <row r="533" spans="3:5">
      <c r="C533" s="136" t="s">
        <v>1969</v>
      </c>
      <c r="D533" s="331"/>
      <c r="E533" s="222">
        <v>532</v>
      </c>
    </row>
    <row r="534" spans="3:5">
      <c r="C534" s="136" t="s">
        <v>1970</v>
      </c>
      <c r="D534" s="331"/>
      <c r="E534" s="222">
        <v>533</v>
      </c>
    </row>
    <row r="535" spans="3:5">
      <c r="C535" s="136" t="s">
        <v>1971</v>
      </c>
      <c r="D535" s="331"/>
      <c r="E535" s="222">
        <v>534</v>
      </c>
    </row>
    <row r="536" spans="3:5">
      <c r="C536" s="136" t="s">
        <v>1972</v>
      </c>
      <c r="D536" s="331"/>
      <c r="E536" s="222">
        <v>535</v>
      </c>
    </row>
    <row r="537" spans="3:5">
      <c r="C537" s="136" t="s">
        <v>1973</v>
      </c>
      <c r="D537" s="331"/>
      <c r="E537" s="222">
        <v>536</v>
      </c>
    </row>
    <row r="538" spans="3:5">
      <c r="C538" s="136" t="s">
        <v>1974</v>
      </c>
      <c r="D538" s="331"/>
      <c r="E538" s="222">
        <v>537</v>
      </c>
    </row>
    <row r="539" spans="3:5">
      <c r="C539" s="136" t="s">
        <v>1975</v>
      </c>
      <c r="D539" s="331"/>
      <c r="E539" s="222">
        <v>538</v>
      </c>
    </row>
    <row r="540" spans="3:5">
      <c r="C540" s="136" t="s">
        <v>1976</v>
      </c>
      <c r="D540" s="331"/>
      <c r="E540" s="222">
        <v>539</v>
      </c>
    </row>
    <row r="541" spans="3:5">
      <c r="C541" s="136" t="s">
        <v>1977</v>
      </c>
      <c r="D541" s="331"/>
      <c r="E541" s="222">
        <v>540</v>
      </c>
    </row>
    <row r="542" spans="3:5">
      <c r="C542" s="136" t="s">
        <v>1978</v>
      </c>
      <c r="D542" s="331"/>
      <c r="E542" s="222">
        <v>541</v>
      </c>
    </row>
    <row r="543" spans="3:5">
      <c r="C543" s="136" t="s">
        <v>1979</v>
      </c>
      <c r="D543" s="331"/>
      <c r="E543" s="222">
        <v>542</v>
      </c>
    </row>
    <row r="544" spans="3:5">
      <c r="C544" s="136" t="s">
        <v>1980</v>
      </c>
      <c r="D544" s="331"/>
      <c r="E544" s="222">
        <v>543</v>
      </c>
    </row>
    <row r="545" spans="3:5">
      <c r="C545" s="136" t="s">
        <v>1981</v>
      </c>
      <c r="D545" s="331"/>
      <c r="E545" s="222">
        <v>544</v>
      </c>
    </row>
    <row r="546" spans="3:5">
      <c r="C546" s="136" t="s">
        <v>1982</v>
      </c>
      <c r="D546" s="331"/>
      <c r="E546" s="222">
        <v>545</v>
      </c>
    </row>
    <row r="547" spans="3:5">
      <c r="C547" s="136" t="s">
        <v>1983</v>
      </c>
      <c r="D547" s="331"/>
      <c r="E547" s="222">
        <v>546</v>
      </c>
    </row>
    <row r="548" spans="3:5">
      <c r="C548" s="136" t="s">
        <v>1984</v>
      </c>
      <c r="D548" s="331"/>
      <c r="E548" s="222">
        <v>547</v>
      </c>
    </row>
    <row r="549" spans="3:5">
      <c r="C549" s="136" t="s">
        <v>1985</v>
      </c>
      <c r="D549" s="331"/>
      <c r="E549" s="222">
        <v>548</v>
      </c>
    </row>
    <row r="550" spans="3:5">
      <c r="C550" s="136" t="s">
        <v>1986</v>
      </c>
      <c r="D550" s="331"/>
      <c r="E550" s="222">
        <v>549</v>
      </c>
    </row>
    <row r="551" spans="3:5">
      <c r="C551" s="136" t="s">
        <v>1987</v>
      </c>
      <c r="D551" s="331"/>
      <c r="E551" s="222">
        <v>550</v>
      </c>
    </row>
    <row r="552" spans="3:5">
      <c r="C552" s="136" t="s">
        <v>1988</v>
      </c>
      <c r="D552" s="331"/>
      <c r="E552" s="222">
        <v>551</v>
      </c>
    </row>
    <row r="553" spans="3:5">
      <c r="C553" s="136" t="s">
        <v>1989</v>
      </c>
      <c r="D553" s="331"/>
      <c r="E553" s="222">
        <v>552</v>
      </c>
    </row>
    <row r="554" spans="3:5">
      <c r="C554" s="136" t="s">
        <v>1990</v>
      </c>
      <c r="D554" s="331"/>
      <c r="E554" s="222">
        <v>553</v>
      </c>
    </row>
    <row r="555" spans="3:5">
      <c r="C555" s="136" t="s">
        <v>1991</v>
      </c>
      <c r="D555" s="331"/>
      <c r="E555" s="222">
        <v>554</v>
      </c>
    </row>
    <row r="556" spans="3:5">
      <c r="C556" s="136" t="s">
        <v>1992</v>
      </c>
      <c r="D556" s="331"/>
      <c r="E556" s="222">
        <v>555</v>
      </c>
    </row>
    <row r="557" spans="3:5">
      <c r="C557" s="136" t="s">
        <v>1993</v>
      </c>
      <c r="D557" s="331"/>
      <c r="E557" s="222">
        <v>556</v>
      </c>
    </row>
    <row r="558" spans="3:5">
      <c r="C558" s="136" t="s">
        <v>1994</v>
      </c>
      <c r="D558" s="331"/>
      <c r="E558" s="222">
        <v>557</v>
      </c>
    </row>
    <row r="559" spans="3:5">
      <c r="C559" s="136" t="s">
        <v>1995</v>
      </c>
      <c r="D559" s="331"/>
      <c r="E559" s="222">
        <v>558</v>
      </c>
    </row>
    <row r="560" spans="3:5">
      <c r="C560" s="136" t="s">
        <v>1996</v>
      </c>
      <c r="D560" s="331"/>
      <c r="E560" s="222">
        <v>559</v>
      </c>
    </row>
    <row r="561" spans="3:5">
      <c r="C561" s="136" t="s">
        <v>1997</v>
      </c>
      <c r="D561" s="331"/>
      <c r="E561" s="222">
        <v>560</v>
      </c>
    </row>
    <row r="562" spans="3:5">
      <c r="C562" s="136" t="s">
        <v>1998</v>
      </c>
      <c r="D562" s="331"/>
      <c r="E562" s="222">
        <v>561</v>
      </c>
    </row>
    <row r="563" spans="3:5">
      <c r="C563" s="136" t="s">
        <v>1999</v>
      </c>
      <c r="D563" s="331"/>
      <c r="E563" s="222">
        <v>562</v>
      </c>
    </row>
    <row r="564" spans="3:5">
      <c r="C564" s="136" t="s">
        <v>2000</v>
      </c>
      <c r="D564" s="331"/>
      <c r="E564" s="222">
        <v>563</v>
      </c>
    </row>
    <row r="565" spans="3:5">
      <c r="C565" s="136" t="s">
        <v>2001</v>
      </c>
      <c r="D565" s="331"/>
      <c r="E565" s="222">
        <v>564</v>
      </c>
    </row>
    <row r="566" spans="3:5">
      <c r="C566" s="136" t="s">
        <v>2002</v>
      </c>
      <c r="D566" s="331"/>
      <c r="E566" s="222">
        <v>565</v>
      </c>
    </row>
    <row r="567" spans="3:5">
      <c r="C567" s="136" t="s">
        <v>2003</v>
      </c>
      <c r="D567" s="331"/>
      <c r="E567" s="222">
        <v>566</v>
      </c>
    </row>
    <row r="568" spans="3:5">
      <c r="C568" s="136" t="s">
        <v>2004</v>
      </c>
      <c r="D568" s="331"/>
      <c r="E568" s="222">
        <v>567</v>
      </c>
    </row>
    <row r="569" spans="3:5">
      <c r="C569" s="136" t="s">
        <v>2005</v>
      </c>
      <c r="D569" s="331"/>
      <c r="E569" s="222">
        <v>568</v>
      </c>
    </row>
    <row r="570" spans="3:5">
      <c r="C570" s="136" t="s">
        <v>2006</v>
      </c>
      <c r="D570" s="331"/>
      <c r="E570" s="222">
        <v>569</v>
      </c>
    </row>
    <row r="571" spans="3:5">
      <c r="C571" s="136" t="s">
        <v>2007</v>
      </c>
      <c r="D571" s="331"/>
      <c r="E571" s="222">
        <v>570</v>
      </c>
    </row>
    <row r="572" spans="3:5">
      <c r="C572" s="136" t="s">
        <v>2008</v>
      </c>
      <c r="D572" s="331"/>
      <c r="E572" s="222">
        <v>571</v>
      </c>
    </row>
    <row r="573" spans="3:5">
      <c r="C573" s="136" t="s">
        <v>2009</v>
      </c>
      <c r="D573" s="331"/>
      <c r="E573" s="222">
        <v>572</v>
      </c>
    </row>
    <row r="574" spans="3:5">
      <c r="C574" s="136" t="s">
        <v>2010</v>
      </c>
      <c r="D574" s="331"/>
      <c r="E574" s="222">
        <v>573</v>
      </c>
    </row>
    <row r="575" spans="3:5">
      <c r="C575" s="136" t="s">
        <v>2011</v>
      </c>
      <c r="D575" s="331"/>
      <c r="E575" s="222">
        <v>574</v>
      </c>
    </row>
    <row r="576" spans="3:5">
      <c r="C576" s="136" t="s">
        <v>2012</v>
      </c>
      <c r="D576" s="331"/>
      <c r="E576" s="222">
        <v>575</v>
      </c>
    </row>
    <row r="577" spans="3:5">
      <c r="C577" s="136" t="s">
        <v>2013</v>
      </c>
      <c r="D577" s="331"/>
      <c r="E577" s="222">
        <v>576</v>
      </c>
    </row>
    <row r="578" spans="3:5">
      <c r="C578" s="136" t="s">
        <v>2014</v>
      </c>
      <c r="D578" s="331"/>
      <c r="E578" s="222">
        <v>577</v>
      </c>
    </row>
    <row r="579" spans="3:5">
      <c r="C579" s="136" t="s">
        <v>2015</v>
      </c>
      <c r="D579" s="331"/>
      <c r="E579" s="222">
        <v>578</v>
      </c>
    </row>
    <row r="580" spans="3:5">
      <c r="C580" s="136" t="s">
        <v>2016</v>
      </c>
      <c r="D580" s="331"/>
      <c r="E580" s="222">
        <v>579</v>
      </c>
    </row>
    <row r="581" spans="3:5">
      <c r="C581" s="136" t="s">
        <v>2017</v>
      </c>
      <c r="D581" s="331"/>
      <c r="E581" s="222">
        <v>580</v>
      </c>
    </row>
    <row r="582" spans="3:5">
      <c r="C582" s="136" t="s">
        <v>2018</v>
      </c>
      <c r="D582" s="331"/>
      <c r="E582" s="222">
        <v>581</v>
      </c>
    </row>
    <row r="583" spans="3:5">
      <c r="C583" s="136" t="s">
        <v>2019</v>
      </c>
      <c r="D583" s="331"/>
      <c r="E583" s="222">
        <v>582</v>
      </c>
    </row>
    <row r="584" spans="3:5">
      <c r="C584" s="136" t="s">
        <v>2020</v>
      </c>
      <c r="D584" s="331"/>
      <c r="E584" s="222">
        <v>583</v>
      </c>
    </row>
    <row r="585" spans="3:5">
      <c r="C585" s="136" t="s">
        <v>2021</v>
      </c>
      <c r="D585" s="331"/>
      <c r="E585" s="222">
        <v>584</v>
      </c>
    </row>
    <row r="586" spans="3:5">
      <c r="C586" s="136" t="s">
        <v>2022</v>
      </c>
      <c r="D586" s="331"/>
      <c r="E586" s="222">
        <v>585</v>
      </c>
    </row>
    <row r="587" spans="3:5">
      <c r="C587" s="136" t="s">
        <v>2023</v>
      </c>
      <c r="D587" s="331"/>
      <c r="E587" s="222">
        <v>586</v>
      </c>
    </row>
    <row r="588" spans="3:5">
      <c r="C588" s="136" t="s">
        <v>2024</v>
      </c>
      <c r="D588" s="331"/>
      <c r="E588" s="222">
        <v>587</v>
      </c>
    </row>
    <row r="589" spans="3:5">
      <c r="C589" s="136" t="s">
        <v>2025</v>
      </c>
      <c r="D589" s="331"/>
      <c r="E589" s="222">
        <v>588</v>
      </c>
    </row>
    <row r="590" spans="3:5">
      <c r="C590" s="136" t="s">
        <v>2026</v>
      </c>
      <c r="D590" s="331"/>
      <c r="E590" s="222">
        <v>589</v>
      </c>
    </row>
    <row r="591" spans="3:5">
      <c r="C591" s="136" t="s">
        <v>2027</v>
      </c>
      <c r="D591" s="331"/>
      <c r="E591" s="222">
        <v>590</v>
      </c>
    </row>
    <row r="592" spans="3:5">
      <c r="C592" s="136" t="s">
        <v>2028</v>
      </c>
      <c r="D592" s="331"/>
      <c r="E592" s="222">
        <v>591</v>
      </c>
    </row>
    <row r="593" spans="3:5">
      <c r="C593" s="136" t="s">
        <v>2029</v>
      </c>
      <c r="D593" s="331"/>
      <c r="E593" s="222">
        <v>592</v>
      </c>
    </row>
    <row r="594" spans="3:5">
      <c r="C594" s="136" t="s">
        <v>2030</v>
      </c>
      <c r="D594" s="331"/>
      <c r="E594" s="222">
        <v>593</v>
      </c>
    </row>
    <row r="595" spans="3:5">
      <c r="C595" s="136" t="s">
        <v>2031</v>
      </c>
      <c r="D595" s="331"/>
      <c r="E595" s="222">
        <v>594</v>
      </c>
    </row>
    <row r="596" spans="3:5">
      <c r="C596" s="136" t="s">
        <v>2032</v>
      </c>
      <c r="D596" s="331"/>
      <c r="E596" s="222">
        <v>595</v>
      </c>
    </row>
    <row r="597" spans="3:5">
      <c r="C597" s="136" t="s">
        <v>2033</v>
      </c>
      <c r="D597" s="331"/>
      <c r="E597" s="222">
        <v>596</v>
      </c>
    </row>
    <row r="598" spans="3:5">
      <c r="C598" s="136" t="s">
        <v>2034</v>
      </c>
      <c r="D598" s="331"/>
      <c r="E598" s="222">
        <v>597</v>
      </c>
    </row>
    <row r="599" spans="3:5">
      <c r="C599" s="136" t="s">
        <v>2035</v>
      </c>
      <c r="D599" s="331"/>
      <c r="E599" s="222">
        <v>598</v>
      </c>
    </row>
    <row r="600" spans="3:5">
      <c r="C600" s="136" t="s">
        <v>2036</v>
      </c>
      <c r="D600" s="331"/>
      <c r="E600" s="222">
        <v>599</v>
      </c>
    </row>
    <row r="601" spans="3:5">
      <c r="C601" s="136" t="s">
        <v>2037</v>
      </c>
      <c r="D601" s="331"/>
      <c r="E601" s="222">
        <v>600</v>
      </c>
    </row>
    <row r="602" spans="3:5">
      <c r="C602" s="136" t="s">
        <v>2038</v>
      </c>
      <c r="D602" s="331"/>
      <c r="E602" s="222">
        <v>601</v>
      </c>
    </row>
    <row r="603" spans="3:5">
      <c r="C603" s="136" t="s">
        <v>2039</v>
      </c>
      <c r="D603" s="331"/>
      <c r="E603" s="222">
        <v>602</v>
      </c>
    </row>
    <row r="604" spans="3:5">
      <c r="C604" s="136" t="s">
        <v>2040</v>
      </c>
      <c r="D604" s="331"/>
      <c r="E604" s="222">
        <v>603</v>
      </c>
    </row>
    <row r="605" spans="3:5">
      <c r="C605" s="136" t="s">
        <v>2041</v>
      </c>
      <c r="D605" s="331"/>
      <c r="E605" s="222">
        <v>604</v>
      </c>
    </row>
    <row r="606" spans="3:5">
      <c r="C606" s="136" t="s">
        <v>2042</v>
      </c>
      <c r="D606" s="331"/>
      <c r="E606" s="222">
        <v>605</v>
      </c>
    </row>
    <row r="607" spans="3:5">
      <c r="C607" s="136" t="s">
        <v>2043</v>
      </c>
      <c r="D607" s="331"/>
      <c r="E607" s="222">
        <v>606</v>
      </c>
    </row>
    <row r="608" spans="3:5">
      <c r="C608" s="136" t="s">
        <v>2044</v>
      </c>
      <c r="D608" s="331"/>
      <c r="E608" s="222">
        <v>607</v>
      </c>
    </row>
    <row r="609" spans="3:5">
      <c r="C609" s="136" t="s">
        <v>2045</v>
      </c>
      <c r="D609" s="331"/>
      <c r="E609" s="222">
        <v>608</v>
      </c>
    </row>
    <row r="610" spans="3:5">
      <c r="C610" s="136" t="s">
        <v>2046</v>
      </c>
      <c r="D610" s="331"/>
      <c r="E610" s="222">
        <v>609</v>
      </c>
    </row>
    <row r="611" spans="3:5">
      <c r="C611" s="136" t="s">
        <v>2047</v>
      </c>
      <c r="D611" s="331"/>
      <c r="E611" s="222">
        <v>610</v>
      </c>
    </row>
    <row r="612" spans="3:5">
      <c r="C612" s="136" t="s">
        <v>2048</v>
      </c>
      <c r="D612" s="331"/>
      <c r="E612" s="222">
        <v>611</v>
      </c>
    </row>
    <row r="613" spans="3:5">
      <c r="C613" s="136" t="s">
        <v>2049</v>
      </c>
      <c r="D613" s="331"/>
      <c r="E613" s="222">
        <v>612</v>
      </c>
    </row>
    <row r="614" spans="3:5">
      <c r="C614" s="136" t="s">
        <v>2050</v>
      </c>
      <c r="D614" s="331"/>
      <c r="E614" s="222">
        <v>613</v>
      </c>
    </row>
    <row r="615" spans="3:5">
      <c r="C615" s="136" t="s">
        <v>2051</v>
      </c>
      <c r="D615" s="331"/>
      <c r="E615" s="222">
        <v>614</v>
      </c>
    </row>
    <row r="616" spans="3:5">
      <c r="C616" s="136" t="s">
        <v>2052</v>
      </c>
      <c r="D616" s="331"/>
      <c r="E616" s="222">
        <v>615</v>
      </c>
    </row>
    <row r="617" spans="3:5">
      <c r="C617" s="136" t="s">
        <v>2053</v>
      </c>
      <c r="D617" s="331"/>
      <c r="E617" s="222">
        <v>616</v>
      </c>
    </row>
    <row r="618" spans="3:5">
      <c r="C618" s="136" t="s">
        <v>2054</v>
      </c>
      <c r="D618" s="331"/>
      <c r="E618" s="222">
        <v>617</v>
      </c>
    </row>
    <row r="619" spans="3:5">
      <c r="C619" s="136" t="s">
        <v>2055</v>
      </c>
      <c r="D619" s="331"/>
      <c r="E619" s="222">
        <v>618</v>
      </c>
    </row>
    <row r="620" spans="3:5">
      <c r="C620" s="136" t="s">
        <v>2056</v>
      </c>
      <c r="D620" s="331"/>
      <c r="E620" s="222">
        <v>619</v>
      </c>
    </row>
    <row r="621" spans="3:5">
      <c r="C621" s="136" t="s">
        <v>2057</v>
      </c>
      <c r="D621" s="331"/>
      <c r="E621" s="222">
        <v>620</v>
      </c>
    </row>
    <row r="622" spans="3:5">
      <c r="C622" s="136" t="s">
        <v>2058</v>
      </c>
      <c r="D622" s="331"/>
      <c r="E622" s="222">
        <v>621</v>
      </c>
    </row>
    <row r="623" spans="3:5">
      <c r="C623" s="136" t="s">
        <v>2059</v>
      </c>
      <c r="D623" s="331"/>
      <c r="E623" s="222">
        <v>622</v>
      </c>
    </row>
    <row r="624" spans="3:5">
      <c r="C624" s="136" t="s">
        <v>2060</v>
      </c>
      <c r="D624" s="331"/>
      <c r="E624" s="222">
        <v>623</v>
      </c>
    </row>
    <row r="625" spans="3:5">
      <c r="C625" s="136" t="s">
        <v>2061</v>
      </c>
      <c r="D625" s="331"/>
      <c r="E625" s="222">
        <v>624</v>
      </c>
    </row>
    <row r="626" spans="3:5">
      <c r="C626" s="136" t="s">
        <v>2062</v>
      </c>
      <c r="D626" s="331"/>
      <c r="E626" s="222">
        <v>625</v>
      </c>
    </row>
    <row r="627" spans="3:5">
      <c r="C627" s="136" t="s">
        <v>2063</v>
      </c>
      <c r="D627" s="331"/>
      <c r="E627" s="222">
        <v>626</v>
      </c>
    </row>
    <row r="628" spans="3:5">
      <c r="C628" s="136" t="s">
        <v>2064</v>
      </c>
      <c r="D628" s="331"/>
      <c r="E628" s="222">
        <v>627</v>
      </c>
    </row>
    <row r="629" spans="3:5">
      <c r="C629" s="136" t="s">
        <v>2065</v>
      </c>
      <c r="D629" s="331"/>
      <c r="E629" s="222">
        <v>628</v>
      </c>
    </row>
    <row r="630" spans="3:5">
      <c r="C630" s="136" t="s">
        <v>2066</v>
      </c>
      <c r="D630" s="331"/>
      <c r="E630" s="222">
        <v>629</v>
      </c>
    </row>
    <row r="631" spans="3:5">
      <c r="C631" s="136" t="s">
        <v>2067</v>
      </c>
      <c r="D631" s="331"/>
      <c r="E631" s="222">
        <v>630</v>
      </c>
    </row>
    <row r="632" spans="3:5">
      <c r="C632" s="136" t="s">
        <v>2068</v>
      </c>
      <c r="D632" s="331"/>
      <c r="E632" s="222">
        <v>631</v>
      </c>
    </row>
    <row r="633" spans="3:5">
      <c r="C633" s="136" t="s">
        <v>2069</v>
      </c>
      <c r="D633" s="331"/>
      <c r="E633" s="222">
        <v>632</v>
      </c>
    </row>
    <row r="634" spans="3:5">
      <c r="C634" s="136" t="s">
        <v>2070</v>
      </c>
      <c r="D634" s="331"/>
      <c r="E634" s="222">
        <v>633</v>
      </c>
    </row>
    <row r="635" spans="3:5">
      <c r="C635" s="136" t="s">
        <v>2071</v>
      </c>
      <c r="D635" s="331"/>
      <c r="E635" s="222">
        <v>634</v>
      </c>
    </row>
    <row r="636" spans="3:5">
      <c r="C636" s="136" t="s">
        <v>2072</v>
      </c>
      <c r="D636" s="331"/>
      <c r="E636" s="222">
        <v>635</v>
      </c>
    </row>
    <row r="637" spans="3:5">
      <c r="C637" s="136" t="s">
        <v>2073</v>
      </c>
      <c r="D637" s="331"/>
      <c r="E637" s="222">
        <v>636</v>
      </c>
    </row>
    <row r="638" spans="3:5">
      <c r="C638" s="136" t="s">
        <v>2074</v>
      </c>
      <c r="D638" s="331"/>
      <c r="E638" s="222">
        <v>637</v>
      </c>
    </row>
    <row r="639" spans="3:5">
      <c r="C639" s="136" t="s">
        <v>2075</v>
      </c>
      <c r="D639" s="331"/>
      <c r="E639" s="222">
        <v>638</v>
      </c>
    </row>
    <row r="640" spans="3:5">
      <c r="C640" s="136" t="s">
        <v>2076</v>
      </c>
      <c r="D640" s="331"/>
      <c r="E640" s="222">
        <v>639</v>
      </c>
    </row>
    <row r="641" spans="3:5">
      <c r="C641" s="136" t="s">
        <v>2077</v>
      </c>
      <c r="D641" s="331"/>
      <c r="E641" s="222">
        <v>640</v>
      </c>
    </row>
    <row r="642" spans="3:5">
      <c r="C642" s="136" t="s">
        <v>2078</v>
      </c>
      <c r="D642" s="331"/>
      <c r="E642" s="222">
        <v>641</v>
      </c>
    </row>
    <row r="643" spans="3:5">
      <c r="C643" s="136" t="s">
        <v>2079</v>
      </c>
      <c r="D643" s="331"/>
      <c r="E643" s="222">
        <v>642</v>
      </c>
    </row>
    <row r="644" spans="3:5">
      <c r="C644" s="136" t="s">
        <v>2080</v>
      </c>
      <c r="D644" s="331"/>
      <c r="E644" s="222">
        <v>643</v>
      </c>
    </row>
    <row r="645" spans="3:5">
      <c r="C645" s="136" t="s">
        <v>2081</v>
      </c>
      <c r="D645" s="331"/>
      <c r="E645" s="222">
        <v>644</v>
      </c>
    </row>
    <row r="646" spans="3:5">
      <c r="C646" s="136" t="s">
        <v>2082</v>
      </c>
      <c r="D646" s="331"/>
      <c r="E646" s="222">
        <v>645</v>
      </c>
    </row>
    <row r="647" spans="3:5">
      <c r="C647" s="136" t="s">
        <v>2083</v>
      </c>
      <c r="D647" s="331"/>
      <c r="E647" s="222">
        <v>646</v>
      </c>
    </row>
    <row r="648" spans="3:5">
      <c r="C648" s="136" t="s">
        <v>2084</v>
      </c>
      <c r="D648" s="331"/>
      <c r="E648" s="222">
        <v>647</v>
      </c>
    </row>
    <row r="649" spans="3:5">
      <c r="C649" s="136" t="s">
        <v>2085</v>
      </c>
      <c r="D649" s="331"/>
      <c r="E649" s="222">
        <v>648</v>
      </c>
    </row>
    <row r="650" spans="3:5">
      <c r="C650" s="136" t="s">
        <v>2086</v>
      </c>
      <c r="D650" s="331"/>
      <c r="E650" s="222">
        <v>649</v>
      </c>
    </row>
    <row r="651" spans="3:5">
      <c r="C651" s="136" t="s">
        <v>2087</v>
      </c>
      <c r="D651" s="331"/>
      <c r="E651" s="222">
        <v>650</v>
      </c>
    </row>
    <row r="652" spans="3:5">
      <c r="C652" s="136" t="s">
        <v>2088</v>
      </c>
      <c r="D652" s="331"/>
      <c r="E652" s="222">
        <v>651</v>
      </c>
    </row>
    <row r="653" spans="3:5">
      <c r="C653" s="136" t="s">
        <v>2089</v>
      </c>
      <c r="D653" s="331"/>
      <c r="E653" s="222">
        <v>652</v>
      </c>
    </row>
  </sheetData>
  <phoneticPr fontId="19"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A1:J82"/>
  <sheetViews>
    <sheetView topLeftCell="A40" workbookViewId="0">
      <selection activeCell="K55" sqref="K55"/>
    </sheetView>
  </sheetViews>
  <sheetFormatPr defaultColWidth="8.7265625" defaultRowHeight="14.5"/>
  <cols>
    <col min="1" max="1" width="14.7265625" style="8" customWidth="1"/>
    <col min="2" max="16384" width="8.7265625" style="8"/>
  </cols>
  <sheetData>
    <row r="1" spans="1:1">
      <c r="A1" s="11" t="s">
        <v>95</v>
      </c>
    </row>
    <row r="2" spans="1:1">
      <c r="A2" s="12" t="s">
        <v>96</v>
      </c>
    </row>
    <row r="3" spans="1:1">
      <c r="A3" s="12" t="s">
        <v>97</v>
      </c>
    </row>
    <row r="4" spans="1:1">
      <c r="A4" s="12" t="s">
        <v>98</v>
      </c>
    </row>
    <row r="5" spans="1:1">
      <c r="A5" s="12" t="s">
        <v>99</v>
      </c>
    </row>
    <row r="6" spans="1:1">
      <c r="A6" s="6" t="s">
        <v>100</v>
      </c>
    </row>
    <row r="7" spans="1:1">
      <c r="A7" s="12" t="s">
        <v>101</v>
      </c>
    </row>
    <row r="8" spans="1:1">
      <c r="A8" s="12" t="s">
        <v>102</v>
      </c>
    </row>
    <row r="9" spans="1:1">
      <c r="A9" s="12" t="s">
        <v>103</v>
      </c>
    </row>
    <row r="10" spans="1:1">
      <c r="A10" s="12" t="s">
        <v>104</v>
      </c>
    </row>
    <row r="11" spans="1:1">
      <c r="A11" s="12" t="s">
        <v>105</v>
      </c>
    </row>
    <row r="12" spans="1:1">
      <c r="A12" s="6" t="s">
        <v>106</v>
      </c>
    </row>
    <row r="13" spans="1:1">
      <c r="A13" s="12" t="s">
        <v>107</v>
      </c>
    </row>
    <row r="14" spans="1:1">
      <c r="A14" s="12" t="s">
        <v>108</v>
      </c>
    </row>
    <row r="15" spans="1:1">
      <c r="A15" s="12" t="s">
        <v>109</v>
      </c>
    </row>
    <row r="16" spans="1:1">
      <c r="A16" s="12" t="s">
        <v>110</v>
      </c>
    </row>
    <row r="17" spans="1:1">
      <c r="A17" s="12" t="s">
        <v>111</v>
      </c>
    </row>
    <row r="18" spans="1:1">
      <c r="A18" s="12" t="s">
        <v>112</v>
      </c>
    </row>
    <row r="19" spans="1:1">
      <c r="A19" s="12" t="s">
        <v>113</v>
      </c>
    </row>
    <row r="20" spans="1:1">
      <c r="A20" s="12" t="s">
        <v>114</v>
      </c>
    </row>
    <row r="21" spans="1:1">
      <c r="A21" s="12" t="s">
        <v>115</v>
      </c>
    </row>
    <row r="22" spans="1:1">
      <c r="A22" s="12" t="s">
        <v>116</v>
      </c>
    </row>
    <row r="23" spans="1:1">
      <c r="A23" s="12" t="s">
        <v>117</v>
      </c>
    </row>
    <row r="24" spans="1:1">
      <c r="A24" s="12" t="s">
        <v>118</v>
      </c>
    </row>
    <row r="25" spans="1:1">
      <c r="A25" s="12" t="s">
        <v>119</v>
      </c>
    </row>
    <row r="26" spans="1:1">
      <c r="A26" s="12" t="s">
        <v>120</v>
      </c>
    </row>
    <row r="27" spans="1:1">
      <c r="A27" s="12" t="s">
        <v>121</v>
      </c>
    </row>
    <row r="28" spans="1:1">
      <c r="A28" s="12" t="s">
        <v>122</v>
      </c>
    </row>
    <row r="29" spans="1:1">
      <c r="A29" s="12" t="s">
        <v>123</v>
      </c>
    </row>
    <row r="30" spans="1:1">
      <c r="A30" s="12" t="s">
        <v>124</v>
      </c>
    </row>
    <row r="31" spans="1:1">
      <c r="A31" s="12" t="s">
        <v>125</v>
      </c>
    </row>
    <row r="32" spans="1:1">
      <c r="A32" s="12" t="s">
        <v>126</v>
      </c>
    </row>
    <row r="33" spans="1:1">
      <c r="A33" s="12" t="s">
        <v>127</v>
      </c>
    </row>
    <row r="34" spans="1:1">
      <c r="A34" s="12" t="s">
        <v>128</v>
      </c>
    </row>
    <row r="35" spans="1:1">
      <c r="A35" s="12" t="s">
        <v>129</v>
      </c>
    </row>
    <row r="36" spans="1:1">
      <c r="A36" s="12" t="s">
        <v>130</v>
      </c>
    </row>
    <row r="37" spans="1:1">
      <c r="A37" s="12" t="s">
        <v>131</v>
      </c>
    </row>
    <row r="38" spans="1:1">
      <c r="A38" s="12" t="s">
        <v>132</v>
      </c>
    </row>
    <row r="39" spans="1:1">
      <c r="A39" s="12" t="s">
        <v>133</v>
      </c>
    </row>
    <row r="40" spans="1:1">
      <c r="A40" s="12" t="s">
        <v>134</v>
      </c>
    </row>
    <row r="41" spans="1:1">
      <c r="A41" s="12" t="s">
        <v>135</v>
      </c>
    </row>
    <row r="42" spans="1:1">
      <c r="A42" s="12" t="s">
        <v>136</v>
      </c>
    </row>
    <row r="43" spans="1:1">
      <c r="A43" s="12" t="s">
        <v>137</v>
      </c>
    </row>
    <row r="44" spans="1:1">
      <c r="A44" s="12" t="s">
        <v>138</v>
      </c>
    </row>
    <row r="45" spans="1:1">
      <c r="A45" s="12" t="s">
        <v>139</v>
      </c>
    </row>
    <row r="46" spans="1:1">
      <c r="A46" s="12" t="s">
        <v>140</v>
      </c>
    </row>
    <row r="47" spans="1:1">
      <c r="A47" s="6" t="s">
        <v>141</v>
      </c>
    </row>
    <row r="48" spans="1:1">
      <c r="A48" s="12" t="s">
        <v>142</v>
      </c>
    </row>
    <row r="49" spans="1:1">
      <c r="A49" s="12" t="s">
        <v>143</v>
      </c>
    </row>
    <row r="50" spans="1:1">
      <c r="A50" s="12" t="s">
        <v>144</v>
      </c>
    </row>
    <row r="51" spans="1:1">
      <c r="A51" s="12" t="s">
        <v>145</v>
      </c>
    </row>
    <row r="52" spans="1:1">
      <c r="A52" s="12" t="s">
        <v>146</v>
      </c>
    </row>
    <row r="53" spans="1:1">
      <c r="A53" s="12" t="s">
        <v>147</v>
      </c>
    </row>
    <row r="54" spans="1:1">
      <c r="A54" s="12" t="s">
        <v>148</v>
      </c>
    </row>
    <row r="55" spans="1:1">
      <c r="A55" s="12" t="s">
        <v>149</v>
      </c>
    </row>
    <row r="56" spans="1:1">
      <c r="A56" s="12" t="s">
        <v>150</v>
      </c>
    </row>
    <row r="57" spans="1:1">
      <c r="A57" s="12" t="s">
        <v>151</v>
      </c>
    </row>
    <row r="58" spans="1:1">
      <c r="A58" s="12" t="s">
        <v>152</v>
      </c>
    </row>
    <row r="59" spans="1:1">
      <c r="A59" s="12" t="s">
        <v>153</v>
      </c>
    </row>
    <row r="60" spans="1:1">
      <c r="A60" s="12" t="s">
        <v>154</v>
      </c>
    </row>
    <row r="61" spans="1:1">
      <c r="A61" s="12" t="s">
        <v>155</v>
      </c>
    </row>
    <row r="62" spans="1:1">
      <c r="A62" s="12" t="s">
        <v>156</v>
      </c>
    </row>
    <row r="63" spans="1:1">
      <c r="A63" s="12" t="s">
        <v>157</v>
      </c>
    </row>
    <row r="64" spans="1:1">
      <c r="A64" s="12" t="s">
        <v>158</v>
      </c>
    </row>
    <row r="65" spans="1:10">
      <c r="A65" s="12" t="s">
        <v>159</v>
      </c>
    </row>
    <row r="66" spans="1:10">
      <c r="A66" s="12" t="s">
        <v>160</v>
      </c>
    </row>
    <row r="67" spans="1:10">
      <c r="A67" s="12" t="s">
        <v>161</v>
      </c>
    </row>
    <row r="68" spans="1:10">
      <c r="A68" s="12" t="s">
        <v>162</v>
      </c>
    </row>
    <row r="69" spans="1:10">
      <c r="A69" s="12"/>
    </row>
    <row r="70" spans="1:10">
      <c r="A70" s="13" t="s">
        <v>8</v>
      </c>
    </row>
    <row r="71" spans="1:10">
      <c r="A71" s="14" t="s">
        <v>163</v>
      </c>
    </row>
    <row r="72" spans="1:10">
      <c r="A72" s="12" t="s">
        <v>164</v>
      </c>
    </row>
    <row r="73" spans="1:10">
      <c r="A73" s="12" t="s">
        <v>165</v>
      </c>
    </row>
    <row r="74" spans="1:10" ht="15.65" customHeight="1">
      <c r="A74" s="15" t="s">
        <v>81</v>
      </c>
      <c r="B74" s="15"/>
      <c r="C74" s="15"/>
      <c r="D74" s="15"/>
      <c r="E74" s="15"/>
      <c r="F74" s="15"/>
      <c r="G74" s="15"/>
      <c r="H74" s="15"/>
      <c r="I74" s="15"/>
      <c r="J74" s="16"/>
    </row>
    <row r="76" spans="1:10">
      <c r="A76" s="11" t="s">
        <v>166</v>
      </c>
    </row>
    <row r="77" spans="1:10">
      <c r="A77" s="17" t="s">
        <v>167</v>
      </c>
      <c r="B77" s="18"/>
      <c r="C77" s="18"/>
      <c r="D77" s="18"/>
      <c r="E77" s="18"/>
      <c r="F77" s="18"/>
      <c r="G77" s="18"/>
      <c r="H77" s="18"/>
      <c r="I77" s="19"/>
    </row>
    <row r="78" spans="1:10">
      <c r="A78" s="20" t="s">
        <v>168</v>
      </c>
      <c r="B78" s="21"/>
      <c r="C78" s="21"/>
      <c r="D78" s="21"/>
      <c r="E78" s="21"/>
      <c r="F78" s="21"/>
      <c r="G78" s="21"/>
      <c r="H78" s="21"/>
      <c r="I78" s="22"/>
    </row>
    <row r="79" spans="1:10">
      <c r="A79" s="20" t="s">
        <v>169</v>
      </c>
      <c r="B79" s="21"/>
      <c r="C79" s="21"/>
      <c r="D79" s="21"/>
      <c r="E79" s="21"/>
      <c r="F79" s="21"/>
      <c r="G79" s="21"/>
      <c r="H79" s="21"/>
      <c r="I79" s="22"/>
    </row>
    <row r="80" spans="1:10">
      <c r="A80" s="20" t="s">
        <v>170</v>
      </c>
      <c r="B80" s="21"/>
      <c r="C80" s="21"/>
      <c r="D80" s="21"/>
      <c r="E80" s="21"/>
      <c r="F80" s="21"/>
      <c r="G80" s="21"/>
      <c r="H80" s="21"/>
      <c r="I80" s="22"/>
    </row>
    <row r="81" spans="1:9" ht="14.5" customHeight="1">
      <c r="A81" s="23" t="s">
        <v>171</v>
      </c>
      <c r="B81" s="21"/>
      <c r="C81" s="21"/>
      <c r="D81" s="21"/>
      <c r="E81" s="21"/>
      <c r="F81" s="21"/>
      <c r="G81" s="21"/>
      <c r="H81" s="21"/>
      <c r="I81" s="22"/>
    </row>
    <row r="82" spans="1:9" ht="14.5" customHeight="1">
      <c r="A82" s="23" t="s">
        <v>172</v>
      </c>
      <c r="B82" s="21"/>
      <c r="C82" s="21"/>
      <c r="D82" s="21"/>
      <c r="E82" s="21"/>
      <c r="F82" s="21"/>
      <c r="G82" s="21"/>
      <c r="H82" s="21"/>
      <c r="I82" s="22"/>
    </row>
  </sheetData>
  <pageMargins left="0.7" right="0.7" top="0.75" bottom="0.75" header="0.3" footer="0.3"/>
  <pageSetup paperSize="9" orientation="portrait" horizontalDpi="360" verticalDpi="36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4"/>
  </sheetPr>
  <dimension ref="A1:AC169"/>
  <sheetViews>
    <sheetView showGridLines="0" view="pageBreakPreview" zoomScale="85" zoomScaleNormal="100" zoomScaleSheetLayoutView="85" workbookViewId="0">
      <pane ySplit="7" topLeftCell="A111" activePane="bottomLeft" state="frozen"/>
      <selection pane="bottomLeft" activeCell="P114" sqref="P114"/>
    </sheetView>
  </sheetViews>
  <sheetFormatPr defaultRowHeight="14"/>
  <cols>
    <col min="1" max="1" width="5.1796875" style="29" customWidth="1"/>
    <col min="2" max="2" width="10.1796875" style="714" customWidth="1"/>
    <col min="3" max="4" width="8.453125" style="29" customWidth="1"/>
    <col min="5" max="5" width="8.7265625" style="29" customWidth="1"/>
    <col min="6" max="6" width="7.81640625" style="29" customWidth="1"/>
    <col min="7" max="7" width="10.7265625" style="29" customWidth="1"/>
    <col min="8" max="8" width="7.7265625" style="710" customWidth="1"/>
    <col min="9" max="9" width="7.7265625" style="29" customWidth="1"/>
    <col min="10" max="10" width="8.81640625" style="710" customWidth="1"/>
    <col min="11" max="11" width="11.54296875" style="29" customWidth="1"/>
    <col min="12" max="12" width="7.26953125" style="29" customWidth="1"/>
    <col min="13" max="13" width="12" style="29" customWidth="1"/>
    <col min="14" max="14" width="8.81640625" style="29" bestFit="1" customWidth="1"/>
    <col min="15" max="15" width="9" style="29" bestFit="1" customWidth="1"/>
    <col min="16" max="16" width="12.36328125" style="29" bestFit="1" customWidth="1"/>
    <col min="17" max="18" width="8.7265625" style="29"/>
    <col min="19" max="19" width="8.81640625" style="29" bestFit="1" customWidth="1"/>
    <col min="20" max="26" width="8.7265625" style="29"/>
    <col min="27" max="28" width="8.81640625" style="29" bestFit="1" customWidth="1"/>
    <col min="29" max="16384" width="8.7265625" style="29"/>
  </cols>
  <sheetData>
    <row r="1" spans="1:29" ht="20.5">
      <c r="A1" s="952" t="s">
        <v>3904</v>
      </c>
      <c r="B1" s="952"/>
      <c r="C1" s="952"/>
      <c r="D1" s="952"/>
      <c r="E1" s="952"/>
      <c r="F1" s="952"/>
      <c r="G1" s="952"/>
      <c r="H1" s="952"/>
      <c r="I1" s="952"/>
      <c r="J1" s="952"/>
      <c r="K1" s="952"/>
    </row>
    <row r="2" spans="1:29" ht="20" customHeight="1" thickBot="1">
      <c r="A2" s="953" t="s">
        <v>3524</v>
      </c>
      <c r="B2" s="953"/>
      <c r="C2" s="953"/>
      <c r="D2" s="953"/>
      <c r="E2" s="953"/>
      <c r="F2" s="953"/>
      <c r="G2" s="953"/>
      <c r="H2" s="953"/>
      <c r="I2" s="953"/>
      <c r="J2" s="953"/>
      <c r="K2" s="953"/>
    </row>
    <row r="3" spans="1:29" ht="20" customHeight="1">
      <c r="A3" s="953" t="s">
        <v>3525</v>
      </c>
      <c r="B3" s="953"/>
      <c r="C3" s="953"/>
      <c r="D3" s="953"/>
      <c r="E3" s="953"/>
      <c r="F3" s="953"/>
      <c r="G3" s="953"/>
      <c r="H3" s="953"/>
      <c r="I3" s="953"/>
      <c r="J3" s="953"/>
      <c r="K3" s="953"/>
      <c r="P3" s="887"/>
      <c r="Q3" s="975">
        <f>P4-1</f>
        <v>44</v>
      </c>
    </row>
    <row r="4" spans="1:29" ht="20" customHeight="1" thickBot="1">
      <c r="A4" s="953" t="s">
        <v>57</v>
      </c>
      <c r="B4" s="953"/>
      <c r="C4" s="953"/>
      <c r="D4" s="953"/>
      <c r="E4" s="953"/>
      <c r="F4" s="953"/>
      <c r="G4" s="953"/>
      <c r="H4" s="953"/>
      <c r="I4" s="953"/>
      <c r="J4" s="953"/>
      <c r="K4" s="953"/>
      <c r="P4" s="979">
        <v>45</v>
      </c>
      <c r="Q4" s="976"/>
    </row>
    <row r="5" spans="1:29" ht="15.5">
      <c r="A5" s="954" t="s">
        <v>3516</v>
      </c>
      <c r="B5" s="954"/>
      <c r="C5" s="954"/>
      <c r="D5" s="954"/>
      <c r="E5" s="954"/>
      <c r="F5" s="954"/>
      <c r="G5" s="954"/>
      <c r="H5" s="954"/>
      <c r="I5" s="954"/>
      <c r="J5" s="954"/>
      <c r="K5" s="954"/>
      <c r="O5" s="879"/>
      <c r="P5" s="979"/>
      <c r="Q5" s="977">
        <f>P4+1</f>
        <v>46</v>
      </c>
    </row>
    <row r="6" spans="1:29" ht="23.5" customHeight="1" thickBot="1">
      <c r="A6" s="955" t="s">
        <v>3887</v>
      </c>
      <c r="B6" s="955"/>
      <c r="C6" s="955"/>
      <c r="D6" s="955"/>
      <c r="E6" s="955"/>
      <c r="F6" s="955"/>
      <c r="G6" s="955"/>
      <c r="H6" s="955"/>
      <c r="I6" s="955"/>
      <c r="J6" s="955"/>
      <c r="K6" s="955"/>
      <c r="O6" s="880"/>
      <c r="P6" s="888"/>
      <c r="Q6" s="978"/>
    </row>
    <row r="7" spans="1:29" ht="9.5" customHeight="1" thickTop="1"/>
    <row r="8" spans="1:29" s="167" customFormat="1" ht="14.5" customHeight="1">
      <c r="A8" s="958" t="s">
        <v>420</v>
      </c>
      <c r="B8" s="958"/>
      <c r="C8" s="958"/>
      <c r="D8" s="958"/>
      <c r="E8" s="958"/>
      <c r="F8" s="958"/>
      <c r="G8" s="958"/>
      <c r="H8" s="958"/>
      <c r="I8" s="958"/>
      <c r="J8" s="958"/>
      <c r="K8" s="958"/>
      <c r="L8" s="168"/>
      <c r="M8" s="168" t="s">
        <v>442</v>
      </c>
      <c r="N8" s="200">
        <f t="array" ref="N8">IFERROR(INDEX(Masteratk2024,SMALL(IF(Kriteriaatk2024=$P$4,ROW(Kriteriaatk2024)),ROW(C1)),1),"")</f>
        <v>45</v>
      </c>
      <c r="O8" s="190" t="str">
        <f>ROMAN(MONTH(M11))</f>
        <v>II</v>
      </c>
      <c r="S8" s="169"/>
      <c r="AA8" s="170" t="str">
        <f t="array" ref="AA8">IFERROR(INDEX(_xlnm.Database,SMALL(IF(kriteria=$Q$15,ROW(kriteria)),ROW(B8)),5),"")</f>
        <v/>
      </c>
      <c r="AB8" s="171" t="str">
        <f t="array" ref="AB8">IFERROR(INDEX(_xlnm.Database,SMALL(IF(kriteria=$Q$15,ROW(kriteria)),ROW(B8)),6),"")</f>
        <v/>
      </c>
      <c r="AC8" s="171" t="str">
        <f>ROMAN(MONTH(Z10))</f>
        <v>I</v>
      </c>
    </row>
    <row r="9" spans="1:29" s="167" customFormat="1" ht="7" customHeight="1" thickBot="1">
      <c r="A9" s="878"/>
      <c r="B9" s="878"/>
      <c r="C9" s="878"/>
      <c r="D9" s="878"/>
      <c r="E9" s="878"/>
      <c r="F9" s="878"/>
      <c r="G9" s="878"/>
      <c r="H9" s="878"/>
      <c r="I9" s="878"/>
      <c r="J9" s="878"/>
      <c r="K9" s="878"/>
      <c r="M9" s="167" t="s">
        <v>219</v>
      </c>
      <c r="N9" s="200">
        <f t="array" ref="N9">IFERROR(INDEX(Masteratk2024,SMALL(IF(Kriteriaatk2024=$P$4,ROW(Kriteriaatk2024)),ROW(C1)),1),"")</f>
        <v>45</v>
      </c>
      <c r="O9" s="190" t="str">
        <f>ROMAN(MONTH(M11))</f>
        <v>II</v>
      </c>
      <c r="S9" s="169"/>
      <c r="T9" s="169"/>
      <c r="AA9" s="172"/>
      <c r="AB9" s="169"/>
      <c r="AC9" s="169"/>
    </row>
    <row r="10" spans="1:29" s="167" customFormat="1" ht="14.5" customHeight="1" thickTop="1">
      <c r="A10" s="980" t="s">
        <v>421</v>
      </c>
      <c r="B10" s="981"/>
      <c r="C10" s="981"/>
      <c r="D10" s="981"/>
      <c r="E10" s="981"/>
      <c r="F10" s="873" t="s">
        <v>422</v>
      </c>
      <c r="G10" s="874"/>
      <c r="H10" s="875" t="str">
        <f>"421.3/"&amp;N8&amp;"-P/DB/SMANSATLD/"&amp;O8&amp;"/"&amp;YEAR(M11)&amp;""</f>
        <v>421.3/45-P/DB/SMANSATLD/II/2025</v>
      </c>
      <c r="I10" s="876"/>
      <c r="J10" s="876"/>
      <c r="K10" s="877"/>
      <c r="M10" s="167" t="s">
        <v>417</v>
      </c>
      <c r="N10" s="200">
        <f t="array" ref="N10">IFERROR(INDEX(Masteratk2024,SMALL(IF(Kriteriaatk2024=$P$4,ROW(Kriteriaatk2024)),ROW(C1)),1),"")</f>
        <v>45</v>
      </c>
      <c r="O10" s="190" t="str">
        <f>ROMAN(MONTH(M11))</f>
        <v>II</v>
      </c>
      <c r="Z10" s="173"/>
      <c r="AB10" s="167" t="s">
        <v>54</v>
      </c>
    </row>
    <row r="11" spans="1:29" s="167" customFormat="1" ht="16.5" customHeight="1">
      <c r="A11" s="985" t="str">
        <f t="array" ref="A11">"Kegiatan jual beli dengan mitra "&amp;IFERROR(INDEX(Masteratk2024,SMALL(IF(Kriteriaatk2024=$P$4,ROW(Kriteriaatk2024)),ROW(C8)),20),"")</f>
        <v>Kegiatan jual beli dengan mitra UD. JOSUA</v>
      </c>
      <c r="B11" s="986"/>
      <c r="C11" s="986"/>
      <c r="D11" s="986"/>
      <c r="E11" s="987"/>
      <c r="F11" s="695" t="s">
        <v>423</v>
      </c>
      <c r="G11" s="695"/>
      <c r="H11" s="843" t="str">
        <f t="array" ref="H11">TEXT(IFERROR(INDEX(Masteratk2024,SMALL(IF(Kriteriaatk2024=$P$4,ROW(Kriteriaatk2024)),ROW(C1)),6),""), "[$-421] DD MMMM YYYY")</f>
        <v xml:space="preserve"> 01 Februari 2025</v>
      </c>
      <c r="I11" s="696"/>
      <c r="J11" s="697"/>
      <c r="K11" s="698"/>
      <c r="M11" s="224" t="str">
        <f t="array" ref="M11">IFERROR(INDEX(Masteratk2024,SMALL(IF(Kriteriaatk2024=$P$4,ROW(Kriteriaatk2024)),ROW(C1)),6),"")</f>
        <v>01/02/2025</v>
      </c>
      <c r="AB11" s="174"/>
    </row>
    <row r="12" spans="1:29" s="167" customFormat="1">
      <c r="A12" s="988"/>
      <c r="B12" s="989"/>
      <c r="C12" s="989"/>
      <c r="D12" s="989"/>
      <c r="E12" s="990"/>
      <c r="F12" s="695" t="s">
        <v>424</v>
      </c>
      <c r="G12" s="695"/>
      <c r="H12" s="699"/>
      <c r="I12" s="202"/>
      <c r="J12" s="700"/>
      <c r="K12" s="203"/>
      <c r="S12" s="169"/>
      <c r="AA12" s="175"/>
    </row>
    <row r="13" spans="1:29" s="167" customFormat="1" ht="17.149999999999999" customHeight="1">
      <c r="A13" s="847" t="str">
        <f>"Waktu Pengerjaan Pesanan  : "&amp;H11&amp;""</f>
        <v>Waktu Pengerjaan Pesanan  :  01 Februari 2025</v>
      </c>
      <c r="B13" s="695"/>
      <c r="C13" s="695"/>
      <c r="D13" s="695"/>
      <c r="E13" s="695"/>
      <c r="F13" s="991" t="s">
        <v>1567</v>
      </c>
      <c r="G13" s="992"/>
      <c r="H13" s="12" t="str">
        <f>M19</f>
        <v>BPU27</v>
      </c>
      <c r="I13" s="701" t="str">
        <f>M20</f>
        <v>BPU27</v>
      </c>
      <c r="J13" s="701" t="str">
        <f>M21</f>
        <v>BPU27</v>
      </c>
      <c r="K13" s="702" t="str">
        <f>M22</f>
        <v>BPU27</v>
      </c>
      <c r="L13" s="168"/>
      <c r="M13" s="168"/>
      <c r="N13" s="168"/>
      <c r="O13" s="168"/>
      <c r="S13" s="176" t="s">
        <v>2106</v>
      </c>
      <c r="T13" s="177"/>
      <c r="AA13" s="178" t="s">
        <v>426</v>
      </c>
      <c r="AB13" s="178" t="s">
        <v>427</v>
      </c>
    </row>
    <row r="14" spans="1:29" s="167" customFormat="1" ht="18.649999999999999" customHeight="1">
      <c r="A14" s="847" t="str">
        <f>"Waktu Pemrosesan Pesanan : "&amp;H11&amp;""</f>
        <v>Waktu Pemrosesan Pesanan :  01 Februari 2025</v>
      </c>
      <c r="B14" s="695"/>
      <c r="C14" s="695"/>
      <c r="D14" s="695"/>
      <c r="E14" s="695"/>
      <c r="F14" s="993"/>
      <c r="G14" s="994"/>
      <c r="H14" s="703" t="str">
        <f>M23</f>
        <v>BPU27</v>
      </c>
      <c r="I14" s="703" t="str">
        <f>M24</f>
        <v>BPU27</v>
      </c>
      <c r="J14" s="703">
        <f t="shared" ref="J14:K14" si="0">O23</f>
        <v>0</v>
      </c>
      <c r="K14" s="704">
        <f t="shared" si="0"/>
        <v>0</v>
      </c>
      <c r="L14" s="179"/>
      <c r="M14" s="179"/>
      <c r="N14" s="179"/>
      <c r="O14" s="179"/>
      <c r="S14" s="177"/>
      <c r="T14" s="177"/>
      <c r="AA14" s="180">
        <f>IFERROR(#REF!/F19,0)</f>
        <v>0</v>
      </c>
      <c r="AB14" s="134">
        <f>IFERROR(AA14*F19,0)</f>
        <v>0</v>
      </c>
    </row>
    <row r="15" spans="1:29" s="167" customFormat="1" ht="16" customHeight="1">
      <c r="A15" s="847" t="str">
        <f t="array" ref="A15">"Waktu Penyelesaian Pesanan : "&amp;TEXT(IFERROR(INDEX(Masteratk2024,SMALL(IF(Kriteriaatk2024=$P$4,ROW(Kriteriaatk2024)),ROW(C1)),9),""), "[$-421] dd mmmm yyyy")</f>
        <v>Waktu Penyelesaian Pesanan :  04 Februari 2025</v>
      </c>
      <c r="B15" s="695"/>
      <c r="C15" s="695"/>
      <c r="D15" s="695"/>
      <c r="E15" s="695"/>
      <c r="F15" s="694" t="s">
        <v>425</v>
      </c>
      <c r="G15" s="202"/>
      <c r="H15" s="202"/>
      <c r="I15" s="202"/>
      <c r="J15" s="202"/>
      <c r="K15" s="203"/>
      <c r="L15" s="181"/>
      <c r="M15" s="181"/>
      <c r="N15" s="181"/>
      <c r="O15" s="181"/>
      <c r="P15" s="177"/>
      <c r="Q15" s="971"/>
      <c r="R15" s="971"/>
      <c r="W15" s="969"/>
      <c r="X15" s="969"/>
    </row>
    <row r="16" spans="1:29" s="167" customFormat="1" ht="14.15" customHeight="1">
      <c r="A16" s="705"/>
      <c r="B16" s="706"/>
      <c r="C16" s="707"/>
      <c r="D16" s="707"/>
      <c r="E16" s="707"/>
      <c r="F16" s="708"/>
      <c r="G16" s="181"/>
      <c r="H16" s="225"/>
      <c r="I16" s="181"/>
      <c r="J16" s="225"/>
      <c r="K16" s="191"/>
      <c r="L16" s="181"/>
      <c r="M16" s="181"/>
      <c r="N16" s="181"/>
      <c r="O16" s="181"/>
      <c r="P16" s="177"/>
      <c r="Q16" s="971"/>
      <c r="R16" s="971"/>
      <c r="W16" s="969"/>
      <c r="X16" s="969"/>
    </row>
    <row r="17" spans="1:24" s="182" customFormat="1" ht="21.65" customHeight="1">
      <c r="A17" s="982" t="s">
        <v>49</v>
      </c>
      <c r="B17" s="983"/>
      <c r="C17" s="983"/>
      <c r="D17" s="983"/>
      <c r="E17" s="983"/>
      <c r="F17" s="983"/>
      <c r="G17" s="983"/>
      <c r="H17" s="983"/>
      <c r="I17" s="983"/>
      <c r="J17" s="983"/>
      <c r="K17" s="984"/>
      <c r="L17" s="183"/>
      <c r="Q17" s="971"/>
      <c r="R17" s="971"/>
      <c r="S17" s="177"/>
      <c r="W17" s="969"/>
      <c r="X17" s="969"/>
    </row>
    <row r="18" spans="1:24" s="167" customFormat="1" ht="28">
      <c r="A18" s="241" t="s">
        <v>39</v>
      </c>
      <c r="B18" s="970" t="s">
        <v>428</v>
      </c>
      <c r="C18" s="970"/>
      <c r="D18" s="970"/>
      <c r="E18" s="970"/>
      <c r="F18" s="237" t="s">
        <v>5</v>
      </c>
      <c r="G18" s="237" t="s">
        <v>429</v>
      </c>
      <c r="H18" s="956" t="s">
        <v>430</v>
      </c>
      <c r="I18" s="956"/>
      <c r="J18" s="956" t="s">
        <v>71</v>
      </c>
      <c r="K18" s="957"/>
      <c r="L18" s="181"/>
      <c r="S18" s="176" t="s">
        <v>2107</v>
      </c>
    </row>
    <row r="19" spans="1:24" s="184" customFormat="1" ht="27" customHeight="1">
      <c r="A19" s="242">
        <f>IF(B19&lt;&gt;"",COUNTA($B$19:B19),"")</f>
        <v>1</v>
      </c>
      <c r="B19" s="934" t="str">
        <f t="array" ref="B19">IFERROR(INDEX(Masteratk2024,SMALL(IF(Kriteriaatk2024=$P$4,ROW(Kriteriaatk2024)),ROW(C1)),11),"")</f>
        <v>Plastik Mika</v>
      </c>
      <c r="C19" s="935"/>
      <c r="D19" s="935"/>
      <c r="E19" s="936"/>
      <c r="F19" s="259">
        <f t="array" ref="F19">IFERROR(INDEX(Masteratk2024,SMALL(IF(Kriteriaatk2024=$P$4,ROW(Kriteriaatk2024)),ROW(C1)),12),"")</f>
        <v>5</v>
      </c>
      <c r="G19" s="810" t="str">
        <f t="array" ref="G19">IFERROR(INDEX(Masteratk2024,SMALL(IF(Kriteriaatk2024=$P$4,ROW(Kriteriaatk2024)),ROW(C1)),13),"")</f>
        <v>bungkus</v>
      </c>
      <c r="H19" s="932">
        <f t="array" ref="H19">IFERROR(INDEX(Masteratk2024,SMALL(IF(Kriteriaatk2024=$P$4,ROW(Kriteriaatk2024)),ROW(C1)),14),"")</f>
        <v>60000</v>
      </c>
      <c r="I19" s="933"/>
      <c r="J19" s="930">
        <f t="array" ref="J19">IFERROR(INDEX(Masteratk2024,SMALL(IF(Kriteriaatk2024=$P$4,ROW(Kriteriaatk2024)),ROW(C1)),15),"")</f>
        <v>300000</v>
      </c>
      <c r="K19" s="931"/>
      <c r="L19" s="184" t="str">
        <f>IF(B19="","0","1")</f>
        <v>1</v>
      </c>
      <c r="M19" s="232" t="str">
        <f t="array" ref="M19">IFERROR(INDEX(Masteratk2024,SMALL(IF(Kriteriaatk2024=$P$4,ROW(Kriteriaatk2024)),ROW(C1)),2),"")</f>
        <v>BPU27</v>
      </c>
      <c r="N19" s="232"/>
      <c r="O19" s="488">
        <f>F19*H19</f>
        <v>300000</v>
      </c>
      <c r="P19" s="897">
        <v>11247000</v>
      </c>
      <c r="S19" s="177"/>
      <c r="T19" s="177"/>
    </row>
    <row r="20" spans="1:24" s="167" customFormat="1" ht="27" customHeight="1">
      <c r="A20" s="242">
        <f>IF(B20&lt;&gt;"",COUNTA($B$19:B20),"")</f>
        <v>2</v>
      </c>
      <c r="B20" s="934" t="str">
        <f t="array" ref="B20">IFERROR(INDEX(Masteratk2024,SMALL(IF(Kriteriaatk2024=$P$4,ROW(Kriteriaatk2024)),ROW(C2)),11),"")</f>
        <v>Kertas Warna Blank Folio, Ukuran : 8,5 x 14",  70 gram</v>
      </c>
      <c r="C20" s="935"/>
      <c r="D20" s="935"/>
      <c r="E20" s="936"/>
      <c r="F20" s="259">
        <f t="array" ref="F20">IFERROR(INDEX(Masteratk2024,SMALL(IF(Kriteriaatk2024=$P$4,ROW(Kriteriaatk2024)),ROW(C2)),12),"")</f>
        <v>2</v>
      </c>
      <c r="G20" s="810" t="str">
        <f t="array" ref="G20">IFERROR(INDEX(Masteratk2024,SMALL(IF(Kriteriaatk2024=$P$4,ROW(Kriteriaatk2024)),ROW(C2)),13),"")</f>
        <v>rim</v>
      </c>
      <c r="H20" s="932">
        <f t="array" ref="H20">IFERROR(INDEX(Masteratk2024,SMALL(IF(Kriteriaatk2024=$P$4,ROW(Kriteriaatk2024)),ROW(C2)),14),"")</f>
        <v>90000</v>
      </c>
      <c r="I20" s="933"/>
      <c r="J20" s="930">
        <f t="array" ref="J20">IFERROR(INDEX(Masteratk2024,SMALL(IF(Kriteriaatk2024=$P$4,ROW(Kriteriaatk2024)),ROW(C2)),15),"")</f>
        <v>180000</v>
      </c>
      <c r="K20" s="931"/>
      <c r="L20" s="184" t="str">
        <f t="shared" ref="L20:L24" si="1">IF(B20="","0","1")</f>
        <v>1</v>
      </c>
      <c r="M20" s="232" t="str">
        <f t="array" ref="M20">IFERROR(INDEX(Masteratk2024,SMALL(IF(Kriteriaatk2024=$P$4,ROW(Kriteriaatk2024)),ROW(C2)),2),"")</f>
        <v>BPU27</v>
      </c>
      <c r="N20" s="181"/>
      <c r="O20" s="181"/>
      <c r="R20" s="180"/>
      <c r="S20" s="134"/>
    </row>
    <row r="21" spans="1:24" s="167" customFormat="1" ht="27" customHeight="1">
      <c r="A21" s="242">
        <f>IF(B21&lt;&gt;"",COUNTA($B$19:B21),"")</f>
        <v>3</v>
      </c>
      <c r="B21" s="934" t="str">
        <f t="array" ref="B21">IFERROR(INDEX(Masteratk2024,SMALL(IF(Kriteriaatk2024=$P$4,ROW(Kriteriaatk2024)),ROW(C3)),11),"")</f>
        <v>Kertas Lain-Lain Kertas Buffalo</v>
      </c>
      <c r="C21" s="935"/>
      <c r="D21" s="935"/>
      <c r="E21" s="936"/>
      <c r="F21" s="259">
        <f t="array" ref="F21">IFERROR(INDEX(Masteratk2024,SMALL(IF(Kriteriaatk2024=$P$4,ROW(Kriteriaatk2024)),ROW(C3)),12),"")</f>
        <v>5</v>
      </c>
      <c r="G21" s="810" t="str">
        <f t="array" ref="G21">IFERROR(INDEX(Masteratk2024,SMALL(IF(Kriteriaatk2024=$P$4,ROW(Kriteriaatk2024)),ROW(C3)),13),"")</f>
        <v>bungkus</v>
      </c>
      <c r="H21" s="932">
        <f t="array" ref="H21">IFERROR(INDEX(Masteratk2024,SMALL(IF(Kriteriaatk2024=$P$4,ROW(Kriteriaatk2024)),ROW(C3)),14),"")</f>
        <v>31000</v>
      </c>
      <c r="I21" s="933"/>
      <c r="J21" s="930">
        <f t="array" ref="J21">IFERROR(INDEX(Masteratk2024,SMALL(IF(Kriteriaatk2024=$P$4,ROW(Kriteriaatk2024)),ROW(C3)),15),"")</f>
        <v>155000</v>
      </c>
      <c r="K21" s="931"/>
      <c r="L21" s="184" t="str">
        <f t="shared" si="1"/>
        <v>1</v>
      </c>
      <c r="M21" s="232" t="str">
        <f t="array" ref="M21">IFERROR(INDEX(Masteratk2024,SMALL(IF(Kriteriaatk2024=$P$4,ROW(Kriteriaatk2024)),ROW(C3)),2),"")</f>
        <v>BPU27</v>
      </c>
      <c r="N21" s="181"/>
      <c r="O21" s="181"/>
      <c r="R21" s="180"/>
      <c r="S21" s="134"/>
    </row>
    <row r="22" spans="1:24" s="167" customFormat="1" ht="27" customHeight="1">
      <c r="A22" s="242">
        <f>IF(B22&lt;&gt;"",COUNTA($B$19:B22),"")</f>
        <v>4</v>
      </c>
      <c r="B22" s="934" t="str">
        <f t="array" ref="B22">IFERROR(INDEX(Masteratk2024,SMALL(IF(Kriteriaatk2024=$P$4,ROW(Kriteriaatk2024)),ROW(C4)),11),"")</f>
        <v>Kertas Post-It Warna Warni  Sign Here</v>
      </c>
      <c r="C22" s="935"/>
      <c r="D22" s="935"/>
      <c r="E22" s="936"/>
      <c r="F22" s="259">
        <f t="array" ref="F22">IFERROR(INDEX(Masteratk2024,SMALL(IF(Kriteriaatk2024=$P$4,ROW(Kriteriaatk2024)),ROW(C4)),12),"")</f>
        <v>5</v>
      </c>
      <c r="G22" s="810" t="str">
        <f t="array" ref="G22">IFERROR(INDEX(Masteratk2024,SMALL(IF(Kriteriaatk2024=$P$4,ROW(Kriteriaatk2024)),ROW(C4)),13),"")</f>
        <v>buah</v>
      </c>
      <c r="H22" s="932">
        <f t="array" ref="H22">IFERROR(INDEX(Masteratk2024,SMALL(IF(Kriteriaatk2024=$P$4,ROW(Kriteriaatk2024)),ROW(C4)),14),"")</f>
        <v>22800</v>
      </c>
      <c r="I22" s="933"/>
      <c r="J22" s="930">
        <f t="array" ref="J22">IFERROR(INDEX(Masteratk2024,SMALL(IF(Kriteriaatk2024=$P$4,ROW(Kriteriaatk2024)),ROW(C4)),15),"")</f>
        <v>114000</v>
      </c>
      <c r="K22" s="931"/>
      <c r="L22" s="184" t="str">
        <f t="shared" si="1"/>
        <v>1</v>
      </c>
      <c r="M22" s="232" t="str">
        <f t="array" ref="M22">IFERROR(INDEX(Masteratk2024,SMALL(IF(Kriteriaatk2024=$P$4,ROW(Kriteriaatk2024)),ROW(C4)),2),"")</f>
        <v>BPU27</v>
      </c>
      <c r="N22" s="181"/>
      <c r="O22" s="181"/>
      <c r="R22" s="180"/>
      <c r="S22" s="134"/>
    </row>
    <row r="23" spans="1:24" s="167" customFormat="1" ht="27" customHeight="1">
      <c r="A23" s="242">
        <f>IF(B23&lt;&gt;"",COUNTA($B$19:B23),"")</f>
        <v>5</v>
      </c>
      <c r="B23" s="934" t="str">
        <f t="array" ref="B23">IFERROR(INDEX(Masteratk2024,SMALL(IF(Kriteriaatk2024=$P$4,ROW(Kriteriaatk2024)),ROW(C5)),11),"")</f>
        <v>Kertas HVS 60 gram Merk : Paper One HVS F4 uk. 8.27"x11.69"</v>
      </c>
      <c r="C23" s="935"/>
      <c r="D23" s="935"/>
      <c r="E23" s="936"/>
      <c r="F23" s="259">
        <f t="array" ref="F23">IFERROR(INDEX(Masteratk2024,SMALL(IF(Kriteriaatk2024=$P$4,ROW(Kriteriaatk2024)),ROW(C5)),12),"")</f>
        <v>10</v>
      </c>
      <c r="G23" s="810" t="str">
        <f t="array" ref="G23">IFERROR(INDEX(Masteratk2024,SMALL(IF(Kriteriaatk2024=$P$4,ROW(Kriteriaatk2024)),ROW(C5)),13),"")</f>
        <v>rim</v>
      </c>
      <c r="H23" s="932">
        <f t="array" ref="H23">IFERROR(INDEX(Masteratk2024,SMALL(IF(Kriteriaatk2024=$P$4,ROW(Kriteriaatk2024)),ROW(C5)),14),"")</f>
        <v>48500</v>
      </c>
      <c r="I23" s="933"/>
      <c r="J23" s="930">
        <f t="array" ref="J23">IFERROR(INDEX(Masteratk2024,SMALL(IF(Kriteriaatk2024=$P$4,ROW(Kriteriaatk2024)),ROW(C5)),15),"")</f>
        <v>485000</v>
      </c>
      <c r="K23" s="931"/>
      <c r="L23" s="184" t="str">
        <f t="shared" si="1"/>
        <v>1</v>
      </c>
      <c r="M23" s="232" t="str">
        <f t="array" ref="M23">IFERROR(INDEX(Masteratk2024,SMALL(IF(Kriteriaatk2024=$P$4,ROW(Kriteriaatk2024)),ROW(C5)),2),"")</f>
        <v>BPU27</v>
      </c>
      <c r="N23" s="181"/>
      <c r="O23" s="181"/>
      <c r="R23" s="899"/>
      <c r="S23" s="900"/>
    </row>
    <row r="24" spans="1:24" s="167" customFormat="1" ht="27" customHeight="1">
      <c r="A24" s="242">
        <f>IF(B24&lt;&gt;"",COUNTA($B$19:B24),"")</f>
        <v>6</v>
      </c>
      <c r="B24" s="934" t="str">
        <f t="array" ref="B24">IFERROR(INDEX(Masteratk2024,SMALL(IF(Kriteriaatk2024=$P$4,ROW(Kriteriaatk2024)),ROW(C6)),11),"")</f>
        <v>Kertas HVS 80 gram Merk : Paper One A4, Ukuran : 8,27" x 11,69", Isi : 500 lembar</v>
      </c>
      <c r="C24" s="935"/>
      <c r="D24" s="935"/>
      <c r="E24" s="936"/>
      <c r="F24" s="259">
        <f t="array" ref="F24">IFERROR(INDEX(Masteratk2024,SMALL(IF(Kriteriaatk2024=$P$4,ROW(Kriteriaatk2024)),ROW(C6)),12),"")</f>
        <v>40</v>
      </c>
      <c r="G24" s="810" t="str">
        <f t="array" ref="G24">IFERROR(INDEX(Masteratk2024,SMALL(IF(Kriteriaatk2024=$P$4,ROW(Kriteriaatk2024)),ROW(C6)),13),"")</f>
        <v>rim</v>
      </c>
      <c r="H24" s="932">
        <f t="array" ref="H24">IFERROR(INDEX(Masteratk2024,SMALL(IF(Kriteriaatk2024=$P$4,ROW(Kriteriaatk2024)),ROW(C6)),14),"")</f>
        <v>50000</v>
      </c>
      <c r="I24" s="933"/>
      <c r="J24" s="930">
        <f t="array" ref="J24">IFERROR(INDEX(Masteratk2024,SMALL(IF(Kriteriaatk2024=$P$4,ROW(Kriteriaatk2024)),ROW(C6)),15),"")</f>
        <v>2000000</v>
      </c>
      <c r="K24" s="931"/>
      <c r="L24" s="184" t="str">
        <f t="shared" si="1"/>
        <v>1</v>
      </c>
      <c r="M24" s="232" t="str">
        <f t="array" ref="M24">IFERROR(INDEX(Masteratk2024,SMALL(IF(Kriteriaatk2024=$P$4,ROW(Kriteriaatk2024)),ROW(C6)),2),"")</f>
        <v>BPU27</v>
      </c>
      <c r="N24" s="181"/>
      <c r="O24" s="181"/>
      <c r="R24" s="676"/>
      <c r="S24" s="677"/>
    </row>
    <row r="25" spans="1:24" s="167" customFormat="1" ht="27" customHeight="1">
      <c r="A25" s="242">
        <f>IF(B25&lt;&gt;"",COUNTA($B$19:B25),"")</f>
        <v>7</v>
      </c>
      <c r="B25" s="934" t="str">
        <f t="array" ref="B25">IFERROR(INDEX(Masteratk2024,SMALL(IF(Kriteriaatk2024=$P$4,ROW(Kriteriaatk2024)),ROW(C7)),11),"")</f>
        <v>Kertas StensiI</v>
      </c>
      <c r="C25" s="935"/>
      <c r="D25" s="935"/>
      <c r="E25" s="936"/>
      <c r="F25" s="259">
        <f t="array" ref="F25">IFERROR(INDEX(Masteratk2024,SMALL(IF(Kriteriaatk2024=$P$4,ROW(Kriteriaatk2024)),ROW(C7)),12),"")</f>
        <v>10</v>
      </c>
      <c r="G25" s="810" t="str">
        <f t="array" ref="G25">IFERROR(INDEX(Masteratk2024,SMALL(IF(Kriteriaatk2024=$P$4,ROW(Kriteriaatk2024)),ROW(C7)),13),"")</f>
        <v>bungkus</v>
      </c>
      <c r="H25" s="932">
        <f t="array" ref="H25">IFERROR(INDEX(Masteratk2024,SMALL(IF(Kriteriaatk2024=$P$4,ROW(Kriteriaatk2024)),ROW(C7)),14),"")</f>
        <v>50000</v>
      </c>
      <c r="I25" s="933"/>
      <c r="J25" s="930">
        <f t="array" ref="J25">IFERROR(INDEX(Masteratk2024,SMALL(IF(Kriteriaatk2024=$P$4,ROW(Kriteriaatk2024)),ROW(C7)),15),"")</f>
        <v>500000</v>
      </c>
      <c r="K25" s="931"/>
      <c r="L25" s="184" t="str">
        <f t="shared" ref="L25:L88" si="2">IF(B25="","0","1")</f>
        <v>1</v>
      </c>
      <c r="M25" s="232" t="str">
        <f t="array" ref="M25">IFERROR(INDEX(Masteratk2024,SMALL(IF(Kriteriaatk2024=$P$4,ROW(Kriteriaatk2024)),ROW(C7)),2),"")</f>
        <v>BPU27</v>
      </c>
      <c r="N25" s="181"/>
      <c r="O25" s="181"/>
      <c r="R25" s="676"/>
      <c r="S25" s="677"/>
    </row>
    <row r="26" spans="1:24" s="167" customFormat="1" ht="27" customHeight="1">
      <c r="A26" s="242">
        <f>IF(B26&lt;&gt;"",COUNTA($B$19:B26),"")</f>
        <v>8</v>
      </c>
      <c r="B26" s="934" t="str">
        <f t="array" ref="B26">IFERROR(INDEX(Masteratk2024,SMALL(IF(Kriteriaatk2024=$P$4,ROW(Kriteriaatk2024)),ROW(C8)),11),"")</f>
        <v>Kertas Label</v>
      </c>
      <c r="C26" s="935"/>
      <c r="D26" s="935"/>
      <c r="E26" s="936"/>
      <c r="F26" s="259">
        <f t="array" ref="F26">IFERROR(INDEX(Masteratk2024,SMALL(IF(Kriteriaatk2024=$P$4,ROW(Kriteriaatk2024)),ROW(C8)),12),"")</f>
        <v>5</v>
      </c>
      <c r="G26" s="810" t="str">
        <f t="array" ref="G26">IFERROR(INDEX(Masteratk2024,SMALL(IF(Kriteriaatk2024=$P$4,ROW(Kriteriaatk2024)),ROW(C8)),13),"")</f>
        <v>lembar</v>
      </c>
      <c r="H26" s="932">
        <f t="array" ref="H26">IFERROR(INDEX(Masteratk2024,SMALL(IF(Kriteriaatk2024=$P$4,ROW(Kriteriaatk2024)),ROW(C8)),14),"")</f>
        <v>25000</v>
      </c>
      <c r="I26" s="933"/>
      <c r="J26" s="930">
        <f t="array" ref="J26">IFERROR(INDEX(Masteratk2024,SMALL(IF(Kriteriaatk2024=$P$4,ROW(Kriteriaatk2024)),ROW(C8)),15),"")</f>
        <v>125000</v>
      </c>
      <c r="K26" s="931"/>
      <c r="L26" s="184" t="str">
        <f t="shared" si="2"/>
        <v>1</v>
      </c>
      <c r="M26" s="232" t="str">
        <f t="array" ref="M26">IFERROR(INDEX(Masteratk2024,SMALL(IF(Kriteriaatk2024=$P$4,ROW(Kriteriaatk2024)),ROW(C8)),2),"")</f>
        <v>BPU27</v>
      </c>
      <c r="N26" s="181"/>
      <c r="O26" s="181"/>
      <c r="R26" s="676"/>
      <c r="S26" s="677"/>
    </row>
    <row r="27" spans="1:24" s="167" customFormat="1" ht="27" customHeight="1">
      <c r="A27" s="242">
        <f>IF(B27&lt;&gt;"",COUNTA($B$19:B27),"")</f>
        <v>9</v>
      </c>
      <c r="B27" s="934" t="str">
        <f t="array" ref="B27">IFERROR(INDEX(Masteratk2024,SMALL(IF(Kriteriaatk2024=$P$4,ROW(Kriteriaatk2024)),ROW(C9)),11),"")</f>
        <v>Amplop Coklat Merk : GSU Ukuran : 1/2 folio, bergaris</v>
      </c>
      <c r="C27" s="935"/>
      <c r="D27" s="935"/>
      <c r="E27" s="936"/>
      <c r="F27" s="259">
        <f t="array" ref="F27">IFERROR(INDEX(Masteratk2024,SMALL(IF(Kriteriaatk2024=$P$4,ROW(Kriteriaatk2024)),ROW(C9)),12),"")</f>
        <v>1</v>
      </c>
      <c r="G27" s="810" t="str">
        <f t="array" ref="G27">IFERROR(INDEX(Masteratk2024,SMALL(IF(Kriteriaatk2024=$P$4,ROW(Kriteriaatk2024)),ROW(C9)),13),"")</f>
        <v>bungkus</v>
      </c>
      <c r="H27" s="932">
        <f t="array" ref="H27">IFERROR(INDEX(Masteratk2024,SMALL(IF(Kriteriaatk2024=$P$4,ROW(Kriteriaatk2024)),ROW(C9)),14),"")</f>
        <v>45000</v>
      </c>
      <c r="I27" s="933"/>
      <c r="J27" s="930">
        <f t="array" ref="J27">IFERROR(INDEX(Masteratk2024,SMALL(IF(Kriteriaatk2024=$P$4,ROW(Kriteriaatk2024)),ROW(C9)),15),"")</f>
        <v>45000</v>
      </c>
      <c r="K27" s="931"/>
      <c r="L27" s="184" t="str">
        <f t="shared" si="2"/>
        <v>1</v>
      </c>
      <c r="M27" s="232" t="str">
        <f t="array" ref="M27">IFERROR(INDEX(Masteratk2024,SMALL(IF(Kriteriaatk2024=$P$4,ROW(Kriteriaatk2024)),ROW(C9)),2),"")</f>
        <v>BPU27</v>
      </c>
      <c r="N27" s="181"/>
      <c r="O27" s="181"/>
      <c r="R27" s="676"/>
      <c r="S27" s="677"/>
    </row>
    <row r="28" spans="1:24" s="167" customFormat="1" ht="27" customHeight="1">
      <c r="A28" s="242">
        <f>IF(B28&lt;&gt;"",COUNTA($B$19:B28),"")</f>
        <v>10</v>
      </c>
      <c r="B28" s="934" t="str">
        <f t="array" ref="B28">IFERROR(INDEX(Masteratk2024,SMALL(IF(Kriteriaatk2024=$P$4,ROW(Kriteriaatk2024)),ROW(C10)),11),"")</f>
        <v>Amplop Coklat Merk : Garda Ukuran Cabinet</v>
      </c>
      <c r="C28" s="935"/>
      <c r="D28" s="935"/>
      <c r="E28" s="936"/>
      <c r="F28" s="259">
        <f t="array" ref="F28">IFERROR(INDEX(Masteratk2024,SMALL(IF(Kriteriaatk2024=$P$4,ROW(Kriteriaatk2024)),ROW(C10)),12),"")</f>
        <v>3</v>
      </c>
      <c r="G28" s="810" t="str">
        <f t="array" ref="G28">IFERROR(INDEX(Masteratk2024,SMALL(IF(Kriteriaatk2024=$P$4,ROW(Kriteriaatk2024)),ROW(C10)),13),"")</f>
        <v>bungkus</v>
      </c>
      <c r="H28" s="932">
        <f t="array" ref="H28">IFERROR(INDEX(Masteratk2024,SMALL(IF(Kriteriaatk2024=$P$4,ROW(Kriteriaatk2024)),ROW(C10)),14),"")</f>
        <v>23000</v>
      </c>
      <c r="I28" s="933"/>
      <c r="J28" s="930">
        <f t="array" ref="J28">IFERROR(INDEX(Masteratk2024,SMALL(IF(Kriteriaatk2024=$P$4,ROW(Kriteriaatk2024)),ROW(C10)),15),"")</f>
        <v>69000</v>
      </c>
      <c r="K28" s="931"/>
      <c r="L28" s="184" t="str">
        <f t="shared" si="2"/>
        <v>1</v>
      </c>
      <c r="M28" s="232" t="str">
        <f t="array" ref="M28">IFERROR(INDEX(Masteratk2024,SMALL(IF(Kriteriaatk2024=$P$4,ROW(Kriteriaatk2024)),ROW(C10)),2),"")</f>
        <v>BPU27</v>
      </c>
      <c r="N28" s="181"/>
      <c r="O28" s="181"/>
      <c r="R28" s="676"/>
      <c r="S28" s="677"/>
    </row>
    <row r="29" spans="1:24" s="167" customFormat="1" ht="27" customHeight="1">
      <c r="A29" s="242">
        <f>IF(B29&lt;&gt;"",COUNTA($B$19:B29),"")</f>
        <v>11</v>
      </c>
      <c r="B29" s="934" t="str">
        <f t="array" ref="B29">IFERROR(INDEX(Masteratk2024,SMALL(IF(Kriteriaatk2024=$P$4,ROW(Kriteriaatk2024)),ROW(C11)),11),"")</f>
        <v>Amplop Coklat Merk : GSU Ukuran Folio polos</v>
      </c>
      <c r="C29" s="935"/>
      <c r="D29" s="935"/>
      <c r="E29" s="936"/>
      <c r="F29" s="259">
        <f t="array" ref="F29">IFERROR(INDEX(Masteratk2024,SMALL(IF(Kriteriaatk2024=$P$4,ROW(Kriteriaatk2024)),ROW(C11)),12),"")</f>
        <v>2</v>
      </c>
      <c r="G29" s="810" t="str">
        <f t="array" ref="G29">IFERROR(INDEX(Masteratk2024,SMALL(IF(Kriteriaatk2024=$P$4,ROW(Kriteriaatk2024)),ROW(C11)),13),"")</f>
        <v>bungkus</v>
      </c>
      <c r="H29" s="932">
        <f t="array" ref="H29">IFERROR(INDEX(Masteratk2024,SMALL(IF(Kriteriaatk2024=$P$4,ROW(Kriteriaatk2024)),ROW(C11)),14),"")</f>
        <v>60000</v>
      </c>
      <c r="I29" s="933"/>
      <c r="J29" s="930">
        <f t="array" ref="J29">IFERROR(INDEX(Masteratk2024,SMALL(IF(Kriteriaatk2024=$P$4,ROW(Kriteriaatk2024)),ROW(C11)),15),"")</f>
        <v>120000</v>
      </c>
      <c r="K29" s="931"/>
      <c r="L29" s="184" t="str">
        <f t="shared" si="2"/>
        <v>1</v>
      </c>
      <c r="M29" s="232" t="str">
        <f t="array" ref="M29">IFERROR(INDEX(Masteratk2024,SMALL(IF(Kriteriaatk2024=$P$4,ROW(Kriteriaatk2024)),ROW(C11)),2),"")</f>
        <v>BPU27</v>
      </c>
      <c r="N29" s="181"/>
      <c r="O29" s="181"/>
      <c r="R29" s="676"/>
      <c r="S29" s="677"/>
    </row>
    <row r="30" spans="1:24" s="167" customFormat="1" ht="27" customHeight="1">
      <c r="A30" s="242">
        <f>IF(B30&lt;&gt;"",COUNTA($B$19:B30),"")</f>
        <v>12</v>
      </c>
      <c r="B30" s="934" t="str">
        <f t="array" ref="B30">IFERROR(INDEX(Masteratk2024,SMALL(IF(Kriteriaatk2024=$P$4,ROW(Kriteriaatk2024)),ROW(C12)),11),"")</f>
        <v>Amplop Panjang Putih Polos Merk : Jaya Ukuran : 11 x 23 cm</v>
      </c>
      <c r="C30" s="935"/>
      <c r="D30" s="935"/>
      <c r="E30" s="936"/>
      <c r="F30" s="259">
        <f t="array" ref="F30">IFERROR(INDEX(Masteratk2024,SMALL(IF(Kriteriaatk2024=$P$4,ROW(Kriteriaatk2024)),ROW(C12)),12),"")</f>
        <v>1</v>
      </c>
      <c r="G30" s="810" t="str">
        <f t="array" ref="G30">IFERROR(INDEX(Masteratk2024,SMALL(IF(Kriteriaatk2024=$P$4,ROW(Kriteriaatk2024)),ROW(C12)),13),"")</f>
        <v>kotak</v>
      </c>
      <c r="H30" s="932">
        <f t="array" ref="H30">IFERROR(INDEX(Masteratk2024,SMALL(IF(Kriteriaatk2024=$P$4,ROW(Kriteriaatk2024)),ROW(C12)),14),"")</f>
        <v>48000</v>
      </c>
      <c r="I30" s="933"/>
      <c r="J30" s="930">
        <f t="array" ref="J30">IFERROR(INDEX(Masteratk2024,SMALL(IF(Kriteriaatk2024=$P$4,ROW(Kriteriaatk2024)),ROW(C12)),15),"")</f>
        <v>48000</v>
      </c>
      <c r="K30" s="931"/>
      <c r="L30" s="184" t="str">
        <f t="shared" si="2"/>
        <v>1</v>
      </c>
      <c r="M30" s="232" t="str">
        <f t="array" ref="M30">IFERROR(INDEX(Masteratk2024,SMALL(IF(Kriteriaatk2024=$P$4,ROW(Kriteriaatk2024)),ROW(C12)),2),"")</f>
        <v>BPU27</v>
      </c>
      <c r="N30" s="181"/>
      <c r="O30" s="181"/>
      <c r="R30" s="676"/>
      <c r="S30" s="677"/>
    </row>
    <row r="31" spans="1:24" s="167" customFormat="1" ht="27" customHeight="1">
      <c r="A31" s="242">
        <f>IF(B31&lt;&gt;"",COUNTA($B$19:B31),"")</f>
        <v>13</v>
      </c>
      <c r="B31" s="934" t="str">
        <f t="array" ref="B31">IFERROR(INDEX(Masteratk2024,SMALL(IF(Kriteriaatk2024=$P$4,ROW(Kriteriaatk2024)),ROW(C13)),11),"")</f>
        <v>Ballpoint Drawing Pen 0,1 Snowman</v>
      </c>
      <c r="C31" s="935"/>
      <c r="D31" s="935"/>
      <c r="E31" s="936"/>
      <c r="F31" s="259">
        <f t="array" ref="F31">IFERROR(INDEX(Masteratk2024,SMALL(IF(Kriteriaatk2024=$P$4,ROW(Kriteriaatk2024)),ROW(C13)),12),"")</f>
        <v>1</v>
      </c>
      <c r="G31" s="810" t="str">
        <f t="array" ref="G31">IFERROR(INDEX(Masteratk2024,SMALL(IF(Kriteriaatk2024=$P$4,ROW(Kriteriaatk2024)),ROW(C13)),13),"")</f>
        <v>lusin</v>
      </c>
      <c r="H31" s="932">
        <f t="array" ref="H31">IFERROR(INDEX(Masteratk2024,SMALL(IF(Kriteriaatk2024=$P$4,ROW(Kriteriaatk2024)),ROW(C13)),14),"")</f>
        <v>95000</v>
      </c>
      <c r="I31" s="933"/>
      <c r="J31" s="930">
        <f t="array" ref="J31">IFERROR(INDEX(Masteratk2024,SMALL(IF(Kriteriaatk2024=$P$4,ROW(Kriteriaatk2024)),ROW(C13)),15),"")</f>
        <v>95000</v>
      </c>
      <c r="K31" s="931"/>
      <c r="L31" s="184" t="str">
        <f t="shared" si="2"/>
        <v>1</v>
      </c>
      <c r="M31" s="232" t="str">
        <f t="array" ref="M31">IFERROR(INDEX(Masteratk2024,SMALL(IF(Kriteriaatk2024=$P$4,ROW(Kriteriaatk2024)),ROW(C13)),2),"")</f>
        <v>BPU27</v>
      </c>
      <c r="N31" s="181"/>
      <c r="O31" s="181"/>
      <c r="R31" s="676"/>
      <c r="S31" s="677"/>
    </row>
    <row r="32" spans="1:24" s="167" customFormat="1" ht="27" customHeight="1">
      <c r="A32" s="242">
        <f>IF(B32&lt;&gt;"",COUNTA($B$19:B32),"")</f>
        <v>14</v>
      </c>
      <c r="B32" s="934" t="str">
        <f t="array" ref="B32">IFERROR(INDEX(Masteratk2024,SMALL(IF(Kriteriaatk2024=$P$4,ROW(Kriteriaatk2024)),ROW(C14)),11),"")</f>
        <v>Ballpoint Standard AE7</v>
      </c>
      <c r="C32" s="935"/>
      <c r="D32" s="935"/>
      <c r="E32" s="936"/>
      <c r="F32" s="259">
        <f t="array" ref="F32">IFERROR(INDEX(Masteratk2024,SMALL(IF(Kriteriaatk2024=$P$4,ROW(Kriteriaatk2024)),ROW(C14)),12),"")</f>
        <v>2</v>
      </c>
      <c r="G32" s="810" t="str">
        <f t="array" ref="G32">IFERROR(INDEX(Masteratk2024,SMALL(IF(Kriteriaatk2024=$P$4,ROW(Kriteriaatk2024)),ROW(C14)),13),"")</f>
        <v>lusin</v>
      </c>
      <c r="H32" s="932">
        <f t="array" ref="H32">IFERROR(INDEX(Masteratk2024,SMALL(IF(Kriteriaatk2024=$P$4,ROW(Kriteriaatk2024)),ROW(C14)),14),"")</f>
        <v>20000</v>
      </c>
      <c r="I32" s="933"/>
      <c r="J32" s="930">
        <f t="array" ref="J32">IFERROR(INDEX(Masteratk2024,SMALL(IF(Kriteriaatk2024=$P$4,ROW(Kriteriaatk2024)),ROW(C14)),15),"")</f>
        <v>40000</v>
      </c>
      <c r="K32" s="931"/>
      <c r="L32" s="184" t="str">
        <f t="shared" si="2"/>
        <v>1</v>
      </c>
      <c r="M32" s="232" t="str">
        <f t="array" ref="M32">IFERROR(INDEX(Masteratk2024,SMALL(IF(Kriteriaatk2024=$P$4,ROW(Kriteriaatk2024)),ROW(C14)),2),"")</f>
        <v>BPU27</v>
      </c>
      <c r="N32" s="181"/>
      <c r="O32" s="181"/>
      <c r="R32" s="676"/>
      <c r="S32" s="677"/>
    </row>
    <row r="33" spans="1:19" s="167" customFormat="1" ht="27" customHeight="1">
      <c r="A33" s="242">
        <f>IF(B33&lt;&gt;"",COUNTA($B$19:B33),"")</f>
        <v>15</v>
      </c>
      <c r="B33" s="934" t="str">
        <f t="array" ref="B33">IFERROR(INDEX(Masteratk2024,SMALL(IF(Kriteriaatk2024=$P$4,ROW(Kriteriaatk2024)),ROW(C15)),11),"")</f>
        <v>Ballpoint Pilot G2</v>
      </c>
      <c r="C33" s="935"/>
      <c r="D33" s="935"/>
      <c r="E33" s="936"/>
      <c r="F33" s="259">
        <f t="array" ref="F33">IFERROR(INDEX(Masteratk2024,SMALL(IF(Kriteriaatk2024=$P$4,ROW(Kriteriaatk2024)),ROW(C15)),12),"")</f>
        <v>1</v>
      </c>
      <c r="G33" s="810" t="str">
        <f t="array" ref="G33">IFERROR(INDEX(Masteratk2024,SMALL(IF(Kriteriaatk2024=$P$4,ROW(Kriteriaatk2024)),ROW(C15)),13),"")</f>
        <v>lusin</v>
      </c>
      <c r="H33" s="932">
        <f t="array" ref="H33">IFERROR(INDEX(Masteratk2024,SMALL(IF(Kriteriaatk2024=$P$4,ROW(Kriteriaatk2024)),ROW(C15)),14),"")</f>
        <v>235000</v>
      </c>
      <c r="I33" s="933"/>
      <c r="J33" s="930">
        <f t="array" ref="J33">IFERROR(INDEX(Masteratk2024,SMALL(IF(Kriteriaatk2024=$P$4,ROW(Kriteriaatk2024)),ROW(C15)),15),"")</f>
        <v>235000</v>
      </c>
      <c r="K33" s="931"/>
      <c r="L33" s="184" t="str">
        <f t="shared" si="2"/>
        <v>1</v>
      </c>
      <c r="M33" s="232" t="str">
        <f t="array" ref="M33">IFERROR(INDEX(Masteratk2024,SMALL(IF(Kriteriaatk2024=$P$4,ROW(Kriteriaatk2024)),ROW(C15)),2),"")</f>
        <v>BPU27</v>
      </c>
      <c r="N33" s="181"/>
      <c r="O33" s="181"/>
      <c r="R33" s="676"/>
      <c r="S33" s="677"/>
    </row>
    <row r="34" spans="1:19" s="167" customFormat="1" ht="27" customHeight="1">
      <c r="A34" s="242">
        <f>IF(B34&lt;&gt;"",COUNTA($B$19:B34),"")</f>
        <v>16</v>
      </c>
      <c r="B34" s="934" t="str">
        <f t="array" ref="B34">IFERROR(INDEX(Masteratk2024,SMALL(IF(Kriteriaatk2024=$P$4,ROW(Kriteriaatk2024)),ROW(C16)),11),"")</f>
        <v>Binder Klip  nomor 107</v>
      </c>
      <c r="C34" s="935"/>
      <c r="D34" s="935"/>
      <c r="E34" s="936"/>
      <c r="F34" s="259">
        <f t="array" ref="F34">IFERROR(INDEX(Masteratk2024,SMALL(IF(Kriteriaatk2024=$P$4,ROW(Kriteriaatk2024)),ROW(C16)),12),"")</f>
        <v>5</v>
      </c>
      <c r="G34" s="810" t="str">
        <f t="array" ref="G34">IFERROR(INDEX(Masteratk2024,SMALL(IF(Kriteriaatk2024=$P$4,ROW(Kriteriaatk2024)),ROW(C16)),13),"")</f>
        <v>kotak</v>
      </c>
      <c r="H34" s="932">
        <f t="array" ref="H34">IFERROR(INDEX(Masteratk2024,SMALL(IF(Kriteriaatk2024=$P$4,ROW(Kriteriaatk2024)),ROW(C16)),14),"")</f>
        <v>7800</v>
      </c>
      <c r="I34" s="933"/>
      <c r="J34" s="930">
        <f t="array" ref="J34">IFERROR(INDEX(Masteratk2024,SMALL(IF(Kriteriaatk2024=$P$4,ROW(Kriteriaatk2024)),ROW(C16)),15),"")</f>
        <v>39000</v>
      </c>
      <c r="K34" s="931"/>
      <c r="L34" s="184" t="str">
        <f t="shared" si="2"/>
        <v>1</v>
      </c>
      <c r="M34" s="232" t="str">
        <f t="array" ref="M34">IFERROR(INDEX(Masteratk2024,SMALL(IF(Kriteriaatk2024=$P$4,ROW(Kriteriaatk2024)),ROW(C16)),2),"")</f>
        <v>BPU27</v>
      </c>
      <c r="N34" s="181"/>
      <c r="O34" s="181"/>
      <c r="R34" s="676"/>
      <c r="S34" s="677"/>
    </row>
    <row r="35" spans="1:19" s="167" customFormat="1" ht="27" customHeight="1">
      <c r="A35" s="242">
        <f>IF(B35&lt;&gt;"",COUNTA($B$19:B35),"")</f>
        <v>17</v>
      </c>
      <c r="B35" s="934" t="str">
        <f t="array" ref="B35">IFERROR(INDEX(Masteratk2024,SMALL(IF(Kriteriaatk2024=$P$4,ROW(Kriteriaatk2024)),ROW(C17)),11),"")</f>
        <v>Binder Klip  nomor 111</v>
      </c>
      <c r="C35" s="935"/>
      <c r="D35" s="935"/>
      <c r="E35" s="936"/>
      <c r="F35" s="259">
        <f t="array" ref="F35">IFERROR(INDEX(Masteratk2024,SMALL(IF(Kriteriaatk2024=$P$4,ROW(Kriteriaatk2024)),ROW(C17)),12),"")</f>
        <v>5</v>
      </c>
      <c r="G35" s="810" t="str">
        <f t="array" ref="G35">IFERROR(INDEX(Masteratk2024,SMALL(IF(Kriteriaatk2024=$P$4,ROW(Kriteriaatk2024)),ROW(C17)),13),"")</f>
        <v>kotak</v>
      </c>
      <c r="H35" s="932">
        <f t="array" ref="H35">IFERROR(INDEX(Masteratk2024,SMALL(IF(Kriteriaatk2024=$P$4,ROW(Kriteriaatk2024)),ROW(C17)),14),"")</f>
        <v>11000</v>
      </c>
      <c r="I35" s="933"/>
      <c r="J35" s="930">
        <f t="array" ref="J35">IFERROR(INDEX(Masteratk2024,SMALL(IF(Kriteriaatk2024=$P$4,ROW(Kriteriaatk2024)),ROW(C17)),15),"")</f>
        <v>55000</v>
      </c>
      <c r="K35" s="931"/>
      <c r="L35" s="184" t="str">
        <f t="shared" si="2"/>
        <v>1</v>
      </c>
      <c r="M35" s="232" t="str">
        <f t="array" ref="M35">IFERROR(INDEX(Masteratk2024,SMALL(IF(Kriteriaatk2024=$P$4,ROW(Kriteriaatk2024)),ROW(C17)),2),"")</f>
        <v>BPU27</v>
      </c>
      <c r="N35" s="181"/>
      <c r="O35" s="181"/>
      <c r="R35" s="676"/>
      <c r="S35" s="677"/>
    </row>
    <row r="36" spans="1:19" s="167" customFormat="1" ht="27" customHeight="1">
      <c r="A36" s="242">
        <f>IF(B36&lt;&gt;"",COUNTA($B$19:B36),"")</f>
        <v>18</v>
      </c>
      <c r="B36" s="934" t="str">
        <f t="array" ref="B36">IFERROR(INDEX(Masteratk2024,SMALL(IF(Kriteriaatk2024=$P$4,ROW(Kriteriaatk2024)),ROW(C18)),11),"")</f>
        <v>Binder Klip  nomor 200</v>
      </c>
      <c r="C36" s="935"/>
      <c r="D36" s="935"/>
      <c r="E36" s="936"/>
      <c r="F36" s="259">
        <f t="array" ref="F36">IFERROR(INDEX(Masteratk2024,SMALL(IF(Kriteriaatk2024=$P$4,ROW(Kriteriaatk2024)),ROW(C18)),12),"")</f>
        <v>10</v>
      </c>
      <c r="G36" s="810" t="str">
        <f t="array" ref="G36">IFERROR(INDEX(Masteratk2024,SMALL(IF(Kriteriaatk2024=$P$4,ROW(Kriteriaatk2024)),ROW(C18)),13),"")</f>
        <v>kotak</v>
      </c>
      <c r="H36" s="932">
        <f t="array" ref="H36">IFERROR(INDEX(Masteratk2024,SMALL(IF(Kriteriaatk2024=$P$4,ROW(Kriteriaatk2024)),ROW(C18)),14),"")</f>
        <v>16500</v>
      </c>
      <c r="I36" s="933"/>
      <c r="J36" s="930">
        <f t="array" ref="J36">IFERROR(INDEX(Masteratk2024,SMALL(IF(Kriteriaatk2024=$P$4,ROW(Kriteriaatk2024)),ROW(C18)),15),"")</f>
        <v>165000</v>
      </c>
      <c r="K36" s="931"/>
      <c r="L36" s="184" t="str">
        <f t="shared" si="2"/>
        <v>1</v>
      </c>
      <c r="M36" s="232" t="str">
        <f t="array" ref="M36">IFERROR(INDEX(Masteratk2024,SMALL(IF(Kriteriaatk2024=$P$4,ROW(Kriteriaatk2024)),ROW(C18)),2),"")</f>
        <v>BPU27</v>
      </c>
      <c r="N36" s="181"/>
      <c r="O36" s="181"/>
      <c r="R36" s="676"/>
      <c r="S36" s="677"/>
    </row>
    <row r="37" spans="1:19" s="167" customFormat="1" ht="27" customHeight="1">
      <c r="A37" s="242">
        <f>IF(B37&lt;&gt;"",COUNTA($B$19:B37),"")</f>
        <v>19</v>
      </c>
      <c r="B37" s="934" t="str">
        <f t="array" ref="B37">IFERROR(INDEX(Masteratk2024,SMALL(IF(Kriteriaatk2024=$P$4,ROW(Kriteriaatk2024)),ROW(C19)),11),"")</f>
        <v>Binder Klip  nomor 260</v>
      </c>
      <c r="C37" s="935"/>
      <c r="D37" s="935"/>
      <c r="E37" s="936"/>
      <c r="F37" s="259">
        <f t="array" ref="F37">IFERROR(INDEX(Masteratk2024,SMALL(IF(Kriteriaatk2024=$P$4,ROW(Kriteriaatk2024)),ROW(C19)),12),"")</f>
        <v>10</v>
      </c>
      <c r="G37" s="810" t="str">
        <f t="array" ref="G37">IFERROR(INDEX(Masteratk2024,SMALL(IF(Kriteriaatk2024=$P$4,ROW(Kriteriaatk2024)),ROW(C19)),13),"")</f>
        <v>kotak</v>
      </c>
      <c r="H37" s="932">
        <f t="array" ref="H37">IFERROR(INDEX(Masteratk2024,SMALL(IF(Kriteriaatk2024=$P$4,ROW(Kriteriaatk2024)),ROW(C19)),14),"")</f>
        <v>20000</v>
      </c>
      <c r="I37" s="933"/>
      <c r="J37" s="930">
        <f t="array" ref="J37">IFERROR(INDEX(Masteratk2024,SMALL(IF(Kriteriaatk2024=$P$4,ROW(Kriteriaatk2024)),ROW(C19)),15),"")</f>
        <v>200000</v>
      </c>
      <c r="K37" s="931"/>
      <c r="L37" s="184" t="str">
        <f t="shared" si="2"/>
        <v>1</v>
      </c>
      <c r="M37" s="232" t="str">
        <f t="array" ref="M37">IFERROR(INDEX(Masteratk2024,SMALL(IF(Kriteriaatk2024=$P$4,ROW(Kriteriaatk2024)),ROW(C19)),2),"")</f>
        <v>BPU27</v>
      </c>
      <c r="N37" s="181"/>
      <c r="O37" s="181"/>
      <c r="R37" s="676"/>
      <c r="S37" s="677"/>
    </row>
    <row r="38" spans="1:19" s="167" customFormat="1" ht="27" customHeight="1">
      <c r="A38" s="242">
        <f>IF(B38&lt;&gt;"",COUNTA($B$19:B38),"")</f>
        <v>20</v>
      </c>
      <c r="B38" s="934" t="str">
        <f t="array" ref="B38">IFERROR(INDEX(Masteratk2024,SMALL(IF(Kriteriaatk2024=$P$4,ROW(Kriteriaatk2024)),ROW(C20)),11),"")</f>
        <v>Binder Klip Merk : KENKO nomor 105</v>
      </c>
      <c r="C38" s="935"/>
      <c r="D38" s="935"/>
      <c r="E38" s="936"/>
      <c r="F38" s="259">
        <f t="array" ref="F38">IFERROR(INDEX(Masteratk2024,SMALL(IF(Kriteriaatk2024=$P$4,ROW(Kriteriaatk2024)),ROW(C20)),12),"")</f>
        <v>2</v>
      </c>
      <c r="G38" s="810" t="str">
        <f t="array" ref="G38">IFERROR(INDEX(Masteratk2024,SMALL(IF(Kriteriaatk2024=$P$4,ROW(Kriteriaatk2024)),ROW(C20)),13),"")</f>
        <v>kotak</v>
      </c>
      <c r="H38" s="932">
        <f t="array" ref="H38">IFERROR(INDEX(Masteratk2024,SMALL(IF(Kriteriaatk2024=$P$4,ROW(Kriteriaatk2024)),ROW(C20)),14),"")</f>
        <v>5000</v>
      </c>
      <c r="I38" s="933"/>
      <c r="J38" s="930">
        <f t="array" ref="J38">IFERROR(INDEX(Masteratk2024,SMALL(IF(Kriteriaatk2024=$P$4,ROW(Kriteriaatk2024)),ROW(C20)),15),"")</f>
        <v>10000</v>
      </c>
      <c r="K38" s="931"/>
      <c r="L38" s="184" t="str">
        <f t="shared" si="2"/>
        <v>1</v>
      </c>
      <c r="M38" s="232" t="str">
        <f t="array" ref="M38">IFERROR(INDEX(Masteratk2024,SMALL(IF(Kriteriaatk2024=$P$4,ROW(Kriteriaatk2024)),ROW(C20)),2),"")</f>
        <v>BPU27</v>
      </c>
      <c r="N38" s="181"/>
      <c r="O38" s="181"/>
      <c r="R38" s="676"/>
      <c r="S38" s="677"/>
    </row>
    <row r="39" spans="1:19" s="167" customFormat="1" ht="27" customHeight="1">
      <c r="A39" s="242">
        <f>IF(B39&lt;&gt;"",COUNTA($B$19:B39),"")</f>
        <v>21</v>
      </c>
      <c r="B39" s="934" t="str">
        <f t="array" ref="B39">IFERROR(INDEX(Masteratk2024,SMALL(IF(Kriteriaatk2024=$P$4,ROW(Kriteriaatk2024)),ROW(C21)),11),"")</f>
        <v>Map Binder</v>
      </c>
      <c r="C39" s="935"/>
      <c r="D39" s="935"/>
      <c r="E39" s="936"/>
      <c r="F39" s="259">
        <f t="array" ref="F39">IFERROR(INDEX(Masteratk2024,SMALL(IF(Kriteriaatk2024=$P$4,ROW(Kriteriaatk2024)),ROW(C21)),12),"")</f>
        <v>12</v>
      </c>
      <c r="G39" s="810" t="str">
        <f t="array" ref="G39">IFERROR(INDEX(Masteratk2024,SMALL(IF(Kriteriaatk2024=$P$4,ROW(Kriteriaatk2024)),ROW(C21)),13),"")</f>
        <v>buah</v>
      </c>
      <c r="H39" s="932">
        <f t="array" ref="H39">IFERROR(INDEX(Masteratk2024,SMALL(IF(Kriteriaatk2024=$P$4,ROW(Kriteriaatk2024)),ROW(C21)),14),"")</f>
        <v>35500</v>
      </c>
      <c r="I39" s="933"/>
      <c r="J39" s="930">
        <f t="array" ref="J39">IFERROR(INDEX(Masteratk2024,SMALL(IF(Kriteriaatk2024=$P$4,ROW(Kriteriaatk2024)),ROW(C21)),15),"")</f>
        <v>426000</v>
      </c>
      <c r="K39" s="931"/>
      <c r="L39" s="184" t="str">
        <f t="shared" si="2"/>
        <v>1</v>
      </c>
      <c r="M39" s="232" t="str">
        <f t="array" ref="M39">IFERROR(INDEX(Masteratk2024,SMALL(IF(Kriteriaatk2024=$P$4,ROW(Kriteriaatk2024)),ROW(C21)),2),"")</f>
        <v>BPU27</v>
      </c>
      <c r="N39" s="181"/>
      <c r="O39" s="181"/>
      <c r="R39" s="676"/>
      <c r="S39" s="677"/>
    </row>
    <row r="40" spans="1:19" s="167" customFormat="1" ht="27" customHeight="1">
      <c r="A40" s="242">
        <f>IF(B40&lt;&gt;"",COUNTA($B$19:B40),"")</f>
        <v>22</v>
      </c>
      <c r="B40" s="934" t="str">
        <f t="array" ref="B40">IFERROR(INDEX(Masteratk2024,SMALL(IF(Kriteriaatk2024=$P$4,ROW(Kriteriaatk2024)),ROW(C22)),11),"")</f>
        <v>Stofmap Kertas</v>
      </c>
      <c r="C40" s="935"/>
      <c r="D40" s="935"/>
      <c r="E40" s="936"/>
      <c r="F40" s="259">
        <f t="array" ref="F40">IFERROR(INDEX(Masteratk2024,SMALL(IF(Kriteriaatk2024=$P$4,ROW(Kriteriaatk2024)),ROW(C22)),12),"")</f>
        <v>1</v>
      </c>
      <c r="G40" s="810" t="str">
        <f t="array" ref="G40">IFERROR(INDEX(Masteratk2024,SMALL(IF(Kriteriaatk2024=$P$4,ROW(Kriteriaatk2024)),ROW(C22)),13),"")</f>
        <v>pak</v>
      </c>
      <c r="H40" s="932">
        <f t="array" ref="H40">IFERROR(INDEX(Masteratk2024,SMALL(IF(Kriteriaatk2024=$P$4,ROW(Kriteriaatk2024)),ROW(C22)),14),"")</f>
        <v>88000</v>
      </c>
      <c r="I40" s="933"/>
      <c r="J40" s="930">
        <f t="array" ref="J40">IFERROR(INDEX(Masteratk2024,SMALL(IF(Kriteriaatk2024=$P$4,ROW(Kriteriaatk2024)),ROW(C22)),15),"")</f>
        <v>88000</v>
      </c>
      <c r="K40" s="931"/>
      <c r="L40" s="184" t="str">
        <f t="shared" si="2"/>
        <v>1</v>
      </c>
      <c r="M40" s="232" t="str">
        <f t="array" ref="M40">IFERROR(INDEX(Masteratk2024,SMALL(IF(Kriteriaatk2024=$P$4,ROW(Kriteriaatk2024)),ROW(C22)),2),"")</f>
        <v>BPU27</v>
      </c>
      <c r="N40" s="181"/>
      <c r="O40" s="181"/>
      <c r="R40" s="676"/>
      <c r="S40" s="677"/>
    </row>
    <row r="41" spans="1:19" s="167" customFormat="1" ht="27" customHeight="1">
      <c r="A41" s="242">
        <f>IF(B41&lt;&gt;"",COUNTA($B$19:B41),"")</f>
        <v>23</v>
      </c>
      <c r="B41" s="934" t="str">
        <f t="array" ref="B41">IFERROR(INDEX(Masteratk2024,SMALL(IF(Kriteriaatk2024=$P$4,ROW(Kriteriaatk2024)),ROW(C23)),11),"")</f>
        <v>Stofmap Transparan tali</v>
      </c>
      <c r="C41" s="935"/>
      <c r="D41" s="935"/>
      <c r="E41" s="936"/>
      <c r="F41" s="259">
        <f t="array" ref="F41">IFERROR(INDEX(Masteratk2024,SMALL(IF(Kriteriaatk2024=$P$4,ROW(Kriteriaatk2024)),ROW(C23)),12),"")</f>
        <v>100</v>
      </c>
      <c r="G41" s="810" t="str">
        <f t="array" ref="G41">IFERROR(INDEX(Masteratk2024,SMALL(IF(Kriteriaatk2024=$P$4,ROW(Kriteriaatk2024)),ROW(C23)),13),"")</f>
        <v>buah</v>
      </c>
      <c r="H41" s="932">
        <f t="array" ref="H41">IFERROR(INDEX(Masteratk2024,SMALL(IF(Kriteriaatk2024=$P$4,ROW(Kriteriaatk2024)),ROW(C23)),14),"")</f>
        <v>5500</v>
      </c>
      <c r="I41" s="933"/>
      <c r="J41" s="930">
        <f t="array" ref="J41">IFERROR(INDEX(Masteratk2024,SMALL(IF(Kriteriaatk2024=$P$4,ROW(Kriteriaatk2024)),ROW(C23)),15),"")</f>
        <v>550000</v>
      </c>
      <c r="K41" s="931"/>
      <c r="L41" s="184" t="str">
        <f t="shared" si="2"/>
        <v>1</v>
      </c>
      <c r="M41" s="232" t="str">
        <f t="array" ref="M41">IFERROR(INDEX(Masteratk2024,SMALL(IF(Kriteriaatk2024=$P$4,ROW(Kriteriaatk2024)),ROW(C23)),2),"")</f>
        <v>BPU27</v>
      </c>
      <c r="N41" s="181"/>
      <c r="O41" s="181"/>
      <c r="R41" s="676"/>
      <c r="S41" s="677"/>
    </row>
    <row r="42" spans="1:19" s="167" customFormat="1" ht="27" customHeight="1">
      <c r="A42" s="242">
        <f>IF(B42&lt;&gt;"",COUNTA($B$19:B42),"")</f>
        <v>24</v>
      </c>
      <c r="B42" s="934" t="str">
        <f t="array" ref="B42">IFERROR(INDEX(Masteratk2024,SMALL(IF(Kriteriaatk2024=$P$4,ROW(Kriteriaatk2024)),ROW(C24)),11),"")</f>
        <v>Stofmap Transparan</v>
      </c>
      <c r="C42" s="935"/>
      <c r="D42" s="935"/>
      <c r="E42" s="936"/>
      <c r="F42" s="259">
        <f t="array" ref="F42">IFERROR(INDEX(Masteratk2024,SMALL(IF(Kriteriaatk2024=$P$4,ROW(Kriteriaatk2024)),ROW(C24)),12),"")</f>
        <v>100</v>
      </c>
      <c r="G42" s="810" t="str">
        <f t="array" ref="G42">IFERROR(INDEX(Masteratk2024,SMALL(IF(Kriteriaatk2024=$P$4,ROW(Kriteriaatk2024)),ROW(C24)),13),"")</f>
        <v>buah</v>
      </c>
      <c r="H42" s="932">
        <f t="array" ref="H42">IFERROR(INDEX(Masteratk2024,SMALL(IF(Kriteriaatk2024=$P$4,ROW(Kriteriaatk2024)),ROW(C24)),14),"")</f>
        <v>5500</v>
      </c>
      <c r="I42" s="933"/>
      <c r="J42" s="930">
        <f t="array" ref="J42">IFERROR(INDEX(Masteratk2024,SMALL(IF(Kriteriaatk2024=$P$4,ROW(Kriteriaatk2024)),ROW(C24)),15),"")</f>
        <v>550000</v>
      </c>
      <c r="K42" s="931"/>
      <c r="L42" s="184" t="str">
        <f t="shared" si="2"/>
        <v>1</v>
      </c>
      <c r="M42" s="232" t="str">
        <f t="array" ref="M42">IFERROR(INDEX(Masteratk2024,SMALL(IF(Kriteriaatk2024=$P$4,ROW(Kriteriaatk2024)),ROW(C24)),2),"")</f>
        <v>BPU27</v>
      </c>
      <c r="N42" s="181"/>
      <c r="O42" s="181"/>
      <c r="R42" s="676"/>
      <c r="S42" s="677"/>
    </row>
    <row r="43" spans="1:19" s="167" customFormat="1" ht="27" customHeight="1">
      <c r="A43" s="242">
        <f>IF(B43&lt;&gt;"",COUNTA($B$19:B43),"")</f>
        <v>25</v>
      </c>
      <c r="B43" s="934" t="str">
        <f t="array" ref="B43">IFERROR(INDEX(Masteratk2024,SMALL(IF(Kriteriaatk2024=$P$4,ROW(Kriteriaatk2024)),ROW(C25)),11),"")</f>
        <v>Binder Klip Ordner</v>
      </c>
      <c r="C43" s="935"/>
      <c r="D43" s="935"/>
      <c r="E43" s="936"/>
      <c r="F43" s="259">
        <f t="array" ref="F43">IFERROR(INDEX(Masteratk2024,SMALL(IF(Kriteriaatk2024=$P$4,ROW(Kriteriaatk2024)),ROW(C25)),12),"")</f>
        <v>6</v>
      </c>
      <c r="G43" s="810" t="str">
        <f t="array" ref="G43">IFERROR(INDEX(Masteratk2024,SMALL(IF(Kriteriaatk2024=$P$4,ROW(Kriteriaatk2024)),ROW(C25)),13),"")</f>
        <v>buah</v>
      </c>
      <c r="H43" s="932">
        <f t="array" ref="H43">IFERROR(INDEX(Masteratk2024,SMALL(IF(Kriteriaatk2024=$P$4,ROW(Kriteriaatk2024)),ROW(C25)),14),"")</f>
        <v>49500</v>
      </c>
      <c r="I43" s="933"/>
      <c r="J43" s="930">
        <f t="array" ref="J43">IFERROR(INDEX(Masteratk2024,SMALL(IF(Kriteriaatk2024=$P$4,ROW(Kriteriaatk2024)),ROW(C25)),15),"")</f>
        <v>297000</v>
      </c>
      <c r="K43" s="931"/>
      <c r="L43" s="184" t="str">
        <f t="shared" si="2"/>
        <v>1</v>
      </c>
      <c r="M43" s="232" t="str">
        <f t="array" ref="M43">IFERROR(INDEX(Masteratk2024,SMALL(IF(Kriteriaatk2024=$P$4,ROW(Kriteriaatk2024)),ROW(C25)),2),"")</f>
        <v>BPU27</v>
      </c>
      <c r="N43" s="181"/>
      <c r="O43" s="181"/>
      <c r="R43" s="676"/>
      <c r="S43" s="677"/>
    </row>
    <row r="44" spans="1:19" s="167" customFormat="1" ht="27" customHeight="1">
      <c r="A44" s="242">
        <f>IF(B44&lt;&gt;"",COUNTA($B$19:B44),"")</f>
        <v>26</v>
      </c>
      <c r="B44" s="934" t="str">
        <f t="array" ref="B44">IFERROR(INDEX(Masteratk2024,SMALL(IF(Kriteriaatk2024=$P$4,ROW(Kriteriaatk2024)),ROW(C26)),11),"")</f>
        <v>Box File Merk : Bantex Ukuran : 115x270x325 mm</v>
      </c>
      <c r="C44" s="935"/>
      <c r="D44" s="935"/>
      <c r="E44" s="936"/>
      <c r="F44" s="259">
        <f t="array" ref="F44">IFERROR(INDEX(Masteratk2024,SMALL(IF(Kriteriaatk2024=$P$4,ROW(Kriteriaatk2024)),ROW(C26)),12),"")</f>
        <v>4</v>
      </c>
      <c r="G44" s="810" t="str">
        <f t="array" ref="G44">IFERROR(INDEX(Masteratk2024,SMALL(IF(Kriteriaatk2024=$P$4,ROW(Kriteriaatk2024)),ROW(C26)),13),"")</f>
        <v>buah</v>
      </c>
      <c r="H44" s="932">
        <f t="array" ref="H44">IFERROR(INDEX(Masteratk2024,SMALL(IF(Kriteriaatk2024=$P$4,ROW(Kriteriaatk2024)),ROW(C26)),14),"")</f>
        <v>59000</v>
      </c>
      <c r="I44" s="933"/>
      <c r="J44" s="930">
        <f t="array" ref="J44">IFERROR(INDEX(Masteratk2024,SMALL(IF(Kriteriaatk2024=$P$4,ROW(Kriteriaatk2024)),ROW(C26)),15),"")</f>
        <v>236000</v>
      </c>
      <c r="K44" s="931"/>
      <c r="L44" s="184" t="str">
        <f t="shared" si="2"/>
        <v>1</v>
      </c>
      <c r="M44" s="232" t="str">
        <f t="array" ref="M44">IFERROR(INDEX(Masteratk2024,SMALL(IF(Kriteriaatk2024=$P$4,ROW(Kriteriaatk2024)),ROW(C26)),2),"")</f>
        <v>BPU27</v>
      </c>
      <c r="N44" s="181"/>
      <c r="O44" s="181"/>
      <c r="R44" s="676"/>
      <c r="S44" s="677"/>
    </row>
    <row r="45" spans="1:19" s="167" customFormat="1" ht="27" customHeight="1">
      <c r="A45" s="242">
        <f>IF(B45&lt;&gt;"",COUNTA($B$19:B45),"")</f>
        <v>27</v>
      </c>
      <c r="B45" s="934" t="str">
        <f t="array" ref="B45">IFERROR(INDEX(Masteratk2024,SMALL(IF(Kriteriaatk2024=$P$4,ROW(Kriteriaatk2024)),ROW(C27)),11),"")</f>
        <v>Sampul Plastik</v>
      </c>
      <c r="C45" s="935"/>
      <c r="D45" s="935"/>
      <c r="E45" s="936"/>
      <c r="F45" s="259">
        <f t="array" ref="F45">IFERROR(INDEX(Masteratk2024,SMALL(IF(Kriteriaatk2024=$P$4,ROW(Kriteriaatk2024)),ROW(C27)),12),"")</f>
        <v>5</v>
      </c>
      <c r="G45" s="810" t="str">
        <f t="array" ref="G45">IFERROR(INDEX(Masteratk2024,SMALL(IF(Kriteriaatk2024=$P$4,ROW(Kriteriaatk2024)),ROW(C27)),13),"")</f>
        <v>bungkus</v>
      </c>
      <c r="H45" s="932">
        <f t="array" ref="H45">IFERROR(INDEX(Masteratk2024,SMALL(IF(Kriteriaatk2024=$P$4,ROW(Kriteriaatk2024)),ROW(C27)),14),"")</f>
        <v>65000</v>
      </c>
      <c r="I45" s="933"/>
      <c r="J45" s="930">
        <f t="array" ref="J45">IFERROR(INDEX(Masteratk2024,SMALL(IF(Kriteriaatk2024=$P$4,ROW(Kriteriaatk2024)),ROW(C27)),15),"")</f>
        <v>325000</v>
      </c>
      <c r="K45" s="931"/>
      <c r="L45" s="184" t="str">
        <f t="shared" si="2"/>
        <v>1</v>
      </c>
      <c r="M45" s="232" t="str">
        <f t="array" ref="M45">IFERROR(INDEX(Masteratk2024,SMALL(IF(Kriteriaatk2024=$P$4,ROW(Kriteriaatk2024)),ROW(C27)),2),"")</f>
        <v>BPU27</v>
      </c>
      <c r="N45" s="181"/>
      <c r="O45" s="181"/>
      <c r="R45" s="676"/>
      <c r="S45" s="677"/>
    </row>
    <row r="46" spans="1:19" s="167" customFormat="1" ht="27" customHeight="1">
      <c r="A46" s="242">
        <f>IF(B46&lt;&gt;"",COUNTA($B$19:B46),"")</f>
        <v>28</v>
      </c>
      <c r="B46" s="934" t="str">
        <f t="array" ref="B46">IFERROR(INDEX(Masteratk2024,SMALL(IF(Kriteriaatk2024=$P$4,ROW(Kriteriaatk2024)),ROW(C28)),11),"")</f>
        <v>Tinta Printer Canon 740 Hitam-740 Hitam</v>
      </c>
      <c r="C46" s="935"/>
      <c r="D46" s="935"/>
      <c r="E46" s="936"/>
      <c r="F46" s="259">
        <f t="array" ref="F46">IFERROR(INDEX(Masteratk2024,SMALL(IF(Kriteriaatk2024=$P$4,ROW(Kriteriaatk2024)),ROW(C28)),12),"")</f>
        <v>8</v>
      </c>
      <c r="G46" s="810" t="str">
        <f t="array" ref="G46">IFERROR(INDEX(Masteratk2024,SMALL(IF(Kriteriaatk2024=$P$4,ROW(Kriteriaatk2024)),ROW(C28)),13),"")</f>
        <v>botol</v>
      </c>
      <c r="H46" s="932">
        <f t="array" ref="H46">IFERROR(INDEX(Masteratk2024,SMALL(IF(Kriteriaatk2024=$P$4,ROW(Kriteriaatk2024)),ROW(C28)),14),"")</f>
        <v>30000</v>
      </c>
      <c r="I46" s="933"/>
      <c r="J46" s="930">
        <f t="array" ref="J46">IFERROR(INDEX(Masteratk2024,SMALL(IF(Kriteriaatk2024=$P$4,ROW(Kriteriaatk2024)),ROW(C28)),15),"")</f>
        <v>240000</v>
      </c>
      <c r="K46" s="931"/>
      <c r="L46" s="184" t="str">
        <f t="shared" si="2"/>
        <v>1</v>
      </c>
      <c r="M46" s="232" t="str">
        <f t="array" ref="M46">IFERROR(INDEX(Masteratk2024,SMALL(IF(Kriteriaatk2024=$P$4,ROW(Kriteriaatk2024)),ROW(C28)),2),"")</f>
        <v>BPU27</v>
      </c>
      <c r="N46" s="181"/>
      <c r="O46" s="181"/>
      <c r="R46" s="676"/>
      <c r="S46" s="677"/>
    </row>
    <row r="47" spans="1:19" s="167" customFormat="1" ht="27" customHeight="1">
      <c r="A47" s="242">
        <f>IF(B47&lt;&gt;"",COUNTA($B$19:B47),"")</f>
        <v>29</v>
      </c>
      <c r="B47" s="934" t="str">
        <f t="array" ref="B47">IFERROR(INDEX(Masteratk2024,SMALL(IF(Kriteriaatk2024=$P$4,ROW(Kriteriaatk2024)),ROW(C29)),11),"")</f>
        <v>Tinta Printer Canon 741 Warna-741 Warna</v>
      </c>
      <c r="C47" s="935"/>
      <c r="D47" s="935"/>
      <c r="E47" s="936"/>
      <c r="F47" s="259">
        <f t="array" ref="F47">IFERROR(INDEX(Masteratk2024,SMALL(IF(Kriteriaatk2024=$P$4,ROW(Kriteriaatk2024)),ROW(C29)),12),"")</f>
        <v>12</v>
      </c>
      <c r="G47" s="810" t="str">
        <f t="array" ref="G47">IFERROR(INDEX(Masteratk2024,SMALL(IF(Kriteriaatk2024=$P$4,ROW(Kriteriaatk2024)),ROW(C29)),13),"")</f>
        <v>botol</v>
      </c>
      <c r="H47" s="932">
        <f t="array" ref="H47">IFERROR(INDEX(Masteratk2024,SMALL(IF(Kriteriaatk2024=$P$4,ROW(Kriteriaatk2024)),ROW(C29)),14),"")</f>
        <v>33000</v>
      </c>
      <c r="I47" s="933"/>
      <c r="J47" s="930">
        <f t="array" ref="J47">IFERROR(INDEX(Masteratk2024,SMALL(IF(Kriteriaatk2024=$P$4,ROW(Kriteriaatk2024)),ROW(C29)),15),"")</f>
        <v>396000</v>
      </c>
      <c r="K47" s="931"/>
      <c r="L47" s="184" t="str">
        <f t="shared" si="2"/>
        <v>1</v>
      </c>
      <c r="M47" s="232" t="str">
        <f t="array" ref="M47">IFERROR(INDEX(Masteratk2024,SMALL(IF(Kriteriaatk2024=$P$4,ROW(Kriteriaatk2024)),ROW(C29)),2),"")</f>
        <v>BPU27</v>
      </c>
      <c r="N47" s="181"/>
      <c r="O47" s="181"/>
      <c r="R47" s="676"/>
      <c r="S47" s="677"/>
    </row>
    <row r="48" spans="1:19" s="167" customFormat="1" ht="27" customHeight="1">
      <c r="A48" s="242">
        <f>IF(B48&lt;&gt;"",COUNTA($B$19:B48),"")</f>
        <v>30</v>
      </c>
      <c r="B48" s="934" t="str">
        <f t="array" ref="B48">IFERROR(INDEX(Masteratk2024,SMALL(IF(Kriteriaatk2024=$P$4,ROW(Kriteriaatk2024)),ROW(C30)),11),"")</f>
        <v>C. Tinta Printer EPSON Toner Epson 664 Black</v>
      </c>
      <c r="C48" s="935"/>
      <c r="D48" s="935"/>
      <c r="E48" s="936"/>
      <c r="F48" s="259">
        <f t="array" ref="F48">IFERROR(INDEX(Masteratk2024,SMALL(IF(Kriteriaatk2024=$P$4,ROW(Kriteriaatk2024)),ROW(C30)),12),"")</f>
        <v>6</v>
      </c>
      <c r="G48" s="810" t="str">
        <f t="array" ref="G48">IFERROR(INDEX(Masteratk2024,SMALL(IF(Kriteriaatk2024=$P$4,ROW(Kriteriaatk2024)),ROW(C30)),13),"")</f>
        <v>botol</v>
      </c>
      <c r="H48" s="932">
        <f t="array" ref="H48">IFERROR(INDEX(Masteratk2024,SMALL(IF(Kriteriaatk2024=$P$4,ROW(Kriteriaatk2024)),ROW(C30)),14),"")</f>
        <v>85000</v>
      </c>
      <c r="I48" s="933"/>
      <c r="J48" s="930">
        <f t="array" ref="J48">IFERROR(INDEX(Masteratk2024,SMALL(IF(Kriteriaatk2024=$P$4,ROW(Kriteriaatk2024)),ROW(C30)),15),"")</f>
        <v>510000</v>
      </c>
      <c r="K48" s="931"/>
      <c r="L48" s="184" t="str">
        <f t="shared" si="2"/>
        <v>1</v>
      </c>
      <c r="M48" s="232" t="str">
        <f t="array" ref="M48">IFERROR(INDEX(Masteratk2024,SMALL(IF(Kriteriaatk2024=$P$4,ROW(Kriteriaatk2024)),ROW(C30)),2),"")</f>
        <v>BPU27</v>
      </c>
      <c r="N48" s="181"/>
      <c r="O48" s="181"/>
      <c r="R48" s="676"/>
      <c r="S48" s="677"/>
    </row>
    <row r="49" spans="1:19" s="167" customFormat="1" ht="27" customHeight="1">
      <c r="A49" s="242">
        <f>IF(B49&lt;&gt;"",COUNTA($B$19:B49),"")</f>
        <v>31</v>
      </c>
      <c r="B49" s="934" t="str">
        <f t="array" ref="B49">IFERROR(INDEX(Masteratk2024,SMALL(IF(Kriteriaatk2024=$P$4,ROW(Kriteriaatk2024)),ROW(C31)),11),"")</f>
        <v>C. Tinta Printer EPSON Tinta Printer Epson Yellow</v>
      </c>
      <c r="C49" s="935"/>
      <c r="D49" s="935"/>
      <c r="E49" s="936"/>
      <c r="F49" s="259">
        <f t="array" ref="F49">IFERROR(INDEX(Masteratk2024,SMALL(IF(Kriteriaatk2024=$P$4,ROW(Kriteriaatk2024)),ROW(C31)),12),"")</f>
        <v>4</v>
      </c>
      <c r="G49" s="810" t="str">
        <f t="array" ref="G49">IFERROR(INDEX(Masteratk2024,SMALL(IF(Kriteriaatk2024=$P$4,ROW(Kriteriaatk2024)),ROW(C31)),13),"")</f>
        <v>botol</v>
      </c>
      <c r="H49" s="932">
        <f t="array" ref="H49">IFERROR(INDEX(Masteratk2024,SMALL(IF(Kriteriaatk2024=$P$4,ROW(Kriteriaatk2024)),ROW(C31)),14),"")</f>
        <v>110000</v>
      </c>
      <c r="I49" s="933"/>
      <c r="J49" s="930">
        <f t="array" ref="J49">IFERROR(INDEX(Masteratk2024,SMALL(IF(Kriteriaatk2024=$P$4,ROW(Kriteriaatk2024)),ROW(C31)),15),"")</f>
        <v>440000</v>
      </c>
      <c r="K49" s="931"/>
      <c r="L49" s="184" t="str">
        <f t="shared" si="2"/>
        <v>1</v>
      </c>
      <c r="M49" s="232" t="str">
        <f t="array" ref="M49">IFERROR(INDEX(Masteratk2024,SMALL(IF(Kriteriaatk2024=$P$4,ROW(Kriteriaatk2024)),ROW(C31)),2),"")</f>
        <v>BPU27</v>
      </c>
      <c r="N49" s="181"/>
      <c r="O49" s="181"/>
      <c r="R49" s="676"/>
      <c r="S49" s="677"/>
    </row>
    <row r="50" spans="1:19" s="167" customFormat="1" ht="27" customHeight="1">
      <c r="A50" s="242">
        <f>IF(B50&lt;&gt;"",COUNTA($B$19:B50),"")</f>
        <v>32</v>
      </c>
      <c r="B50" s="934" t="str">
        <f t="array" ref="B50">IFERROR(INDEX(Masteratk2024,SMALL(IF(Kriteriaatk2024=$P$4,ROW(Kriteriaatk2024)),ROW(C32)),11),"")</f>
        <v>C. Tinta Printer EPSON Tinta Printer Epson Blue</v>
      </c>
      <c r="C50" s="935"/>
      <c r="D50" s="935"/>
      <c r="E50" s="936"/>
      <c r="F50" s="259">
        <f t="array" ref="F50">IFERROR(INDEX(Masteratk2024,SMALL(IF(Kriteriaatk2024=$P$4,ROW(Kriteriaatk2024)),ROW(C32)),12),"")</f>
        <v>4</v>
      </c>
      <c r="G50" s="810" t="str">
        <f t="array" ref="G50">IFERROR(INDEX(Masteratk2024,SMALL(IF(Kriteriaatk2024=$P$4,ROW(Kriteriaatk2024)),ROW(C32)),13),"")</f>
        <v>botol</v>
      </c>
      <c r="H50" s="932">
        <f t="array" ref="H50">IFERROR(INDEX(Masteratk2024,SMALL(IF(Kriteriaatk2024=$P$4,ROW(Kriteriaatk2024)),ROW(C32)),14),"")</f>
        <v>110000</v>
      </c>
      <c r="I50" s="933"/>
      <c r="J50" s="930">
        <f t="array" ref="J50">IFERROR(INDEX(Masteratk2024,SMALL(IF(Kriteriaatk2024=$P$4,ROW(Kriteriaatk2024)),ROW(C32)),15),"")</f>
        <v>440000</v>
      </c>
      <c r="K50" s="931"/>
      <c r="L50" s="184" t="str">
        <f t="shared" si="2"/>
        <v>1</v>
      </c>
      <c r="M50" s="232" t="str">
        <f t="array" ref="M50">IFERROR(INDEX(Masteratk2024,SMALL(IF(Kriteriaatk2024=$P$4,ROW(Kriteriaatk2024)),ROW(C32)),2),"")</f>
        <v>BPU27</v>
      </c>
      <c r="N50" s="181"/>
      <c r="O50" s="181"/>
      <c r="R50" s="676"/>
      <c r="S50" s="677"/>
    </row>
    <row r="51" spans="1:19" s="167" customFormat="1" ht="27" customHeight="1">
      <c r="A51" s="242">
        <f>IF(B51&lt;&gt;"",COUNTA($B$19:B51),"")</f>
        <v>33</v>
      </c>
      <c r="B51" s="934" t="str">
        <f t="array" ref="B51">IFERROR(INDEX(Masteratk2024,SMALL(IF(Kriteriaatk2024=$P$4,ROW(Kriteriaatk2024)),ROW(C33)),11),"")</f>
        <v>C. Tinta Printer EPSON Tinta Printer Epson Read</v>
      </c>
      <c r="C51" s="935"/>
      <c r="D51" s="935"/>
      <c r="E51" s="936"/>
      <c r="F51" s="259">
        <f t="array" ref="F51">IFERROR(INDEX(Masteratk2024,SMALL(IF(Kriteriaatk2024=$P$4,ROW(Kriteriaatk2024)),ROW(C33)),12),"")</f>
        <v>4</v>
      </c>
      <c r="G51" s="810" t="str">
        <f t="array" ref="G51">IFERROR(INDEX(Masteratk2024,SMALL(IF(Kriteriaatk2024=$P$4,ROW(Kriteriaatk2024)),ROW(C33)),13),"")</f>
        <v>botol</v>
      </c>
      <c r="H51" s="932">
        <f t="array" ref="H51">IFERROR(INDEX(Masteratk2024,SMALL(IF(Kriteriaatk2024=$P$4,ROW(Kriteriaatk2024)),ROW(C33)),14),"")</f>
        <v>110000</v>
      </c>
      <c r="I51" s="933"/>
      <c r="J51" s="930">
        <f t="array" ref="J51">IFERROR(INDEX(Masteratk2024,SMALL(IF(Kriteriaatk2024=$P$4,ROW(Kriteriaatk2024)),ROW(C33)),15),"")</f>
        <v>440000</v>
      </c>
      <c r="K51" s="931"/>
      <c r="L51" s="184" t="str">
        <f t="shared" si="2"/>
        <v>1</v>
      </c>
      <c r="M51" s="232" t="str">
        <f t="array" ref="M51">IFERROR(INDEX(Masteratk2024,SMALL(IF(Kriteriaatk2024=$P$4,ROW(Kriteriaatk2024)),ROW(C33)),2),"")</f>
        <v>BPU27</v>
      </c>
      <c r="N51" s="181"/>
      <c r="O51" s="181"/>
      <c r="R51" s="676"/>
      <c r="S51" s="677"/>
    </row>
    <row r="52" spans="1:19" s="167" customFormat="1" ht="27" customHeight="1">
      <c r="A52" s="242">
        <f>IF(B52&lt;&gt;"",COUNTA($B$19:B52),"")</f>
        <v>34</v>
      </c>
      <c r="B52" s="934" t="str">
        <f t="array" ref="B52">IFERROR(INDEX(Masteratk2024,SMALL(IF(Kriteriaatk2024=$P$4,ROW(Kriteriaatk2024)),ROW(C34)),11),"")</f>
        <v>Lakban Besar</v>
      </c>
      <c r="C52" s="935"/>
      <c r="D52" s="935"/>
      <c r="E52" s="936"/>
      <c r="F52" s="259">
        <f t="array" ref="F52">IFERROR(INDEX(Masteratk2024,SMALL(IF(Kriteriaatk2024=$P$4,ROW(Kriteriaatk2024)),ROW(C34)),12),"")</f>
        <v>5</v>
      </c>
      <c r="G52" s="810" t="str">
        <f t="array" ref="G52">IFERROR(INDEX(Masteratk2024,SMALL(IF(Kriteriaatk2024=$P$4,ROW(Kriteriaatk2024)),ROW(C34)),13),"")</f>
        <v>buah</v>
      </c>
      <c r="H52" s="932">
        <f t="array" ref="H52">IFERROR(INDEX(Masteratk2024,SMALL(IF(Kriteriaatk2024=$P$4,ROW(Kriteriaatk2024)),ROW(C34)),14),"")</f>
        <v>25000</v>
      </c>
      <c r="I52" s="933"/>
      <c r="J52" s="930">
        <f t="array" ref="J52">IFERROR(INDEX(Masteratk2024,SMALL(IF(Kriteriaatk2024=$P$4,ROW(Kriteriaatk2024)),ROW(C34)),15),"")</f>
        <v>125000</v>
      </c>
      <c r="K52" s="931"/>
      <c r="L52" s="184" t="str">
        <f t="shared" si="2"/>
        <v>1</v>
      </c>
      <c r="M52" s="232" t="str">
        <f t="array" ref="M52">IFERROR(INDEX(Masteratk2024,SMALL(IF(Kriteriaatk2024=$P$4,ROW(Kriteriaatk2024)),ROW(C34)),2),"")</f>
        <v>BPU27</v>
      </c>
      <c r="N52" s="181"/>
      <c r="O52" s="181"/>
      <c r="R52" s="676"/>
      <c r="S52" s="677"/>
    </row>
    <row r="53" spans="1:19" s="167" customFormat="1" ht="27" customHeight="1">
      <c r="A53" s="242">
        <f>IF(B53&lt;&gt;"",COUNTA($B$19:B53),"")</f>
        <v>35</v>
      </c>
      <c r="B53" s="934" t="str">
        <f t="array" ref="B53">IFERROR(INDEX(Masteratk2024,SMALL(IF(Kriteriaatk2024=$P$4,ROW(Kriteriaatk2024)),ROW(C35)),11),"")</f>
        <v>Lakban Bening Sedang</v>
      </c>
      <c r="C53" s="935"/>
      <c r="D53" s="935"/>
      <c r="E53" s="936"/>
      <c r="F53" s="259">
        <f t="array" ref="F53">IFERROR(INDEX(Masteratk2024,SMALL(IF(Kriteriaatk2024=$P$4,ROW(Kriteriaatk2024)),ROW(C35)),12),"")</f>
        <v>5</v>
      </c>
      <c r="G53" s="810" t="str">
        <f t="array" ref="G53">IFERROR(INDEX(Masteratk2024,SMALL(IF(Kriteriaatk2024=$P$4,ROW(Kriteriaatk2024)),ROW(C35)),13),"")</f>
        <v>buah</v>
      </c>
      <c r="H53" s="932">
        <f t="array" ref="H53">IFERROR(INDEX(Masteratk2024,SMALL(IF(Kriteriaatk2024=$P$4,ROW(Kriteriaatk2024)),ROW(C35)),14),"")</f>
        <v>15000</v>
      </c>
      <c r="I53" s="933"/>
      <c r="J53" s="930">
        <f t="array" ref="J53">IFERROR(INDEX(Masteratk2024,SMALL(IF(Kriteriaatk2024=$P$4,ROW(Kriteriaatk2024)),ROW(C35)),15),"")</f>
        <v>75000</v>
      </c>
      <c r="K53" s="931"/>
      <c r="L53" s="184" t="str">
        <f t="shared" si="2"/>
        <v>1</v>
      </c>
      <c r="M53" s="232" t="str">
        <f t="array" ref="M53">IFERROR(INDEX(Masteratk2024,SMALL(IF(Kriteriaatk2024=$P$4,ROW(Kriteriaatk2024)),ROW(C35)),2),"")</f>
        <v>BPU27</v>
      </c>
      <c r="N53" s="181"/>
      <c r="O53" s="181"/>
      <c r="R53" s="676"/>
      <c r="S53" s="677"/>
    </row>
    <row r="54" spans="1:19" s="167" customFormat="1" ht="27" customHeight="1">
      <c r="A54" s="242">
        <f>IF(B54&lt;&gt;"",COUNTA($B$19:B54),"")</f>
        <v>36</v>
      </c>
      <c r="B54" s="934" t="str">
        <f t="array" ref="B54">IFERROR(INDEX(Masteratk2024,SMALL(IF(Kriteriaatk2024=$P$4,ROW(Kriteriaatk2024)),ROW(C36)),11),"")</f>
        <v>Lakban Bening</v>
      </c>
      <c r="C54" s="935"/>
      <c r="D54" s="935"/>
      <c r="E54" s="936"/>
      <c r="F54" s="259">
        <f t="array" ref="F54">IFERROR(INDEX(Masteratk2024,SMALL(IF(Kriteriaatk2024=$P$4,ROW(Kriteriaatk2024)),ROW(C36)),12),"")</f>
        <v>5</v>
      </c>
      <c r="G54" s="810" t="str">
        <f t="array" ref="G54">IFERROR(INDEX(Masteratk2024,SMALL(IF(Kriteriaatk2024=$P$4,ROW(Kriteriaatk2024)),ROW(C36)),13),"")</f>
        <v>buah</v>
      </c>
      <c r="H54" s="932">
        <f t="array" ref="H54">IFERROR(INDEX(Masteratk2024,SMALL(IF(Kriteriaatk2024=$P$4,ROW(Kriteriaatk2024)),ROW(C36)),14),"")</f>
        <v>10000</v>
      </c>
      <c r="I54" s="933"/>
      <c r="J54" s="930">
        <f t="array" ref="J54">IFERROR(INDEX(Masteratk2024,SMALL(IF(Kriteriaatk2024=$P$4,ROW(Kriteriaatk2024)),ROW(C36)),15),"")</f>
        <v>50000</v>
      </c>
      <c r="K54" s="931"/>
      <c r="L54" s="184" t="str">
        <f t="shared" si="2"/>
        <v>1</v>
      </c>
      <c r="M54" s="232" t="str">
        <f t="array" ref="M54">IFERROR(INDEX(Masteratk2024,SMALL(IF(Kriteriaatk2024=$P$4,ROW(Kriteriaatk2024)),ROW(C36)),2),"")</f>
        <v>BPU27</v>
      </c>
      <c r="N54" s="181"/>
      <c r="O54" s="181"/>
      <c r="R54" s="676"/>
      <c r="S54" s="677"/>
    </row>
    <row r="55" spans="1:19" s="167" customFormat="1" ht="27" customHeight="1">
      <c r="A55" s="242">
        <f>IF(B55&lt;&gt;"",COUNTA($B$19:B55),"")</f>
        <v>37</v>
      </c>
      <c r="B55" s="934" t="str">
        <f t="array" ref="B55">IFERROR(INDEX(Masteratk2024,SMALL(IF(Kriteriaatk2024=$P$4,ROW(Kriteriaatk2024)),ROW(C37)),11),"")</f>
        <v>Lakban Hitam--</v>
      </c>
      <c r="C55" s="935"/>
      <c r="D55" s="935"/>
      <c r="E55" s="936"/>
      <c r="F55" s="259">
        <f t="array" ref="F55">IFERROR(INDEX(Masteratk2024,SMALL(IF(Kriteriaatk2024=$P$4,ROW(Kriteriaatk2024)),ROW(C37)),12),"")</f>
        <v>5</v>
      </c>
      <c r="G55" s="810" t="str">
        <f t="array" ref="G55">IFERROR(INDEX(Masteratk2024,SMALL(IF(Kriteriaatk2024=$P$4,ROW(Kriteriaatk2024)),ROW(C37)),13),"")</f>
        <v>buah</v>
      </c>
      <c r="H55" s="932">
        <f t="array" ref="H55">IFERROR(INDEX(Masteratk2024,SMALL(IF(Kriteriaatk2024=$P$4,ROW(Kriteriaatk2024)),ROW(C37)),14),"")</f>
        <v>15000</v>
      </c>
      <c r="I55" s="933"/>
      <c r="J55" s="930">
        <f t="array" ref="J55">IFERROR(INDEX(Masteratk2024,SMALL(IF(Kriteriaatk2024=$P$4,ROW(Kriteriaatk2024)),ROW(C37)),15),"")</f>
        <v>75000</v>
      </c>
      <c r="K55" s="931"/>
      <c r="L55" s="184" t="str">
        <f t="shared" si="2"/>
        <v>1</v>
      </c>
      <c r="M55" s="232" t="str">
        <f t="array" ref="M55">IFERROR(INDEX(Masteratk2024,SMALL(IF(Kriteriaatk2024=$P$4,ROW(Kriteriaatk2024)),ROW(C37)),2),"")</f>
        <v>BPU27</v>
      </c>
      <c r="N55" s="181"/>
      <c r="O55" s="181"/>
      <c r="R55" s="676"/>
      <c r="S55" s="677"/>
    </row>
    <row r="56" spans="1:19" s="167" customFormat="1" ht="27" customHeight="1">
      <c r="A56" s="242">
        <f>IF(B56&lt;&gt;"",COUNTA($B$19:B56),"")</f>
        <v>38</v>
      </c>
      <c r="B56" s="934" t="str">
        <f t="array" ref="B56">IFERROR(INDEX(Masteratk2024,SMALL(IF(Kriteriaatk2024=$P$4,ROW(Kriteriaatk2024)),ROW(C38)),11),"")</f>
        <v>lakban hitam-ukuran : lebar 2 inch, panjang 12m, bahan : kain</v>
      </c>
      <c r="C56" s="935"/>
      <c r="D56" s="935"/>
      <c r="E56" s="936"/>
      <c r="F56" s="259">
        <f t="array" ref="F56">IFERROR(INDEX(Masteratk2024,SMALL(IF(Kriteriaatk2024=$P$4,ROW(Kriteriaatk2024)),ROW(C38)),12),"")</f>
        <v>4</v>
      </c>
      <c r="G56" s="810" t="str">
        <f t="array" ref="G56">IFERROR(INDEX(Masteratk2024,SMALL(IF(Kriteriaatk2024=$P$4,ROW(Kriteriaatk2024)),ROW(C38)),13),"")</f>
        <v>buah</v>
      </c>
      <c r="H56" s="932">
        <f t="array" ref="H56">IFERROR(INDEX(Masteratk2024,SMALL(IF(Kriteriaatk2024=$P$4,ROW(Kriteriaatk2024)),ROW(C38)),14),"")</f>
        <v>12500</v>
      </c>
      <c r="I56" s="933"/>
      <c r="J56" s="930">
        <f t="array" ref="J56">IFERROR(INDEX(Masteratk2024,SMALL(IF(Kriteriaatk2024=$P$4,ROW(Kriteriaatk2024)),ROW(C38)),15),"")</f>
        <v>50000</v>
      </c>
      <c r="K56" s="931"/>
      <c r="L56" s="184" t="str">
        <f t="shared" si="2"/>
        <v>1</v>
      </c>
      <c r="M56" s="232" t="str">
        <f t="array" ref="M56">IFERROR(INDEX(Masteratk2024,SMALL(IF(Kriteriaatk2024=$P$4,ROW(Kriteriaatk2024)),ROW(C38)),2),"")</f>
        <v>BPU27</v>
      </c>
      <c r="N56" s="181"/>
      <c r="O56" s="181"/>
      <c r="R56" s="676"/>
      <c r="S56" s="677"/>
    </row>
    <row r="57" spans="1:19" s="167" customFormat="1" ht="27" customHeight="1">
      <c r="A57" s="242">
        <f>IF(B57&lt;&gt;"",COUNTA($B$19:B57),"")</f>
        <v>39</v>
      </c>
      <c r="B57" s="934" t="str">
        <f t="array" ref="B57">IFERROR(INDEX(Masteratk2024,SMALL(IF(Kriteriaatk2024=$P$4,ROW(Kriteriaatk2024)),ROW(C39)),11),"")</f>
        <v>Lakban Hitam uk 2 " Warna hitam uk. 2 "</v>
      </c>
      <c r="C57" s="935"/>
      <c r="D57" s="935"/>
      <c r="E57" s="936"/>
      <c r="F57" s="259">
        <f t="array" ref="F57">IFERROR(INDEX(Masteratk2024,SMALL(IF(Kriteriaatk2024=$P$4,ROW(Kriteriaatk2024)),ROW(C39)),12),"")</f>
        <v>5</v>
      </c>
      <c r="G57" s="810" t="str">
        <f t="array" ref="G57">IFERROR(INDEX(Masteratk2024,SMALL(IF(Kriteriaatk2024=$P$4,ROW(Kriteriaatk2024)),ROW(C39)),13),"")</f>
        <v>buah</v>
      </c>
      <c r="H57" s="932">
        <f t="array" ref="H57">IFERROR(INDEX(Masteratk2024,SMALL(IF(Kriteriaatk2024=$P$4,ROW(Kriteriaatk2024)),ROW(C39)),14),"")</f>
        <v>25000</v>
      </c>
      <c r="I57" s="933"/>
      <c r="J57" s="930">
        <f t="array" ref="J57">IFERROR(INDEX(Masteratk2024,SMALL(IF(Kriteriaatk2024=$P$4,ROW(Kriteriaatk2024)),ROW(C39)),15),"")</f>
        <v>125000</v>
      </c>
      <c r="K57" s="931"/>
      <c r="L57" s="184" t="str">
        <f t="shared" si="2"/>
        <v>1</v>
      </c>
      <c r="M57" s="232" t="str">
        <f t="array" ref="M57">IFERROR(INDEX(Masteratk2024,SMALL(IF(Kriteriaatk2024=$P$4,ROW(Kriteriaatk2024)),ROW(C39)),2),"")</f>
        <v>BPU27</v>
      </c>
      <c r="N57" s="181"/>
      <c r="O57" s="181"/>
      <c r="R57" s="676"/>
      <c r="S57" s="677"/>
    </row>
    <row r="58" spans="1:19" s="167" customFormat="1" ht="27" customHeight="1">
      <c r="A58" s="242">
        <f>IF(B58&lt;&gt;"",COUNTA($B$19:B58),"")</f>
        <v>40</v>
      </c>
      <c r="B58" s="934" t="str">
        <f t="array" ref="B58">IFERROR(INDEX(Masteratk2024,SMALL(IF(Kriteriaatk2024=$P$4,ROW(Kriteriaatk2024)),ROW(C40)),11),"")</f>
        <v>Lakban warna Uk 2" Warna Coklat Cofiie</v>
      </c>
      <c r="C58" s="935"/>
      <c r="D58" s="935"/>
      <c r="E58" s="936"/>
      <c r="F58" s="259">
        <f t="array" ref="F58">IFERROR(INDEX(Masteratk2024,SMALL(IF(Kriteriaatk2024=$P$4,ROW(Kriteriaatk2024)),ROW(C40)),12),"")</f>
        <v>3</v>
      </c>
      <c r="G58" s="810" t="str">
        <f t="array" ref="G58">IFERROR(INDEX(Masteratk2024,SMALL(IF(Kriteriaatk2024=$P$4,ROW(Kriteriaatk2024)),ROW(C40)),13),"")</f>
        <v>buah</v>
      </c>
      <c r="H58" s="932">
        <f t="array" ref="H58">IFERROR(INDEX(Masteratk2024,SMALL(IF(Kriteriaatk2024=$P$4,ROW(Kriteriaatk2024)),ROW(C40)),14),"")</f>
        <v>20000</v>
      </c>
      <c r="I58" s="933"/>
      <c r="J58" s="930">
        <f t="array" ref="J58">IFERROR(INDEX(Masteratk2024,SMALL(IF(Kriteriaatk2024=$P$4,ROW(Kriteriaatk2024)),ROW(C40)),15),"")</f>
        <v>60000</v>
      </c>
      <c r="K58" s="931"/>
      <c r="L58" s="184" t="str">
        <f t="shared" si="2"/>
        <v>1</v>
      </c>
      <c r="M58" s="232" t="str">
        <f t="array" ref="M58">IFERROR(INDEX(Masteratk2024,SMALL(IF(Kriteriaatk2024=$P$4,ROW(Kriteriaatk2024)),ROW(C40)),2),"")</f>
        <v>BPU27</v>
      </c>
      <c r="N58" s="181"/>
      <c r="O58" s="181"/>
      <c r="R58" s="676"/>
      <c r="S58" s="677"/>
    </row>
    <row r="59" spans="1:19" s="167" customFormat="1" ht="27" customHeight="1">
      <c r="A59" s="242">
        <f>IF(B59&lt;&gt;"",COUNTA($B$19:B59),"")</f>
        <v>41</v>
      </c>
      <c r="B59" s="934" t="str">
        <f t="array" ref="B59">IFERROR(INDEX(Masteratk2024,SMALL(IF(Kriteriaatk2024=$P$4,ROW(Kriteriaatk2024)),ROW(C41)),11),"")</f>
        <v>Spidol Refil Spidol White Board Snowman</v>
      </c>
      <c r="C59" s="935"/>
      <c r="D59" s="935"/>
      <c r="E59" s="936"/>
      <c r="F59" s="259">
        <f t="array" ref="F59">IFERROR(INDEX(Masteratk2024,SMALL(IF(Kriteriaatk2024=$P$4,ROW(Kriteriaatk2024)),ROW(C41)),12),"")</f>
        <v>10</v>
      </c>
      <c r="G59" s="810" t="str">
        <f t="array" ref="G59">IFERROR(INDEX(Masteratk2024,SMALL(IF(Kriteriaatk2024=$P$4,ROW(Kriteriaatk2024)),ROW(C41)),13),"")</f>
        <v>buah</v>
      </c>
      <c r="H59" s="932">
        <f t="array" ref="H59">IFERROR(INDEX(Masteratk2024,SMALL(IF(Kriteriaatk2024=$P$4,ROW(Kriteriaatk2024)),ROW(C41)),14),"")</f>
        <v>20900</v>
      </c>
      <c r="I59" s="933"/>
      <c r="J59" s="930">
        <f t="array" ref="J59">IFERROR(INDEX(Masteratk2024,SMALL(IF(Kriteriaatk2024=$P$4,ROW(Kriteriaatk2024)),ROW(C41)),15),"")</f>
        <v>209000</v>
      </c>
      <c r="K59" s="931"/>
      <c r="L59" s="184" t="str">
        <f t="shared" si="2"/>
        <v>1</v>
      </c>
      <c r="M59" s="232" t="str">
        <f t="array" ref="M59">IFERROR(INDEX(Masteratk2024,SMALL(IF(Kriteriaatk2024=$P$4,ROW(Kriteriaatk2024)),ROW(C41)),2),"")</f>
        <v>BPU27</v>
      </c>
      <c r="N59" s="181"/>
      <c r="O59" s="181"/>
      <c r="R59" s="676"/>
      <c r="S59" s="677"/>
    </row>
    <row r="60" spans="1:19" s="167" customFormat="1" ht="27" customHeight="1">
      <c r="A60" s="242">
        <f>IF(B60&lt;&gt;"",COUNTA($B$19:B60),"")</f>
        <v>42</v>
      </c>
      <c r="B60" s="934" t="str">
        <f t="array" ref="B60">IFERROR(INDEX(Masteratk2024,SMALL(IF(Kriteriaatk2024=$P$4,ROW(Kriteriaatk2024)),ROW(C42)),11),"")</f>
        <v>Spidol White board</v>
      </c>
      <c r="C60" s="935"/>
      <c r="D60" s="935"/>
      <c r="E60" s="936"/>
      <c r="F60" s="259">
        <f t="array" ref="F60">IFERROR(INDEX(Masteratk2024,SMALL(IF(Kriteriaatk2024=$P$4,ROW(Kriteriaatk2024)),ROW(C42)),12),"")</f>
        <v>2</v>
      </c>
      <c r="G60" s="810" t="str">
        <f t="array" ref="G60">IFERROR(INDEX(Masteratk2024,SMALL(IF(Kriteriaatk2024=$P$4,ROW(Kriteriaatk2024)),ROW(C42)),13),"")</f>
        <v>lusin</v>
      </c>
      <c r="H60" s="932">
        <f t="array" ref="H60">IFERROR(INDEX(Masteratk2024,SMALL(IF(Kriteriaatk2024=$P$4,ROW(Kriteriaatk2024)),ROW(C42)),14),"")</f>
        <v>120000</v>
      </c>
      <c r="I60" s="933"/>
      <c r="J60" s="930">
        <f t="array" ref="J60">IFERROR(INDEX(Masteratk2024,SMALL(IF(Kriteriaatk2024=$P$4,ROW(Kriteriaatk2024)),ROW(C42)),15),"")</f>
        <v>240000</v>
      </c>
      <c r="K60" s="931"/>
      <c r="L60" s="184" t="str">
        <f t="shared" si="2"/>
        <v>1</v>
      </c>
      <c r="M60" s="232" t="str">
        <f t="array" ref="M60">IFERROR(INDEX(Masteratk2024,SMALL(IF(Kriteriaatk2024=$P$4,ROW(Kriteriaatk2024)),ROW(C42)),2),"")</f>
        <v>BPU27</v>
      </c>
      <c r="N60" s="181"/>
      <c r="O60" s="181"/>
      <c r="R60" s="676"/>
      <c r="S60" s="677"/>
    </row>
    <row r="61" spans="1:19" s="167" customFormat="1" ht="27" customHeight="1">
      <c r="A61" s="242">
        <f>IF(B61&lt;&gt;"",COUNTA($B$19:B61),"")</f>
        <v>43</v>
      </c>
      <c r="B61" s="934" t="str">
        <f t="array" ref="B61">IFERROR(INDEX(Masteratk2024,SMALL(IF(Kriteriaatk2024=$P$4,ROW(Kriteriaatk2024)),ROW(C43)),11),"")</f>
        <v>Stapler HD-10--</v>
      </c>
      <c r="C61" s="935"/>
      <c r="D61" s="935"/>
      <c r="E61" s="936"/>
      <c r="F61" s="259">
        <f t="array" ref="F61">IFERROR(INDEX(Masteratk2024,SMALL(IF(Kriteriaatk2024=$P$4,ROW(Kriteriaatk2024)),ROW(C43)),12),"")</f>
        <v>2</v>
      </c>
      <c r="G61" s="810" t="str">
        <f t="array" ref="G61">IFERROR(INDEX(Masteratk2024,SMALL(IF(Kriteriaatk2024=$P$4,ROW(Kriteriaatk2024)),ROW(C43)),13),"")</f>
        <v>buah</v>
      </c>
      <c r="H61" s="932">
        <f t="array" ref="H61">IFERROR(INDEX(Masteratk2024,SMALL(IF(Kriteriaatk2024=$P$4,ROW(Kriteriaatk2024)),ROW(C43)),14),"")</f>
        <v>20000</v>
      </c>
      <c r="I61" s="933"/>
      <c r="J61" s="930">
        <f t="array" ref="J61">IFERROR(INDEX(Masteratk2024,SMALL(IF(Kriteriaatk2024=$P$4,ROW(Kriteriaatk2024)),ROW(C43)),15),"")</f>
        <v>40000</v>
      </c>
      <c r="K61" s="931"/>
      <c r="L61" s="184" t="str">
        <f t="shared" si="2"/>
        <v>1</v>
      </c>
      <c r="M61" s="232" t="str">
        <f t="array" ref="M61">IFERROR(INDEX(Masteratk2024,SMALL(IF(Kriteriaatk2024=$P$4,ROW(Kriteriaatk2024)),ROW(C43)),2),"")</f>
        <v>BPU27</v>
      </c>
      <c r="N61" s="181"/>
      <c r="O61" s="181"/>
      <c r="R61" s="676"/>
      <c r="S61" s="677"/>
    </row>
    <row r="62" spans="1:19" s="167" customFormat="1" ht="27" customHeight="1">
      <c r="A62" s="242">
        <f>IF(B62&lt;&gt;"",COUNTA($B$19:B62),"")</f>
        <v>44</v>
      </c>
      <c r="B62" s="934" t="str">
        <f t="array" ref="B62">IFERROR(INDEX(Masteratk2024,SMALL(IF(Kriteriaatk2024=$P$4,ROW(Kriteriaatk2024)),ROW(C44)),11),"")</f>
        <v>Stapler Stapler No, 50 MAX</v>
      </c>
      <c r="C62" s="935"/>
      <c r="D62" s="935"/>
      <c r="E62" s="936"/>
      <c r="F62" s="259">
        <f t="array" ref="F62">IFERROR(INDEX(Masteratk2024,SMALL(IF(Kriteriaatk2024=$P$4,ROW(Kriteriaatk2024)),ROW(C44)),12),"")</f>
        <v>2</v>
      </c>
      <c r="G62" s="810" t="str">
        <f t="array" ref="G62">IFERROR(INDEX(Masteratk2024,SMALL(IF(Kriteriaatk2024=$P$4,ROW(Kriteriaatk2024)),ROW(C44)),13),"")</f>
        <v>buah</v>
      </c>
      <c r="H62" s="932">
        <f t="array" ref="H62">IFERROR(INDEX(Masteratk2024,SMALL(IF(Kriteriaatk2024=$P$4,ROW(Kriteriaatk2024)),ROW(C44)),14),"")</f>
        <v>25000</v>
      </c>
      <c r="I62" s="933"/>
      <c r="J62" s="930">
        <f t="array" ref="J62">IFERROR(INDEX(Masteratk2024,SMALL(IF(Kriteriaatk2024=$P$4,ROW(Kriteriaatk2024)),ROW(C44)),15),"")</f>
        <v>50000</v>
      </c>
      <c r="K62" s="931"/>
      <c r="L62" s="184" t="str">
        <f t="shared" si="2"/>
        <v>1</v>
      </c>
      <c r="M62" s="232" t="str">
        <f t="array" ref="M62">IFERROR(INDEX(Masteratk2024,SMALL(IF(Kriteriaatk2024=$P$4,ROW(Kriteriaatk2024)),ROW(C44)),2),"")</f>
        <v>BPU27</v>
      </c>
      <c r="N62" s="181"/>
      <c r="O62" s="181"/>
      <c r="R62" s="676"/>
      <c r="S62" s="677"/>
    </row>
    <row r="63" spans="1:19" s="167" customFormat="1" ht="27" customHeight="1">
      <c r="A63" s="242">
        <f>IF(B63&lt;&gt;"",COUNTA($B$19:B63),"")</f>
        <v>45</v>
      </c>
      <c r="B63" s="934" t="str">
        <f t="array" ref="B63">IFERROR(INDEX(Masteratk2024,SMALL(IF(Kriteriaatk2024=$P$4,ROW(Kriteriaatk2024)),ROW(C45)),11),"")</f>
        <v>PAPER CLIP  Paper Clip No 1</v>
      </c>
      <c r="C63" s="935"/>
      <c r="D63" s="935"/>
      <c r="E63" s="936"/>
      <c r="F63" s="259">
        <f t="array" ref="F63">IFERROR(INDEX(Masteratk2024,SMALL(IF(Kriteriaatk2024=$P$4,ROW(Kriteriaatk2024)),ROW(C45)),12),"")</f>
        <v>5</v>
      </c>
      <c r="G63" s="810" t="str">
        <f t="array" ref="G63">IFERROR(INDEX(Masteratk2024,SMALL(IF(Kriteriaatk2024=$P$4,ROW(Kriteriaatk2024)),ROW(C45)),13),"")</f>
        <v>kotak</v>
      </c>
      <c r="H63" s="932">
        <f t="array" ref="H63">IFERROR(INDEX(Masteratk2024,SMALL(IF(Kriteriaatk2024=$P$4,ROW(Kriteriaatk2024)),ROW(C45)),14),"")</f>
        <v>6000</v>
      </c>
      <c r="I63" s="933"/>
      <c r="J63" s="930">
        <f t="array" ref="J63">IFERROR(INDEX(Masteratk2024,SMALL(IF(Kriteriaatk2024=$P$4,ROW(Kriteriaatk2024)),ROW(C45)),15),"")</f>
        <v>30000</v>
      </c>
      <c r="K63" s="931"/>
      <c r="L63" s="184" t="str">
        <f t="shared" si="2"/>
        <v>1</v>
      </c>
      <c r="M63" s="232" t="str">
        <f t="array" ref="M63">IFERROR(INDEX(Masteratk2024,SMALL(IF(Kriteriaatk2024=$P$4,ROW(Kriteriaatk2024)),ROW(C45)),2),"")</f>
        <v>BPU27</v>
      </c>
      <c r="N63" s="181"/>
      <c r="O63" s="181"/>
      <c r="R63" s="676"/>
      <c r="S63" s="677"/>
    </row>
    <row r="64" spans="1:19" s="167" customFormat="1" ht="27" customHeight="1">
      <c r="A64" s="242">
        <f>IF(B64&lt;&gt;"",COUNTA($B$19:B64),"")</f>
        <v>46</v>
      </c>
      <c r="B64" s="934" t="str">
        <f t="array" ref="B64">IFERROR(INDEX(Masteratk2024,SMALL(IF(Kriteriaatk2024=$P$4,ROW(Kriteriaatk2024)),ROW(C46)),11),"")</f>
        <v>Paper Clip No 1  Paper Clip No 3</v>
      </c>
      <c r="C64" s="935"/>
      <c r="D64" s="935"/>
      <c r="E64" s="936"/>
      <c r="F64" s="259">
        <f t="array" ref="F64">IFERROR(INDEX(Masteratk2024,SMALL(IF(Kriteriaatk2024=$P$4,ROW(Kriteriaatk2024)),ROW(C46)),12),"")</f>
        <v>5</v>
      </c>
      <c r="G64" s="810" t="str">
        <f t="array" ref="G64">IFERROR(INDEX(Masteratk2024,SMALL(IF(Kriteriaatk2024=$P$4,ROW(Kriteriaatk2024)),ROW(C46)),13),"")</f>
        <v>kotak</v>
      </c>
      <c r="H64" s="932">
        <f t="array" ref="H64">IFERROR(INDEX(Masteratk2024,SMALL(IF(Kriteriaatk2024=$P$4,ROW(Kriteriaatk2024)),ROW(C46)),14),"")</f>
        <v>6000</v>
      </c>
      <c r="I64" s="933"/>
      <c r="J64" s="930">
        <f t="array" ref="J64">IFERROR(INDEX(Masteratk2024,SMALL(IF(Kriteriaatk2024=$P$4,ROW(Kriteriaatk2024)),ROW(C46)),15),"")</f>
        <v>30000</v>
      </c>
      <c r="K64" s="931"/>
      <c r="L64" s="184" t="str">
        <f t="shared" si="2"/>
        <v>1</v>
      </c>
      <c r="M64" s="232" t="str">
        <f t="array" ref="M64">IFERROR(INDEX(Masteratk2024,SMALL(IF(Kriteriaatk2024=$P$4,ROW(Kriteriaatk2024)),ROW(C46)),2),"")</f>
        <v>BPU27</v>
      </c>
      <c r="N64" s="181"/>
      <c r="O64" s="181"/>
      <c r="R64" s="676"/>
      <c r="S64" s="677"/>
    </row>
    <row r="65" spans="1:19" s="167" customFormat="1" ht="27" customHeight="1">
      <c r="A65" s="242">
        <f>IF(B65&lt;&gt;"",COUNTA($B$19:B65),"")</f>
        <v>47</v>
      </c>
      <c r="B65" s="934" t="str">
        <f t="array" ref="B65">IFERROR(INDEX(Masteratk2024,SMALL(IF(Kriteriaatk2024=$P$4,ROW(Kriteriaatk2024)),ROW(C47)),11),"")</f>
        <v>gunting kertas-ukuran : panjang 21cm x lebar 8cm, stainless steel</v>
      </c>
      <c r="C65" s="935"/>
      <c r="D65" s="935"/>
      <c r="E65" s="936"/>
      <c r="F65" s="259">
        <f t="array" ref="F65">IFERROR(INDEX(Masteratk2024,SMALL(IF(Kriteriaatk2024=$P$4,ROW(Kriteriaatk2024)),ROW(C47)),12),"")</f>
        <v>2</v>
      </c>
      <c r="G65" s="810" t="str">
        <f t="array" ref="G65">IFERROR(INDEX(Masteratk2024,SMALL(IF(Kriteriaatk2024=$P$4,ROW(Kriteriaatk2024)),ROW(C47)),13),"")</f>
        <v>buah</v>
      </c>
      <c r="H65" s="932">
        <f t="array" ref="H65">IFERROR(INDEX(Masteratk2024,SMALL(IF(Kriteriaatk2024=$P$4,ROW(Kriteriaatk2024)),ROW(C47)),14),"")</f>
        <v>20000</v>
      </c>
      <c r="I65" s="933"/>
      <c r="J65" s="930">
        <f t="array" ref="J65">IFERROR(INDEX(Masteratk2024,SMALL(IF(Kriteriaatk2024=$P$4,ROW(Kriteriaatk2024)),ROW(C47)),15),"")</f>
        <v>40000</v>
      </c>
      <c r="K65" s="931"/>
      <c r="L65" s="184" t="str">
        <f t="shared" si="2"/>
        <v>1</v>
      </c>
      <c r="M65" s="232" t="str">
        <f t="array" ref="M65">IFERROR(INDEX(Masteratk2024,SMALL(IF(Kriteriaatk2024=$P$4,ROW(Kriteriaatk2024)),ROW(C47)),2),"")</f>
        <v>BPU27</v>
      </c>
      <c r="N65" s="181"/>
      <c r="O65" s="181"/>
      <c r="R65" s="676"/>
      <c r="S65" s="677"/>
    </row>
    <row r="66" spans="1:19" s="167" customFormat="1" ht="27" customHeight="1">
      <c r="A66" s="242">
        <f>IF(B66&lt;&gt;"",COUNTA($B$19:B66),"")</f>
        <v>48</v>
      </c>
      <c r="B66" s="934" t="str">
        <f t="array" ref="B66">IFERROR(INDEX(Masteratk2024,SMALL(IF(Kriteriaatk2024=$P$4,ROW(Kriteriaatk2024)),ROW(C48)),11),"")</f>
        <v>Pisau Cutter Kenko L-500</v>
      </c>
      <c r="C66" s="935"/>
      <c r="D66" s="935"/>
      <c r="E66" s="936"/>
      <c r="F66" s="259">
        <f t="array" ref="F66">IFERROR(INDEX(Masteratk2024,SMALL(IF(Kriteriaatk2024=$P$4,ROW(Kriteriaatk2024)),ROW(C48)),12),"")</f>
        <v>2</v>
      </c>
      <c r="G66" s="810" t="str">
        <f t="array" ref="G66">IFERROR(INDEX(Masteratk2024,SMALL(IF(Kriteriaatk2024=$P$4,ROW(Kriteriaatk2024)),ROW(C48)),13),"")</f>
        <v>buah</v>
      </c>
      <c r="H66" s="932">
        <f t="array" ref="H66">IFERROR(INDEX(Masteratk2024,SMALL(IF(Kriteriaatk2024=$P$4,ROW(Kriteriaatk2024)),ROW(C48)),14),"")</f>
        <v>15000</v>
      </c>
      <c r="I66" s="933"/>
      <c r="J66" s="930">
        <f t="array" ref="J66">IFERROR(INDEX(Masteratk2024,SMALL(IF(Kriteriaatk2024=$P$4,ROW(Kriteriaatk2024)),ROW(C48)),15),"")</f>
        <v>30000</v>
      </c>
      <c r="K66" s="931"/>
      <c r="L66" s="184" t="str">
        <f t="shared" si="2"/>
        <v>1</v>
      </c>
      <c r="M66" s="232" t="str">
        <f t="array" ref="M66">IFERROR(INDEX(Masteratk2024,SMALL(IF(Kriteriaatk2024=$P$4,ROW(Kriteriaatk2024)),ROW(C48)),2),"")</f>
        <v>BPU27</v>
      </c>
      <c r="N66" s="181"/>
      <c r="O66" s="181"/>
      <c r="R66" s="676"/>
      <c r="S66" s="677"/>
    </row>
    <row r="67" spans="1:19" s="167" customFormat="1" ht="27" customHeight="1">
      <c r="A67" s="242">
        <f>IF(B67&lt;&gt;"",COUNTA($B$19:B67),"")</f>
        <v>49</v>
      </c>
      <c r="B67" s="934" t="str">
        <f t="array" ref="B67">IFERROR(INDEX(Masteratk2024,SMALL(IF(Kriteriaatk2024=$P$4,ROW(Kriteriaatk2024)),ROW(C49)),11),"")</f>
        <v>Baterey Kecil</v>
      </c>
      <c r="C67" s="935"/>
      <c r="D67" s="935"/>
      <c r="E67" s="936"/>
      <c r="F67" s="259">
        <f t="array" ref="F67">IFERROR(INDEX(Masteratk2024,SMALL(IF(Kriteriaatk2024=$P$4,ROW(Kriteriaatk2024)),ROW(C49)),12),"")</f>
        <v>5</v>
      </c>
      <c r="G67" s="810" t="str">
        <f t="array" ref="G67">IFERROR(INDEX(Masteratk2024,SMALL(IF(Kriteriaatk2024=$P$4,ROW(Kriteriaatk2024)),ROW(C49)),13),"")</f>
        <v>pasang</v>
      </c>
      <c r="H67" s="932">
        <f t="array" ref="H67">IFERROR(INDEX(Masteratk2024,SMALL(IF(Kriteriaatk2024=$P$4,ROW(Kriteriaatk2024)),ROW(C49)),14),"")</f>
        <v>20000</v>
      </c>
      <c r="I67" s="933"/>
      <c r="J67" s="930">
        <f t="array" ref="J67">IFERROR(INDEX(Masteratk2024,SMALL(IF(Kriteriaatk2024=$P$4,ROW(Kriteriaatk2024)),ROW(C49)),15),"")</f>
        <v>100000</v>
      </c>
      <c r="K67" s="931"/>
      <c r="L67" s="184" t="str">
        <f t="shared" si="2"/>
        <v>1</v>
      </c>
      <c r="M67" s="232" t="str">
        <f t="array" ref="M67">IFERROR(INDEX(Masteratk2024,SMALL(IF(Kriteriaatk2024=$P$4,ROW(Kriteriaatk2024)),ROW(C49)),2),"")</f>
        <v>BPU27</v>
      </c>
      <c r="N67" s="181"/>
      <c r="O67" s="181"/>
      <c r="R67" s="676"/>
      <c r="S67" s="677"/>
    </row>
    <row r="68" spans="1:19" s="167" customFormat="1" ht="27" hidden="1" customHeight="1">
      <c r="A68" s="242" t="str">
        <f>IF(B68&lt;&gt;"",COUNTA($B$19:B68),"")</f>
        <v/>
      </c>
      <c r="B68" s="934" t="str">
        <f t="array" ref="B68">IFERROR(INDEX(Masteratk2024,SMALL(IF(Kriteriaatk2024=$P$4,ROW(Kriteriaatk2024)),ROW(C50)),11),"")</f>
        <v/>
      </c>
      <c r="C68" s="935"/>
      <c r="D68" s="935"/>
      <c r="E68" s="936"/>
      <c r="F68" s="259" t="str">
        <f t="array" ref="F68">IFERROR(INDEX(Masteratk2024,SMALL(IF(Kriteriaatk2024=$P$4,ROW(Kriteriaatk2024)),ROW(C50)),12),"")</f>
        <v/>
      </c>
      <c r="G68" s="810" t="str">
        <f t="array" ref="G68">IFERROR(INDEX(Masteratk2024,SMALL(IF(Kriteriaatk2024=$P$4,ROW(Kriteriaatk2024)),ROW(C50)),13),"")</f>
        <v/>
      </c>
      <c r="H68" s="932" t="str">
        <f t="array" ref="H68">IFERROR(INDEX(Masteratk2024,SMALL(IF(Kriteriaatk2024=$P$4,ROW(Kriteriaatk2024)),ROW(C50)),14),"")</f>
        <v/>
      </c>
      <c r="I68" s="933"/>
      <c r="J68" s="930" t="str">
        <f t="array" ref="J68">IFERROR(INDEX(Masteratk2024,SMALL(IF(Kriteriaatk2024=$P$4,ROW(Kriteriaatk2024)),ROW(C50)),15),"")</f>
        <v/>
      </c>
      <c r="K68" s="931"/>
      <c r="L68" s="184" t="str">
        <f t="shared" si="2"/>
        <v>0</v>
      </c>
      <c r="M68" s="232" t="str">
        <f t="array" ref="M68">IFERROR(INDEX(Masteratk2024,SMALL(IF(Kriteriaatk2024=$P$4,ROW(Kriteriaatk2024)),ROW(C50)),2),"")</f>
        <v/>
      </c>
      <c r="N68" s="181"/>
      <c r="O68" s="181"/>
      <c r="R68" s="676"/>
      <c r="S68" s="677"/>
    </row>
    <row r="69" spans="1:19" s="167" customFormat="1" ht="27" hidden="1" customHeight="1">
      <c r="A69" s="242" t="str">
        <f>IF(B69&lt;&gt;"",COUNTA($B$19:B69),"")</f>
        <v/>
      </c>
      <c r="B69" s="934" t="str">
        <f t="array" ref="B69">IFERROR(INDEX(Masteratk2024,SMALL(IF(Kriteriaatk2024=$P$4,ROW(Kriteriaatk2024)),ROW(C51)),11),"")</f>
        <v/>
      </c>
      <c r="C69" s="935"/>
      <c r="D69" s="935"/>
      <c r="E69" s="936"/>
      <c r="F69" s="259" t="str">
        <f t="array" ref="F69">IFERROR(INDEX(Masteratk2024,SMALL(IF(Kriteriaatk2024=$P$4,ROW(Kriteriaatk2024)),ROW(C51)),12),"")</f>
        <v/>
      </c>
      <c r="G69" s="810" t="str">
        <f t="array" ref="G69">IFERROR(INDEX(Masteratk2024,SMALL(IF(Kriteriaatk2024=$P$4,ROW(Kriteriaatk2024)),ROW(C51)),13),"")</f>
        <v/>
      </c>
      <c r="H69" s="932" t="str">
        <f t="array" ref="H69">IFERROR(INDEX(Masteratk2024,SMALL(IF(Kriteriaatk2024=$P$4,ROW(Kriteriaatk2024)),ROW(C51)),14),"")</f>
        <v/>
      </c>
      <c r="I69" s="933"/>
      <c r="J69" s="930" t="str">
        <f t="array" ref="J69">IFERROR(INDEX(Masteratk2024,SMALL(IF(Kriteriaatk2024=$P$4,ROW(Kriteriaatk2024)),ROW(C51)),15),"")</f>
        <v/>
      </c>
      <c r="K69" s="931"/>
      <c r="L69" s="184" t="str">
        <f t="shared" si="2"/>
        <v>0</v>
      </c>
      <c r="M69" s="232" t="str">
        <f t="array" ref="M69">IFERROR(INDEX(Masteratk2024,SMALL(IF(Kriteriaatk2024=$P$4,ROW(Kriteriaatk2024)),ROW(C51)),2),"")</f>
        <v/>
      </c>
      <c r="N69" s="181"/>
      <c r="O69" s="181"/>
      <c r="R69" s="676"/>
      <c r="S69" s="677"/>
    </row>
    <row r="70" spans="1:19" s="167" customFormat="1" ht="27" hidden="1" customHeight="1">
      <c r="A70" s="242" t="str">
        <f>IF(B70&lt;&gt;"",COUNTA($B$19:B70),"")</f>
        <v/>
      </c>
      <c r="B70" s="934" t="str">
        <f t="array" ref="B70">IFERROR(INDEX(Masteratk2024,SMALL(IF(Kriteriaatk2024=$P$4,ROW(Kriteriaatk2024)),ROW(C52)),11),"")</f>
        <v/>
      </c>
      <c r="C70" s="935"/>
      <c r="D70" s="935"/>
      <c r="E70" s="936"/>
      <c r="F70" s="259" t="str">
        <f t="array" ref="F70">IFERROR(INDEX(Masteratk2024,SMALL(IF(Kriteriaatk2024=$P$4,ROW(Kriteriaatk2024)),ROW(C52)),12),"")</f>
        <v/>
      </c>
      <c r="G70" s="810" t="str">
        <f t="array" ref="G70">IFERROR(INDEX(Masteratk2024,SMALL(IF(Kriteriaatk2024=$P$4,ROW(Kriteriaatk2024)),ROW(C52)),13),"")</f>
        <v/>
      </c>
      <c r="H70" s="932" t="str">
        <f t="array" ref="H70">IFERROR(INDEX(Masteratk2024,SMALL(IF(Kriteriaatk2024=$P$4,ROW(Kriteriaatk2024)),ROW(C52)),14),"")</f>
        <v/>
      </c>
      <c r="I70" s="933"/>
      <c r="J70" s="930" t="str">
        <f t="array" ref="J70">IFERROR(INDEX(Masteratk2024,SMALL(IF(Kriteriaatk2024=$P$4,ROW(Kriteriaatk2024)),ROW(C52)),15),"")</f>
        <v/>
      </c>
      <c r="K70" s="931"/>
      <c r="L70" s="184" t="str">
        <f t="shared" si="2"/>
        <v>0</v>
      </c>
      <c r="M70" s="232" t="str">
        <f t="array" ref="M70">IFERROR(INDEX(Masteratk2024,SMALL(IF(Kriteriaatk2024=$P$4,ROW(Kriteriaatk2024)),ROW(C52)),2),"")</f>
        <v/>
      </c>
      <c r="N70" s="181"/>
      <c r="O70" s="181"/>
      <c r="R70" s="676"/>
      <c r="S70" s="677"/>
    </row>
    <row r="71" spans="1:19" s="167" customFormat="1" ht="27" hidden="1" customHeight="1">
      <c r="A71" s="242" t="str">
        <f>IF(B71&lt;&gt;"",COUNTA($B$19:B71),"")</f>
        <v/>
      </c>
      <c r="B71" s="934" t="str">
        <f t="array" ref="B71">IFERROR(INDEX(Masteratk2024,SMALL(IF(Kriteriaatk2024=$P$4,ROW(Kriteriaatk2024)),ROW(C53)),11),"")</f>
        <v/>
      </c>
      <c r="C71" s="935"/>
      <c r="D71" s="935"/>
      <c r="E71" s="936"/>
      <c r="F71" s="259" t="str">
        <f t="array" ref="F71">IFERROR(INDEX(Masteratk2024,SMALL(IF(Kriteriaatk2024=$P$4,ROW(Kriteriaatk2024)),ROW(C53)),12),"")</f>
        <v/>
      </c>
      <c r="G71" s="810" t="str">
        <f t="array" ref="G71">IFERROR(INDEX(Masteratk2024,SMALL(IF(Kriteriaatk2024=$P$4,ROW(Kriteriaatk2024)),ROW(C53)),13),"")</f>
        <v/>
      </c>
      <c r="H71" s="932" t="str">
        <f t="array" ref="H71">IFERROR(INDEX(Masteratk2024,SMALL(IF(Kriteriaatk2024=$P$4,ROW(Kriteriaatk2024)),ROW(C53)),14),"")</f>
        <v/>
      </c>
      <c r="I71" s="933"/>
      <c r="J71" s="930" t="str">
        <f t="array" ref="J71">IFERROR(INDEX(Masteratk2024,SMALL(IF(Kriteriaatk2024=$P$4,ROW(Kriteriaatk2024)),ROW(C53)),15),"")</f>
        <v/>
      </c>
      <c r="K71" s="931"/>
      <c r="L71" s="184" t="str">
        <f t="shared" si="2"/>
        <v>0</v>
      </c>
      <c r="M71" s="232" t="str">
        <f t="array" ref="M71">IFERROR(INDEX(Masteratk2024,SMALL(IF(Kriteriaatk2024=$P$4,ROW(Kriteriaatk2024)),ROW(C53)),2),"")</f>
        <v/>
      </c>
      <c r="N71" s="181"/>
      <c r="O71" s="181"/>
      <c r="R71" s="676"/>
      <c r="S71" s="677"/>
    </row>
    <row r="72" spans="1:19" s="167" customFormat="1" ht="27" hidden="1" customHeight="1">
      <c r="A72" s="242" t="str">
        <f>IF(B72&lt;&gt;"",COUNTA($B$19:B72),"")</f>
        <v/>
      </c>
      <c r="B72" s="934" t="str">
        <f t="array" ref="B72">IFERROR(INDEX(Masteratk2024,SMALL(IF(Kriteriaatk2024=$P$4,ROW(Kriteriaatk2024)),ROW(C54)),11),"")</f>
        <v/>
      </c>
      <c r="C72" s="935"/>
      <c r="D72" s="935"/>
      <c r="E72" s="936"/>
      <c r="F72" s="259" t="str">
        <f t="array" ref="F72">IFERROR(INDEX(Masteratk2024,SMALL(IF(Kriteriaatk2024=$P$4,ROW(Kriteriaatk2024)),ROW(C54)),12),"")</f>
        <v/>
      </c>
      <c r="G72" s="810" t="str">
        <f t="array" ref="G72">IFERROR(INDEX(Masteratk2024,SMALL(IF(Kriteriaatk2024=$P$4,ROW(Kriteriaatk2024)),ROW(C54)),13),"")</f>
        <v/>
      </c>
      <c r="H72" s="932" t="str">
        <f t="array" ref="H72">IFERROR(INDEX(Masteratk2024,SMALL(IF(Kriteriaatk2024=$P$4,ROW(Kriteriaatk2024)),ROW(C54)),14),"")</f>
        <v/>
      </c>
      <c r="I72" s="933"/>
      <c r="J72" s="930" t="str">
        <f t="array" ref="J72">IFERROR(INDEX(Masteratk2024,SMALL(IF(Kriteriaatk2024=$P$4,ROW(Kriteriaatk2024)),ROW(C54)),15),"")</f>
        <v/>
      </c>
      <c r="K72" s="931"/>
      <c r="L72" s="184" t="str">
        <f t="shared" si="2"/>
        <v>0</v>
      </c>
      <c r="M72" s="232" t="str">
        <f t="array" ref="M72">IFERROR(INDEX(Masteratk2024,SMALL(IF(Kriteriaatk2024=$P$4,ROW(Kriteriaatk2024)),ROW(C54)),2),"")</f>
        <v/>
      </c>
      <c r="N72" s="181"/>
      <c r="O72" s="181"/>
      <c r="R72" s="676"/>
      <c r="S72" s="677"/>
    </row>
    <row r="73" spans="1:19" s="167" customFormat="1" ht="27" hidden="1" customHeight="1">
      <c r="A73" s="242" t="str">
        <f>IF(B73&lt;&gt;"",COUNTA($B$19:B73),"")</f>
        <v/>
      </c>
      <c r="B73" s="934" t="str">
        <f t="array" ref="B73">IFERROR(INDEX(Masteratk2024,SMALL(IF(Kriteriaatk2024=$P$4,ROW(Kriteriaatk2024)),ROW(C55)),11),"")</f>
        <v/>
      </c>
      <c r="C73" s="935"/>
      <c r="D73" s="935"/>
      <c r="E73" s="936"/>
      <c r="F73" s="259" t="str">
        <f t="array" ref="F73">IFERROR(INDEX(Masteratk2024,SMALL(IF(Kriteriaatk2024=$P$4,ROW(Kriteriaatk2024)),ROW(C55)),12),"")</f>
        <v/>
      </c>
      <c r="G73" s="810" t="str">
        <f t="array" ref="G73">IFERROR(INDEX(Masteratk2024,SMALL(IF(Kriteriaatk2024=$P$4,ROW(Kriteriaatk2024)),ROW(C55)),13),"")</f>
        <v/>
      </c>
      <c r="H73" s="932" t="str">
        <f t="array" ref="H73">IFERROR(INDEX(Masteratk2024,SMALL(IF(Kriteriaatk2024=$P$4,ROW(Kriteriaatk2024)),ROW(C55)),14),"")</f>
        <v/>
      </c>
      <c r="I73" s="933"/>
      <c r="J73" s="930" t="str">
        <f t="array" ref="J73">IFERROR(INDEX(Masteratk2024,SMALL(IF(Kriteriaatk2024=$P$4,ROW(Kriteriaatk2024)),ROW(C55)),15),"")</f>
        <v/>
      </c>
      <c r="K73" s="931"/>
      <c r="L73" s="184" t="str">
        <f t="shared" si="2"/>
        <v>0</v>
      </c>
      <c r="M73" s="232" t="str">
        <f t="array" ref="M73">IFERROR(INDEX(Masteratk2024,SMALL(IF(Kriteriaatk2024=$P$4,ROW(Kriteriaatk2024)),ROW(C55)),2),"")</f>
        <v/>
      </c>
      <c r="N73" s="181"/>
      <c r="O73" s="181"/>
      <c r="R73" s="676"/>
      <c r="S73" s="677"/>
    </row>
    <row r="74" spans="1:19" s="167" customFormat="1" ht="27" hidden="1" customHeight="1">
      <c r="A74" s="242" t="str">
        <f>IF(B74&lt;&gt;"",COUNTA($B$19:B74),"")</f>
        <v/>
      </c>
      <c r="B74" s="934" t="str">
        <f t="array" ref="B74">IFERROR(INDEX(Masteratk2024,SMALL(IF(Kriteriaatk2024=$P$4,ROW(Kriteriaatk2024)),ROW(C56)),11),"")</f>
        <v/>
      </c>
      <c r="C74" s="935"/>
      <c r="D74" s="935"/>
      <c r="E74" s="936"/>
      <c r="F74" s="259" t="str">
        <f t="array" ref="F74">IFERROR(INDEX(Masteratk2024,SMALL(IF(Kriteriaatk2024=$P$4,ROW(Kriteriaatk2024)),ROW(C56)),12),"")</f>
        <v/>
      </c>
      <c r="G74" s="810" t="str">
        <f t="array" ref="G74">IFERROR(INDEX(Masteratk2024,SMALL(IF(Kriteriaatk2024=$P$4,ROW(Kriteriaatk2024)),ROW(C56)),13),"")</f>
        <v/>
      </c>
      <c r="H74" s="932" t="str">
        <f t="array" ref="H74">IFERROR(INDEX(Masteratk2024,SMALL(IF(Kriteriaatk2024=$P$4,ROW(Kriteriaatk2024)),ROW(C56)),14),"")</f>
        <v/>
      </c>
      <c r="I74" s="933"/>
      <c r="J74" s="930" t="str">
        <f t="array" ref="J74">IFERROR(INDEX(Masteratk2024,SMALL(IF(Kriteriaatk2024=$P$4,ROW(Kriteriaatk2024)),ROW(C56)),15),"")</f>
        <v/>
      </c>
      <c r="K74" s="931"/>
      <c r="L74" s="184" t="str">
        <f t="shared" si="2"/>
        <v>0</v>
      </c>
      <c r="M74" s="232" t="str">
        <f t="array" ref="M74">IFERROR(INDEX(Masteratk2024,SMALL(IF(Kriteriaatk2024=$P$4,ROW(Kriteriaatk2024)),ROW(C56)),2),"")</f>
        <v/>
      </c>
      <c r="N74" s="181"/>
      <c r="O74" s="181"/>
      <c r="R74" s="676"/>
      <c r="S74" s="677"/>
    </row>
    <row r="75" spans="1:19" s="167" customFormat="1" ht="27" hidden="1" customHeight="1">
      <c r="A75" s="242" t="str">
        <f>IF(B75&lt;&gt;"",COUNTA($B$19:B75),"")</f>
        <v/>
      </c>
      <c r="B75" s="934" t="str">
        <f t="array" ref="B75">IFERROR(INDEX(Masteratk2024,SMALL(IF(Kriteriaatk2024=$P$4,ROW(Kriteriaatk2024)),ROW(C57)),11),"")</f>
        <v/>
      </c>
      <c r="C75" s="935"/>
      <c r="D75" s="935"/>
      <c r="E75" s="936"/>
      <c r="F75" s="259" t="str">
        <f t="array" ref="F75">IFERROR(INDEX(Masteratk2024,SMALL(IF(Kriteriaatk2024=$P$4,ROW(Kriteriaatk2024)),ROW(C57)),12),"")</f>
        <v/>
      </c>
      <c r="G75" s="810" t="str">
        <f t="array" ref="G75">IFERROR(INDEX(Masteratk2024,SMALL(IF(Kriteriaatk2024=$P$4,ROW(Kriteriaatk2024)),ROW(C57)),13),"")</f>
        <v/>
      </c>
      <c r="H75" s="932" t="str">
        <f t="array" ref="H75">IFERROR(INDEX(Masteratk2024,SMALL(IF(Kriteriaatk2024=$P$4,ROW(Kriteriaatk2024)),ROW(C57)),14),"")</f>
        <v/>
      </c>
      <c r="I75" s="933"/>
      <c r="J75" s="930" t="str">
        <f t="array" ref="J75">IFERROR(INDEX(Masteratk2024,SMALL(IF(Kriteriaatk2024=$P$4,ROW(Kriteriaatk2024)),ROW(C57)),15),"")</f>
        <v/>
      </c>
      <c r="K75" s="931"/>
      <c r="L75" s="184" t="str">
        <f t="shared" si="2"/>
        <v>0</v>
      </c>
      <c r="M75" s="232" t="str">
        <f t="array" ref="M75">IFERROR(INDEX(Masteratk2024,SMALL(IF(Kriteriaatk2024=$P$4,ROW(Kriteriaatk2024)),ROW(C57)),2),"")</f>
        <v/>
      </c>
      <c r="N75" s="181"/>
      <c r="O75" s="181"/>
      <c r="R75" s="676"/>
      <c r="S75" s="677"/>
    </row>
    <row r="76" spans="1:19" s="167" customFormat="1" ht="27" hidden="1" customHeight="1">
      <c r="A76" s="242" t="str">
        <f>IF(B76&lt;&gt;"",COUNTA($B$19:B76),"")</f>
        <v/>
      </c>
      <c r="B76" s="934" t="str">
        <f t="array" ref="B76">IFERROR(INDEX(Masteratk2024,SMALL(IF(Kriteriaatk2024=$P$4,ROW(Kriteriaatk2024)),ROW(C58)),11),"")</f>
        <v/>
      </c>
      <c r="C76" s="935"/>
      <c r="D76" s="935"/>
      <c r="E76" s="936"/>
      <c r="F76" s="259" t="str">
        <f t="array" ref="F76">IFERROR(INDEX(Masteratk2024,SMALL(IF(Kriteriaatk2024=$P$4,ROW(Kriteriaatk2024)),ROW(C58)),12),"")</f>
        <v/>
      </c>
      <c r="G76" s="810" t="str">
        <f t="array" ref="G76">IFERROR(INDEX(Masteratk2024,SMALL(IF(Kriteriaatk2024=$P$4,ROW(Kriteriaatk2024)),ROW(C58)),13),"")</f>
        <v/>
      </c>
      <c r="H76" s="932" t="str">
        <f t="array" ref="H76">IFERROR(INDEX(Masteratk2024,SMALL(IF(Kriteriaatk2024=$P$4,ROW(Kriteriaatk2024)),ROW(C58)),14),"")</f>
        <v/>
      </c>
      <c r="I76" s="933"/>
      <c r="J76" s="930" t="str">
        <f t="array" ref="J76">IFERROR(INDEX(Masteratk2024,SMALL(IF(Kriteriaatk2024=$P$4,ROW(Kriteriaatk2024)),ROW(C58)),15),"")</f>
        <v/>
      </c>
      <c r="K76" s="931"/>
      <c r="L76" s="184" t="str">
        <f t="shared" si="2"/>
        <v>0</v>
      </c>
      <c r="M76" s="232" t="str">
        <f t="array" ref="M76">IFERROR(INDEX(Masteratk2024,SMALL(IF(Kriteriaatk2024=$P$4,ROW(Kriteriaatk2024)),ROW(C58)),2),"")</f>
        <v/>
      </c>
      <c r="N76" s="181"/>
      <c r="O76" s="181"/>
      <c r="R76" s="676"/>
      <c r="S76" s="677"/>
    </row>
    <row r="77" spans="1:19" s="167" customFormat="1" ht="27" hidden="1" customHeight="1">
      <c r="A77" s="242" t="str">
        <f>IF(B77&lt;&gt;"",COUNTA($B$19:B77),"")</f>
        <v/>
      </c>
      <c r="B77" s="934" t="str">
        <f t="array" ref="B77">IFERROR(INDEX(Masteratk2024,SMALL(IF(Kriteriaatk2024=$P$4,ROW(Kriteriaatk2024)),ROW(C59)),11),"")</f>
        <v/>
      </c>
      <c r="C77" s="935"/>
      <c r="D77" s="935"/>
      <c r="E77" s="936"/>
      <c r="F77" s="259" t="str">
        <f t="array" ref="F77">IFERROR(INDEX(Masteratk2024,SMALL(IF(Kriteriaatk2024=$P$4,ROW(Kriteriaatk2024)),ROW(C59)),12),"")</f>
        <v/>
      </c>
      <c r="G77" s="810" t="str">
        <f t="array" ref="G77">IFERROR(INDEX(Masteratk2024,SMALL(IF(Kriteriaatk2024=$P$4,ROW(Kriteriaatk2024)),ROW(C59)),13),"")</f>
        <v/>
      </c>
      <c r="H77" s="932" t="str">
        <f t="array" ref="H77">IFERROR(INDEX(Masteratk2024,SMALL(IF(Kriteriaatk2024=$P$4,ROW(Kriteriaatk2024)),ROW(C59)),14),"")</f>
        <v/>
      </c>
      <c r="I77" s="933"/>
      <c r="J77" s="930" t="str">
        <f t="array" ref="J77">IFERROR(INDEX(Masteratk2024,SMALL(IF(Kriteriaatk2024=$P$4,ROW(Kriteriaatk2024)),ROW(C59)),15),"")</f>
        <v/>
      </c>
      <c r="K77" s="931"/>
      <c r="L77" s="184" t="str">
        <f t="shared" si="2"/>
        <v>0</v>
      </c>
      <c r="M77" s="232" t="str">
        <f t="array" ref="M77">IFERROR(INDEX(Masteratk2024,SMALL(IF(Kriteriaatk2024=$P$4,ROW(Kriteriaatk2024)),ROW(C59)),2),"")</f>
        <v/>
      </c>
      <c r="N77" s="181"/>
      <c r="O77" s="181"/>
      <c r="R77" s="676"/>
      <c r="S77" s="677"/>
    </row>
    <row r="78" spans="1:19" s="167" customFormat="1" ht="27" hidden="1" customHeight="1">
      <c r="A78" s="242" t="str">
        <f>IF(B78&lt;&gt;"",COUNTA($B$19:B78),"")</f>
        <v/>
      </c>
      <c r="B78" s="934" t="str">
        <f t="array" ref="B78">IFERROR(INDEX(Masteratk2024,SMALL(IF(Kriteriaatk2024=$P$4,ROW(Kriteriaatk2024)),ROW(C60)),11),"")</f>
        <v/>
      </c>
      <c r="C78" s="935"/>
      <c r="D78" s="935"/>
      <c r="E78" s="936"/>
      <c r="F78" s="259" t="str">
        <f t="array" ref="F78">IFERROR(INDEX(Masteratk2024,SMALL(IF(Kriteriaatk2024=$P$4,ROW(Kriteriaatk2024)),ROW(C60)),12),"")</f>
        <v/>
      </c>
      <c r="G78" s="810" t="str">
        <f t="array" ref="G78">IFERROR(INDEX(Masteratk2024,SMALL(IF(Kriteriaatk2024=$P$4,ROW(Kriteriaatk2024)),ROW(C60)),13),"")</f>
        <v/>
      </c>
      <c r="H78" s="932" t="str">
        <f t="array" ref="H78">IFERROR(INDEX(Masteratk2024,SMALL(IF(Kriteriaatk2024=$P$4,ROW(Kriteriaatk2024)),ROW(C60)),14),"")</f>
        <v/>
      </c>
      <c r="I78" s="933"/>
      <c r="J78" s="930" t="str">
        <f t="array" ref="J78">IFERROR(INDEX(Masteratk2024,SMALL(IF(Kriteriaatk2024=$P$4,ROW(Kriteriaatk2024)),ROW(C60)),15),"")</f>
        <v/>
      </c>
      <c r="K78" s="931"/>
      <c r="L78" s="184" t="str">
        <f t="shared" si="2"/>
        <v>0</v>
      </c>
      <c r="M78" s="232" t="str">
        <f t="array" ref="M78">IFERROR(INDEX(Masteratk2024,SMALL(IF(Kriteriaatk2024=$P$4,ROW(Kriteriaatk2024)),ROW(C60)),2),"")</f>
        <v/>
      </c>
      <c r="N78" s="181"/>
      <c r="O78" s="181"/>
      <c r="R78" s="676"/>
      <c r="S78" s="677"/>
    </row>
    <row r="79" spans="1:19" s="167" customFormat="1" ht="27" hidden="1" customHeight="1">
      <c r="A79" s="242" t="str">
        <f>IF(B79&lt;&gt;"",COUNTA($B$19:B79),"")</f>
        <v/>
      </c>
      <c r="B79" s="934" t="str">
        <f t="array" ref="B79">IFERROR(INDEX(Masteratk2024,SMALL(IF(Kriteriaatk2024=$P$4,ROW(Kriteriaatk2024)),ROW(C61)),11),"")</f>
        <v/>
      </c>
      <c r="C79" s="935"/>
      <c r="D79" s="935"/>
      <c r="E79" s="936"/>
      <c r="F79" s="259" t="str">
        <f t="array" ref="F79">IFERROR(INDEX(Masteratk2024,SMALL(IF(Kriteriaatk2024=$P$4,ROW(Kriteriaatk2024)),ROW(C61)),12),"")</f>
        <v/>
      </c>
      <c r="G79" s="810" t="str">
        <f t="array" ref="G79">IFERROR(INDEX(Masteratk2024,SMALL(IF(Kriteriaatk2024=$P$4,ROW(Kriteriaatk2024)),ROW(C61)),13),"")</f>
        <v/>
      </c>
      <c r="H79" s="932" t="str">
        <f t="array" ref="H79">IFERROR(INDEX(Masteratk2024,SMALL(IF(Kriteriaatk2024=$P$4,ROW(Kriteriaatk2024)),ROW(C61)),14),"")</f>
        <v/>
      </c>
      <c r="I79" s="933"/>
      <c r="J79" s="930" t="str">
        <f t="array" ref="J79">IFERROR(INDEX(Masteratk2024,SMALL(IF(Kriteriaatk2024=$P$4,ROW(Kriteriaatk2024)),ROW(C61)),15),"")</f>
        <v/>
      </c>
      <c r="K79" s="931"/>
      <c r="L79" s="184" t="str">
        <f t="shared" si="2"/>
        <v>0</v>
      </c>
      <c r="M79" s="232" t="str">
        <f t="array" ref="M79">IFERROR(INDEX(Masteratk2024,SMALL(IF(Kriteriaatk2024=$P$4,ROW(Kriteriaatk2024)),ROW(C61)),2),"")</f>
        <v/>
      </c>
      <c r="N79" s="181"/>
      <c r="O79" s="181"/>
      <c r="R79" s="676"/>
      <c r="S79" s="677"/>
    </row>
    <row r="80" spans="1:19" s="167" customFormat="1" ht="27" hidden="1" customHeight="1">
      <c r="A80" s="242" t="str">
        <f>IF(B80&lt;&gt;"",COUNTA($B$19:B80),"")</f>
        <v/>
      </c>
      <c r="B80" s="934" t="str">
        <f t="array" ref="B80">IFERROR(INDEX(Masteratk2024,SMALL(IF(Kriteriaatk2024=$P$4,ROW(Kriteriaatk2024)),ROW(C62)),11),"")</f>
        <v/>
      </c>
      <c r="C80" s="935"/>
      <c r="D80" s="935"/>
      <c r="E80" s="936"/>
      <c r="F80" s="259" t="str">
        <f t="array" ref="F80">IFERROR(INDEX(Masteratk2024,SMALL(IF(Kriteriaatk2024=$P$4,ROW(Kriteriaatk2024)),ROW(C62)),12),"")</f>
        <v/>
      </c>
      <c r="G80" s="810" t="str">
        <f t="array" ref="G80">IFERROR(INDEX(Masteratk2024,SMALL(IF(Kriteriaatk2024=$P$4,ROW(Kriteriaatk2024)),ROW(C62)),13),"")</f>
        <v/>
      </c>
      <c r="H80" s="932" t="str">
        <f t="array" ref="H80">IFERROR(INDEX(Masteratk2024,SMALL(IF(Kriteriaatk2024=$P$4,ROW(Kriteriaatk2024)),ROW(C62)),14),"")</f>
        <v/>
      </c>
      <c r="I80" s="933"/>
      <c r="J80" s="930" t="str">
        <f t="array" ref="J80">IFERROR(INDEX(Masteratk2024,SMALL(IF(Kriteriaatk2024=$P$4,ROW(Kriteriaatk2024)),ROW(C62)),15),"")</f>
        <v/>
      </c>
      <c r="K80" s="931"/>
      <c r="L80" s="184" t="str">
        <f t="shared" si="2"/>
        <v>0</v>
      </c>
      <c r="M80" s="232" t="str">
        <f t="array" ref="M80">IFERROR(INDEX(Masteratk2024,SMALL(IF(Kriteriaatk2024=$P$4,ROW(Kriteriaatk2024)),ROW(C62)),2),"")</f>
        <v/>
      </c>
      <c r="N80" s="181"/>
      <c r="O80" s="181"/>
      <c r="R80" s="676"/>
      <c r="S80" s="677"/>
    </row>
    <row r="81" spans="1:19" s="167" customFormat="1" ht="27" hidden="1" customHeight="1">
      <c r="A81" s="242" t="str">
        <f>IF(B81&lt;&gt;"",COUNTA($B$19:B81),"")</f>
        <v/>
      </c>
      <c r="B81" s="934" t="str">
        <f t="array" ref="B81">IFERROR(INDEX(Masteratk2024,SMALL(IF(Kriteriaatk2024=$P$4,ROW(Kriteriaatk2024)),ROW(C63)),11),"")</f>
        <v/>
      </c>
      <c r="C81" s="935"/>
      <c r="D81" s="935"/>
      <c r="E81" s="936"/>
      <c r="F81" s="259" t="str">
        <f t="array" ref="F81">IFERROR(INDEX(Masteratk2024,SMALL(IF(Kriteriaatk2024=$P$4,ROW(Kriteriaatk2024)),ROW(C63)),12),"")</f>
        <v/>
      </c>
      <c r="G81" s="810" t="str">
        <f t="array" ref="G81">IFERROR(INDEX(Masteratk2024,SMALL(IF(Kriteriaatk2024=$P$4,ROW(Kriteriaatk2024)),ROW(C63)),13),"")</f>
        <v/>
      </c>
      <c r="H81" s="932" t="str">
        <f t="array" ref="H81">IFERROR(INDEX(Masteratk2024,SMALL(IF(Kriteriaatk2024=$P$4,ROW(Kriteriaatk2024)),ROW(C63)),14),"")</f>
        <v/>
      </c>
      <c r="I81" s="933"/>
      <c r="J81" s="930" t="str">
        <f t="array" ref="J81">IFERROR(INDEX(Masteratk2024,SMALL(IF(Kriteriaatk2024=$P$4,ROW(Kriteriaatk2024)),ROW(C63)),15),"")</f>
        <v/>
      </c>
      <c r="K81" s="931"/>
      <c r="L81" s="184" t="str">
        <f t="shared" si="2"/>
        <v>0</v>
      </c>
      <c r="M81" s="232" t="str">
        <f t="array" ref="M81">IFERROR(INDEX(Masteratk2024,SMALL(IF(Kriteriaatk2024=$P$4,ROW(Kriteriaatk2024)),ROW(C63)),2),"")</f>
        <v/>
      </c>
      <c r="N81" s="181"/>
      <c r="O81" s="181"/>
      <c r="R81" s="676"/>
      <c r="S81" s="677"/>
    </row>
    <row r="82" spans="1:19" s="167" customFormat="1" ht="27" hidden="1" customHeight="1">
      <c r="A82" s="242" t="str">
        <f>IF(B82&lt;&gt;"",COUNTA($B$19:B82),"")</f>
        <v/>
      </c>
      <c r="B82" s="934" t="str">
        <f t="array" ref="B82">IFERROR(INDEX(Masteratk2024,SMALL(IF(Kriteriaatk2024=$P$4,ROW(Kriteriaatk2024)),ROW(C64)),11),"")</f>
        <v/>
      </c>
      <c r="C82" s="935"/>
      <c r="D82" s="935"/>
      <c r="E82" s="936"/>
      <c r="F82" s="259" t="str">
        <f t="array" ref="F82">IFERROR(INDEX(Masteratk2024,SMALL(IF(Kriteriaatk2024=$P$4,ROW(Kriteriaatk2024)),ROW(C64)),12),"")</f>
        <v/>
      </c>
      <c r="G82" s="810" t="str">
        <f t="array" ref="G82">IFERROR(INDEX(Masteratk2024,SMALL(IF(Kriteriaatk2024=$P$4,ROW(Kriteriaatk2024)),ROW(C64)),13),"")</f>
        <v/>
      </c>
      <c r="H82" s="932" t="str">
        <f t="array" ref="H82">IFERROR(INDEX(Masteratk2024,SMALL(IF(Kriteriaatk2024=$P$4,ROW(Kriteriaatk2024)),ROW(C64)),14),"")</f>
        <v/>
      </c>
      <c r="I82" s="933"/>
      <c r="J82" s="930" t="str">
        <f t="array" ref="J82">IFERROR(INDEX(Masteratk2024,SMALL(IF(Kriteriaatk2024=$P$4,ROW(Kriteriaatk2024)),ROW(C64)),15),"")</f>
        <v/>
      </c>
      <c r="K82" s="931"/>
      <c r="L82" s="184" t="str">
        <f t="shared" si="2"/>
        <v>0</v>
      </c>
      <c r="M82" s="232" t="str">
        <f t="array" ref="M82">IFERROR(INDEX(Masteratk2024,SMALL(IF(Kriteriaatk2024=$P$4,ROW(Kriteriaatk2024)),ROW(C64)),2),"")</f>
        <v/>
      </c>
      <c r="N82" s="181"/>
      <c r="O82" s="181"/>
      <c r="R82" s="676"/>
      <c r="S82" s="677"/>
    </row>
    <row r="83" spans="1:19" s="167" customFormat="1" ht="27" hidden="1" customHeight="1">
      <c r="A83" s="242" t="str">
        <f>IF(B83&lt;&gt;"",COUNTA($B$19:B83),"")</f>
        <v/>
      </c>
      <c r="B83" s="934" t="str">
        <f t="array" ref="B83">IFERROR(INDEX(Masteratk2024,SMALL(IF(Kriteriaatk2024=$P$4,ROW(Kriteriaatk2024)),ROW(C65)),11),"")</f>
        <v/>
      </c>
      <c r="C83" s="935"/>
      <c r="D83" s="935"/>
      <c r="E83" s="936"/>
      <c r="F83" s="259" t="str">
        <f t="array" ref="F83">IFERROR(INDEX(Masteratk2024,SMALL(IF(Kriteriaatk2024=$P$4,ROW(Kriteriaatk2024)),ROW(C65)),12),"")</f>
        <v/>
      </c>
      <c r="G83" s="810" t="str">
        <f t="array" ref="G83">IFERROR(INDEX(Masteratk2024,SMALL(IF(Kriteriaatk2024=$P$4,ROW(Kriteriaatk2024)),ROW(C65)),13),"")</f>
        <v/>
      </c>
      <c r="H83" s="932" t="str">
        <f t="array" ref="H83">IFERROR(INDEX(Masteratk2024,SMALL(IF(Kriteriaatk2024=$P$4,ROW(Kriteriaatk2024)),ROW(C65)),14),"")</f>
        <v/>
      </c>
      <c r="I83" s="933"/>
      <c r="J83" s="930" t="str">
        <f t="array" ref="J83">IFERROR(INDEX(Masteratk2024,SMALL(IF(Kriteriaatk2024=$P$4,ROW(Kriteriaatk2024)),ROW(C65)),15),"")</f>
        <v/>
      </c>
      <c r="K83" s="931"/>
      <c r="L83" s="184" t="str">
        <f t="shared" si="2"/>
        <v>0</v>
      </c>
      <c r="M83" s="232" t="str">
        <f t="array" ref="M83">IFERROR(INDEX(Masteratk2024,SMALL(IF(Kriteriaatk2024=$P$4,ROW(Kriteriaatk2024)),ROW(C65)),2),"")</f>
        <v/>
      </c>
      <c r="N83" s="181"/>
      <c r="O83" s="181"/>
      <c r="R83" s="676"/>
      <c r="S83" s="677"/>
    </row>
    <row r="84" spans="1:19" s="167" customFormat="1" ht="27" hidden="1" customHeight="1">
      <c r="A84" s="242" t="str">
        <f>IF(B84&lt;&gt;"",COUNTA($B$19:B84),"")</f>
        <v/>
      </c>
      <c r="B84" s="934" t="str">
        <f t="array" ref="B84">IFERROR(INDEX(Masteratk2024,SMALL(IF(Kriteriaatk2024=$P$4,ROW(Kriteriaatk2024)),ROW(C66)),11),"")</f>
        <v/>
      </c>
      <c r="C84" s="935"/>
      <c r="D84" s="935"/>
      <c r="E84" s="936"/>
      <c r="F84" s="259" t="str">
        <f t="array" ref="F84">IFERROR(INDEX(Masteratk2024,SMALL(IF(Kriteriaatk2024=$P$4,ROW(Kriteriaatk2024)),ROW(C66)),12),"")</f>
        <v/>
      </c>
      <c r="G84" s="810" t="str">
        <f t="array" ref="G84">IFERROR(INDEX(Masteratk2024,SMALL(IF(Kriteriaatk2024=$P$4,ROW(Kriteriaatk2024)),ROW(C66)),13),"")</f>
        <v/>
      </c>
      <c r="H84" s="932" t="str">
        <f t="array" ref="H84">IFERROR(INDEX(Masteratk2024,SMALL(IF(Kriteriaatk2024=$P$4,ROW(Kriteriaatk2024)),ROW(C66)),14),"")</f>
        <v/>
      </c>
      <c r="I84" s="933"/>
      <c r="J84" s="930" t="str">
        <f t="array" ref="J84">IFERROR(INDEX(Masteratk2024,SMALL(IF(Kriteriaatk2024=$P$4,ROW(Kriteriaatk2024)),ROW(C66)),15),"")</f>
        <v/>
      </c>
      <c r="K84" s="931"/>
      <c r="L84" s="184" t="str">
        <f t="shared" si="2"/>
        <v>0</v>
      </c>
      <c r="M84" s="232" t="str">
        <f t="array" ref="M84">IFERROR(INDEX(Masteratk2024,SMALL(IF(Kriteriaatk2024=$P$4,ROW(Kriteriaatk2024)),ROW(C66)),2),"")</f>
        <v/>
      </c>
      <c r="N84" s="181"/>
      <c r="O84" s="181"/>
      <c r="R84" s="676"/>
      <c r="S84" s="677"/>
    </row>
    <row r="85" spans="1:19" s="167" customFormat="1" ht="27" hidden="1" customHeight="1">
      <c r="A85" s="242" t="str">
        <f>IF(B85&lt;&gt;"",COUNTA($B$19:B85),"")</f>
        <v/>
      </c>
      <c r="B85" s="934" t="str">
        <f t="array" ref="B85">IFERROR(INDEX(Masteratk2024,SMALL(IF(Kriteriaatk2024=$P$4,ROW(Kriteriaatk2024)),ROW(C67)),11),"")</f>
        <v/>
      </c>
      <c r="C85" s="935"/>
      <c r="D85" s="935"/>
      <c r="E85" s="936"/>
      <c r="F85" s="259" t="str">
        <f t="array" ref="F85">IFERROR(INDEX(Masteratk2024,SMALL(IF(Kriteriaatk2024=$P$4,ROW(Kriteriaatk2024)),ROW(C67)),12),"")</f>
        <v/>
      </c>
      <c r="G85" s="810" t="str">
        <f t="array" ref="G85">IFERROR(INDEX(Masteratk2024,SMALL(IF(Kriteriaatk2024=$P$4,ROW(Kriteriaatk2024)),ROW(C67)),13),"")</f>
        <v/>
      </c>
      <c r="H85" s="932" t="str">
        <f t="array" ref="H85">IFERROR(INDEX(Masteratk2024,SMALL(IF(Kriteriaatk2024=$P$4,ROW(Kriteriaatk2024)),ROW(C67)),14),"")</f>
        <v/>
      </c>
      <c r="I85" s="933"/>
      <c r="J85" s="930" t="str">
        <f t="array" ref="J85">IFERROR(INDEX(Masteratk2024,SMALL(IF(Kriteriaatk2024=$P$4,ROW(Kriteriaatk2024)),ROW(C67)),15),"")</f>
        <v/>
      </c>
      <c r="K85" s="931"/>
      <c r="L85" s="184" t="str">
        <f t="shared" si="2"/>
        <v>0</v>
      </c>
      <c r="M85" s="232" t="str">
        <f t="array" ref="M85">IFERROR(INDEX(Masteratk2024,SMALL(IF(Kriteriaatk2024=$P$4,ROW(Kriteriaatk2024)),ROW(C67)),2),"")</f>
        <v/>
      </c>
      <c r="N85" s="181"/>
      <c r="O85" s="181"/>
      <c r="R85" s="676"/>
      <c r="S85" s="677"/>
    </row>
    <row r="86" spans="1:19" s="167" customFormat="1" ht="27" hidden="1" customHeight="1">
      <c r="A86" s="242" t="str">
        <f>IF(B86&lt;&gt;"",COUNTA($B$19:B86),"")</f>
        <v/>
      </c>
      <c r="B86" s="934" t="str">
        <f t="array" ref="B86">IFERROR(INDEX(Masteratk2024,SMALL(IF(Kriteriaatk2024=$P$4,ROW(Kriteriaatk2024)),ROW(C68)),11),"")</f>
        <v/>
      </c>
      <c r="C86" s="935"/>
      <c r="D86" s="935"/>
      <c r="E86" s="936"/>
      <c r="F86" s="259" t="str">
        <f t="array" ref="F86">IFERROR(INDEX(Masteratk2024,SMALL(IF(Kriteriaatk2024=$P$4,ROW(Kriteriaatk2024)),ROW(C68)),12),"")</f>
        <v/>
      </c>
      <c r="G86" s="810" t="str">
        <f t="array" ref="G86">IFERROR(INDEX(Masteratk2024,SMALL(IF(Kriteriaatk2024=$P$4,ROW(Kriteriaatk2024)),ROW(C68)),13),"")</f>
        <v/>
      </c>
      <c r="H86" s="932" t="str">
        <f t="array" ref="H86">IFERROR(INDEX(Masteratk2024,SMALL(IF(Kriteriaatk2024=$P$4,ROW(Kriteriaatk2024)),ROW(C68)),14),"")</f>
        <v/>
      </c>
      <c r="I86" s="933"/>
      <c r="J86" s="930" t="str">
        <f t="array" ref="J86">IFERROR(INDEX(Masteratk2024,SMALL(IF(Kriteriaatk2024=$P$4,ROW(Kriteriaatk2024)),ROW(C68)),15),"")</f>
        <v/>
      </c>
      <c r="K86" s="931"/>
      <c r="L86" s="184" t="str">
        <f t="shared" si="2"/>
        <v>0</v>
      </c>
      <c r="M86" s="232" t="str">
        <f t="array" ref="M86">IFERROR(INDEX(Masteratk2024,SMALL(IF(Kriteriaatk2024=$P$4,ROW(Kriteriaatk2024)),ROW(C68)),2),"")</f>
        <v/>
      </c>
      <c r="N86" s="181"/>
      <c r="O86" s="181"/>
      <c r="R86" s="676"/>
      <c r="S86" s="677"/>
    </row>
    <row r="87" spans="1:19" s="167" customFormat="1" ht="27" hidden="1" customHeight="1">
      <c r="A87" s="242" t="str">
        <f>IF(B87&lt;&gt;"",COUNTA($B$19:B87),"")</f>
        <v/>
      </c>
      <c r="B87" s="934" t="str">
        <f t="array" ref="B87">IFERROR(INDEX(Masteratk2024,SMALL(IF(Kriteriaatk2024=$P$4,ROW(Kriteriaatk2024)),ROW(C69)),11),"")</f>
        <v/>
      </c>
      <c r="C87" s="935"/>
      <c r="D87" s="935"/>
      <c r="E87" s="936"/>
      <c r="F87" s="259" t="str">
        <f t="array" ref="F87">IFERROR(INDEX(Masteratk2024,SMALL(IF(Kriteriaatk2024=$P$4,ROW(Kriteriaatk2024)),ROW(C69)),12),"")</f>
        <v/>
      </c>
      <c r="G87" s="810" t="str">
        <f t="array" ref="G87">IFERROR(INDEX(Masteratk2024,SMALL(IF(Kriteriaatk2024=$P$4,ROW(Kriteriaatk2024)),ROW(C69)),13),"")</f>
        <v/>
      </c>
      <c r="H87" s="932" t="str">
        <f t="array" ref="H87">IFERROR(INDEX(Masteratk2024,SMALL(IF(Kriteriaatk2024=$P$4,ROW(Kriteriaatk2024)),ROW(C69)),14),"")</f>
        <v/>
      </c>
      <c r="I87" s="933"/>
      <c r="J87" s="930" t="str">
        <f t="array" ref="J87">IFERROR(INDEX(Masteratk2024,SMALL(IF(Kriteriaatk2024=$P$4,ROW(Kriteriaatk2024)),ROW(C69)),15),"")</f>
        <v/>
      </c>
      <c r="K87" s="931"/>
      <c r="L87" s="184" t="str">
        <f t="shared" si="2"/>
        <v>0</v>
      </c>
      <c r="M87" s="232" t="str">
        <f t="array" ref="M87">IFERROR(INDEX(Masteratk2024,SMALL(IF(Kriteriaatk2024=$P$4,ROW(Kriteriaatk2024)),ROW(C69)),2),"")</f>
        <v/>
      </c>
      <c r="N87" s="181"/>
      <c r="O87" s="181"/>
      <c r="R87" s="676"/>
      <c r="S87" s="677"/>
    </row>
    <row r="88" spans="1:19" s="167" customFormat="1" ht="27" hidden="1" customHeight="1">
      <c r="A88" s="242" t="str">
        <f>IF(B88&lt;&gt;"",COUNTA($B$19:B88),"")</f>
        <v/>
      </c>
      <c r="B88" s="934" t="str">
        <f t="array" ref="B88">IFERROR(INDEX(Masteratk2024,SMALL(IF(Kriteriaatk2024=$P$4,ROW(Kriteriaatk2024)),ROW(C70)),11),"")</f>
        <v/>
      </c>
      <c r="C88" s="935"/>
      <c r="D88" s="935"/>
      <c r="E88" s="936"/>
      <c r="F88" s="259" t="str">
        <f t="array" ref="F88">IFERROR(INDEX(Masteratk2024,SMALL(IF(Kriteriaatk2024=$P$4,ROW(Kriteriaatk2024)),ROW(C70)),12),"")</f>
        <v/>
      </c>
      <c r="G88" s="810" t="str">
        <f t="array" ref="G88">IFERROR(INDEX(Masteratk2024,SMALL(IF(Kriteriaatk2024=$P$4,ROW(Kriteriaatk2024)),ROW(C70)),13),"")</f>
        <v/>
      </c>
      <c r="H88" s="932" t="str">
        <f t="array" ref="H88">IFERROR(INDEX(Masteratk2024,SMALL(IF(Kriteriaatk2024=$P$4,ROW(Kriteriaatk2024)),ROW(C70)),14),"")</f>
        <v/>
      </c>
      <c r="I88" s="933"/>
      <c r="J88" s="930" t="str">
        <f t="array" ref="J88">IFERROR(INDEX(Masteratk2024,SMALL(IF(Kriteriaatk2024=$P$4,ROW(Kriteriaatk2024)),ROW(C70)),15),"")</f>
        <v/>
      </c>
      <c r="K88" s="931"/>
      <c r="L88" s="184" t="str">
        <f t="shared" si="2"/>
        <v>0</v>
      </c>
      <c r="M88" s="232" t="str">
        <f t="array" ref="M88">IFERROR(INDEX(Masteratk2024,SMALL(IF(Kriteriaatk2024=$P$4,ROW(Kriteriaatk2024)),ROW(C70)),2),"")</f>
        <v/>
      </c>
      <c r="N88" s="181"/>
      <c r="O88" s="181"/>
      <c r="R88" s="676"/>
      <c r="S88" s="677"/>
    </row>
    <row r="89" spans="1:19" s="167" customFormat="1" ht="27" hidden="1" customHeight="1">
      <c r="A89" s="242" t="str">
        <f>IF(B89&lt;&gt;"",COUNTA($B$19:B89),"")</f>
        <v/>
      </c>
      <c r="B89" s="934" t="str">
        <f t="array" ref="B89">IFERROR(INDEX(Masteratk2024,SMALL(IF(Kriteriaatk2024=$P$4,ROW(Kriteriaatk2024)),ROW(C71)),11),"")</f>
        <v/>
      </c>
      <c r="C89" s="935"/>
      <c r="D89" s="935"/>
      <c r="E89" s="936"/>
      <c r="F89" s="259" t="str">
        <f t="array" ref="F89">IFERROR(INDEX(Masteratk2024,SMALL(IF(Kriteriaatk2024=$P$4,ROW(Kriteriaatk2024)),ROW(C71)),12),"")</f>
        <v/>
      </c>
      <c r="G89" s="810" t="str">
        <f t="array" ref="G89">IFERROR(INDEX(Masteratk2024,SMALL(IF(Kriteriaatk2024=$P$4,ROW(Kriteriaatk2024)),ROW(C71)),13),"")</f>
        <v/>
      </c>
      <c r="H89" s="932" t="str">
        <f t="array" ref="H89">IFERROR(INDEX(Masteratk2024,SMALL(IF(Kriteriaatk2024=$P$4,ROW(Kriteriaatk2024)),ROW(C71)),14),"")</f>
        <v/>
      </c>
      <c r="I89" s="933"/>
      <c r="J89" s="930" t="str">
        <f t="array" ref="J89">IFERROR(INDEX(Masteratk2024,SMALL(IF(Kriteriaatk2024=$P$4,ROW(Kriteriaatk2024)),ROW(C71)),15),"")</f>
        <v/>
      </c>
      <c r="K89" s="931"/>
      <c r="L89" s="184" t="str">
        <f t="shared" ref="L89:L98" si="3">IF(B89="","0","1")</f>
        <v>0</v>
      </c>
      <c r="M89" s="232" t="str">
        <f t="array" ref="M89">IFERROR(INDEX(Masteratk2024,SMALL(IF(Kriteriaatk2024=$P$4,ROW(Kriteriaatk2024)),ROW(C71)),2),"")</f>
        <v/>
      </c>
      <c r="N89" s="181"/>
      <c r="O89" s="181"/>
      <c r="R89" s="676"/>
      <c r="S89" s="677"/>
    </row>
    <row r="90" spans="1:19" s="167" customFormat="1" ht="27" hidden="1" customHeight="1">
      <c r="A90" s="242" t="str">
        <f>IF(B90&lt;&gt;"",COUNTA($B$19:B90),"")</f>
        <v/>
      </c>
      <c r="B90" s="934" t="str">
        <f t="array" ref="B90">IFERROR(INDEX(Masteratk2024,SMALL(IF(Kriteriaatk2024=$P$4,ROW(Kriteriaatk2024)),ROW(C72)),11),"")</f>
        <v/>
      </c>
      <c r="C90" s="935"/>
      <c r="D90" s="935"/>
      <c r="E90" s="936"/>
      <c r="F90" s="259" t="str">
        <f t="array" ref="F90">IFERROR(INDEX(Masteratk2024,SMALL(IF(Kriteriaatk2024=$P$4,ROW(Kriteriaatk2024)),ROW(C72)),12),"")</f>
        <v/>
      </c>
      <c r="G90" s="810" t="str">
        <f t="array" ref="G90">IFERROR(INDEX(Masteratk2024,SMALL(IF(Kriteriaatk2024=$P$4,ROW(Kriteriaatk2024)),ROW(C72)),13),"")</f>
        <v/>
      </c>
      <c r="H90" s="932" t="str">
        <f t="array" ref="H90">IFERROR(INDEX(Masteratk2024,SMALL(IF(Kriteriaatk2024=$P$4,ROW(Kriteriaatk2024)),ROW(C72)),14),"")</f>
        <v/>
      </c>
      <c r="I90" s="933"/>
      <c r="J90" s="930" t="str">
        <f t="array" ref="J90">IFERROR(INDEX(Masteratk2024,SMALL(IF(Kriteriaatk2024=$P$4,ROW(Kriteriaatk2024)),ROW(C72)),15),"")</f>
        <v/>
      </c>
      <c r="K90" s="931"/>
      <c r="L90" s="184" t="str">
        <f t="shared" si="3"/>
        <v>0</v>
      </c>
      <c r="M90" s="232" t="str">
        <f t="array" ref="M90">IFERROR(INDEX(Masteratk2024,SMALL(IF(Kriteriaatk2024=$P$4,ROW(Kriteriaatk2024)),ROW(C72)),2),"")</f>
        <v/>
      </c>
      <c r="N90" s="181"/>
      <c r="O90" s="181"/>
      <c r="R90" s="676"/>
      <c r="S90" s="677"/>
    </row>
    <row r="91" spans="1:19" s="167" customFormat="1" ht="27" hidden="1" customHeight="1">
      <c r="A91" s="242" t="str">
        <f>IF(B91&lt;&gt;"",COUNTA($B$19:B91),"")</f>
        <v/>
      </c>
      <c r="B91" s="934" t="str">
        <f t="array" ref="B91">IFERROR(INDEX(Masteratk2024,SMALL(IF(Kriteriaatk2024=$P$4,ROW(Kriteriaatk2024)),ROW(C73)),11),"")</f>
        <v/>
      </c>
      <c r="C91" s="935"/>
      <c r="D91" s="935"/>
      <c r="E91" s="936"/>
      <c r="F91" s="259" t="str">
        <f t="array" ref="F91">IFERROR(INDEX(Masteratk2024,SMALL(IF(Kriteriaatk2024=$P$4,ROW(Kriteriaatk2024)),ROW(C73)),12),"")</f>
        <v/>
      </c>
      <c r="G91" s="810" t="str">
        <f t="array" ref="G91">IFERROR(INDEX(Masteratk2024,SMALL(IF(Kriteriaatk2024=$P$4,ROW(Kriteriaatk2024)),ROW(C73)),13),"")</f>
        <v/>
      </c>
      <c r="H91" s="932" t="str">
        <f t="array" ref="H91">IFERROR(INDEX(Masteratk2024,SMALL(IF(Kriteriaatk2024=$P$4,ROW(Kriteriaatk2024)),ROW(C73)),14),"")</f>
        <v/>
      </c>
      <c r="I91" s="933"/>
      <c r="J91" s="930" t="str">
        <f t="array" ref="J91">IFERROR(INDEX(Masteratk2024,SMALL(IF(Kriteriaatk2024=$P$4,ROW(Kriteriaatk2024)),ROW(C73)),15),"")</f>
        <v/>
      </c>
      <c r="K91" s="931"/>
      <c r="L91" s="184" t="str">
        <f t="shared" si="3"/>
        <v>0</v>
      </c>
      <c r="M91" s="232" t="str">
        <f t="array" ref="M91">IFERROR(INDEX(Masteratk2024,SMALL(IF(Kriteriaatk2024=$P$4,ROW(Kriteriaatk2024)),ROW(C73)),2),"")</f>
        <v/>
      </c>
      <c r="N91" s="181"/>
      <c r="O91" s="181"/>
      <c r="R91" s="676"/>
      <c r="S91" s="677"/>
    </row>
    <row r="92" spans="1:19" s="167" customFormat="1" ht="27" hidden="1" customHeight="1">
      <c r="A92" s="242" t="str">
        <f>IF(B92&lt;&gt;"",COUNTA($B$19:B92),"")</f>
        <v/>
      </c>
      <c r="B92" s="934" t="str">
        <f t="array" ref="B92">IFERROR(INDEX(Masteratk2024,SMALL(IF(Kriteriaatk2024=$P$4,ROW(Kriteriaatk2024)),ROW(C74)),11),"")</f>
        <v/>
      </c>
      <c r="C92" s="935"/>
      <c r="D92" s="935"/>
      <c r="E92" s="936"/>
      <c r="F92" s="259" t="str">
        <f t="array" ref="F92">IFERROR(INDEX(Masteratk2024,SMALL(IF(Kriteriaatk2024=$P$4,ROW(Kriteriaatk2024)),ROW(C74)),12),"")</f>
        <v/>
      </c>
      <c r="G92" s="810" t="str">
        <f t="array" ref="G92">IFERROR(INDEX(Masteratk2024,SMALL(IF(Kriteriaatk2024=$P$4,ROW(Kriteriaatk2024)),ROW(C74)),13),"")</f>
        <v/>
      </c>
      <c r="H92" s="932" t="str">
        <f t="array" ref="H92">IFERROR(INDEX(Masteratk2024,SMALL(IF(Kriteriaatk2024=$P$4,ROW(Kriteriaatk2024)),ROW(C74)),14),"")</f>
        <v/>
      </c>
      <c r="I92" s="933"/>
      <c r="J92" s="930" t="str">
        <f t="array" ref="J92">IFERROR(INDEX(Masteratk2024,SMALL(IF(Kriteriaatk2024=$P$4,ROW(Kriteriaatk2024)),ROW(C74)),15),"")</f>
        <v/>
      </c>
      <c r="K92" s="931"/>
      <c r="L92" s="184" t="str">
        <f t="shared" si="3"/>
        <v>0</v>
      </c>
      <c r="M92" s="232" t="str">
        <f t="array" ref="M92">IFERROR(INDEX(Masteratk2024,SMALL(IF(Kriteriaatk2024=$P$4,ROW(Kriteriaatk2024)),ROW(C74)),2),"")</f>
        <v/>
      </c>
      <c r="N92" s="181"/>
      <c r="O92" s="181"/>
      <c r="R92" s="676"/>
      <c r="S92" s="677"/>
    </row>
    <row r="93" spans="1:19" s="167" customFormat="1" ht="27" hidden="1" customHeight="1">
      <c r="A93" s="242" t="str">
        <f>IF(B93&lt;&gt;"",COUNTA($B$19:B93),"")</f>
        <v/>
      </c>
      <c r="B93" s="934" t="str">
        <f t="array" ref="B93">IFERROR(INDEX(Masteratk2024,SMALL(IF(Kriteriaatk2024=$P$4,ROW(Kriteriaatk2024)),ROW(C75)),11),"")</f>
        <v/>
      </c>
      <c r="C93" s="935"/>
      <c r="D93" s="935"/>
      <c r="E93" s="936"/>
      <c r="F93" s="259" t="str">
        <f t="array" ref="F93">IFERROR(INDEX(Masteratk2024,SMALL(IF(Kriteriaatk2024=$P$4,ROW(Kriteriaatk2024)),ROW(C75)),12),"")</f>
        <v/>
      </c>
      <c r="G93" s="810" t="str">
        <f t="array" ref="G93">IFERROR(INDEX(Masteratk2024,SMALL(IF(Kriteriaatk2024=$P$4,ROW(Kriteriaatk2024)),ROW(C75)),13),"")</f>
        <v/>
      </c>
      <c r="H93" s="932" t="str">
        <f t="array" ref="H93">IFERROR(INDEX(Masteratk2024,SMALL(IF(Kriteriaatk2024=$P$4,ROW(Kriteriaatk2024)),ROW(C75)),14),"")</f>
        <v/>
      </c>
      <c r="I93" s="933"/>
      <c r="J93" s="930" t="str">
        <f t="array" ref="J93">IFERROR(INDEX(Masteratk2024,SMALL(IF(Kriteriaatk2024=$P$4,ROW(Kriteriaatk2024)),ROW(C75)),15),"")</f>
        <v/>
      </c>
      <c r="K93" s="931"/>
      <c r="L93" s="184" t="str">
        <f t="shared" si="3"/>
        <v>0</v>
      </c>
      <c r="M93" s="232" t="str">
        <f t="array" ref="M93">IFERROR(INDEX(Masteratk2024,SMALL(IF(Kriteriaatk2024=$P$4,ROW(Kriteriaatk2024)),ROW(C75)),2),"")</f>
        <v/>
      </c>
      <c r="N93" s="181"/>
      <c r="O93" s="181"/>
      <c r="R93" s="676"/>
      <c r="S93" s="677"/>
    </row>
    <row r="94" spans="1:19" s="167" customFormat="1" ht="27" hidden="1" customHeight="1">
      <c r="A94" s="242" t="str">
        <f>IF(B94&lt;&gt;"",COUNTA($B$19:B94),"")</f>
        <v/>
      </c>
      <c r="B94" s="934" t="str">
        <f t="array" ref="B94">IFERROR(INDEX(Masteratk2024,SMALL(IF(Kriteriaatk2024=$P$4,ROW(Kriteriaatk2024)),ROW(C76)),11),"")</f>
        <v/>
      </c>
      <c r="C94" s="935"/>
      <c r="D94" s="935"/>
      <c r="E94" s="936"/>
      <c r="F94" s="259" t="str">
        <f t="array" ref="F94">IFERROR(INDEX(Masteratk2024,SMALL(IF(Kriteriaatk2024=$P$4,ROW(Kriteriaatk2024)),ROW(C76)),12),"")</f>
        <v/>
      </c>
      <c r="G94" s="810" t="str">
        <f t="array" ref="G94">IFERROR(INDEX(Masteratk2024,SMALL(IF(Kriteriaatk2024=$P$4,ROW(Kriteriaatk2024)),ROW(C76)),13),"")</f>
        <v/>
      </c>
      <c r="H94" s="932" t="str">
        <f t="array" ref="H94">IFERROR(INDEX(Masteratk2024,SMALL(IF(Kriteriaatk2024=$P$4,ROW(Kriteriaatk2024)),ROW(C76)),14),"")</f>
        <v/>
      </c>
      <c r="I94" s="933"/>
      <c r="J94" s="930" t="str">
        <f t="array" ref="J94">IFERROR(INDEX(Masteratk2024,SMALL(IF(Kriteriaatk2024=$P$4,ROW(Kriteriaatk2024)),ROW(C76)),15),"")</f>
        <v/>
      </c>
      <c r="K94" s="931"/>
      <c r="L94" s="184" t="str">
        <f t="shared" si="3"/>
        <v>0</v>
      </c>
      <c r="M94" s="232" t="str">
        <f t="array" ref="M94">IFERROR(INDEX(Masteratk2024,SMALL(IF(Kriteriaatk2024=$P$4,ROW(Kriteriaatk2024)),ROW(C76)),2),"")</f>
        <v/>
      </c>
      <c r="N94" s="181"/>
      <c r="O94" s="181"/>
      <c r="R94" s="676"/>
      <c r="S94" s="677"/>
    </row>
    <row r="95" spans="1:19" s="167" customFormat="1" ht="27" hidden="1" customHeight="1">
      <c r="A95" s="242" t="str">
        <f>IF(B95&lt;&gt;"",COUNTA($B$19:B95),"")</f>
        <v/>
      </c>
      <c r="B95" s="934" t="str">
        <f t="array" ref="B95">IFERROR(INDEX(Masteratk2024,SMALL(IF(Kriteriaatk2024=$P$4,ROW(Kriteriaatk2024)),ROW(C77)),11),"")</f>
        <v/>
      </c>
      <c r="C95" s="935"/>
      <c r="D95" s="935"/>
      <c r="E95" s="936"/>
      <c r="F95" s="259" t="str">
        <f t="array" ref="F95">IFERROR(INDEX(Masteratk2024,SMALL(IF(Kriteriaatk2024=$P$4,ROW(Kriteriaatk2024)),ROW(C77)),12),"")</f>
        <v/>
      </c>
      <c r="G95" s="810" t="str">
        <f t="array" ref="G95">IFERROR(INDEX(Masteratk2024,SMALL(IF(Kriteriaatk2024=$P$4,ROW(Kriteriaatk2024)),ROW(C77)),13),"")</f>
        <v/>
      </c>
      <c r="H95" s="932" t="str">
        <f t="array" ref="H95">IFERROR(INDEX(Masteratk2024,SMALL(IF(Kriteriaatk2024=$P$4,ROW(Kriteriaatk2024)),ROW(C77)),14),"")</f>
        <v/>
      </c>
      <c r="I95" s="933"/>
      <c r="J95" s="930" t="str">
        <f t="array" ref="J95">IFERROR(INDEX(Masteratk2024,SMALL(IF(Kriteriaatk2024=$P$4,ROW(Kriteriaatk2024)),ROW(C77)),15),"")</f>
        <v/>
      </c>
      <c r="K95" s="931"/>
      <c r="L95" s="184" t="str">
        <f t="shared" si="3"/>
        <v>0</v>
      </c>
      <c r="M95" s="232" t="str">
        <f t="array" ref="M95">IFERROR(INDEX(Masteratk2024,SMALL(IF(Kriteriaatk2024=$P$4,ROW(Kriteriaatk2024)),ROW(C77)),2),"")</f>
        <v/>
      </c>
      <c r="N95" s="181"/>
      <c r="O95" s="181"/>
      <c r="R95" s="676"/>
      <c r="S95" s="677"/>
    </row>
    <row r="96" spans="1:19" s="167" customFormat="1" ht="27" hidden="1" customHeight="1">
      <c r="A96" s="242" t="str">
        <f>IF(B96&lt;&gt;"",COUNTA($B$19:B96),"")</f>
        <v/>
      </c>
      <c r="B96" s="934" t="str">
        <f t="array" ref="B96">IFERROR(INDEX(Masteratk2024,SMALL(IF(Kriteriaatk2024=$P$4,ROW(Kriteriaatk2024)),ROW(C78)),11),"")</f>
        <v/>
      </c>
      <c r="C96" s="935"/>
      <c r="D96" s="935"/>
      <c r="E96" s="936"/>
      <c r="F96" s="259" t="str">
        <f t="array" ref="F96">IFERROR(INDEX(Masteratk2024,SMALL(IF(Kriteriaatk2024=$P$4,ROW(Kriteriaatk2024)),ROW(C78)),12),"")</f>
        <v/>
      </c>
      <c r="G96" s="810" t="str">
        <f t="array" ref="G96">IFERROR(INDEX(Masteratk2024,SMALL(IF(Kriteriaatk2024=$P$4,ROW(Kriteriaatk2024)),ROW(C78)),13),"")</f>
        <v/>
      </c>
      <c r="H96" s="932" t="str">
        <f t="array" ref="H96">IFERROR(INDEX(Masteratk2024,SMALL(IF(Kriteriaatk2024=$P$4,ROW(Kriteriaatk2024)),ROW(C78)),14),"")</f>
        <v/>
      </c>
      <c r="I96" s="933"/>
      <c r="J96" s="930" t="str">
        <f t="array" ref="J96">IFERROR(INDEX(Masteratk2024,SMALL(IF(Kriteriaatk2024=$P$4,ROW(Kriteriaatk2024)),ROW(C78)),15),"")</f>
        <v/>
      </c>
      <c r="K96" s="931"/>
      <c r="L96" s="184" t="str">
        <f t="shared" si="3"/>
        <v>0</v>
      </c>
      <c r="M96" s="232" t="str">
        <f t="array" ref="M96">IFERROR(INDEX(Masteratk2024,SMALL(IF(Kriteriaatk2024=$P$4,ROW(Kriteriaatk2024)),ROW(C78)),2),"")</f>
        <v/>
      </c>
      <c r="N96" s="181"/>
      <c r="O96" s="181"/>
      <c r="R96" s="676"/>
      <c r="S96" s="677"/>
    </row>
    <row r="97" spans="1:19" s="167" customFormat="1" ht="27" hidden="1" customHeight="1">
      <c r="A97" s="242" t="str">
        <f>IF(B97&lt;&gt;"",COUNTA($B$19:B97),"")</f>
        <v/>
      </c>
      <c r="B97" s="934" t="str">
        <f t="array" ref="B97">IFERROR(INDEX(Masteratk2024,SMALL(IF(Kriteriaatk2024=$P$4,ROW(Kriteriaatk2024)),ROW(C79)),11),"")</f>
        <v/>
      </c>
      <c r="C97" s="935"/>
      <c r="D97" s="935"/>
      <c r="E97" s="936"/>
      <c r="F97" s="259" t="str">
        <f t="array" ref="F97">IFERROR(INDEX(Masteratk2024,SMALL(IF(Kriteriaatk2024=$P$4,ROW(Kriteriaatk2024)),ROW(C79)),12),"")</f>
        <v/>
      </c>
      <c r="G97" s="810" t="str">
        <f t="array" ref="G97">IFERROR(INDEX(Masteratk2024,SMALL(IF(Kriteriaatk2024=$P$4,ROW(Kriteriaatk2024)),ROW(C79)),13),"")</f>
        <v/>
      </c>
      <c r="H97" s="932" t="str">
        <f t="array" ref="H97">IFERROR(INDEX(Masteratk2024,SMALL(IF(Kriteriaatk2024=$P$4,ROW(Kriteriaatk2024)),ROW(C79)),14),"")</f>
        <v/>
      </c>
      <c r="I97" s="933"/>
      <c r="J97" s="930" t="str">
        <f t="array" ref="J97">IFERROR(INDEX(Masteratk2024,SMALL(IF(Kriteriaatk2024=$P$4,ROW(Kriteriaatk2024)),ROW(C79)),15),"")</f>
        <v/>
      </c>
      <c r="K97" s="931"/>
      <c r="L97" s="184" t="str">
        <f t="shared" si="3"/>
        <v>0</v>
      </c>
      <c r="M97" s="232" t="str">
        <f t="array" ref="M97">IFERROR(INDEX(Masteratk2024,SMALL(IF(Kriteriaatk2024=$P$4,ROW(Kriteriaatk2024)),ROW(C79)),2),"")</f>
        <v/>
      </c>
      <c r="N97" s="181"/>
      <c r="O97" s="181"/>
      <c r="R97" s="676"/>
      <c r="S97" s="677"/>
    </row>
    <row r="98" spans="1:19" s="167" customFormat="1" ht="27" hidden="1" customHeight="1">
      <c r="A98" s="242" t="str">
        <f>IF(B98&lt;&gt;"",COUNTA($B$19:B98),"")</f>
        <v/>
      </c>
      <c r="B98" s="934" t="str">
        <f t="array" ref="B98">IFERROR(INDEX(Masteratk2024,SMALL(IF(Kriteriaatk2024=$P$4,ROW(Kriteriaatk2024)),ROW(C80)),11),"")</f>
        <v/>
      </c>
      <c r="C98" s="935"/>
      <c r="D98" s="935"/>
      <c r="E98" s="936"/>
      <c r="F98" s="259" t="str">
        <f t="array" ref="F98">IFERROR(INDEX(Masteratk2024,SMALL(IF(Kriteriaatk2024=$P$4,ROW(Kriteriaatk2024)),ROW(C80)),12),"")</f>
        <v/>
      </c>
      <c r="G98" s="810" t="str">
        <f t="array" ref="G98">IFERROR(INDEX(Masteratk2024,SMALL(IF(Kriteriaatk2024=$P$4,ROW(Kriteriaatk2024)),ROW(C80)),13),"")</f>
        <v/>
      </c>
      <c r="H98" s="932" t="str">
        <f t="array" ref="H98">IFERROR(INDEX(Masteratk2024,SMALL(IF(Kriteriaatk2024=$P$4,ROW(Kriteriaatk2024)),ROW(C80)),14),"")</f>
        <v/>
      </c>
      <c r="I98" s="933"/>
      <c r="J98" s="930" t="str">
        <f t="array" ref="J98">IFERROR(INDEX(Masteratk2024,SMALL(IF(Kriteriaatk2024=$P$4,ROW(Kriteriaatk2024)),ROW(C80)),15),"")</f>
        <v/>
      </c>
      <c r="K98" s="931"/>
      <c r="L98" s="184" t="str">
        <f t="shared" si="3"/>
        <v>0</v>
      </c>
      <c r="M98" s="232" t="str">
        <f t="array" ref="M98">IFERROR(INDEX(Masteratk2024,SMALL(IF(Kriteriaatk2024=$P$4,ROW(Kriteriaatk2024)),ROW(C80)),2),"")</f>
        <v/>
      </c>
      <c r="N98" s="181"/>
      <c r="O98" s="181"/>
      <c r="R98" s="676"/>
      <c r="S98" s="677"/>
    </row>
    <row r="99" spans="1:19" s="167" customFormat="1" ht="14.15" customHeight="1">
      <c r="A99" s="243"/>
      <c r="B99" s="244"/>
      <c r="C99" s="245"/>
      <c r="D99" s="6"/>
      <c r="E99" s="245"/>
      <c r="F99" s="6"/>
      <c r="G99" s="966" t="str">
        <f>IF(SUMPRODUCT((B19:B24="Nasi Kotak")+(B19:B24="Kue")+(B19:B24="Aqua Botol")+(B19:B24="Aqua Cup")) &gt; 0,"Harga Total", "Harga sebelum PPN")</f>
        <v>Harga sebelum PPN</v>
      </c>
      <c r="H99" s="967"/>
      <c r="I99" s="968"/>
      <c r="J99" s="942">
        <f>J102</f>
        <v>11247000</v>
      </c>
      <c r="K99" s="941"/>
      <c r="L99" s="186"/>
      <c r="M99" s="186"/>
      <c r="N99" s="186"/>
      <c r="O99" s="186"/>
      <c r="P99" s="186"/>
    </row>
    <row r="100" spans="1:19" s="167" customFormat="1" ht="14.5" customHeight="1">
      <c r="A100" s="246"/>
      <c r="B100" s="247"/>
      <c r="C100" s="245"/>
      <c r="D100" s="6"/>
      <c r="E100" s="245"/>
      <c r="F100" s="6"/>
      <c r="G100" s="937" t="s">
        <v>431</v>
      </c>
      <c r="H100" s="938"/>
      <c r="I100" s="939"/>
      <c r="J100" s="940">
        <f>IF(AND(OR(B19="Nasi Kotak", B19="Kue Kotak", B19="Aqua Botol", B19="Aqua Cup"), J99&gt;=2000000), J99-J103, IF(AND(NOT(OR(B19="Nasi Kotak", B19="Kue Kotak", B19="Aqua Botol", B19="Aqua Cup")), J99&gt;=2000000), J99-J101, "-"))</f>
        <v>10009830</v>
      </c>
      <c r="K100" s="941"/>
      <c r="L100" s="186"/>
      <c r="M100" s="186"/>
      <c r="N100" s="972" t="s">
        <v>2573</v>
      </c>
      <c r="O100" s="972"/>
      <c r="P100" s="972"/>
    </row>
    <row r="101" spans="1:19" s="167" customFormat="1" ht="14.5" customHeight="1">
      <c r="A101" s="246"/>
      <c r="B101" s="247"/>
      <c r="C101" s="245"/>
      <c r="D101" s="6"/>
      <c r="E101" s="245"/>
      <c r="F101" s="6"/>
      <c r="G101" s="937" t="s">
        <v>3390</v>
      </c>
      <c r="H101" s="938"/>
      <c r="I101" s="939"/>
      <c r="J101" s="942">
        <f>IF(AND(NOT(OR(B19="Nasi Kotak", B19="Kue Kotak", B19="Aqua Botol", B19="Aqua Cup")), J99&gt;=2000000), J99*11%, "-")</f>
        <v>1237170</v>
      </c>
      <c r="K101" s="941"/>
      <c r="L101" s="489"/>
      <c r="M101" s="186" t="str">
        <f>IF(B19="Nasi Kotak","Harga Total","-")</f>
        <v>-</v>
      </c>
      <c r="N101" s="186"/>
      <c r="O101" s="186"/>
      <c r="P101" s="186"/>
    </row>
    <row r="102" spans="1:19" s="167" customFormat="1" ht="14.5" customHeight="1">
      <c r="A102" s="77"/>
      <c r="B102" s="244"/>
      <c r="C102" s="6"/>
      <c r="D102" s="6"/>
      <c r="E102" s="6"/>
      <c r="F102" s="6"/>
      <c r="G102" s="937" t="s">
        <v>53</v>
      </c>
      <c r="H102" s="938"/>
      <c r="I102" s="939"/>
      <c r="J102" s="973">
        <f>SUM(J19:J98)</f>
        <v>11247000</v>
      </c>
      <c r="K102" s="974"/>
      <c r="M102" s="678"/>
    </row>
    <row r="103" spans="1:19" s="167" customFormat="1" ht="14.5" customHeight="1">
      <c r="A103" s="192"/>
      <c r="B103" s="248"/>
      <c r="C103" s="249"/>
      <c r="D103" s="249"/>
      <c r="E103" s="249"/>
      <c r="F103" s="249"/>
      <c r="G103" s="937" t="s">
        <v>2570</v>
      </c>
      <c r="H103" s="938"/>
      <c r="I103" s="939"/>
      <c r="J103" s="1005" t="str">
        <f>IF(AND(OR(B19="Nasi Kotak", B19="Kue Kotak", B19="Aqua Botol", B19="Aqua Cup"), J99&gt;=2000000), J19*2%, "-")</f>
        <v>-</v>
      </c>
      <c r="K103" s="1006"/>
      <c r="O103" s="167" t="s">
        <v>2572</v>
      </c>
    </row>
    <row r="104" spans="1:19" s="185" customFormat="1" ht="18.649999999999999" customHeight="1">
      <c r="A104" s="1001" t="s">
        <v>173</v>
      </c>
      <c r="B104" s="1002"/>
      <c r="C104" s="1002"/>
      <c r="D104" s="1002"/>
      <c r="E104" s="995" t="str">
        <f>IF(J102=0,"nol",IF(J102&lt;0,"minus ","")&amp; SUBSTITUTE(TRIM(SUBSTITUTE(SUBSTITUTE(SUBSTITUTE(SUBSTITUTE(SUBSTITUTE(SUBSTITUTE(SUBSTITUTE(SUBSTITUTE(SUBSTITUTE(SUBSTITUTE(SUBSTITUTE(SUBSTITUTE(SUBSTITUTE(SUBSTITUTE(SUBSTITUTE(SUBSTITUTE(SUBSTITUTE(SUBSTITUTE(SUBSTITUTE(SUBSTITUTE(SUBSTITUTE(SUBSTITUTE(SUBSTITUTE(SUBSTITUTE( IF(--MID(TEXT(ABS(J102),"000000000000000"),1,3)=0,"",MID(TEXT(ABS(J102),"000000000000000"),1,1)&amp;" Ratus "&amp;MID(TEXT(ABS(J102),"000000000000000"),2,1)&amp;" puluh "&amp;MID(TEXT(ABS(J102),"000000000000000"),3,1)&amp;" trilyun ")&amp; IF(--MID(TEXT(ABS(J102),"000000000000000"),4,3)=0,"",MID(TEXT(ABS(J102),"000000000000000"),4,1)&amp;" ratus "&amp;MID(TEXT(ABS(J102),"000000000000000"),5,1)&amp;" Puluh "&amp;MID(TEXT(ABS(J102),"000000000000000"),6,1)&amp;" Milyar ")&amp; IF(--MID(TEXT(ABS(J102),"000000000000000"),7,3)=0,"",MID(TEXT(ABS(J102),"000000000000000"),7,1)&amp;" Ratus "&amp;MID(TEXT(ABS(J102),"000000000000000"),8,1)&amp;" Puluh "&amp;MID(TEXT(ABS(J102),"000000000000000"),9,1)&amp;" Juta ")&amp; IF(--MID(TEXT(ABS(J102),"000000000000000"),10,3)=0,"",IF(--MID(TEXT(ABS(J102),"000000000000000"),10,3)=1,"*",MID(TEXT(ABS(J102),"000000000000000"),10,1)&amp;" Ratus "&amp;MID(TEXT(ABS(J102),"000000000000000"),11,1)&amp;" Puluh ")&amp;MID(TEXT(ABS(J102),"000000000000000"),12,1)&amp;" Ribu ")&amp; IF(--MID(TEXT(ABS(J102),"000000000000000"),13,3)=0,"",MID(TEXT(ABS(J102),"000000000000000"),13,1)&amp;" Ratus "&amp;MID(TEXT(ABS(J102),"000000000000000"),14,1)&amp;" Puluh "&amp;MID(TEXT(ABS(J102),"000000000000000"),15,1)),1,"Satu"),2,"Dua"),3,"Tiga"),4,"Empat"),5,"Lima"),6,"Enam"),7,"Tujuh"),8,"Delapan"),9,"Sembilan"),"0 Ratus",""),"0 Puluh",""),"Satu Puluh 0","Sepuluh"),"Satu Puluh Satu","Sebelas"),"Satu Puluh Dua","Dua Belas"),"Satu Puluh Tiga","Tiga Belas"),"Satu Puluh Empat","Empat Belas"),"Satu Puluh Lima","Lima Belas"),"Satu Puluh Enam","Enam Belas"),"Satu Puluh Tujuh","Tujuh Belas"),"Satu Puluh Delapan","Delapan Belas"),"Satu Puluh Sembilan","Sembilan Belas"),"Satu Ratus","Seratus"),"*Satu Ribu","Seribu"),0,""))," "," "))&amp; " Rupiah"</f>
        <v>Sebelas Juta Dua Ratus Empat Puluh Tujuh Ribu Rupiah</v>
      </c>
      <c r="F104" s="996"/>
      <c r="G104" s="996"/>
      <c r="H104" s="996"/>
      <c r="I104" s="996"/>
      <c r="J104" s="996"/>
      <c r="K104" s="997"/>
      <c r="N104" s="487"/>
    </row>
    <row r="105" spans="1:19" s="185" customFormat="1" ht="12.65" customHeight="1" thickBot="1">
      <c r="A105" s="1003"/>
      <c r="B105" s="1004"/>
      <c r="C105" s="1004"/>
      <c r="D105" s="1004"/>
      <c r="E105" s="998"/>
      <c r="F105" s="999"/>
      <c r="G105" s="999"/>
      <c r="H105" s="999"/>
      <c r="I105" s="999"/>
      <c r="J105" s="999"/>
      <c r="K105" s="1000"/>
    </row>
    <row r="106" spans="1:19" s="167" customFormat="1" ht="13.5" thickTop="1">
      <c r="A106" s="609"/>
      <c r="B106" s="610"/>
      <c r="C106" s="611"/>
      <c r="D106" s="611"/>
      <c r="E106" s="611"/>
      <c r="F106" s="611"/>
      <c r="G106" s="612"/>
      <c r="H106" s="613"/>
      <c r="I106" s="612"/>
      <c r="J106" s="613"/>
      <c r="K106" s="614"/>
    </row>
    <row r="107" spans="1:19" s="167" customFormat="1" ht="13">
      <c r="A107" s="836" t="s">
        <v>432</v>
      </c>
      <c r="B107" s="837"/>
      <c r="C107" s="838"/>
      <c r="D107" s="839"/>
      <c r="E107" s="838"/>
      <c r="F107" s="838"/>
      <c r="G107" s="838"/>
      <c r="H107" s="840"/>
      <c r="I107" s="838"/>
      <c r="J107" s="840"/>
      <c r="K107" s="841"/>
      <c r="S107" s="188"/>
    </row>
    <row r="108" spans="1:19" s="167" customFormat="1" ht="19" customHeight="1">
      <c r="A108" s="842">
        <v>1</v>
      </c>
      <c r="B108" s="943" t="s">
        <v>433</v>
      </c>
      <c r="C108" s="943"/>
      <c r="D108" s="943"/>
      <c r="E108" s="943"/>
      <c r="F108" s="943"/>
      <c r="G108" s="943"/>
      <c r="H108" s="943"/>
      <c r="I108" s="943"/>
      <c r="J108" s="943"/>
      <c r="K108" s="944"/>
    </row>
    <row r="109" spans="1:19" s="167" customFormat="1" ht="27" customHeight="1">
      <c r="A109" s="842">
        <v>2</v>
      </c>
      <c r="B109" s="943" t="s">
        <v>438</v>
      </c>
      <c r="C109" s="943"/>
      <c r="D109" s="943"/>
      <c r="E109" s="943"/>
      <c r="F109" s="943"/>
      <c r="G109" s="943"/>
      <c r="H109" s="943"/>
      <c r="I109" s="943"/>
      <c r="J109" s="943"/>
      <c r="K109" s="944"/>
    </row>
    <row r="110" spans="1:19" s="167" customFormat="1" ht="19" customHeight="1">
      <c r="A110" s="842">
        <v>3</v>
      </c>
      <c r="B110" s="943" t="s">
        <v>434</v>
      </c>
      <c r="C110" s="943"/>
      <c r="D110" s="943"/>
      <c r="E110" s="943"/>
      <c r="F110" s="943"/>
      <c r="G110" s="943"/>
      <c r="H110" s="943"/>
      <c r="I110" s="943"/>
      <c r="J110" s="943"/>
      <c r="K110" s="944"/>
    </row>
    <row r="111" spans="1:19" s="167" customFormat="1" ht="19" customHeight="1">
      <c r="A111" s="842">
        <v>4</v>
      </c>
      <c r="B111" s="943" t="s">
        <v>435</v>
      </c>
      <c r="C111" s="943"/>
      <c r="D111" s="943"/>
      <c r="E111" s="943"/>
      <c r="F111" s="943"/>
      <c r="G111" s="943"/>
      <c r="H111" s="943"/>
      <c r="I111" s="943"/>
      <c r="J111" s="943"/>
      <c r="K111" s="944"/>
    </row>
    <row r="112" spans="1:19" s="167" customFormat="1" ht="26" customHeight="1">
      <c r="A112" s="842">
        <v>5</v>
      </c>
      <c r="B112" s="943" t="s">
        <v>436</v>
      </c>
      <c r="C112" s="943"/>
      <c r="D112" s="943"/>
      <c r="E112" s="943"/>
      <c r="F112" s="943"/>
      <c r="G112" s="943"/>
      <c r="H112" s="943"/>
      <c r="I112" s="943"/>
      <c r="J112" s="943"/>
      <c r="K112" s="944"/>
    </row>
    <row r="113" spans="1:11" s="167" customFormat="1" ht="19" customHeight="1">
      <c r="A113" s="842">
        <v>6</v>
      </c>
      <c r="B113" s="943" t="s">
        <v>437</v>
      </c>
      <c r="C113" s="943"/>
      <c r="D113" s="943"/>
      <c r="E113" s="943"/>
      <c r="F113" s="943"/>
      <c r="G113" s="943"/>
      <c r="H113" s="943"/>
      <c r="I113" s="943"/>
      <c r="J113" s="943"/>
      <c r="K113" s="944"/>
    </row>
    <row r="114" spans="1:11" s="167" customFormat="1" ht="13">
      <c r="A114" s="189"/>
      <c r="B114" s="185"/>
      <c r="H114" s="226"/>
      <c r="J114" s="226"/>
      <c r="K114" s="187"/>
    </row>
    <row r="115" spans="1:11" s="167" customFormat="1">
      <c r="A115" s="189"/>
      <c r="B115" s="244"/>
      <c r="C115" s="6"/>
      <c r="D115" s="6"/>
      <c r="E115" s="6"/>
      <c r="F115" s="6"/>
      <c r="G115" s="631" t="str">
        <f>"Telukdalam, "&amp;TEXT(M11, "[$-421] DD MMMM YYYY")&amp;""</f>
        <v>Telukdalam,  01 Februari 2025</v>
      </c>
      <c r="I115" s="6"/>
      <c r="J115" s="250"/>
      <c r="K115" s="75"/>
    </row>
    <row r="116" spans="1:11" s="167" customFormat="1">
      <c r="A116" s="189"/>
      <c r="B116" s="251" t="s">
        <v>54</v>
      </c>
      <c r="C116" s="252"/>
      <c r="D116" s="6"/>
      <c r="E116" s="6"/>
      <c r="F116" s="6"/>
      <c r="I116" s="6"/>
      <c r="J116" s="250"/>
      <c r="K116" s="75"/>
    </row>
    <row r="117" spans="1:11" s="167" customFormat="1">
      <c r="A117" s="189"/>
      <c r="B117" s="253" t="str">
        <f t="array" ref="B117">IFERROR(INDEX(Masteratk2024,SMALL(IF(Kriteriaatk2024=$P$4,ROW(Kriteriaatk2024)),ROW(C1)),20),"")</f>
        <v>UD. JOSUA</v>
      </c>
      <c r="C117" s="254"/>
      <c r="D117" s="255"/>
      <c r="E117" s="6"/>
      <c r="F117" s="6"/>
      <c r="G117" s="632" t="s">
        <v>55</v>
      </c>
      <c r="H117" s="6"/>
      <c r="I117" s="6"/>
      <c r="J117" s="250"/>
      <c r="K117" s="75"/>
    </row>
    <row r="118" spans="1:11" s="167" customFormat="1">
      <c r="A118" s="189"/>
      <c r="B118" s="256"/>
      <c r="C118" s="254"/>
      <c r="D118" s="255"/>
      <c r="E118" s="6"/>
      <c r="F118" s="6"/>
      <c r="G118" s="633"/>
      <c r="H118" s="6"/>
      <c r="I118" s="6"/>
      <c r="J118" s="250"/>
      <c r="K118" s="75"/>
    </row>
    <row r="119" spans="1:11" s="167" customFormat="1">
      <c r="A119" s="189"/>
      <c r="B119" s="256"/>
      <c r="C119" s="254"/>
      <c r="D119" s="255"/>
      <c r="E119" s="6"/>
      <c r="F119" s="6"/>
      <c r="G119" s="633"/>
      <c r="H119" s="6"/>
      <c r="I119" s="6"/>
      <c r="J119" s="250"/>
      <c r="K119" s="75"/>
    </row>
    <row r="120" spans="1:11" s="167" customFormat="1">
      <c r="A120" s="189"/>
      <c r="B120" s="256"/>
      <c r="C120" s="254"/>
      <c r="D120" s="255"/>
      <c r="E120" s="6"/>
      <c r="F120" s="6"/>
      <c r="G120" s="633"/>
      <c r="H120" s="6"/>
      <c r="I120" s="6"/>
      <c r="J120" s="250"/>
      <c r="K120" s="75"/>
    </row>
    <row r="121" spans="1:11" s="167" customFormat="1">
      <c r="A121" s="189"/>
      <c r="B121" s="256"/>
      <c r="C121" s="254"/>
      <c r="D121" s="255"/>
      <c r="E121" s="6"/>
      <c r="F121" s="6"/>
      <c r="G121" s="633"/>
      <c r="H121" s="81"/>
      <c r="I121" s="6"/>
      <c r="J121" s="250"/>
      <c r="K121" s="75"/>
    </row>
    <row r="122" spans="1:11" s="167" customFormat="1">
      <c r="A122" s="189"/>
      <c r="B122" s="257" t="str">
        <f t="array" ref="B122">IFERROR(INDEX(Masteratk2024,SMALL(IF(Kriteriaatk2024=$P$4,ROW(Kriteriaatk2024)),ROW(C1)),22),"")</f>
        <v>Gestiwan Bazikho</v>
      </c>
      <c r="C122" s="254"/>
      <c r="D122" s="258"/>
      <c r="E122" s="6"/>
      <c r="F122" s="6"/>
      <c r="G122" s="844" t="str">
        <f>'Data Sekolah'!A6</f>
        <v>Nursari Rindu Simanullang, S.Pd., M.M.</v>
      </c>
      <c r="I122" s="6"/>
      <c r="J122" s="250"/>
      <c r="K122" s="75"/>
    </row>
    <row r="123" spans="1:11">
      <c r="A123" s="709"/>
      <c r="B123" s="256" t="s">
        <v>4</v>
      </c>
      <c r="C123" s="254"/>
      <c r="D123" s="255"/>
      <c r="E123" s="6"/>
      <c r="F123" s="6"/>
      <c r="G123" s="632" t="str">
        <f>"NIP. "&amp;'Data Sekolah'!B6</f>
        <v>NIP. 19691208 200502 2 001</v>
      </c>
      <c r="K123" s="711"/>
    </row>
    <row r="124" spans="1:11">
      <c r="A124" s="709"/>
      <c r="B124" s="712"/>
      <c r="C124" s="713"/>
      <c r="K124" s="711"/>
    </row>
    <row r="125" spans="1:11" ht="14.5" thickBot="1">
      <c r="A125" s="709"/>
      <c r="K125" s="711"/>
    </row>
    <row r="126" spans="1:11" ht="14.5" thickTop="1">
      <c r="A126" s="715"/>
      <c r="B126" s="716"/>
      <c r="C126" s="715"/>
      <c r="D126" s="715"/>
      <c r="E126" s="715"/>
      <c r="F126" s="715"/>
      <c r="G126" s="715"/>
      <c r="H126" s="717"/>
      <c r="I126" s="715"/>
      <c r="J126" s="717"/>
      <c r="K126" s="715"/>
    </row>
    <row r="128" spans="1:11" s="2" customFormat="1" ht="13" customHeight="1">
      <c r="A128" s="945" t="s">
        <v>1563</v>
      </c>
      <c r="B128" s="946"/>
      <c r="C128" s="229" t="str">
        <f>"Dana BOSP "&amp;YEAR(M11)&amp;""</f>
        <v>Dana BOSP 2025</v>
      </c>
      <c r="D128" s="718"/>
      <c r="E128" s="99"/>
      <c r="F128" s="100"/>
      <c r="G128" s="964" t="s">
        <v>1564</v>
      </c>
      <c r="H128" s="965"/>
      <c r="I128" s="229" t="str">
        <f t="array" ref="I128">LEFT(I129,6)</f>
        <v>06. 05</v>
      </c>
      <c r="J128" s="228"/>
      <c r="K128" s="100"/>
    </row>
    <row r="129" spans="1:11" s="2" customFormat="1" ht="13">
      <c r="A129" s="945" t="s">
        <v>191</v>
      </c>
      <c r="B129" s="946"/>
      <c r="C129" s="846" t="str">
        <f t="array" ref="C129">TEXT(IFERROR(INDEX(Masteratk2024,SMALL(IF(Kriteriaatk2024=$P$4,ROW(Kriteriaatk2024)),ROW(C1)),9),""), "[$-421] dd mmmm yyyy")</f>
        <v xml:space="preserve"> 04 Februari 2025</v>
      </c>
      <c r="D129" s="846"/>
      <c r="E129" s="99"/>
      <c r="F129" s="100"/>
      <c r="G129" s="964" t="s">
        <v>1565</v>
      </c>
      <c r="H129" s="965"/>
      <c r="I129" s="229" t="str">
        <f t="array" ref="I129">IFERROR(INDEX(Masteratk2024,SMALL(IF(Kriteriaatk2024=$P$4,ROW(Kriteriaatk2024)),ROW(C1)),3),"")</f>
        <v>06. 05. 08.</v>
      </c>
      <c r="J129" s="228"/>
      <c r="K129" s="100"/>
    </row>
    <row r="130" spans="1:11" s="2" customFormat="1" ht="14.15" customHeight="1">
      <c r="A130" s="945" t="s">
        <v>192</v>
      </c>
      <c r="B130" s="946"/>
      <c r="C130" s="229" t="str">
        <f t="array" ref="C130">IFERROR(INDEX(Masteratk2024,SMALL(IF(Kriteriaatk2024=$P$4,ROW(Kriteriaatk2024)),ROW(C1)),2),"")</f>
        <v>BPU27</v>
      </c>
      <c r="D130" s="495" t="str">
        <f t="array" ref="D130">IFERROR(INDEX(Masteratk2024,SMALL(IF(Kriteriaatk2024=$P$4,ROW(Kriteriaatk2024)),ROW(D9)),2),"")</f>
        <v>BPU27</v>
      </c>
      <c r="E130" s="495" t="str">
        <f t="array" ref="E130">IFERROR(INDEX(Masteratk2024,SMALL(IF(Kriteriaatk2024=$P$4,ROW(Kriteriaatk2024)),ROW(E10)),2),"")</f>
        <v>BPU27</v>
      </c>
      <c r="F130" s="99"/>
      <c r="G130" s="945" t="s">
        <v>193</v>
      </c>
      <c r="H130" s="946"/>
      <c r="I130" s="229" t="str">
        <f t="array" ref="I130">IFERROR(INDEX(Masteratk2024,SMALL(IF(Kriteriaatk2024=$P$4,ROW(Kriteriaatk2024)),ROW(C1)),4),"")</f>
        <v>5.1.02.01.01.0024</v>
      </c>
      <c r="J130" s="228"/>
      <c r="K130" s="100"/>
    </row>
    <row r="131" spans="1:11" s="2" customFormat="1">
      <c r="A131" s="37"/>
      <c r="B131" s="37"/>
      <c r="C131" s="37"/>
      <c r="D131" s="37"/>
      <c r="E131" s="38"/>
      <c r="F131" s="159"/>
      <c r="G131" s="38"/>
      <c r="H131" s="719"/>
      <c r="J131" s="719"/>
    </row>
    <row r="132" spans="1:11" s="2" customFormat="1" ht="13" customHeight="1">
      <c r="A132" s="37"/>
      <c r="B132" s="37"/>
      <c r="C132" s="37"/>
      <c r="D132" s="37"/>
      <c r="E132" s="37"/>
      <c r="F132" s="160"/>
      <c r="G132" s="37"/>
      <c r="H132" s="719"/>
      <c r="J132" s="719"/>
    </row>
    <row r="133" spans="1:11" s="2" customFormat="1" ht="13" customHeight="1">
      <c r="A133" s="37"/>
      <c r="B133" s="37"/>
      <c r="C133" s="37"/>
      <c r="D133" s="37"/>
      <c r="E133" s="37"/>
      <c r="F133" s="160"/>
      <c r="G133" s="37"/>
      <c r="H133" s="719"/>
      <c r="J133" s="719"/>
    </row>
    <row r="134" spans="1:11" s="2" customFormat="1" ht="13" customHeight="1">
      <c r="A134" s="37"/>
      <c r="B134" s="37"/>
      <c r="C134" s="37"/>
      <c r="D134" s="37"/>
      <c r="E134" s="37"/>
      <c r="F134" s="160"/>
      <c r="G134" s="37"/>
      <c r="H134" s="719"/>
      <c r="J134" s="719"/>
    </row>
    <row r="135" spans="1:11" s="2" customFormat="1" ht="20">
      <c r="A135" s="963" t="s">
        <v>194</v>
      </c>
      <c r="B135" s="963"/>
      <c r="C135" s="963"/>
      <c r="D135" s="963"/>
      <c r="E135" s="963"/>
      <c r="F135" s="963"/>
      <c r="G135" s="963"/>
      <c r="H135" s="963"/>
      <c r="I135" s="963"/>
      <c r="J135" s="963"/>
      <c r="K135" s="963"/>
    </row>
    <row r="136" spans="1:11" s="2" customFormat="1">
      <c r="A136" s="39"/>
      <c r="B136" s="39"/>
      <c r="C136" s="39"/>
      <c r="D136" s="39"/>
      <c r="E136" s="39"/>
      <c r="F136" s="161"/>
      <c r="G136" s="39"/>
      <c r="H136" s="719"/>
      <c r="J136" s="719"/>
    </row>
    <row r="137" spans="1:11" s="4" customFormat="1" ht="13" customHeight="1">
      <c r="A137" s="949" t="s">
        <v>195</v>
      </c>
      <c r="B137" s="949"/>
      <c r="C137" s="949"/>
      <c r="D137" s="949"/>
      <c r="E137" s="117" t="s">
        <v>223</v>
      </c>
      <c r="H137" s="720"/>
      <c r="J137" s="720"/>
    </row>
    <row r="138" spans="1:11" s="4" customFormat="1" ht="14.15" customHeight="1">
      <c r="A138" s="949" t="s">
        <v>196</v>
      </c>
      <c r="B138" s="949"/>
      <c r="C138" s="949"/>
      <c r="D138" s="949"/>
      <c r="E138" s="951">
        <f>J102</f>
        <v>11247000</v>
      </c>
      <c r="F138" s="951"/>
      <c r="G138" s="212"/>
      <c r="H138" s="219"/>
      <c r="J138" s="720"/>
    </row>
    <row r="139" spans="1:11" s="4" customFormat="1" ht="14.15" customHeight="1">
      <c r="A139" s="949" t="s">
        <v>173</v>
      </c>
      <c r="B139" s="949"/>
      <c r="C139" s="949"/>
      <c r="D139" s="949"/>
      <c r="E139" s="950" t="str">
        <f>E104</f>
        <v>Sebelas Juta Dua Ratus Empat Puluh Tujuh Ribu Rupiah</v>
      </c>
      <c r="F139" s="950"/>
      <c r="G139" s="950"/>
      <c r="H139" s="950"/>
      <c r="I139" s="950"/>
      <c r="J139" s="950"/>
      <c r="K139" s="950"/>
    </row>
    <row r="140" spans="1:11" s="4" customFormat="1" ht="20.149999999999999" customHeight="1">
      <c r="E140" s="950"/>
      <c r="F140" s="950"/>
      <c r="G140" s="950"/>
      <c r="H140" s="950"/>
      <c r="I140" s="950"/>
      <c r="J140" s="950"/>
      <c r="K140" s="950"/>
    </row>
    <row r="141" spans="1:11" s="4" customFormat="1" ht="33" customHeight="1">
      <c r="A141" s="948" t="s">
        <v>1566</v>
      </c>
      <c r="B141" s="948"/>
      <c r="C141" s="948"/>
      <c r="D141" s="948"/>
      <c r="E141" s="213" t="str">
        <f>H10</f>
        <v>421.3/45-P/DB/SMANSATLD/II/2025</v>
      </c>
      <c r="H141" s="720"/>
      <c r="J141" s="720"/>
    </row>
    <row r="142" spans="1:11" s="4" customFormat="1" ht="14.15" customHeight="1">
      <c r="A142" s="949" t="s">
        <v>197</v>
      </c>
      <c r="B142" s="949"/>
      <c r="C142" s="949"/>
      <c r="D142" s="949"/>
      <c r="E142" s="947" t="str">
        <f t="array" ref="E142">"Pengadaan "&amp;IFERROR(INDEX(Masteratk2024,SMALL(IF(Kriteriaatk2024=$P$4,ROW(Kriteriaatk2024)),ROW(C1)),16),"")</f>
        <v>Pengadaan Alat Tulis Kantor (ATK)</v>
      </c>
      <c r="F142" s="947"/>
      <c r="G142" s="947"/>
      <c r="H142" s="947"/>
      <c r="I142" s="947"/>
      <c r="J142" s="947"/>
      <c r="K142" s="947"/>
    </row>
    <row r="143" spans="1:11" s="2" customFormat="1" ht="13">
      <c r="A143" s="949"/>
      <c r="B143" s="949"/>
      <c r="C143" s="949"/>
      <c r="D143" s="949"/>
      <c r="E143" s="947"/>
      <c r="F143" s="947"/>
      <c r="G143" s="947"/>
      <c r="H143" s="947"/>
      <c r="I143" s="947"/>
      <c r="J143" s="947"/>
      <c r="K143" s="947"/>
    </row>
    <row r="144" spans="1:11" s="2" customFormat="1">
      <c r="A144" s="37"/>
      <c r="B144" s="37"/>
      <c r="C144" s="37"/>
      <c r="D144" s="37"/>
      <c r="E144" s="947"/>
      <c r="F144" s="947"/>
      <c r="G144" s="947"/>
      <c r="H144" s="947"/>
      <c r="I144" s="947"/>
      <c r="J144" s="947"/>
      <c r="K144" s="947"/>
    </row>
    <row r="145" spans="1:11" s="2" customFormat="1">
      <c r="A145" s="37"/>
      <c r="B145" s="37"/>
      <c r="C145" s="37"/>
      <c r="D145" s="37"/>
      <c r="E145" s="947"/>
      <c r="F145" s="947"/>
      <c r="G145" s="947"/>
      <c r="H145" s="947"/>
      <c r="I145" s="947"/>
      <c r="J145" s="947"/>
      <c r="K145" s="947"/>
    </row>
    <row r="146" spans="1:11" s="2" customFormat="1">
      <c r="A146" s="37"/>
      <c r="B146" s="37"/>
      <c r="C146" s="37"/>
      <c r="D146" s="37"/>
      <c r="F146" s="231"/>
      <c r="G146" s="231"/>
      <c r="H146" s="231"/>
      <c r="J146" s="231"/>
      <c r="K146" s="231"/>
    </row>
    <row r="147" spans="1:11" s="2" customFormat="1" ht="14.5" customHeight="1">
      <c r="A147" s="193" t="s">
        <v>198</v>
      </c>
      <c r="C147" s="193"/>
      <c r="E147" s="230" t="s">
        <v>199</v>
      </c>
      <c r="F147" s="230"/>
      <c r="G147" s="230"/>
      <c r="H147" s="719"/>
      <c r="I147" s="881" t="str">
        <f>IF(OR(I148="Penerima",I148="Pembayar Tagihan"), "","Diterima oleh :")</f>
        <v>Diterima oleh :</v>
      </c>
    </row>
    <row r="148" spans="1:11" s="2" customFormat="1" ht="14.5" customHeight="1">
      <c r="A148" s="193" t="s">
        <v>200</v>
      </c>
      <c r="C148" s="193"/>
      <c r="E148" s="193" t="s">
        <v>223</v>
      </c>
      <c r="F148" s="193"/>
      <c r="G148" s="193"/>
      <c r="H148" s="719"/>
      <c r="I148" s="882" t="str">
        <f t="array" ref="I148">IFERROR(INDEX(Masteratk2024,SMALL(IF(Kriteriaatk2024=$P$4,ROW(Kriteriaatk2024)),ROW(C1)),20),"")</f>
        <v>UD. JOSUA</v>
      </c>
    </row>
    <row r="149" spans="1:11" s="2" customFormat="1">
      <c r="A149" s="37"/>
      <c r="B149" s="52"/>
      <c r="C149" s="52"/>
      <c r="E149" s="37"/>
      <c r="F149" s="160"/>
      <c r="G149" s="52"/>
      <c r="H149" s="227"/>
      <c r="I149" s="883"/>
    </row>
    <row r="150" spans="1:11" s="2" customFormat="1">
      <c r="A150" s="37"/>
      <c r="B150" s="52"/>
      <c r="C150" s="37"/>
      <c r="E150" s="37"/>
      <c r="F150" s="160"/>
      <c r="G150" s="37"/>
      <c r="H150" s="227"/>
      <c r="I150" s="883"/>
    </row>
    <row r="151" spans="1:11" s="2" customFormat="1">
      <c r="A151" s="37"/>
      <c r="B151" s="52"/>
      <c r="C151" s="37"/>
      <c r="E151" s="37"/>
      <c r="F151" s="160"/>
      <c r="G151" s="37"/>
      <c r="H151" s="227"/>
      <c r="I151" s="883"/>
    </row>
    <row r="152" spans="1:11" s="2" customFormat="1">
      <c r="A152" s="37"/>
      <c r="B152" s="52"/>
      <c r="C152" s="37"/>
      <c r="E152" s="37"/>
      <c r="F152" s="211"/>
      <c r="G152" s="37"/>
      <c r="H152" s="227"/>
      <c r="I152" s="883"/>
    </row>
    <row r="153" spans="1:11" s="2" customFormat="1">
      <c r="A153" s="37"/>
      <c r="B153" s="52"/>
      <c r="C153" s="37"/>
      <c r="E153" s="37"/>
      <c r="F153" s="211"/>
      <c r="G153" s="37"/>
      <c r="H153" s="227"/>
      <c r="I153" s="883"/>
    </row>
    <row r="154" spans="1:11" s="2" customFormat="1">
      <c r="A154" s="37"/>
      <c r="B154" s="52"/>
      <c r="C154" s="37"/>
      <c r="E154" s="37"/>
      <c r="F154" s="211"/>
      <c r="G154" s="37"/>
      <c r="H154" s="227"/>
      <c r="I154" s="883"/>
    </row>
    <row r="155" spans="1:11" s="4" customFormat="1" ht="14.5" customHeight="1">
      <c r="A155" s="208" t="str">
        <f>'Data Sekolah'!A10</f>
        <v>Radius S. K. Siburian, S.Pd</v>
      </c>
      <c r="C155" s="210"/>
      <c r="E155" s="209" t="str">
        <f>'Data Sekolah'!A8</f>
        <v>Riama Tiodora Siahaan, S.Pd</v>
      </c>
      <c r="F155" s="209"/>
      <c r="G155" s="209"/>
      <c r="H155" s="720"/>
      <c r="I155" s="884" t="str">
        <f t="array" ref="I155">IFERROR(INDEX(Masteratk2024,SMALL(IF(Kriteriaatk2024=$P$4,ROW(Kriteriaatk2024)),ROW(C1)),22),"")</f>
        <v>Gestiwan Bazikho</v>
      </c>
    </row>
    <row r="156" spans="1:11" s="2" customFormat="1" ht="14.5" customHeight="1">
      <c r="A156" s="5" t="str">
        <f>'Data Sekolah'!C10</f>
        <v>Penata Muda</v>
      </c>
      <c r="C156" s="142"/>
      <c r="E156" s="117" t="str">
        <f>'Data Sekolah'!C8</f>
        <v>Penata TK. I</v>
      </c>
      <c r="F156" s="117"/>
      <c r="G156" s="117"/>
      <c r="H156" s="719"/>
      <c r="I156" s="885" t="str">
        <f>IF(OR(I155="David J. Sitinjak, S.Pd", I155="Riama Siahaan"), "", "Direktur")</f>
        <v>Direktur</v>
      </c>
    </row>
    <row r="157" spans="1:11" s="2" customFormat="1" ht="14.5" customHeight="1">
      <c r="A157" s="5" t="str">
        <f>"NIP. "&amp;'Data Sekolah'!B10</f>
        <v>NIP. 19861005 201903 1 009</v>
      </c>
      <c r="C157" s="142"/>
      <c r="E157" s="117" t="str">
        <f>"NIP. "&amp;'Data Sekolah'!B8</f>
        <v>NIP. 19800301 201001 2 016</v>
      </c>
      <c r="F157" s="117"/>
      <c r="G157" s="117"/>
      <c r="H157" s="719"/>
      <c r="J157" s="719"/>
    </row>
    <row r="158" spans="1:11" s="2" customFormat="1" ht="13">
      <c r="A158" s="193"/>
      <c r="B158" s="193"/>
      <c r="C158" s="193"/>
      <c r="D158" s="193"/>
      <c r="E158" s="193"/>
      <c r="F158" s="194"/>
      <c r="G158" s="193"/>
      <c r="H158" s="719"/>
      <c r="J158" s="719"/>
    </row>
    <row r="159" spans="1:11" s="2" customFormat="1" ht="13">
      <c r="A159" s="193"/>
      <c r="B159" s="193"/>
      <c r="C159" s="193"/>
      <c r="D159" s="193"/>
      <c r="E159" s="193"/>
      <c r="F159" s="194"/>
      <c r="G159" s="193"/>
      <c r="H159" s="719"/>
      <c r="J159" s="719"/>
    </row>
    <row r="160" spans="1:11" s="2" customFormat="1" ht="13">
      <c r="A160" s="960" t="s">
        <v>205</v>
      </c>
      <c r="B160" s="960"/>
      <c r="C160" s="960"/>
      <c r="D160" s="960"/>
      <c r="E160" s="960"/>
      <c r="F160" s="960"/>
      <c r="G160" s="960"/>
      <c r="H160" s="960"/>
      <c r="I160" s="960"/>
      <c r="J160" s="960"/>
      <c r="K160" s="960"/>
    </row>
    <row r="161" spans="1:11" s="2" customFormat="1" ht="13">
      <c r="A161" s="961" t="s">
        <v>209</v>
      </c>
      <c r="B161" s="961"/>
      <c r="C161" s="961"/>
      <c r="D161" s="961"/>
      <c r="E161" s="961"/>
      <c r="F161" s="961"/>
      <c r="G161" s="961"/>
      <c r="H161" s="961"/>
      <c r="I161" s="961"/>
      <c r="J161" s="961"/>
      <c r="K161" s="961"/>
    </row>
    <row r="162" spans="1:11" s="2" customFormat="1" ht="13">
      <c r="A162" s="193"/>
      <c r="B162" s="193"/>
      <c r="C162" s="195"/>
      <c r="D162" s="193"/>
      <c r="E162" s="193"/>
      <c r="F162" s="194"/>
      <c r="G162" s="193"/>
      <c r="H162" s="719"/>
      <c r="J162" s="719"/>
    </row>
    <row r="163" spans="1:11" s="2" customFormat="1" ht="13">
      <c r="A163" s="193"/>
      <c r="B163" s="193"/>
      <c r="C163" s="195"/>
      <c r="D163" s="193"/>
      <c r="E163" s="193"/>
      <c r="F163" s="194"/>
      <c r="G163" s="193"/>
      <c r="H163" s="719"/>
      <c r="J163" s="719"/>
    </row>
    <row r="164" spans="1:11" s="2" customFormat="1" ht="13">
      <c r="A164" s="193"/>
      <c r="B164" s="193"/>
      <c r="C164" s="195"/>
      <c r="D164" s="193"/>
      <c r="E164" s="193"/>
      <c r="F164" s="194"/>
      <c r="G164" s="193"/>
      <c r="H164" s="719"/>
      <c r="J164" s="719"/>
    </row>
    <row r="165" spans="1:11" s="2" customFormat="1" ht="13">
      <c r="A165" s="193"/>
      <c r="B165" s="193"/>
      <c r="C165" s="195"/>
      <c r="D165" s="193"/>
      <c r="E165" s="193"/>
      <c r="F165" s="194"/>
      <c r="G165" s="193"/>
      <c r="H165" s="719"/>
      <c r="J165" s="719"/>
    </row>
    <row r="166" spans="1:11" s="2" customFormat="1" ht="13">
      <c r="A166" s="196"/>
      <c r="B166" s="196"/>
      <c r="C166" s="196"/>
      <c r="D166" s="196"/>
      <c r="E166" s="196"/>
      <c r="F166" s="197"/>
      <c r="G166" s="196"/>
      <c r="H166" s="719"/>
      <c r="J166" s="719"/>
    </row>
    <row r="167" spans="1:11" s="2" customFormat="1" ht="13">
      <c r="A167" s="962" t="str">
        <f>'Data Sekolah'!A6</f>
        <v>Nursari Rindu Simanullang, S.Pd., M.M.</v>
      </c>
      <c r="B167" s="962"/>
      <c r="C167" s="962"/>
      <c r="D167" s="962"/>
      <c r="E167" s="962"/>
      <c r="F167" s="962"/>
      <c r="G167" s="962"/>
      <c r="H167" s="962"/>
      <c r="I167" s="962"/>
      <c r="J167" s="962"/>
      <c r="K167" s="962"/>
    </row>
    <row r="168" spans="1:11" s="2" customFormat="1" ht="13">
      <c r="A168" s="959" t="str">
        <f>'Data Sekolah'!C6</f>
        <v>Pembina Tk I</v>
      </c>
      <c r="B168" s="959"/>
      <c r="C168" s="959"/>
      <c r="D168" s="959"/>
      <c r="E168" s="959"/>
      <c r="F168" s="959"/>
      <c r="G168" s="959"/>
      <c r="H168" s="959"/>
      <c r="I168" s="959"/>
      <c r="J168" s="959"/>
      <c r="K168" s="959"/>
    </row>
    <row r="169" spans="1:11">
      <c r="A169" s="959" t="str">
        <f>"NIP. "&amp;'Data Sekolah'!B6</f>
        <v>NIP. 19691208 200502 2 001</v>
      </c>
      <c r="B169" s="959"/>
      <c r="C169" s="959"/>
      <c r="D169" s="959"/>
      <c r="E169" s="959"/>
      <c r="F169" s="959"/>
      <c r="G169" s="959"/>
      <c r="H169" s="959"/>
      <c r="I169" s="959"/>
      <c r="J169" s="959"/>
      <c r="K169" s="959"/>
    </row>
  </sheetData>
  <mergeCells count="299">
    <mergeCell ref="Q3:Q4"/>
    <mergeCell ref="Q5:Q6"/>
    <mergeCell ref="P4:P5"/>
    <mergeCell ref="A128:B128"/>
    <mergeCell ref="G128:H128"/>
    <mergeCell ref="A10:E10"/>
    <mergeCell ref="A17:K17"/>
    <mergeCell ref="A11:E12"/>
    <mergeCell ref="F13:G14"/>
    <mergeCell ref="B23:E23"/>
    <mergeCell ref="B21:E21"/>
    <mergeCell ref="B22:E22"/>
    <mergeCell ref="H21:I21"/>
    <mergeCell ref="H22:I22"/>
    <mergeCell ref="J22:K22"/>
    <mergeCell ref="J21:K21"/>
    <mergeCell ref="B109:K109"/>
    <mergeCell ref="E104:K105"/>
    <mergeCell ref="A104:D105"/>
    <mergeCell ref="J103:K103"/>
    <mergeCell ref="H23:I23"/>
    <mergeCell ref="B24:E24"/>
    <mergeCell ref="G103:I103"/>
    <mergeCell ref="B110:K110"/>
    <mergeCell ref="W15:X17"/>
    <mergeCell ref="H20:I20"/>
    <mergeCell ref="B19:E19"/>
    <mergeCell ref="B20:E20"/>
    <mergeCell ref="B18:E18"/>
    <mergeCell ref="H24:I24"/>
    <mergeCell ref="Q15:R17"/>
    <mergeCell ref="N100:P100"/>
    <mergeCell ref="J102:K102"/>
    <mergeCell ref="J19:K19"/>
    <mergeCell ref="J20:K20"/>
    <mergeCell ref="J23:K23"/>
    <mergeCell ref="J24:K24"/>
    <mergeCell ref="H32:I32"/>
    <mergeCell ref="H36:I36"/>
    <mergeCell ref="H37:I37"/>
    <mergeCell ref="B39:E39"/>
    <mergeCell ref="B40:E40"/>
    <mergeCell ref="B41:E41"/>
    <mergeCell ref="B42:E42"/>
    <mergeCell ref="B43:E43"/>
    <mergeCell ref="B34:E34"/>
    <mergeCell ref="B35:E35"/>
    <mergeCell ref="B36:E36"/>
    <mergeCell ref="B26:E26"/>
    <mergeCell ref="H26:I26"/>
    <mergeCell ref="J26:K26"/>
    <mergeCell ref="J18:K18"/>
    <mergeCell ref="A8:K8"/>
    <mergeCell ref="H18:I18"/>
    <mergeCell ref="H19:I19"/>
    <mergeCell ref="A169:K169"/>
    <mergeCell ref="A168:K168"/>
    <mergeCell ref="A160:K160"/>
    <mergeCell ref="A161:K161"/>
    <mergeCell ref="A167:K167"/>
    <mergeCell ref="A129:B129"/>
    <mergeCell ref="A130:B130"/>
    <mergeCell ref="A135:K135"/>
    <mergeCell ref="G129:H129"/>
    <mergeCell ref="A137:D137"/>
    <mergeCell ref="A138:D138"/>
    <mergeCell ref="A139:D139"/>
    <mergeCell ref="B27:E27"/>
    <mergeCell ref="G99:I99"/>
    <mergeCell ref="J99:K99"/>
    <mergeCell ref="B29:E29"/>
    <mergeCell ref="B30:E30"/>
    <mergeCell ref="A1:K1"/>
    <mergeCell ref="A2:K2"/>
    <mergeCell ref="A3:K3"/>
    <mergeCell ref="A4:K4"/>
    <mergeCell ref="A5:K5"/>
    <mergeCell ref="A6:K6"/>
    <mergeCell ref="B25:E25"/>
    <mergeCell ref="H25:I25"/>
    <mergeCell ref="J25:K25"/>
    <mergeCell ref="B31:E31"/>
    <mergeCell ref="B32:E32"/>
    <mergeCell ref="B33:E33"/>
    <mergeCell ref="B28:E28"/>
    <mergeCell ref="H28:I28"/>
    <mergeCell ref="J28:K28"/>
    <mergeCell ref="H27:I27"/>
    <mergeCell ref="J27:K27"/>
    <mergeCell ref="H29:I29"/>
    <mergeCell ref="H30:I30"/>
    <mergeCell ref="H31:I31"/>
    <mergeCell ref="H33:I33"/>
    <mergeCell ref="J29:K29"/>
    <mergeCell ref="J30:K30"/>
    <mergeCell ref="J31:K31"/>
    <mergeCell ref="J32:K32"/>
    <mergeCell ref="J33:K33"/>
    <mergeCell ref="B113:K113"/>
    <mergeCell ref="G130:H130"/>
    <mergeCell ref="E142:K145"/>
    <mergeCell ref="A141:D141"/>
    <mergeCell ref="A142:D142"/>
    <mergeCell ref="A143:D143"/>
    <mergeCell ref="E139:K140"/>
    <mergeCell ref="E138:F138"/>
    <mergeCell ref="B111:K111"/>
    <mergeCell ref="B112:K112"/>
    <mergeCell ref="G100:I100"/>
    <mergeCell ref="G101:I101"/>
    <mergeCell ref="G102:I102"/>
    <mergeCell ref="J100:K100"/>
    <mergeCell ref="J101:K101"/>
    <mergeCell ref="B108:K108"/>
    <mergeCell ref="J38:K38"/>
    <mergeCell ref="J39:K39"/>
    <mergeCell ref="J40:K40"/>
    <mergeCell ref="J41:K41"/>
    <mergeCell ref="J42:K42"/>
    <mergeCell ref="J43:K43"/>
    <mergeCell ref="H38:I38"/>
    <mergeCell ref="H39:I39"/>
    <mergeCell ref="H40:I40"/>
    <mergeCell ref="H41:I41"/>
    <mergeCell ref="H42:I42"/>
    <mergeCell ref="B47:E47"/>
    <mergeCell ref="B48:E48"/>
    <mergeCell ref="B49:E49"/>
    <mergeCell ref="B50:E50"/>
    <mergeCell ref="B51:E51"/>
    <mergeCell ref="B52:E52"/>
    <mergeCell ref="B53:E53"/>
    <mergeCell ref="J34:K34"/>
    <mergeCell ref="J35:K35"/>
    <mergeCell ref="J36:K36"/>
    <mergeCell ref="J37:K37"/>
    <mergeCell ref="H34:I34"/>
    <mergeCell ref="H35:I35"/>
    <mergeCell ref="B44:E44"/>
    <mergeCell ref="B45:E45"/>
    <mergeCell ref="B46:E46"/>
    <mergeCell ref="B37:E37"/>
    <mergeCell ref="B38:E38"/>
    <mergeCell ref="H43:I43"/>
    <mergeCell ref="H44:I44"/>
    <mergeCell ref="H45:I45"/>
    <mergeCell ref="H46:I46"/>
    <mergeCell ref="B54:E54"/>
    <mergeCell ref="B55:E55"/>
    <mergeCell ref="B56:E56"/>
    <mergeCell ref="B57:E57"/>
    <mergeCell ref="B58:E58"/>
    <mergeCell ref="B59:E59"/>
    <mergeCell ref="B60:E60"/>
    <mergeCell ref="B61:E61"/>
    <mergeCell ref="B62:E62"/>
    <mergeCell ref="B63:E63"/>
    <mergeCell ref="B64:E64"/>
    <mergeCell ref="B65:E65"/>
    <mergeCell ref="B66:E66"/>
    <mergeCell ref="B67:E67"/>
    <mergeCell ref="B68:E68"/>
    <mergeCell ref="B69:E69"/>
    <mergeCell ref="B70:E70"/>
    <mergeCell ref="B71:E71"/>
    <mergeCell ref="B72:E72"/>
    <mergeCell ref="B73:E73"/>
    <mergeCell ref="B74:E74"/>
    <mergeCell ref="B75:E75"/>
    <mergeCell ref="B76:E76"/>
    <mergeCell ref="B77:E77"/>
    <mergeCell ref="B78:E78"/>
    <mergeCell ref="B79:E79"/>
    <mergeCell ref="B80:E80"/>
    <mergeCell ref="B81:E81"/>
    <mergeCell ref="B82:E82"/>
    <mergeCell ref="B83:E83"/>
    <mergeCell ref="B84:E84"/>
    <mergeCell ref="B85:E85"/>
    <mergeCell ref="B86:E86"/>
    <mergeCell ref="B87:E87"/>
    <mergeCell ref="B88:E88"/>
    <mergeCell ref="B89:E89"/>
    <mergeCell ref="B90:E90"/>
    <mergeCell ref="B91:E91"/>
    <mergeCell ref="B92:E92"/>
    <mergeCell ref="B93:E93"/>
    <mergeCell ref="B94:E94"/>
    <mergeCell ref="B95:E95"/>
    <mergeCell ref="B96:E96"/>
    <mergeCell ref="B97:E97"/>
    <mergeCell ref="B98:E98"/>
    <mergeCell ref="H47:I47"/>
    <mergeCell ref="H48:I48"/>
    <mergeCell ref="H49:I49"/>
    <mergeCell ref="H50:I50"/>
    <mergeCell ref="H51:I51"/>
    <mergeCell ref="H52:I52"/>
    <mergeCell ref="H53:I53"/>
    <mergeCell ref="H54:I54"/>
    <mergeCell ref="H55:I55"/>
    <mergeCell ref="H56:I56"/>
    <mergeCell ref="H57:I57"/>
    <mergeCell ref="H58:I58"/>
    <mergeCell ref="H59:I59"/>
    <mergeCell ref="H60:I60"/>
    <mergeCell ref="H61:I61"/>
    <mergeCell ref="H62:I62"/>
    <mergeCell ref="H63:I63"/>
    <mergeCell ref="H64:I64"/>
    <mergeCell ref="H65:I65"/>
    <mergeCell ref="H66:I66"/>
    <mergeCell ref="H67:I67"/>
    <mergeCell ref="H68:I68"/>
    <mergeCell ref="H69:I69"/>
    <mergeCell ref="H70:I70"/>
    <mergeCell ref="H71:I71"/>
    <mergeCell ref="H72:I72"/>
    <mergeCell ref="H73:I73"/>
    <mergeCell ref="H74:I74"/>
    <mergeCell ref="H75:I75"/>
    <mergeCell ref="H76:I76"/>
    <mergeCell ref="H77:I77"/>
    <mergeCell ref="H78:I78"/>
    <mergeCell ref="H79:I79"/>
    <mergeCell ref="H80:I80"/>
    <mergeCell ref="H81:I81"/>
    <mergeCell ref="H82:I82"/>
    <mergeCell ref="H83:I83"/>
    <mergeCell ref="H84:I84"/>
    <mergeCell ref="H85:I85"/>
    <mergeCell ref="H86:I86"/>
    <mergeCell ref="H87:I87"/>
    <mergeCell ref="H88:I88"/>
    <mergeCell ref="H89:I89"/>
    <mergeCell ref="H90:I90"/>
    <mergeCell ref="H91:I91"/>
    <mergeCell ref="H92:I92"/>
    <mergeCell ref="H93:I93"/>
    <mergeCell ref="H94:I94"/>
    <mergeCell ref="H95:I95"/>
    <mergeCell ref="H96:I96"/>
    <mergeCell ref="H97:I97"/>
    <mergeCell ref="H98:I98"/>
    <mergeCell ref="J44:K44"/>
    <mergeCell ref="J45:K45"/>
    <mergeCell ref="J46:K46"/>
    <mergeCell ref="J47:K47"/>
    <mergeCell ref="J48:K48"/>
    <mergeCell ref="J49:K49"/>
    <mergeCell ref="J50:K50"/>
    <mergeCell ref="J51:K51"/>
    <mergeCell ref="J52:K52"/>
    <mergeCell ref="J53:K53"/>
    <mergeCell ref="J54:K54"/>
    <mergeCell ref="J55:K55"/>
    <mergeCell ref="J56:K56"/>
    <mergeCell ref="J57:K57"/>
    <mergeCell ref="J58:K58"/>
    <mergeCell ref="J59:K59"/>
    <mergeCell ref="J60:K60"/>
    <mergeCell ref="J61:K61"/>
    <mergeCell ref="J62:K62"/>
    <mergeCell ref="J63:K63"/>
    <mergeCell ref="J64:K64"/>
    <mergeCell ref="J65:K65"/>
    <mergeCell ref="J66:K66"/>
    <mergeCell ref="J67:K67"/>
    <mergeCell ref="J68:K68"/>
    <mergeCell ref="J69:K69"/>
    <mergeCell ref="J70:K70"/>
    <mergeCell ref="J71:K71"/>
    <mergeCell ref="J72:K72"/>
    <mergeCell ref="J73:K73"/>
    <mergeCell ref="J74:K74"/>
    <mergeCell ref="J75:K75"/>
    <mergeCell ref="J76:K76"/>
    <mergeCell ref="J77:K77"/>
    <mergeCell ref="J78:K78"/>
    <mergeCell ref="J79:K79"/>
    <mergeCell ref="J80:K80"/>
    <mergeCell ref="J81:K81"/>
    <mergeCell ref="J82:K82"/>
    <mergeCell ref="J83:K83"/>
    <mergeCell ref="J84:K84"/>
    <mergeCell ref="J85:K85"/>
    <mergeCell ref="J86:K86"/>
    <mergeCell ref="J87:K87"/>
    <mergeCell ref="J97:K97"/>
    <mergeCell ref="J98:K98"/>
    <mergeCell ref="J88:K88"/>
    <mergeCell ref="J89:K89"/>
    <mergeCell ref="J90:K90"/>
    <mergeCell ref="J91:K91"/>
    <mergeCell ref="J92:K92"/>
    <mergeCell ref="J93:K93"/>
    <mergeCell ref="J94:K94"/>
    <mergeCell ref="J95:K95"/>
    <mergeCell ref="J96:K96"/>
  </mergeCells>
  <printOptions horizontalCentered="1"/>
  <pageMargins left="0.47244094488188981" right="0.47244094488188981" top="0.35433070866141736" bottom="0.15748031496062992" header="0.31496062992125984" footer="0.31496062992125984"/>
  <pageSetup paperSize="9" scale="92" fitToWidth="2" fitToHeight="2" orientation="portrait" horizontalDpi="360" verticalDpi="360" r:id="rId1"/>
  <rowBreaks count="2" manualBreakCount="2">
    <brk id="68" max="10" man="1"/>
    <brk id="126" min="5" max="10" man="1"/>
  </row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'NO BPU'!$E$2:$E$653</xm:f>
          </x14:formula1>
          <xm:sqref>P4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EF58F-1D98-4DAF-B3AF-6E72E97FA076}">
  <sheetPr codeName="Sheet15">
    <tabColor theme="4"/>
  </sheetPr>
  <dimension ref="A1:Q131"/>
  <sheetViews>
    <sheetView showGridLines="0" view="pageBreakPreview" zoomScaleNormal="100" zoomScaleSheetLayoutView="100" workbookViewId="0">
      <pane ySplit="7" topLeftCell="A75" activePane="bottomLeft" state="frozen"/>
      <selection activeCell="P114" sqref="P114"/>
      <selection pane="bottomLeft" activeCell="P114" sqref="P114"/>
    </sheetView>
  </sheetViews>
  <sheetFormatPr defaultRowHeight="14"/>
  <cols>
    <col min="1" max="1" width="7.36328125" style="29" customWidth="1"/>
    <col min="2" max="4" width="8.7265625" style="29"/>
    <col min="5" max="5" width="9.90625" style="29" customWidth="1"/>
    <col min="6" max="6" width="8.7265625" style="29"/>
    <col min="7" max="7" width="10.54296875" style="29" customWidth="1"/>
    <col min="8" max="8" width="11.54296875" style="29" customWidth="1"/>
    <col min="9" max="9" width="6.7265625" style="29" customWidth="1"/>
    <col min="10" max="10" width="8.7265625" style="29"/>
    <col min="11" max="12" width="4.6328125" style="29" customWidth="1"/>
    <col min="13" max="13" width="8.7265625" style="29"/>
    <col min="14" max="15" width="6.08984375" style="29" customWidth="1"/>
    <col min="16" max="16384" width="8.7265625" style="29"/>
  </cols>
  <sheetData>
    <row r="1" spans="1:17" ht="41.5" customHeight="1">
      <c r="A1" s="1026" t="str">
        <f t="array" ref="A1">IFERROR(INDEX(Masteratk2024,SMALL(IF(Kriteriaatk2024=$P$4,ROW(Kriteriaatk2024)),ROW(C1)),20),"")</f>
        <v>UD. JOSUA</v>
      </c>
      <c r="B1" s="1026"/>
      <c r="C1" s="1026"/>
      <c r="D1" s="1026"/>
      <c r="E1" s="1026"/>
      <c r="F1" s="1026"/>
      <c r="G1" s="1026"/>
      <c r="H1" s="1026"/>
      <c r="I1" s="1026"/>
      <c r="J1" s="1026"/>
      <c r="M1" s="28" t="s">
        <v>3515</v>
      </c>
      <c r="N1" s="1025" t="str">
        <f t="array" ref="N1">IFERROR(INDEX(Masteratk2024,SMALL(IF(Kriteriaatk2024=$P$4,ROW(Kriteriaatk2024)),ROW(C1)),6),"")</f>
        <v>01/02/2025</v>
      </c>
      <c r="O1" s="1025"/>
      <c r="P1" s="1025"/>
    </row>
    <row r="2" spans="1:17" ht="14.5" thickBot="1">
      <c r="A2" s="1027" t="str">
        <f t="array" ref="A2">IFERROR(INDEX(Masteratk2024,SMALL(IF(Kriteriaatk2024=$P$4,ROW(Kriteriaatk2024)),ROW(C1)),23),"")</f>
        <v>Jl. Diponegoro Kel. Pasar Telukdalam - Nias Selatan</v>
      </c>
      <c r="B2" s="1027"/>
      <c r="C2" s="1027"/>
      <c r="D2" s="1027"/>
      <c r="E2" s="1027"/>
      <c r="F2" s="1027"/>
      <c r="G2" s="1027"/>
      <c r="H2" s="1027"/>
      <c r="I2" s="1027"/>
      <c r="J2" s="1027"/>
    </row>
    <row r="3" spans="1:17">
      <c r="A3" s="37"/>
      <c r="B3" s="37"/>
      <c r="C3" s="37"/>
      <c r="D3" s="37"/>
      <c r="E3" s="37"/>
      <c r="F3" s="37"/>
      <c r="G3" s="37"/>
      <c r="P3" s="894"/>
      <c r="Q3" s="1021">
        <f>P4-1</f>
        <v>44</v>
      </c>
    </row>
    <row r="4" spans="1:17" ht="17.5" customHeight="1" thickBot="1">
      <c r="A4" s="37"/>
      <c r="B4" s="37"/>
      <c r="C4" s="37"/>
      <c r="D4" s="37"/>
      <c r="E4" s="661"/>
      <c r="G4" s="668" t="str">
        <f t="array" ref="G4">IFERROR(  INDEX(Masteratk2024, SMALL(IF(Kriteriaatk2024=$M$10, ROW(Kriteriaatk2024)-MIN(ROW(Kriteriaatk2024))+1), ROW(C1)), 33)  &amp; ", " &amp; TEXT(N1, "[$-421]DD MMMM YYYY"),  "")</f>
        <v>Telukdalam, 01 Februari 2025</v>
      </c>
      <c r="P4" s="1031">
        <v>45</v>
      </c>
      <c r="Q4" s="1022"/>
    </row>
    <row r="5" spans="1:17" ht="14.5" customHeight="1">
      <c r="A5" s="37"/>
      <c r="B5" s="37"/>
      <c r="C5" s="37"/>
      <c r="D5" s="37"/>
      <c r="E5" s="661"/>
      <c r="F5" s="37"/>
      <c r="G5" s="37"/>
      <c r="P5" s="1031"/>
      <c r="Q5" s="1023">
        <f>P4+1</f>
        <v>46</v>
      </c>
    </row>
    <row r="6" spans="1:17" ht="14.5" thickBot="1">
      <c r="A6" s="37" t="s">
        <v>3506</v>
      </c>
      <c r="B6" s="37"/>
      <c r="C6" s="37"/>
      <c r="D6" s="37"/>
      <c r="E6" s="661"/>
      <c r="F6" s="37"/>
      <c r="G6" s="37"/>
      <c r="P6" s="895"/>
      <c r="Q6" s="1024"/>
    </row>
    <row r="7" spans="1:17">
      <c r="A7" s="37" t="s">
        <v>3888</v>
      </c>
      <c r="B7" s="37"/>
      <c r="C7" s="37"/>
      <c r="D7" s="37"/>
      <c r="E7" s="661"/>
      <c r="F7" s="37"/>
      <c r="G7" s="37"/>
    </row>
    <row r="8" spans="1:17" ht="15.5">
      <c r="A8" s="662" t="s">
        <v>3507</v>
      </c>
      <c r="B8" s="37"/>
      <c r="C8" s="37"/>
      <c r="D8" s="37"/>
      <c r="E8" s="661"/>
      <c r="F8" s="37"/>
      <c r="G8" s="37"/>
    </row>
    <row r="9" spans="1:17">
      <c r="A9" s="37" t="s">
        <v>3508</v>
      </c>
      <c r="B9" s="37"/>
      <c r="C9" s="37"/>
      <c r="D9" s="37"/>
      <c r="E9" s="661"/>
      <c r="F9" s="37"/>
      <c r="G9" s="37"/>
    </row>
    <row r="10" spans="1:17">
      <c r="A10" s="37"/>
      <c r="B10" s="37" t="s">
        <v>3509</v>
      </c>
      <c r="C10" s="37"/>
      <c r="D10" s="37"/>
      <c r="E10" s="37"/>
      <c r="F10" s="37"/>
      <c r="G10" s="37"/>
    </row>
    <row r="11" spans="1:17">
      <c r="A11" s="663" t="s">
        <v>3510</v>
      </c>
      <c r="B11" s="1030" t="str">
        <f>'[1]Cetak Pesanan'!C11</f>
        <v>Pesanan Barang</v>
      </c>
      <c r="C11" s="1030"/>
      <c r="D11" s="1030"/>
      <c r="E11" s="1030"/>
      <c r="F11" s="1030"/>
      <c r="G11" s="1030"/>
    </row>
    <row r="12" spans="1:17">
      <c r="A12" s="37"/>
      <c r="B12" s="37"/>
      <c r="C12" s="37"/>
      <c r="D12" s="37"/>
      <c r="E12" s="37"/>
      <c r="F12" s="37"/>
      <c r="G12" s="37"/>
    </row>
    <row r="13" spans="1:17">
      <c r="A13" s="37"/>
      <c r="B13" s="37" t="s">
        <v>3511</v>
      </c>
      <c r="C13" s="37"/>
      <c r="D13" s="37"/>
      <c r="E13" s="37"/>
      <c r="F13" s="37"/>
      <c r="G13" s="37"/>
    </row>
    <row r="14" spans="1:17" ht="14.5" customHeight="1">
      <c r="A14" s="37"/>
      <c r="B14" s="1032" t="str">
        <f t="array" ref="B14">"Memenuhi maksud surat permohonan Ibu kepada kami untuk menyediakan "&amp;IFERROR(INDEX(Masteratk2024,SMALL(IF(Kriteriaatk2024=$P$4,ROW(Kriteriaatk2024)),ROW(C1)),16),"")&amp;" sesuai dengan pesanan Nomor: "&amp;'01PESAN'!H10&amp;", Tanggal "&amp;TEXT(N1,"[$-421] dd mmmm yyyy")&amp;" , bersama ini kami bersedia untuk mengadakannya. Bon faktur turut terlampir. Demikian, atas perhatian diucapkan terima kasih."</f>
        <v>Memenuhi maksud surat permohonan Ibu kepada kami untuk menyediakan Alat Tulis Kantor (ATK) sesuai dengan pesanan Nomor: 421.3/45-P/DB/SMANSATLD/II/2025, Tanggal  01 Februari 2025 , bersama ini kami bersedia untuk mengadakannya. Bon faktur turut terlampir. Demikian, atas perhatian diucapkan terima kasih.</v>
      </c>
      <c r="C14" s="1032"/>
      <c r="D14" s="1032"/>
      <c r="E14" s="1032"/>
      <c r="F14" s="1032"/>
      <c r="G14" s="1032"/>
      <c r="H14" s="1032"/>
      <c r="I14" s="1032"/>
      <c r="J14" s="1032"/>
    </row>
    <row r="15" spans="1:17" ht="14.5" customHeight="1">
      <c r="A15" s="37"/>
      <c r="B15" s="1032"/>
      <c r="C15" s="1032"/>
      <c r="D15" s="1032"/>
      <c r="E15" s="1032"/>
      <c r="F15" s="1032"/>
      <c r="G15" s="1032"/>
      <c r="H15" s="1032"/>
      <c r="I15" s="1032"/>
      <c r="J15" s="1032"/>
    </row>
    <row r="16" spans="1:17" ht="14.5" customHeight="1">
      <c r="A16" s="37"/>
      <c r="B16" s="1032"/>
      <c r="C16" s="1032"/>
      <c r="D16" s="1032"/>
      <c r="E16" s="1032"/>
      <c r="F16" s="1032"/>
      <c r="G16" s="1032"/>
      <c r="H16" s="1032"/>
      <c r="I16" s="1032"/>
      <c r="J16" s="1032"/>
    </row>
    <row r="17" spans="1:10" ht="14.5" customHeight="1">
      <c r="A17" s="37"/>
      <c r="B17" s="1032"/>
      <c r="C17" s="1032"/>
      <c r="D17" s="1032"/>
      <c r="E17" s="1032"/>
      <c r="F17" s="1032"/>
      <c r="G17" s="1032"/>
      <c r="H17" s="1032"/>
      <c r="I17" s="1032"/>
      <c r="J17" s="1032"/>
    </row>
    <row r="18" spans="1:10" ht="14.5" customHeight="1">
      <c r="A18" s="37"/>
      <c r="B18" s="1032"/>
      <c r="C18" s="1032"/>
      <c r="D18" s="1032"/>
      <c r="E18" s="1032"/>
      <c r="F18" s="1032"/>
      <c r="G18" s="1032"/>
      <c r="H18" s="1032"/>
      <c r="I18" s="1032"/>
      <c r="J18" s="1032"/>
    </row>
    <row r="19" spans="1:10" ht="14.5" customHeight="1">
      <c r="A19" s="37"/>
      <c r="B19" s="1032"/>
      <c r="C19" s="1032"/>
      <c r="D19" s="1032"/>
      <c r="E19" s="1032"/>
      <c r="F19" s="1032"/>
      <c r="G19" s="1032"/>
      <c r="H19" s="1032"/>
      <c r="I19" s="1032"/>
      <c r="J19" s="1032"/>
    </row>
    <row r="20" spans="1:10" ht="14.5" customHeight="1">
      <c r="A20" s="37"/>
      <c r="B20" s="1032"/>
      <c r="C20" s="1032"/>
      <c r="D20" s="1032"/>
      <c r="E20" s="1032"/>
      <c r="F20" s="1032"/>
      <c r="G20" s="1032"/>
      <c r="H20" s="1032"/>
      <c r="I20" s="1032"/>
      <c r="J20" s="1032"/>
    </row>
    <row r="21" spans="1:10">
      <c r="A21" s="37"/>
      <c r="B21" s="37"/>
      <c r="C21" s="37"/>
      <c r="D21" s="37"/>
      <c r="E21" s="37"/>
      <c r="F21" s="37"/>
      <c r="G21" s="37"/>
    </row>
    <row r="22" spans="1:10">
      <c r="A22" s="37"/>
      <c r="B22" s="37"/>
      <c r="C22" s="37"/>
      <c r="D22" s="37"/>
      <c r="F22" s="37"/>
      <c r="G22" s="37" t="str">
        <f t="array" ref="G22">IFERROR(INDEX(Masteratk2024,SMALL(IF(Kriteriaatk2024=$P$4,ROW(Kriteriaatk2024)),ROW(C1)),20),"")</f>
        <v>UD. JOSUA</v>
      </c>
    </row>
    <row r="23" spans="1:10">
      <c r="A23" s="37"/>
      <c r="B23" s="37"/>
      <c r="C23" s="37"/>
      <c r="D23" s="37"/>
      <c r="F23" s="37"/>
      <c r="G23" s="664"/>
    </row>
    <row r="24" spans="1:10">
      <c r="A24" s="37"/>
      <c r="B24" s="37"/>
      <c r="C24" s="37"/>
      <c r="D24" s="37"/>
      <c r="F24" s="37"/>
      <c r="G24" s="664"/>
    </row>
    <row r="25" spans="1:10">
      <c r="A25" s="37"/>
      <c r="B25" s="37"/>
      <c r="C25" s="37"/>
      <c r="D25" s="37"/>
      <c r="F25" s="37"/>
      <c r="G25" s="664"/>
    </row>
    <row r="26" spans="1:10" ht="15">
      <c r="A26" s="37"/>
      <c r="B26" s="37"/>
      <c r="C26" s="37"/>
      <c r="D26" s="37"/>
      <c r="F26" s="37"/>
      <c r="G26" s="669" t="str">
        <f t="array" ref="G26">IFERROR(INDEX(Masteratk2024,SMALL(IF(Kriteriaatk2024=$P$4,ROW(Kriteriaatk2024)),ROW(C1)),22),"")</f>
        <v>Gestiwan Bazikho</v>
      </c>
    </row>
    <row r="27" spans="1:10">
      <c r="A27" s="37"/>
      <c r="B27" s="37"/>
      <c r="C27" s="37"/>
      <c r="D27" s="37"/>
      <c r="F27" s="37"/>
      <c r="G27" s="665" t="s">
        <v>4</v>
      </c>
    </row>
    <row r="28" spans="1:10">
      <c r="A28" s="37"/>
      <c r="B28" s="37"/>
      <c r="C28" s="37"/>
      <c r="D28" s="37"/>
      <c r="F28" s="37"/>
      <c r="G28" s="665"/>
    </row>
    <row r="29" spans="1:10">
      <c r="A29" s="37"/>
      <c r="B29" s="37"/>
      <c r="C29" s="37"/>
      <c r="D29" s="37"/>
      <c r="F29" s="37"/>
      <c r="G29" s="665"/>
    </row>
    <row r="30" spans="1:10">
      <c r="A30" s="37"/>
      <c r="B30" s="37"/>
      <c r="C30" s="37"/>
      <c r="D30" s="37"/>
      <c r="F30" s="37"/>
      <c r="G30" s="665"/>
    </row>
    <row r="31" spans="1:10" ht="41.5" customHeight="1">
      <c r="A31" s="1026" t="str">
        <f>A1</f>
        <v>UD. JOSUA</v>
      </c>
      <c r="B31" s="1026"/>
      <c r="C31" s="1026"/>
      <c r="D31" s="1026"/>
      <c r="E31" s="1026"/>
      <c r="F31" s="1026"/>
      <c r="G31" s="1026"/>
      <c r="H31" s="1026"/>
      <c r="I31" s="1026"/>
      <c r="J31" s="1026"/>
    </row>
    <row r="32" spans="1:10">
      <c r="A32" s="1027" t="str">
        <f>A2</f>
        <v>Jl. Diponegoro Kel. Pasar Telukdalam - Nias Selatan</v>
      </c>
      <c r="B32" s="1028"/>
      <c r="C32" s="1028"/>
      <c r="D32" s="1028"/>
      <c r="E32" s="1028"/>
      <c r="F32" s="1028"/>
      <c r="G32" s="1028"/>
      <c r="H32" s="1028"/>
      <c r="I32" s="1028"/>
      <c r="J32" s="1028"/>
    </row>
    <row r="33" spans="1:11">
      <c r="A33" s="37"/>
      <c r="B33" s="37"/>
      <c r="C33" s="37"/>
      <c r="D33" s="37"/>
      <c r="E33" s="664"/>
      <c r="F33" s="37"/>
      <c r="G33" s="37"/>
    </row>
    <row r="34" spans="1:11" ht="17.5">
      <c r="A34" s="1029" t="s">
        <v>3512</v>
      </c>
      <c r="B34" s="1029"/>
      <c r="C34" s="1029"/>
      <c r="D34" s="1029"/>
      <c r="E34" s="1029"/>
      <c r="F34" s="1029"/>
      <c r="G34" s="1029"/>
      <c r="H34" s="1029"/>
      <c r="I34" s="1029"/>
      <c r="J34" s="1029"/>
    </row>
    <row r="35" spans="1:11">
      <c r="A35" s="37"/>
      <c r="B35" s="37"/>
      <c r="C35" s="37"/>
      <c r="D35" s="37"/>
      <c r="E35" s="664"/>
      <c r="F35" s="37"/>
      <c r="G35" s="37"/>
    </row>
    <row r="36" spans="1:11">
      <c r="A36" s="1009" t="s">
        <v>39</v>
      </c>
      <c r="B36" s="1009" t="s">
        <v>2579</v>
      </c>
      <c r="C36" s="1009"/>
      <c r="D36" s="1009"/>
      <c r="E36" s="1009"/>
      <c r="F36" s="1009" t="s">
        <v>452</v>
      </c>
      <c r="G36" s="1009" t="s">
        <v>6</v>
      </c>
      <c r="H36" s="1009" t="s">
        <v>430</v>
      </c>
      <c r="I36" s="1009" t="s">
        <v>5</v>
      </c>
      <c r="J36" s="1009"/>
    </row>
    <row r="37" spans="1:11">
      <c r="A37" s="1009"/>
      <c r="B37" s="1009"/>
      <c r="C37" s="1009"/>
      <c r="D37" s="1009"/>
      <c r="E37" s="1009"/>
      <c r="F37" s="1009"/>
      <c r="G37" s="1009"/>
      <c r="H37" s="1009"/>
      <c r="I37" s="1009"/>
      <c r="J37" s="1009"/>
    </row>
    <row r="38" spans="1:11">
      <c r="A38" s="675">
        <v>1</v>
      </c>
      <c r="B38" s="1019">
        <v>2</v>
      </c>
      <c r="C38" s="1019"/>
      <c r="D38" s="1019"/>
      <c r="E38" s="1019"/>
      <c r="F38" s="675">
        <v>3</v>
      </c>
      <c r="G38" s="675">
        <v>4</v>
      </c>
      <c r="H38" s="675">
        <v>5</v>
      </c>
      <c r="I38" s="1019">
        <v>6</v>
      </c>
      <c r="J38" s="1019"/>
    </row>
    <row r="39" spans="1:11" ht="25" customHeight="1">
      <c r="A39" s="721">
        <f>IF(B39&lt;&gt;"",COUNTA($B$39:B39),"")</f>
        <v>1</v>
      </c>
      <c r="B39" s="1020" t="str">
        <f t="array" ref="B39">IFERROR(INDEX(Masteratk2024,SMALL(IF(Kriteriaatk2024=$P$4,ROW(Kriteriaatk2024)),ROW(C1)),11),"")</f>
        <v>Plastik Mika</v>
      </c>
      <c r="C39" s="1020"/>
      <c r="D39" s="1020"/>
      <c r="E39" s="1020"/>
      <c r="F39" s="721">
        <f t="array" ref="F39">IFERROR(INDEX(Masteratk2024,SMALL(IF(Kriteriaatk2024=$P$4,ROW(Kriteriaatk2024)),ROW(C1)),12),"")</f>
        <v>5</v>
      </c>
      <c r="G39" s="721" t="str">
        <f t="array" ref="G39">IFERROR(INDEX(Masteratk2024,SMALL(IF(Kriteriaatk2024=$P$4,ROW(Kriteriaatk2024)),ROW(C1)),13),"")</f>
        <v>bungkus</v>
      </c>
      <c r="H39" s="809">
        <f t="array" ref="H39">IFERROR(INDEX(Masteratk2024,SMALL(IF(Kriteriaatk2024=$P$4,ROW(Kriteriaatk2024)),ROW(C1)),14),"")</f>
        <v>60000</v>
      </c>
      <c r="I39" s="1008">
        <f t="array" ref="I39">IFERROR(INDEX(Masteratk2024,SMALL(IF(Kriteriaatk2024=$P$4,ROW(Kriteriaatk2024)),ROW(C1)),15),"")</f>
        <v>300000</v>
      </c>
      <c r="J39" s="1008"/>
      <c r="K39" s="184" t="str">
        <f>IF(A39="","0","1")</f>
        <v>1</v>
      </c>
    </row>
    <row r="40" spans="1:11" ht="25" customHeight="1">
      <c r="A40" s="721">
        <f>IF(B40&lt;&gt;"",COUNTA($B$39:B40),"")</f>
        <v>2</v>
      </c>
      <c r="B40" s="1007" t="str">
        <f t="array" ref="B40">IFERROR(INDEX(Masteratk2024,SMALL(IF(Kriteriaatk2024=$P$4,ROW(Kriteriaatk2024)),ROW(C2)),11),"")</f>
        <v>Kertas Warna Blank Folio, Ukuran : 8,5 x 14",  70 gram</v>
      </c>
      <c r="C40" s="1007"/>
      <c r="D40" s="1007"/>
      <c r="E40" s="1007"/>
      <c r="F40" s="721">
        <f t="array" ref="F40">IFERROR(INDEX(Masteratk2024,SMALL(IF(Kriteriaatk2024=$P$4,ROW(Kriteriaatk2024)),ROW(C2)),12),"")</f>
        <v>2</v>
      </c>
      <c r="G40" s="721" t="str">
        <f t="array" ref="G40">IFERROR(INDEX(Masteratk2024,SMALL(IF(Kriteriaatk2024=$P$4,ROW(Kriteriaatk2024)),ROW(C2)),13),"")</f>
        <v>rim</v>
      </c>
      <c r="H40" s="809">
        <f t="array" ref="H40">IFERROR(INDEX(Masteratk2024,SMALL(IF(Kriteriaatk2024=$P$4,ROW(Kriteriaatk2024)),ROW(C2)),14),"")</f>
        <v>90000</v>
      </c>
      <c r="I40" s="1008">
        <f t="array" ref="I40">IFERROR(INDEX(Masteratk2024,SMALL(IF(Kriteriaatk2024=$P$4,ROW(Kriteriaatk2024)),ROW(C2)),15),"")</f>
        <v>180000</v>
      </c>
      <c r="J40" s="1008"/>
      <c r="K40" s="184" t="str">
        <f t="shared" ref="K40:K103" si="0">IF(A40="","0","1")</f>
        <v>1</v>
      </c>
    </row>
    <row r="41" spans="1:11" ht="25" customHeight="1">
      <c r="A41" s="721">
        <f>IF(B41&lt;&gt;"",COUNTA($B$39:B41),"")</f>
        <v>3</v>
      </c>
      <c r="B41" s="1007" t="str">
        <f t="array" ref="B41">IFERROR(INDEX(Masteratk2024,SMALL(IF(Kriteriaatk2024=$P$4,ROW(Kriteriaatk2024)),ROW(C3)),11),"")</f>
        <v>Kertas Lain-Lain Kertas Buffalo</v>
      </c>
      <c r="C41" s="1007"/>
      <c r="D41" s="1007"/>
      <c r="E41" s="1007"/>
      <c r="F41" s="721">
        <f t="array" ref="F41">IFERROR(INDEX(Masteratk2024,SMALL(IF(Kriteriaatk2024=$P$4,ROW(Kriteriaatk2024)),ROW(C3)),12),"")</f>
        <v>5</v>
      </c>
      <c r="G41" s="721" t="str">
        <f t="array" ref="G41">IFERROR(INDEX(Masteratk2024,SMALL(IF(Kriteriaatk2024=$P$4,ROW(Kriteriaatk2024)),ROW(C3)),13),"")</f>
        <v>bungkus</v>
      </c>
      <c r="H41" s="809">
        <f t="array" ref="H41">IFERROR(INDEX(Masteratk2024,SMALL(IF(Kriteriaatk2024=$P$4,ROW(Kriteriaatk2024)),ROW(C3)),14),"")</f>
        <v>31000</v>
      </c>
      <c r="I41" s="1008">
        <f t="array" ref="I41">IFERROR(INDEX(Masteratk2024,SMALL(IF(Kriteriaatk2024=$P$4,ROW(Kriteriaatk2024)),ROW(C3)),15),"")</f>
        <v>155000</v>
      </c>
      <c r="J41" s="1008"/>
      <c r="K41" s="184" t="str">
        <f t="shared" si="0"/>
        <v>1</v>
      </c>
    </row>
    <row r="42" spans="1:11" ht="25" customHeight="1">
      <c r="A42" s="721">
        <f>IF(B42&lt;&gt;"",COUNTA($B$39:B42),"")</f>
        <v>4</v>
      </c>
      <c r="B42" s="1007" t="str">
        <f t="array" ref="B42">IFERROR(INDEX(Masteratk2024,SMALL(IF(Kriteriaatk2024=$P$4,ROW(Kriteriaatk2024)),ROW(C4)),11),"")</f>
        <v>Kertas Post-It Warna Warni  Sign Here</v>
      </c>
      <c r="C42" s="1007"/>
      <c r="D42" s="1007"/>
      <c r="E42" s="1007"/>
      <c r="F42" s="721">
        <f t="array" ref="F42">IFERROR(INDEX(Masteratk2024,SMALL(IF(Kriteriaatk2024=$P$4,ROW(Kriteriaatk2024)),ROW(C4)),12),"")</f>
        <v>5</v>
      </c>
      <c r="G42" s="721" t="str">
        <f t="array" ref="G42">IFERROR(INDEX(Masteratk2024,SMALL(IF(Kriteriaatk2024=$P$4,ROW(Kriteriaatk2024)),ROW(C4)),13),"")</f>
        <v>buah</v>
      </c>
      <c r="H42" s="809">
        <f t="array" ref="H42">IFERROR(INDEX(Masteratk2024,SMALL(IF(Kriteriaatk2024=$P$4,ROW(Kriteriaatk2024)),ROW(C4)),14),"")</f>
        <v>22800</v>
      </c>
      <c r="I42" s="1008">
        <f t="array" ref="I42">IFERROR(INDEX(Masteratk2024,SMALL(IF(Kriteriaatk2024=$P$4,ROW(Kriteriaatk2024)),ROW(C4)),15),"")</f>
        <v>114000</v>
      </c>
      <c r="J42" s="1008"/>
      <c r="K42" s="184" t="str">
        <f t="shared" si="0"/>
        <v>1</v>
      </c>
    </row>
    <row r="43" spans="1:11" ht="25" customHeight="1">
      <c r="A43" s="721">
        <f>IF(B43&lt;&gt;"",COUNTA($B$39:B43),"")</f>
        <v>5</v>
      </c>
      <c r="B43" s="1007" t="str">
        <f t="array" ref="B43">IFERROR(INDEX(Masteratk2024,SMALL(IF(Kriteriaatk2024=$P$4,ROW(Kriteriaatk2024)),ROW(C5)),11),"")</f>
        <v>Kertas HVS 60 gram Merk : Paper One HVS F4 uk. 8.27"x11.69"</v>
      </c>
      <c r="C43" s="1007"/>
      <c r="D43" s="1007"/>
      <c r="E43" s="1007"/>
      <c r="F43" s="721">
        <f t="array" ref="F43">IFERROR(INDEX(Masteratk2024,SMALL(IF(Kriteriaatk2024=$P$4,ROW(Kriteriaatk2024)),ROW(C5)),12),"")</f>
        <v>10</v>
      </c>
      <c r="G43" s="721" t="str">
        <f t="array" ref="G43">IFERROR(INDEX(Masteratk2024,SMALL(IF(Kriteriaatk2024=$P$4,ROW(Kriteriaatk2024)),ROW(C5)),13),"")</f>
        <v>rim</v>
      </c>
      <c r="H43" s="809">
        <f t="array" ref="H43">IFERROR(INDEX(Masteratk2024,SMALL(IF(Kriteriaatk2024=$P$4,ROW(Kriteriaatk2024)),ROW(C5)),14),"")</f>
        <v>48500</v>
      </c>
      <c r="I43" s="1008">
        <f t="array" ref="I43">IFERROR(INDEX(Masteratk2024,SMALL(IF(Kriteriaatk2024=$P$4,ROW(Kriteriaatk2024)),ROW(C5)),15),"")</f>
        <v>485000</v>
      </c>
      <c r="J43" s="1008"/>
      <c r="K43" s="184" t="str">
        <f t="shared" si="0"/>
        <v>1</v>
      </c>
    </row>
    <row r="44" spans="1:11" ht="25" customHeight="1">
      <c r="A44" s="721">
        <f>IF(B44&lt;&gt;"",COUNTA($B$39:B44),"")</f>
        <v>6</v>
      </c>
      <c r="B44" s="1007" t="str">
        <f t="array" ref="B44">IFERROR(INDEX(Masteratk2024,SMALL(IF(Kriteriaatk2024=$P$4,ROW(Kriteriaatk2024)),ROW(C6)),11),"")</f>
        <v>Kertas HVS 80 gram Merk : Paper One A4, Ukuran : 8,27" x 11,69", Isi : 500 lembar</v>
      </c>
      <c r="C44" s="1007"/>
      <c r="D44" s="1007"/>
      <c r="E44" s="1007"/>
      <c r="F44" s="721">
        <f t="array" ref="F44">IFERROR(INDEX(Masteratk2024,SMALL(IF(Kriteriaatk2024=$P$4,ROW(Kriteriaatk2024)),ROW(C6)),12),"")</f>
        <v>40</v>
      </c>
      <c r="G44" s="721" t="str">
        <f t="array" ref="G44">IFERROR(INDEX(Masteratk2024,SMALL(IF(Kriteriaatk2024=$P$4,ROW(Kriteriaatk2024)),ROW(C6)),13),"")</f>
        <v>rim</v>
      </c>
      <c r="H44" s="809">
        <f t="array" ref="H44">IFERROR(INDEX(Masteratk2024,SMALL(IF(Kriteriaatk2024=$P$4,ROW(Kriteriaatk2024)),ROW(C6)),14),"")</f>
        <v>50000</v>
      </c>
      <c r="I44" s="1008">
        <f t="array" ref="I44">IFERROR(INDEX(Masteratk2024,SMALL(IF(Kriteriaatk2024=$P$4,ROW(Kriteriaatk2024)),ROW(C6)),15),"")</f>
        <v>2000000</v>
      </c>
      <c r="J44" s="1008"/>
      <c r="K44" s="184" t="str">
        <f t="shared" si="0"/>
        <v>1</v>
      </c>
    </row>
    <row r="45" spans="1:11" ht="25" customHeight="1">
      <c r="A45" s="721">
        <f>IF(B45&lt;&gt;"",COUNTA($B$39:B45),"")</f>
        <v>7</v>
      </c>
      <c r="B45" s="1007" t="str">
        <f t="array" ref="B45">IFERROR(INDEX(Masteratk2024,SMALL(IF(Kriteriaatk2024=$P$4,ROW(Kriteriaatk2024)),ROW(C7)),11),"")</f>
        <v>Kertas StensiI</v>
      </c>
      <c r="C45" s="1007"/>
      <c r="D45" s="1007"/>
      <c r="E45" s="1007"/>
      <c r="F45" s="721">
        <f t="array" ref="F45">IFERROR(INDEX(Masteratk2024,SMALL(IF(Kriteriaatk2024=$P$4,ROW(Kriteriaatk2024)),ROW(C7)),12),"")</f>
        <v>10</v>
      </c>
      <c r="G45" s="721" t="str">
        <f t="array" ref="G45">IFERROR(INDEX(Masteratk2024,SMALL(IF(Kriteriaatk2024=$P$4,ROW(Kriteriaatk2024)),ROW(C7)),13),"")</f>
        <v>bungkus</v>
      </c>
      <c r="H45" s="809">
        <f t="array" ref="H45">IFERROR(INDEX(Masteratk2024,SMALL(IF(Kriteriaatk2024=$P$4,ROW(Kriteriaatk2024)),ROW(C7)),14),"")</f>
        <v>50000</v>
      </c>
      <c r="I45" s="1008">
        <f t="array" ref="I45">IFERROR(INDEX(Masteratk2024,SMALL(IF(Kriteriaatk2024=$P$4,ROW(Kriteriaatk2024)),ROW(C7)),15),"")</f>
        <v>500000</v>
      </c>
      <c r="J45" s="1008"/>
      <c r="K45" s="184" t="str">
        <f t="shared" si="0"/>
        <v>1</v>
      </c>
    </row>
    <row r="46" spans="1:11" ht="25" customHeight="1">
      <c r="A46" s="721">
        <f>IF(B46&lt;&gt;"",COUNTA($B$39:B46),"")</f>
        <v>8</v>
      </c>
      <c r="B46" s="1007" t="str">
        <f t="array" ref="B46">IFERROR(INDEX(Masteratk2024,SMALL(IF(Kriteriaatk2024=$P$4,ROW(Kriteriaatk2024)),ROW(C8)),11),"")</f>
        <v>Kertas Label</v>
      </c>
      <c r="C46" s="1007"/>
      <c r="D46" s="1007"/>
      <c r="E46" s="1007"/>
      <c r="F46" s="721">
        <f t="array" ref="F46">IFERROR(INDEX(Masteratk2024,SMALL(IF(Kriteriaatk2024=$P$4,ROW(Kriteriaatk2024)),ROW(C8)),12),"")</f>
        <v>5</v>
      </c>
      <c r="G46" s="721" t="str">
        <f t="array" ref="G46">IFERROR(INDEX(Masteratk2024,SMALL(IF(Kriteriaatk2024=$P$4,ROW(Kriteriaatk2024)),ROW(C8)),13),"")</f>
        <v>lembar</v>
      </c>
      <c r="H46" s="809">
        <f t="array" ref="H46">IFERROR(INDEX(Masteratk2024,SMALL(IF(Kriteriaatk2024=$P$4,ROW(Kriteriaatk2024)),ROW(C8)),14),"")</f>
        <v>25000</v>
      </c>
      <c r="I46" s="1008">
        <f t="array" ref="I46">IFERROR(INDEX(Masteratk2024,SMALL(IF(Kriteriaatk2024=$P$4,ROW(Kriteriaatk2024)),ROW(C8)),15),"")</f>
        <v>125000</v>
      </c>
      <c r="J46" s="1008"/>
      <c r="K46" s="184" t="str">
        <f t="shared" si="0"/>
        <v>1</v>
      </c>
    </row>
    <row r="47" spans="1:11" ht="25" customHeight="1">
      <c r="A47" s="721">
        <f>IF(B47&lt;&gt;"",COUNTA($B$39:B47),"")</f>
        <v>9</v>
      </c>
      <c r="B47" s="1007" t="str">
        <f t="array" ref="B47">IFERROR(INDEX(Masteratk2024,SMALL(IF(Kriteriaatk2024=$P$4,ROW(Kriteriaatk2024)),ROW(C9)),11),"")</f>
        <v>Amplop Coklat Merk : GSU Ukuran : 1/2 folio, bergaris</v>
      </c>
      <c r="C47" s="1007"/>
      <c r="D47" s="1007"/>
      <c r="E47" s="1007"/>
      <c r="F47" s="721">
        <f t="array" ref="F47">IFERROR(INDEX(Masteratk2024,SMALL(IF(Kriteriaatk2024=$P$4,ROW(Kriteriaatk2024)),ROW(C9)),12),"")</f>
        <v>1</v>
      </c>
      <c r="G47" s="721" t="str">
        <f t="array" ref="G47">IFERROR(INDEX(Masteratk2024,SMALL(IF(Kriteriaatk2024=$P$4,ROW(Kriteriaatk2024)),ROW(C9)),13),"")</f>
        <v>bungkus</v>
      </c>
      <c r="H47" s="809">
        <f t="array" ref="H47">IFERROR(INDEX(Masteratk2024,SMALL(IF(Kriteriaatk2024=$P$4,ROW(Kriteriaatk2024)),ROW(C9)),14),"")</f>
        <v>45000</v>
      </c>
      <c r="I47" s="1008">
        <f t="array" ref="I47">IFERROR(INDEX(Masteratk2024,SMALL(IF(Kriteriaatk2024=$P$4,ROW(Kriteriaatk2024)),ROW(C9)),15),"")</f>
        <v>45000</v>
      </c>
      <c r="J47" s="1008"/>
      <c r="K47" s="184" t="str">
        <f t="shared" si="0"/>
        <v>1</v>
      </c>
    </row>
    <row r="48" spans="1:11" ht="25" customHeight="1">
      <c r="A48" s="721">
        <f>IF(B48&lt;&gt;"",COUNTA($B$39:B48),"")</f>
        <v>10</v>
      </c>
      <c r="B48" s="1007" t="str">
        <f t="array" ref="B48">IFERROR(INDEX(Masteratk2024,SMALL(IF(Kriteriaatk2024=$P$4,ROW(Kriteriaatk2024)),ROW(C10)),11),"")</f>
        <v>Amplop Coklat Merk : Garda Ukuran Cabinet</v>
      </c>
      <c r="C48" s="1007"/>
      <c r="D48" s="1007"/>
      <c r="E48" s="1007"/>
      <c r="F48" s="721">
        <f t="array" ref="F48">IFERROR(INDEX(Masteratk2024,SMALL(IF(Kriteriaatk2024=$P$4,ROW(Kriteriaatk2024)),ROW(C10)),12),"")</f>
        <v>3</v>
      </c>
      <c r="G48" s="721" t="str">
        <f t="array" ref="G48">IFERROR(INDEX(Masteratk2024,SMALL(IF(Kriteriaatk2024=$P$4,ROW(Kriteriaatk2024)),ROW(C10)),13),"")</f>
        <v>bungkus</v>
      </c>
      <c r="H48" s="809">
        <f t="array" ref="H48">IFERROR(INDEX(Masteratk2024,SMALL(IF(Kriteriaatk2024=$P$4,ROW(Kriteriaatk2024)),ROW(C10)),14),"")</f>
        <v>23000</v>
      </c>
      <c r="I48" s="1008">
        <f t="array" ref="I48">IFERROR(INDEX(Masteratk2024,SMALL(IF(Kriteriaatk2024=$P$4,ROW(Kriteriaatk2024)),ROW(C10)),15),"")</f>
        <v>69000</v>
      </c>
      <c r="J48" s="1008"/>
      <c r="K48" s="184" t="str">
        <f t="shared" si="0"/>
        <v>1</v>
      </c>
    </row>
    <row r="49" spans="1:11" ht="25" customHeight="1">
      <c r="A49" s="721">
        <f>IF(B49&lt;&gt;"",COUNTA($B$39:B49),"")</f>
        <v>11</v>
      </c>
      <c r="B49" s="1007" t="str">
        <f t="array" ref="B49">IFERROR(INDEX(Masteratk2024,SMALL(IF(Kriteriaatk2024=$P$4,ROW(Kriteriaatk2024)),ROW(C11)),11),"")</f>
        <v>Amplop Coklat Merk : GSU Ukuran Folio polos</v>
      </c>
      <c r="C49" s="1007"/>
      <c r="D49" s="1007"/>
      <c r="E49" s="1007"/>
      <c r="F49" s="721">
        <f t="array" ref="F49">IFERROR(INDEX(Masteratk2024,SMALL(IF(Kriteriaatk2024=$P$4,ROW(Kriteriaatk2024)),ROW(C11)),12),"")</f>
        <v>2</v>
      </c>
      <c r="G49" s="721" t="str">
        <f t="array" ref="G49">IFERROR(INDEX(Masteratk2024,SMALL(IF(Kriteriaatk2024=$P$4,ROW(Kriteriaatk2024)),ROW(C11)),13),"")</f>
        <v>bungkus</v>
      </c>
      <c r="H49" s="809">
        <f t="array" ref="H49">IFERROR(INDEX(Masteratk2024,SMALL(IF(Kriteriaatk2024=$P$4,ROW(Kriteriaatk2024)),ROW(C11)),14),"")</f>
        <v>60000</v>
      </c>
      <c r="I49" s="1008">
        <f t="array" ref="I49">IFERROR(INDEX(Masteratk2024,SMALL(IF(Kriteriaatk2024=$P$4,ROW(Kriteriaatk2024)),ROW(C11)),15),"")</f>
        <v>120000</v>
      </c>
      <c r="J49" s="1008"/>
      <c r="K49" s="184" t="str">
        <f t="shared" si="0"/>
        <v>1</v>
      </c>
    </row>
    <row r="50" spans="1:11" ht="25" customHeight="1">
      <c r="A50" s="721">
        <f>IF(B50&lt;&gt;"",COUNTA($B$39:B50),"")</f>
        <v>12</v>
      </c>
      <c r="B50" s="1007" t="str">
        <f t="array" ref="B50">IFERROR(INDEX(Masteratk2024,SMALL(IF(Kriteriaatk2024=$P$4,ROW(Kriteriaatk2024)),ROW(C12)),11),"")</f>
        <v>Amplop Panjang Putih Polos Merk : Jaya Ukuran : 11 x 23 cm</v>
      </c>
      <c r="C50" s="1007"/>
      <c r="D50" s="1007"/>
      <c r="E50" s="1007"/>
      <c r="F50" s="721">
        <f t="array" ref="F50">IFERROR(INDEX(Masteratk2024,SMALL(IF(Kriteriaatk2024=$P$4,ROW(Kriteriaatk2024)),ROW(C12)),12),"")</f>
        <v>1</v>
      </c>
      <c r="G50" s="721" t="str">
        <f t="array" ref="G50">IFERROR(INDEX(Masteratk2024,SMALL(IF(Kriteriaatk2024=$P$4,ROW(Kriteriaatk2024)),ROW(C12)),13),"")</f>
        <v>kotak</v>
      </c>
      <c r="H50" s="809">
        <f t="array" ref="H50">IFERROR(INDEX(Masteratk2024,SMALL(IF(Kriteriaatk2024=$P$4,ROW(Kriteriaatk2024)),ROW(C12)),14),"")</f>
        <v>48000</v>
      </c>
      <c r="I50" s="1008">
        <f t="array" ref="I50">IFERROR(INDEX(Masteratk2024,SMALL(IF(Kriteriaatk2024=$P$4,ROW(Kriteriaatk2024)),ROW(C12)),15),"")</f>
        <v>48000</v>
      </c>
      <c r="J50" s="1008"/>
      <c r="K50" s="184" t="str">
        <f t="shared" si="0"/>
        <v>1</v>
      </c>
    </row>
    <row r="51" spans="1:11" ht="25" customHeight="1">
      <c r="A51" s="721">
        <f>IF(B51&lt;&gt;"",COUNTA($B$39:B51),"")</f>
        <v>13</v>
      </c>
      <c r="B51" s="1007" t="str">
        <f t="array" ref="B51">IFERROR(INDEX(Masteratk2024,SMALL(IF(Kriteriaatk2024=$P$4,ROW(Kriteriaatk2024)),ROW(C13)),11),"")</f>
        <v>Ballpoint Drawing Pen 0,1 Snowman</v>
      </c>
      <c r="C51" s="1007"/>
      <c r="D51" s="1007"/>
      <c r="E51" s="1007"/>
      <c r="F51" s="721">
        <f t="array" ref="F51">IFERROR(INDEX(Masteratk2024,SMALL(IF(Kriteriaatk2024=$P$4,ROW(Kriteriaatk2024)),ROW(C13)),12),"")</f>
        <v>1</v>
      </c>
      <c r="G51" s="721" t="str">
        <f t="array" ref="G51">IFERROR(INDEX(Masteratk2024,SMALL(IF(Kriteriaatk2024=$P$4,ROW(Kriteriaatk2024)),ROW(C13)),13),"")</f>
        <v>lusin</v>
      </c>
      <c r="H51" s="809">
        <f t="array" ref="H51">IFERROR(INDEX(Masteratk2024,SMALL(IF(Kriteriaatk2024=$P$4,ROW(Kriteriaatk2024)),ROW(C13)),14),"")</f>
        <v>95000</v>
      </c>
      <c r="I51" s="1008">
        <f t="array" ref="I51">IFERROR(INDEX(Masteratk2024,SMALL(IF(Kriteriaatk2024=$P$4,ROW(Kriteriaatk2024)),ROW(C13)),15),"")</f>
        <v>95000</v>
      </c>
      <c r="J51" s="1008"/>
      <c r="K51" s="184" t="str">
        <f t="shared" si="0"/>
        <v>1</v>
      </c>
    </row>
    <row r="52" spans="1:11" ht="25" customHeight="1">
      <c r="A52" s="721">
        <f>IF(B52&lt;&gt;"",COUNTA($B$39:B52),"")</f>
        <v>14</v>
      </c>
      <c r="B52" s="1007" t="str">
        <f t="array" ref="B52">IFERROR(INDEX(Masteratk2024,SMALL(IF(Kriteriaatk2024=$P$4,ROW(Kriteriaatk2024)),ROW(C14)),11),"")</f>
        <v>Ballpoint Standard AE7</v>
      </c>
      <c r="C52" s="1007"/>
      <c r="D52" s="1007"/>
      <c r="E52" s="1007"/>
      <c r="F52" s="721">
        <f t="array" ref="F52">IFERROR(INDEX(Masteratk2024,SMALL(IF(Kriteriaatk2024=$P$4,ROW(Kriteriaatk2024)),ROW(C14)),12),"")</f>
        <v>2</v>
      </c>
      <c r="G52" s="721" t="str">
        <f t="array" ref="G52">IFERROR(INDEX(Masteratk2024,SMALL(IF(Kriteriaatk2024=$P$4,ROW(Kriteriaatk2024)),ROW(C14)),13),"")</f>
        <v>lusin</v>
      </c>
      <c r="H52" s="809">
        <f t="array" ref="H52">IFERROR(INDEX(Masteratk2024,SMALL(IF(Kriteriaatk2024=$P$4,ROW(Kriteriaatk2024)),ROW(C14)),14),"")</f>
        <v>20000</v>
      </c>
      <c r="I52" s="1008">
        <f t="array" ref="I52">IFERROR(INDEX(Masteratk2024,SMALL(IF(Kriteriaatk2024=$P$4,ROW(Kriteriaatk2024)),ROW(C14)),15),"")</f>
        <v>40000</v>
      </c>
      <c r="J52" s="1008"/>
      <c r="K52" s="184" t="str">
        <f t="shared" si="0"/>
        <v>1</v>
      </c>
    </row>
    <row r="53" spans="1:11" ht="25" customHeight="1">
      <c r="A53" s="721">
        <f>IF(B53&lt;&gt;"",COUNTA($B$39:B53),"")</f>
        <v>15</v>
      </c>
      <c r="B53" s="1007" t="str">
        <f t="array" ref="B53">IFERROR(INDEX(Masteratk2024,SMALL(IF(Kriteriaatk2024=$P$4,ROW(Kriteriaatk2024)),ROW(C15)),11),"")</f>
        <v>Ballpoint Pilot G2</v>
      </c>
      <c r="C53" s="1007"/>
      <c r="D53" s="1007"/>
      <c r="E53" s="1007"/>
      <c r="F53" s="721">
        <f t="array" ref="F53">IFERROR(INDEX(Masteratk2024,SMALL(IF(Kriteriaatk2024=$P$4,ROW(Kriteriaatk2024)),ROW(C15)),12),"")</f>
        <v>1</v>
      </c>
      <c r="G53" s="721" t="str">
        <f t="array" ref="G53">IFERROR(INDEX(Masteratk2024,SMALL(IF(Kriteriaatk2024=$P$4,ROW(Kriteriaatk2024)),ROW(C15)),13),"")</f>
        <v>lusin</v>
      </c>
      <c r="H53" s="809">
        <f t="array" ref="H53">IFERROR(INDEX(Masteratk2024,SMALL(IF(Kriteriaatk2024=$P$4,ROW(Kriteriaatk2024)),ROW(C15)),14),"")</f>
        <v>235000</v>
      </c>
      <c r="I53" s="1008">
        <f t="array" ref="I53">IFERROR(INDEX(Masteratk2024,SMALL(IF(Kriteriaatk2024=$P$4,ROW(Kriteriaatk2024)),ROW(C15)),15),"")</f>
        <v>235000</v>
      </c>
      <c r="J53" s="1008"/>
      <c r="K53" s="184" t="str">
        <f t="shared" si="0"/>
        <v>1</v>
      </c>
    </row>
    <row r="54" spans="1:11" ht="25" customHeight="1">
      <c r="A54" s="721">
        <f>IF(B54&lt;&gt;"",COUNTA($B$39:B54),"")</f>
        <v>16</v>
      </c>
      <c r="B54" s="1007" t="str">
        <f t="array" ref="B54">IFERROR(INDEX(Masteratk2024,SMALL(IF(Kriteriaatk2024=$P$4,ROW(Kriteriaatk2024)),ROW(C16)),11),"")</f>
        <v>Binder Klip  nomor 107</v>
      </c>
      <c r="C54" s="1007"/>
      <c r="D54" s="1007"/>
      <c r="E54" s="1007"/>
      <c r="F54" s="721">
        <f t="array" ref="F54">IFERROR(INDEX(Masteratk2024,SMALL(IF(Kriteriaatk2024=$P$4,ROW(Kriteriaatk2024)),ROW(C16)),12),"")</f>
        <v>5</v>
      </c>
      <c r="G54" s="721" t="str">
        <f t="array" ref="G54">IFERROR(INDEX(Masteratk2024,SMALL(IF(Kriteriaatk2024=$P$4,ROW(Kriteriaatk2024)),ROW(C16)),13),"")</f>
        <v>kotak</v>
      </c>
      <c r="H54" s="809">
        <f t="array" ref="H54">IFERROR(INDEX(Masteratk2024,SMALL(IF(Kriteriaatk2024=$P$4,ROW(Kriteriaatk2024)),ROW(C16)),14),"")</f>
        <v>7800</v>
      </c>
      <c r="I54" s="1008">
        <f t="array" ref="I54">IFERROR(INDEX(Masteratk2024,SMALL(IF(Kriteriaatk2024=$P$4,ROW(Kriteriaatk2024)),ROW(C16)),15),"")</f>
        <v>39000</v>
      </c>
      <c r="J54" s="1008"/>
      <c r="K54" s="184" t="str">
        <f t="shared" si="0"/>
        <v>1</v>
      </c>
    </row>
    <row r="55" spans="1:11" ht="25" customHeight="1">
      <c r="A55" s="721">
        <f>IF(B55&lt;&gt;"",COUNTA($B$39:B55),"")</f>
        <v>17</v>
      </c>
      <c r="B55" s="1007" t="str">
        <f t="array" ref="B55">IFERROR(INDEX(Masteratk2024,SMALL(IF(Kriteriaatk2024=$P$4,ROW(Kriteriaatk2024)),ROW(C17)),11),"")</f>
        <v>Binder Klip  nomor 111</v>
      </c>
      <c r="C55" s="1007"/>
      <c r="D55" s="1007"/>
      <c r="E55" s="1007"/>
      <c r="F55" s="721">
        <f t="array" ref="F55">IFERROR(INDEX(Masteratk2024,SMALL(IF(Kriteriaatk2024=$P$4,ROW(Kriteriaatk2024)),ROW(C17)),12),"")</f>
        <v>5</v>
      </c>
      <c r="G55" s="721" t="str">
        <f t="array" ref="G55">IFERROR(INDEX(Masteratk2024,SMALL(IF(Kriteriaatk2024=$P$4,ROW(Kriteriaatk2024)),ROW(C17)),13),"")</f>
        <v>kotak</v>
      </c>
      <c r="H55" s="809">
        <f t="array" ref="H55">IFERROR(INDEX(Masteratk2024,SMALL(IF(Kriteriaatk2024=$P$4,ROW(Kriteriaatk2024)),ROW(C17)),14),"")</f>
        <v>11000</v>
      </c>
      <c r="I55" s="1008">
        <f t="array" ref="I55">IFERROR(INDEX(Masteratk2024,SMALL(IF(Kriteriaatk2024=$P$4,ROW(Kriteriaatk2024)),ROW(C17)),15),"")</f>
        <v>55000</v>
      </c>
      <c r="J55" s="1008"/>
      <c r="K55" s="184" t="str">
        <f t="shared" si="0"/>
        <v>1</v>
      </c>
    </row>
    <row r="56" spans="1:11" ht="25" customHeight="1">
      <c r="A56" s="721">
        <f>IF(B56&lt;&gt;"",COUNTA($B$39:B56),"")</f>
        <v>18</v>
      </c>
      <c r="B56" s="1007" t="str">
        <f t="array" ref="B56">IFERROR(INDEX(Masteratk2024,SMALL(IF(Kriteriaatk2024=$P$4,ROW(Kriteriaatk2024)),ROW(C18)),11),"")</f>
        <v>Binder Klip  nomor 200</v>
      </c>
      <c r="C56" s="1007"/>
      <c r="D56" s="1007"/>
      <c r="E56" s="1007"/>
      <c r="F56" s="721">
        <f t="array" ref="F56">IFERROR(INDEX(Masteratk2024,SMALL(IF(Kriteriaatk2024=$P$4,ROW(Kriteriaatk2024)),ROW(C18)),12),"")</f>
        <v>10</v>
      </c>
      <c r="G56" s="721" t="str">
        <f t="array" ref="G56">IFERROR(INDEX(Masteratk2024,SMALL(IF(Kriteriaatk2024=$P$4,ROW(Kriteriaatk2024)),ROW(C18)),13),"")</f>
        <v>kotak</v>
      </c>
      <c r="H56" s="809">
        <f t="array" ref="H56">IFERROR(INDEX(Masteratk2024,SMALL(IF(Kriteriaatk2024=$P$4,ROW(Kriteriaatk2024)),ROW(C18)),14),"")</f>
        <v>16500</v>
      </c>
      <c r="I56" s="1008">
        <f t="array" ref="I56">IFERROR(INDEX(Masteratk2024,SMALL(IF(Kriteriaatk2024=$P$4,ROW(Kriteriaatk2024)),ROW(C18)),15),"")</f>
        <v>165000</v>
      </c>
      <c r="J56" s="1008"/>
      <c r="K56" s="184" t="str">
        <f t="shared" si="0"/>
        <v>1</v>
      </c>
    </row>
    <row r="57" spans="1:11" ht="25" customHeight="1">
      <c r="A57" s="721">
        <f>IF(B57&lt;&gt;"",COUNTA($B$39:B57),"")</f>
        <v>19</v>
      </c>
      <c r="B57" s="1007" t="str">
        <f t="array" ref="B57">IFERROR(INDEX(Masteratk2024,SMALL(IF(Kriteriaatk2024=$P$4,ROW(Kriteriaatk2024)),ROW(C19)),11),"")</f>
        <v>Binder Klip  nomor 260</v>
      </c>
      <c r="C57" s="1007"/>
      <c r="D57" s="1007"/>
      <c r="E57" s="1007"/>
      <c r="F57" s="721">
        <f t="array" ref="F57">IFERROR(INDEX(Masteratk2024,SMALL(IF(Kriteriaatk2024=$P$4,ROW(Kriteriaatk2024)),ROW(C19)),12),"")</f>
        <v>10</v>
      </c>
      <c r="G57" s="721" t="str">
        <f t="array" ref="G57">IFERROR(INDEX(Masteratk2024,SMALL(IF(Kriteriaatk2024=$P$4,ROW(Kriteriaatk2024)),ROW(C19)),13),"")</f>
        <v>kotak</v>
      </c>
      <c r="H57" s="809">
        <f t="array" ref="H57">IFERROR(INDEX(Masteratk2024,SMALL(IF(Kriteriaatk2024=$P$4,ROW(Kriteriaatk2024)),ROW(C19)),14),"")</f>
        <v>20000</v>
      </c>
      <c r="I57" s="1008">
        <f t="array" ref="I57">IFERROR(INDEX(Masteratk2024,SMALL(IF(Kriteriaatk2024=$P$4,ROW(Kriteriaatk2024)),ROW(C19)),15),"")</f>
        <v>200000</v>
      </c>
      <c r="J57" s="1008"/>
      <c r="K57" s="184" t="str">
        <f t="shared" si="0"/>
        <v>1</v>
      </c>
    </row>
    <row r="58" spans="1:11" ht="25" customHeight="1">
      <c r="A58" s="721">
        <f>IF(B58&lt;&gt;"",COUNTA($B$39:B58),"")</f>
        <v>20</v>
      </c>
      <c r="B58" s="1007" t="str">
        <f t="array" ref="B58">IFERROR(INDEX(Masteratk2024,SMALL(IF(Kriteriaatk2024=$P$4,ROW(Kriteriaatk2024)),ROW(C20)),11),"")</f>
        <v>Binder Klip Merk : KENKO nomor 105</v>
      </c>
      <c r="C58" s="1007"/>
      <c r="D58" s="1007"/>
      <c r="E58" s="1007"/>
      <c r="F58" s="721">
        <f t="array" ref="F58">IFERROR(INDEX(Masteratk2024,SMALL(IF(Kriteriaatk2024=$P$4,ROW(Kriteriaatk2024)),ROW(C20)),12),"")</f>
        <v>2</v>
      </c>
      <c r="G58" s="721" t="str">
        <f t="array" ref="G58">IFERROR(INDEX(Masteratk2024,SMALL(IF(Kriteriaatk2024=$P$4,ROW(Kriteriaatk2024)),ROW(C20)),13),"")</f>
        <v>kotak</v>
      </c>
      <c r="H58" s="809">
        <f t="array" ref="H58">IFERROR(INDEX(Masteratk2024,SMALL(IF(Kriteriaatk2024=$P$4,ROW(Kriteriaatk2024)),ROW(C20)),14),"")</f>
        <v>5000</v>
      </c>
      <c r="I58" s="1008">
        <f t="array" ref="I58">IFERROR(INDEX(Masteratk2024,SMALL(IF(Kriteriaatk2024=$P$4,ROW(Kriteriaatk2024)),ROW(C20)),15),"")</f>
        <v>10000</v>
      </c>
      <c r="J58" s="1008"/>
      <c r="K58" s="184" t="str">
        <f t="shared" si="0"/>
        <v>1</v>
      </c>
    </row>
    <row r="59" spans="1:11" ht="25" customHeight="1">
      <c r="A59" s="721">
        <f>IF(B59&lt;&gt;"",COUNTA($B$39:B59),"")</f>
        <v>21</v>
      </c>
      <c r="B59" s="1007" t="str">
        <f t="array" ref="B59">IFERROR(INDEX(Masteratk2024,SMALL(IF(Kriteriaatk2024=$P$4,ROW(Kriteriaatk2024)),ROW(C21)),11),"")</f>
        <v>Map Binder</v>
      </c>
      <c r="C59" s="1007"/>
      <c r="D59" s="1007"/>
      <c r="E59" s="1007"/>
      <c r="F59" s="721">
        <f t="array" ref="F59">IFERROR(INDEX(Masteratk2024,SMALL(IF(Kriteriaatk2024=$P$4,ROW(Kriteriaatk2024)),ROW(C21)),12),"")</f>
        <v>12</v>
      </c>
      <c r="G59" s="721" t="str">
        <f t="array" ref="G59">IFERROR(INDEX(Masteratk2024,SMALL(IF(Kriteriaatk2024=$P$4,ROW(Kriteriaatk2024)),ROW(C21)),13),"")</f>
        <v>buah</v>
      </c>
      <c r="H59" s="809">
        <f t="array" ref="H59">IFERROR(INDEX(Masteratk2024,SMALL(IF(Kriteriaatk2024=$P$4,ROW(Kriteriaatk2024)),ROW(C21)),14),"")</f>
        <v>35500</v>
      </c>
      <c r="I59" s="1008">
        <f t="array" ref="I59">IFERROR(INDEX(Masteratk2024,SMALL(IF(Kriteriaatk2024=$P$4,ROW(Kriteriaatk2024)),ROW(C21)),15),"")</f>
        <v>426000</v>
      </c>
      <c r="J59" s="1008"/>
      <c r="K59" s="184" t="str">
        <f t="shared" si="0"/>
        <v>1</v>
      </c>
    </row>
    <row r="60" spans="1:11" ht="25" customHeight="1">
      <c r="A60" s="721">
        <f>IF(B60&lt;&gt;"",COUNTA($B$39:B60),"")</f>
        <v>22</v>
      </c>
      <c r="B60" s="1007" t="str">
        <f t="array" ref="B60">IFERROR(INDEX(Masteratk2024,SMALL(IF(Kriteriaatk2024=$P$4,ROW(Kriteriaatk2024)),ROW(C22)),11),"")</f>
        <v>Stofmap Kertas</v>
      </c>
      <c r="C60" s="1007"/>
      <c r="D60" s="1007"/>
      <c r="E60" s="1007"/>
      <c r="F60" s="721">
        <f t="array" ref="F60">IFERROR(INDEX(Masteratk2024,SMALL(IF(Kriteriaatk2024=$P$4,ROW(Kriteriaatk2024)),ROW(C22)),12),"")</f>
        <v>1</v>
      </c>
      <c r="G60" s="721" t="str">
        <f t="array" ref="G60">IFERROR(INDEX(Masteratk2024,SMALL(IF(Kriteriaatk2024=$P$4,ROW(Kriteriaatk2024)),ROW(C22)),13),"")</f>
        <v>pak</v>
      </c>
      <c r="H60" s="809">
        <f t="array" ref="H60">IFERROR(INDEX(Masteratk2024,SMALL(IF(Kriteriaatk2024=$P$4,ROW(Kriteriaatk2024)),ROW(C22)),14),"")</f>
        <v>88000</v>
      </c>
      <c r="I60" s="1008">
        <f t="array" ref="I60">IFERROR(INDEX(Masteratk2024,SMALL(IF(Kriteriaatk2024=$P$4,ROW(Kriteriaatk2024)),ROW(C22)),15),"")</f>
        <v>88000</v>
      </c>
      <c r="J60" s="1008"/>
      <c r="K60" s="184" t="str">
        <f t="shared" si="0"/>
        <v>1</v>
      </c>
    </row>
    <row r="61" spans="1:11" ht="25" customHeight="1">
      <c r="A61" s="721">
        <f>IF(B61&lt;&gt;"",COUNTA($B$39:B61),"")</f>
        <v>23</v>
      </c>
      <c r="B61" s="1007" t="str">
        <f t="array" ref="B61">IFERROR(INDEX(Masteratk2024,SMALL(IF(Kriteriaatk2024=$P$4,ROW(Kriteriaatk2024)),ROW(C23)),11),"")</f>
        <v>Stofmap Transparan tali</v>
      </c>
      <c r="C61" s="1007"/>
      <c r="D61" s="1007"/>
      <c r="E61" s="1007"/>
      <c r="F61" s="721">
        <f t="array" ref="F61">IFERROR(INDEX(Masteratk2024,SMALL(IF(Kriteriaatk2024=$P$4,ROW(Kriteriaatk2024)),ROW(C23)),12),"")</f>
        <v>100</v>
      </c>
      <c r="G61" s="721" t="str">
        <f t="array" ref="G61">IFERROR(INDEX(Masteratk2024,SMALL(IF(Kriteriaatk2024=$P$4,ROW(Kriteriaatk2024)),ROW(C23)),13),"")</f>
        <v>buah</v>
      </c>
      <c r="H61" s="809">
        <f t="array" ref="H61">IFERROR(INDEX(Masteratk2024,SMALL(IF(Kriteriaatk2024=$P$4,ROW(Kriteriaatk2024)),ROW(C23)),14),"")</f>
        <v>5500</v>
      </c>
      <c r="I61" s="1008">
        <f t="array" ref="I61">IFERROR(INDEX(Masteratk2024,SMALL(IF(Kriteriaatk2024=$P$4,ROW(Kriteriaatk2024)),ROW(C23)),15),"")</f>
        <v>550000</v>
      </c>
      <c r="J61" s="1008"/>
      <c r="K61" s="184" t="str">
        <f t="shared" si="0"/>
        <v>1</v>
      </c>
    </row>
    <row r="62" spans="1:11" ht="25" customHeight="1">
      <c r="A62" s="721">
        <f>IF(B62&lt;&gt;"",COUNTA($B$39:B62),"")</f>
        <v>24</v>
      </c>
      <c r="B62" s="1007" t="str">
        <f t="array" ref="B62">IFERROR(INDEX(Masteratk2024,SMALL(IF(Kriteriaatk2024=$P$4,ROW(Kriteriaatk2024)),ROW(C24)),11),"")</f>
        <v>Stofmap Transparan</v>
      </c>
      <c r="C62" s="1007"/>
      <c r="D62" s="1007"/>
      <c r="E62" s="1007"/>
      <c r="F62" s="721">
        <f t="array" ref="F62">IFERROR(INDEX(Masteratk2024,SMALL(IF(Kriteriaatk2024=$P$4,ROW(Kriteriaatk2024)),ROW(C24)),12),"")</f>
        <v>100</v>
      </c>
      <c r="G62" s="721" t="str">
        <f t="array" ref="G62">IFERROR(INDEX(Masteratk2024,SMALL(IF(Kriteriaatk2024=$P$4,ROW(Kriteriaatk2024)),ROW(C24)),13),"")</f>
        <v>buah</v>
      </c>
      <c r="H62" s="809">
        <f t="array" ref="H62">IFERROR(INDEX(Masteratk2024,SMALL(IF(Kriteriaatk2024=$P$4,ROW(Kriteriaatk2024)),ROW(C24)),14),"")</f>
        <v>5500</v>
      </c>
      <c r="I62" s="1008">
        <f t="array" ref="I62">IFERROR(INDEX(Masteratk2024,SMALL(IF(Kriteriaatk2024=$P$4,ROW(Kriteriaatk2024)),ROW(C24)),15),"")</f>
        <v>550000</v>
      </c>
      <c r="J62" s="1008"/>
      <c r="K62" s="184" t="str">
        <f t="shared" si="0"/>
        <v>1</v>
      </c>
    </row>
    <row r="63" spans="1:11" ht="25" customHeight="1">
      <c r="A63" s="721">
        <f>IF(B63&lt;&gt;"",COUNTA($B$39:B63),"")</f>
        <v>25</v>
      </c>
      <c r="B63" s="1007" t="str">
        <f t="array" ref="B63">IFERROR(INDEX(Masteratk2024,SMALL(IF(Kriteriaatk2024=$P$4,ROW(Kriteriaatk2024)),ROW(C25)),11),"")</f>
        <v>Binder Klip Ordner</v>
      </c>
      <c r="C63" s="1007"/>
      <c r="D63" s="1007"/>
      <c r="E63" s="1007"/>
      <c r="F63" s="721">
        <f t="array" ref="F63">IFERROR(INDEX(Masteratk2024,SMALL(IF(Kriteriaatk2024=$P$4,ROW(Kriteriaatk2024)),ROW(C25)),12),"")</f>
        <v>6</v>
      </c>
      <c r="G63" s="721" t="str">
        <f t="array" ref="G63">IFERROR(INDEX(Masteratk2024,SMALL(IF(Kriteriaatk2024=$P$4,ROW(Kriteriaatk2024)),ROW(C25)),13),"")</f>
        <v>buah</v>
      </c>
      <c r="H63" s="809">
        <f t="array" ref="H63">IFERROR(INDEX(Masteratk2024,SMALL(IF(Kriteriaatk2024=$P$4,ROW(Kriteriaatk2024)),ROW(C25)),14),"")</f>
        <v>49500</v>
      </c>
      <c r="I63" s="1008">
        <f t="array" ref="I63">IFERROR(INDEX(Masteratk2024,SMALL(IF(Kriteriaatk2024=$P$4,ROW(Kriteriaatk2024)),ROW(C25)),15),"")</f>
        <v>297000</v>
      </c>
      <c r="J63" s="1008"/>
      <c r="K63" s="184" t="str">
        <f t="shared" si="0"/>
        <v>1</v>
      </c>
    </row>
    <row r="64" spans="1:11" ht="25" customHeight="1">
      <c r="A64" s="721">
        <f>IF(B64&lt;&gt;"",COUNTA($B$39:B64),"")</f>
        <v>26</v>
      </c>
      <c r="B64" s="1007" t="str">
        <f t="array" ref="B64">IFERROR(INDEX(Masteratk2024,SMALL(IF(Kriteriaatk2024=$P$4,ROW(Kriteriaatk2024)),ROW(C26)),11),"")</f>
        <v>Box File Merk : Bantex Ukuran : 115x270x325 mm</v>
      </c>
      <c r="C64" s="1007"/>
      <c r="D64" s="1007"/>
      <c r="E64" s="1007"/>
      <c r="F64" s="721">
        <f t="array" ref="F64">IFERROR(INDEX(Masteratk2024,SMALL(IF(Kriteriaatk2024=$P$4,ROW(Kriteriaatk2024)),ROW(C26)),12),"")</f>
        <v>4</v>
      </c>
      <c r="G64" s="721" t="str">
        <f t="array" ref="G64">IFERROR(INDEX(Masteratk2024,SMALL(IF(Kriteriaatk2024=$P$4,ROW(Kriteriaatk2024)),ROW(C26)),13),"")</f>
        <v>buah</v>
      </c>
      <c r="H64" s="809">
        <f t="array" ref="H64">IFERROR(INDEX(Masteratk2024,SMALL(IF(Kriteriaatk2024=$P$4,ROW(Kriteriaatk2024)),ROW(C26)),14),"")</f>
        <v>59000</v>
      </c>
      <c r="I64" s="1008">
        <f t="array" ref="I64">IFERROR(INDEX(Masteratk2024,SMALL(IF(Kriteriaatk2024=$P$4,ROW(Kriteriaatk2024)),ROW(C26)),15),"")</f>
        <v>236000</v>
      </c>
      <c r="J64" s="1008"/>
      <c r="K64" s="184" t="str">
        <f t="shared" si="0"/>
        <v>1</v>
      </c>
    </row>
    <row r="65" spans="1:11" ht="25" customHeight="1">
      <c r="A65" s="721">
        <f>IF(B65&lt;&gt;"",COUNTA($B$39:B65),"")</f>
        <v>27</v>
      </c>
      <c r="B65" s="1007" t="str">
        <f t="array" ref="B65">IFERROR(INDEX(Masteratk2024,SMALL(IF(Kriteriaatk2024=$P$4,ROW(Kriteriaatk2024)),ROW(C27)),11),"")</f>
        <v>Sampul Plastik</v>
      </c>
      <c r="C65" s="1007"/>
      <c r="D65" s="1007"/>
      <c r="E65" s="1007"/>
      <c r="F65" s="721">
        <f t="array" ref="F65">IFERROR(INDEX(Masteratk2024,SMALL(IF(Kriteriaatk2024=$P$4,ROW(Kriteriaatk2024)),ROW(C27)),12),"")</f>
        <v>5</v>
      </c>
      <c r="G65" s="721" t="str">
        <f t="array" ref="G65">IFERROR(INDEX(Masteratk2024,SMALL(IF(Kriteriaatk2024=$P$4,ROW(Kriteriaatk2024)),ROW(C27)),13),"")</f>
        <v>bungkus</v>
      </c>
      <c r="H65" s="809">
        <f t="array" ref="H65">IFERROR(INDEX(Masteratk2024,SMALL(IF(Kriteriaatk2024=$P$4,ROW(Kriteriaatk2024)),ROW(C27)),14),"")</f>
        <v>65000</v>
      </c>
      <c r="I65" s="1008">
        <f t="array" ref="I65">IFERROR(INDEX(Masteratk2024,SMALL(IF(Kriteriaatk2024=$P$4,ROW(Kriteriaatk2024)),ROW(C27)),15),"")</f>
        <v>325000</v>
      </c>
      <c r="J65" s="1008"/>
      <c r="K65" s="184" t="str">
        <f t="shared" si="0"/>
        <v>1</v>
      </c>
    </row>
    <row r="66" spans="1:11" ht="25" customHeight="1">
      <c r="A66" s="721">
        <f>IF(B66&lt;&gt;"",COUNTA($B$39:B66),"")</f>
        <v>28</v>
      </c>
      <c r="B66" s="1007" t="str">
        <f t="array" ref="B66">IFERROR(INDEX(Masteratk2024,SMALL(IF(Kriteriaatk2024=$P$4,ROW(Kriteriaatk2024)),ROW(C28)),11),"")</f>
        <v>Tinta Printer Canon 740 Hitam-740 Hitam</v>
      </c>
      <c r="C66" s="1007"/>
      <c r="D66" s="1007"/>
      <c r="E66" s="1007"/>
      <c r="F66" s="721">
        <f t="array" ref="F66">IFERROR(INDEX(Masteratk2024,SMALL(IF(Kriteriaatk2024=$P$4,ROW(Kriteriaatk2024)),ROW(C28)),12),"")</f>
        <v>8</v>
      </c>
      <c r="G66" s="721" t="str">
        <f t="array" ref="G66">IFERROR(INDEX(Masteratk2024,SMALL(IF(Kriteriaatk2024=$P$4,ROW(Kriteriaatk2024)),ROW(C28)),13),"")</f>
        <v>botol</v>
      </c>
      <c r="H66" s="809">
        <f t="array" ref="H66">IFERROR(INDEX(Masteratk2024,SMALL(IF(Kriteriaatk2024=$P$4,ROW(Kriteriaatk2024)),ROW(C28)),14),"")</f>
        <v>30000</v>
      </c>
      <c r="I66" s="1008">
        <f t="array" ref="I66">IFERROR(INDEX(Masteratk2024,SMALL(IF(Kriteriaatk2024=$P$4,ROW(Kriteriaatk2024)),ROW(C28)),15),"")</f>
        <v>240000</v>
      </c>
      <c r="J66" s="1008"/>
      <c r="K66" s="184" t="str">
        <f t="shared" si="0"/>
        <v>1</v>
      </c>
    </row>
    <row r="67" spans="1:11" ht="25" customHeight="1">
      <c r="A67" s="721">
        <f>IF(B67&lt;&gt;"",COUNTA($B$39:B67),"")</f>
        <v>29</v>
      </c>
      <c r="B67" s="1007" t="str">
        <f t="array" ref="B67">IFERROR(INDEX(Masteratk2024,SMALL(IF(Kriteriaatk2024=$P$4,ROW(Kriteriaatk2024)),ROW(C29)),11),"")</f>
        <v>Tinta Printer Canon 741 Warna-741 Warna</v>
      </c>
      <c r="C67" s="1007"/>
      <c r="D67" s="1007"/>
      <c r="E67" s="1007"/>
      <c r="F67" s="721">
        <f t="array" ref="F67">IFERROR(INDEX(Masteratk2024,SMALL(IF(Kriteriaatk2024=$P$4,ROW(Kriteriaatk2024)),ROW(C29)),12),"")</f>
        <v>12</v>
      </c>
      <c r="G67" s="721" t="str">
        <f t="array" ref="G67">IFERROR(INDEX(Masteratk2024,SMALL(IF(Kriteriaatk2024=$P$4,ROW(Kriteriaatk2024)),ROW(C29)),13),"")</f>
        <v>botol</v>
      </c>
      <c r="H67" s="809">
        <f t="array" ref="H67">IFERROR(INDEX(Masteratk2024,SMALL(IF(Kriteriaatk2024=$P$4,ROW(Kriteriaatk2024)),ROW(C29)),14),"")</f>
        <v>33000</v>
      </c>
      <c r="I67" s="1008">
        <f t="array" ref="I67">IFERROR(INDEX(Masteratk2024,SMALL(IF(Kriteriaatk2024=$P$4,ROW(Kriteriaatk2024)),ROW(C29)),15),"")</f>
        <v>396000</v>
      </c>
      <c r="J67" s="1008"/>
      <c r="K67" s="184" t="str">
        <f t="shared" si="0"/>
        <v>1</v>
      </c>
    </row>
    <row r="68" spans="1:11" ht="25" customHeight="1">
      <c r="A68" s="721">
        <f>IF(B68&lt;&gt;"",COUNTA($B$39:B68),"")</f>
        <v>30</v>
      </c>
      <c r="B68" s="1007" t="str">
        <f t="array" ref="B68">IFERROR(INDEX(Masteratk2024,SMALL(IF(Kriteriaatk2024=$P$4,ROW(Kriteriaatk2024)),ROW(C30)),11),"")</f>
        <v>C. Tinta Printer EPSON Toner Epson 664 Black</v>
      </c>
      <c r="C68" s="1007"/>
      <c r="D68" s="1007"/>
      <c r="E68" s="1007"/>
      <c r="F68" s="721">
        <f t="array" ref="F68">IFERROR(INDEX(Masteratk2024,SMALL(IF(Kriteriaatk2024=$P$4,ROW(Kriteriaatk2024)),ROW(C30)),12),"")</f>
        <v>6</v>
      </c>
      <c r="G68" s="721" t="str">
        <f t="array" ref="G68">IFERROR(INDEX(Masteratk2024,SMALL(IF(Kriteriaatk2024=$P$4,ROW(Kriteriaatk2024)),ROW(C30)),13),"")</f>
        <v>botol</v>
      </c>
      <c r="H68" s="809">
        <f t="array" ref="H68">IFERROR(INDEX(Masteratk2024,SMALL(IF(Kriteriaatk2024=$P$4,ROW(Kriteriaatk2024)),ROW(C30)),14),"")</f>
        <v>85000</v>
      </c>
      <c r="I68" s="1008">
        <f t="array" ref="I68">IFERROR(INDEX(Masteratk2024,SMALL(IF(Kriteriaatk2024=$P$4,ROW(Kriteriaatk2024)),ROW(C30)),15),"")</f>
        <v>510000</v>
      </c>
      <c r="J68" s="1008"/>
      <c r="K68" s="184" t="str">
        <f t="shared" si="0"/>
        <v>1</v>
      </c>
    </row>
    <row r="69" spans="1:11" ht="25" customHeight="1">
      <c r="A69" s="721">
        <f>IF(B69&lt;&gt;"",COUNTA($B$39:B69),"")</f>
        <v>31</v>
      </c>
      <c r="B69" s="1007" t="str">
        <f t="array" ref="B69">IFERROR(INDEX(Masteratk2024,SMALL(IF(Kriteriaatk2024=$P$4,ROW(Kriteriaatk2024)),ROW(C31)),11),"")</f>
        <v>C. Tinta Printer EPSON Tinta Printer Epson Yellow</v>
      </c>
      <c r="C69" s="1007"/>
      <c r="D69" s="1007"/>
      <c r="E69" s="1007"/>
      <c r="F69" s="721">
        <f t="array" ref="F69">IFERROR(INDEX(Masteratk2024,SMALL(IF(Kriteriaatk2024=$P$4,ROW(Kriteriaatk2024)),ROW(C31)),12),"")</f>
        <v>4</v>
      </c>
      <c r="G69" s="721" t="str">
        <f t="array" ref="G69">IFERROR(INDEX(Masteratk2024,SMALL(IF(Kriteriaatk2024=$P$4,ROW(Kriteriaatk2024)),ROW(C31)),13),"")</f>
        <v>botol</v>
      </c>
      <c r="H69" s="809">
        <f t="array" ref="H69">IFERROR(INDEX(Masteratk2024,SMALL(IF(Kriteriaatk2024=$P$4,ROW(Kriteriaatk2024)),ROW(C31)),14),"")</f>
        <v>110000</v>
      </c>
      <c r="I69" s="1008">
        <f t="array" ref="I69">IFERROR(INDEX(Masteratk2024,SMALL(IF(Kriteriaatk2024=$P$4,ROW(Kriteriaatk2024)),ROW(C31)),15),"")</f>
        <v>440000</v>
      </c>
      <c r="J69" s="1008"/>
      <c r="K69" s="184" t="str">
        <f t="shared" si="0"/>
        <v>1</v>
      </c>
    </row>
    <row r="70" spans="1:11" ht="25" customHeight="1">
      <c r="A70" s="721">
        <f>IF(B70&lt;&gt;"",COUNTA($B$39:B70),"")</f>
        <v>32</v>
      </c>
      <c r="B70" s="1007" t="str">
        <f t="array" ref="B70">IFERROR(INDEX(Masteratk2024,SMALL(IF(Kriteriaatk2024=$P$4,ROW(Kriteriaatk2024)),ROW(C32)),11),"")</f>
        <v>C. Tinta Printer EPSON Tinta Printer Epson Blue</v>
      </c>
      <c r="C70" s="1007"/>
      <c r="D70" s="1007"/>
      <c r="E70" s="1007"/>
      <c r="F70" s="721">
        <f t="array" ref="F70">IFERROR(INDEX(Masteratk2024,SMALL(IF(Kriteriaatk2024=$P$4,ROW(Kriteriaatk2024)),ROW(C32)),12),"")</f>
        <v>4</v>
      </c>
      <c r="G70" s="721" t="str">
        <f t="array" ref="G70">IFERROR(INDEX(Masteratk2024,SMALL(IF(Kriteriaatk2024=$P$4,ROW(Kriteriaatk2024)),ROW(C32)),13),"")</f>
        <v>botol</v>
      </c>
      <c r="H70" s="809">
        <f t="array" ref="H70">IFERROR(INDEX(Masteratk2024,SMALL(IF(Kriteriaatk2024=$P$4,ROW(Kriteriaatk2024)),ROW(C32)),14),"")</f>
        <v>110000</v>
      </c>
      <c r="I70" s="1008">
        <f t="array" ref="I70">IFERROR(INDEX(Masteratk2024,SMALL(IF(Kriteriaatk2024=$P$4,ROW(Kriteriaatk2024)),ROW(C32)),15),"")</f>
        <v>440000</v>
      </c>
      <c r="J70" s="1008"/>
      <c r="K70" s="184" t="str">
        <f t="shared" si="0"/>
        <v>1</v>
      </c>
    </row>
    <row r="71" spans="1:11" ht="25" customHeight="1">
      <c r="A71" s="721">
        <f>IF(B71&lt;&gt;"",COUNTA($B$39:B71),"")</f>
        <v>33</v>
      </c>
      <c r="B71" s="1007" t="str">
        <f t="array" ref="B71">IFERROR(INDEX(Masteratk2024,SMALL(IF(Kriteriaatk2024=$P$4,ROW(Kriteriaatk2024)),ROW(C33)),11),"")</f>
        <v>C. Tinta Printer EPSON Tinta Printer Epson Read</v>
      </c>
      <c r="C71" s="1007"/>
      <c r="D71" s="1007"/>
      <c r="E71" s="1007"/>
      <c r="F71" s="721">
        <f t="array" ref="F71">IFERROR(INDEX(Masteratk2024,SMALL(IF(Kriteriaatk2024=$P$4,ROW(Kriteriaatk2024)),ROW(C33)),12),"")</f>
        <v>4</v>
      </c>
      <c r="G71" s="721" t="str">
        <f t="array" ref="G71">IFERROR(INDEX(Masteratk2024,SMALL(IF(Kriteriaatk2024=$P$4,ROW(Kriteriaatk2024)),ROW(C33)),13),"")</f>
        <v>botol</v>
      </c>
      <c r="H71" s="809">
        <f t="array" ref="H71">IFERROR(INDEX(Masteratk2024,SMALL(IF(Kriteriaatk2024=$P$4,ROW(Kriteriaatk2024)),ROW(C33)),14),"")</f>
        <v>110000</v>
      </c>
      <c r="I71" s="1008">
        <f t="array" ref="I71">IFERROR(INDEX(Masteratk2024,SMALL(IF(Kriteriaatk2024=$P$4,ROW(Kriteriaatk2024)),ROW(C33)),15),"")</f>
        <v>440000</v>
      </c>
      <c r="J71" s="1008"/>
      <c r="K71" s="184" t="str">
        <f t="shared" si="0"/>
        <v>1</v>
      </c>
    </row>
    <row r="72" spans="1:11" ht="25" customHeight="1">
      <c r="A72" s="721">
        <f>IF(B72&lt;&gt;"",COUNTA($B$39:B72),"")</f>
        <v>34</v>
      </c>
      <c r="B72" s="1007" t="str">
        <f t="array" ref="B72">IFERROR(INDEX(Masteratk2024,SMALL(IF(Kriteriaatk2024=$P$4,ROW(Kriteriaatk2024)),ROW(C34)),11),"")</f>
        <v>Lakban Besar</v>
      </c>
      <c r="C72" s="1007"/>
      <c r="D72" s="1007"/>
      <c r="E72" s="1007"/>
      <c r="F72" s="721">
        <f t="array" ref="F72">IFERROR(INDEX(Masteratk2024,SMALL(IF(Kriteriaatk2024=$P$4,ROW(Kriteriaatk2024)),ROW(C34)),12),"")</f>
        <v>5</v>
      </c>
      <c r="G72" s="721" t="str">
        <f t="array" ref="G72">IFERROR(INDEX(Masteratk2024,SMALL(IF(Kriteriaatk2024=$P$4,ROW(Kriteriaatk2024)),ROW(C34)),13),"")</f>
        <v>buah</v>
      </c>
      <c r="H72" s="809">
        <f t="array" ref="H72">IFERROR(INDEX(Masteratk2024,SMALL(IF(Kriteriaatk2024=$P$4,ROW(Kriteriaatk2024)),ROW(C34)),14),"")</f>
        <v>25000</v>
      </c>
      <c r="I72" s="1008">
        <f t="array" ref="I72">IFERROR(INDEX(Masteratk2024,SMALL(IF(Kriteriaatk2024=$P$4,ROW(Kriteriaatk2024)),ROW(C34)),15),"")</f>
        <v>125000</v>
      </c>
      <c r="J72" s="1008"/>
      <c r="K72" s="184" t="str">
        <f t="shared" si="0"/>
        <v>1</v>
      </c>
    </row>
    <row r="73" spans="1:11" ht="25" customHeight="1">
      <c r="A73" s="721">
        <f>IF(B73&lt;&gt;"",COUNTA($B$39:B73),"")</f>
        <v>35</v>
      </c>
      <c r="B73" s="1007" t="str">
        <f t="array" ref="B73">IFERROR(INDEX(Masteratk2024,SMALL(IF(Kriteriaatk2024=$P$4,ROW(Kriteriaatk2024)),ROW(C35)),11),"")</f>
        <v>Lakban Bening Sedang</v>
      </c>
      <c r="C73" s="1007"/>
      <c r="D73" s="1007"/>
      <c r="E73" s="1007"/>
      <c r="F73" s="721">
        <f t="array" ref="F73">IFERROR(INDEX(Masteratk2024,SMALL(IF(Kriteriaatk2024=$P$4,ROW(Kriteriaatk2024)),ROW(C35)),12),"")</f>
        <v>5</v>
      </c>
      <c r="G73" s="721" t="str">
        <f t="array" ref="G73">IFERROR(INDEX(Masteratk2024,SMALL(IF(Kriteriaatk2024=$P$4,ROW(Kriteriaatk2024)),ROW(C35)),13),"")</f>
        <v>buah</v>
      </c>
      <c r="H73" s="809">
        <f t="array" ref="H73">IFERROR(INDEX(Masteratk2024,SMALL(IF(Kriteriaatk2024=$P$4,ROW(Kriteriaatk2024)),ROW(C35)),14),"")</f>
        <v>15000</v>
      </c>
      <c r="I73" s="1008">
        <f t="array" ref="I73">IFERROR(INDEX(Masteratk2024,SMALL(IF(Kriteriaatk2024=$P$4,ROW(Kriteriaatk2024)),ROW(C35)),15),"")</f>
        <v>75000</v>
      </c>
      <c r="J73" s="1008"/>
      <c r="K73" s="184" t="str">
        <f t="shared" si="0"/>
        <v>1</v>
      </c>
    </row>
    <row r="74" spans="1:11" ht="25" customHeight="1">
      <c r="A74" s="721">
        <f>IF(B74&lt;&gt;"",COUNTA($B$39:B74),"")</f>
        <v>36</v>
      </c>
      <c r="B74" s="1007" t="str">
        <f t="array" ref="B74">IFERROR(INDEX(Masteratk2024,SMALL(IF(Kriteriaatk2024=$P$4,ROW(Kriteriaatk2024)),ROW(C36)),11),"")</f>
        <v>Lakban Bening</v>
      </c>
      <c r="C74" s="1007"/>
      <c r="D74" s="1007"/>
      <c r="E74" s="1007"/>
      <c r="F74" s="721">
        <f t="array" ref="F74">IFERROR(INDEX(Masteratk2024,SMALL(IF(Kriteriaatk2024=$P$4,ROW(Kriteriaatk2024)),ROW(C36)),12),"")</f>
        <v>5</v>
      </c>
      <c r="G74" s="721" t="str">
        <f t="array" ref="G74">IFERROR(INDEX(Masteratk2024,SMALL(IF(Kriteriaatk2024=$P$4,ROW(Kriteriaatk2024)),ROW(C36)),13),"")</f>
        <v>buah</v>
      </c>
      <c r="H74" s="809">
        <f t="array" ref="H74">IFERROR(INDEX(Masteratk2024,SMALL(IF(Kriteriaatk2024=$P$4,ROW(Kriteriaatk2024)),ROW(C36)),14),"")</f>
        <v>10000</v>
      </c>
      <c r="I74" s="1008">
        <f t="array" ref="I74">IFERROR(INDEX(Masteratk2024,SMALL(IF(Kriteriaatk2024=$P$4,ROW(Kriteriaatk2024)),ROW(C36)),15),"")</f>
        <v>50000</v>
      </c>
      <c r="J74" s="1008"/>
      <c r="K74" s="184" t="str">
        <f t="shared" si="0"/>
        <v>1</v>
      </c>
    </row>
    <row r="75" spans="1:11" ht="25" customHeight="1">
      <c r="A75" s="721">
        <f>IF(B75&lt;&gt;"",COUNTA($B$39:B75),"")</f>
        <v>37</v>
      </c>
      <c r="B75" s="1007" t="str">
        <f t="array" ref="B75">IFERROR(INDEX(Masteratk2024,SMALL(IF(Kriteriaatk2024=$P$4,ROW(Kriteriaatk2024)),ROW(C37)),11),"")</f>
        <v>Lakban Hitam--</v>
      </c>
      <c r="C75" s="1007"/>
      <c r="D75" s="1007"/>
      <c r="E75" s="1007"/>
      <c r="F75" s="721">
        <f t="array" ref="F75">IFERROR(INDEX(Masteratk2024,SMALL(IF(Kriteriaatk2024=$P$4,ROW(Kriteriaatk2024)),ROW(C37)),12),"")</f>
        <v>5</v>
      </c>
      <c r="G75" s="721" t="str">
        <f t="array" ref="G75">IFERROR(INDEX(Masteratk2024,SMALL(IF(Kriteriaatk2024=$P$4,ROW(Kriteriaatk2024)),ROW(C37)),13),"")</f>
        <v>buah</v>
      </c>
      <c r="H75" s="809">
        <f t="array" ref="H75">IFERROR(INDEX(Masteratk2024,SMALL(IF(Kriteriaatk2024=$P$4,ROW(Kriteriaatk2024)),ROW(C37)),14),"")</f>
        <v>15000</v>
      </c>
      <c r="I75" s="1008">
        <f t="array" ref="I75">IFERROR(INDEX(Masteratk2024,SMALL(IF(Kriteriaatk2024=$P$4,ROW(Kriteriaatk2024)),ROW(C37)),15),"")</f>
        <v>75000</v>
      </c>
      <c r="J75" s="1008"/>
      <c r="K75" s="184" t="str">
        <f t="shared" si="0"/>
        <v>1</v>
      </c>
    </row>
    <row r="76" spans="1:11" ht="25" customHeight="1">
      <c r="A76" s="721">
        <f>IF(B76&lt;&gt;"",COUNTA($B$39:B76),"")</f>
        <v>38</v>
      </c>
      <c r="B76" s="1007" t="str">
        <f t="array" ref="B76">IFERROR(INDEX(Masteratk2024,SMALL(IF(Kriteriaatk2024=$P$4,ROW(Kriteriaatk2024)),ROW(C38)),11),"")</f>
        <v>lakban hitam-ukuran : lebar 2 inch, panjang 12m, bahan : kain</v>
      </c>
      <c r="C76" s="1007"/>
      <c r="D76" s="1007"/>
      <c r="E76" s="1007"/>
      <c r="F76" s="721">
        <f t="array" ref="F76">IFERROR(INDEX(Masteratk2024,SMALL(IF(Kriteriaatk2024=$P$4,ROW(Kriteriaatk2024)),ROW(C38)),12),"")</f>
        <v>4</v>
      </c>
      <c r="G76" s="721" t="str">
        <f t="array" ref="G76">IFERROR(INDEX(Masteratk2024,SMALL(IF(Kriteriaatk2024=$P$4,ROW(Kriteriaatk2024)),ROW(C38)),13),"")</f>
        <v>buah</v>
      </c>
      <c r="H76" s="809">
        <f t="array" ref="H76">IFERROR(INDEX(Masteratk2024,SMALL(IF(Kriteriaatk2024=$P$4,ROW(Kriteriaatk2024)),ROW(C38)),14),"")</f>
        <v>12500</v>
      </c>
      <c r="I76" s="1008">
        <f t="array" ref="I76">IFERROR(INDEX(Masteratk2024,SMALL(IF(Kriteriaatk2024=$P$4,ROW(Kriteriaatk2024)),ROW(C38)),15),"")</f>
        <v>50000</v>
      </c>
      <c r="J76" s="1008"/>
      <c r="K76" s="184" t="str">
        <f t="shared" si="0"/>
        <v>1</v>
      </c>
    </row>
    <row r="77" spans="1:11" ht="25" customHeight="1">
      <c r="A77" s="721">
        <f>IF(B77&lt;&gt;"",COUNTA($B$39:B77),"")</f>
        <v>39</v>
      </c>
      <c r="B77" s="1007" t="str">
        <f t="array" ref="B77">IFERROR(INDEX(Masteratk2024,SMALL(IF(Kriteriaatk2024=$P$4,ROW(Kriteriaatk2024)),ROW(C39)),11),"")</f>
        <v>Lakban Hitam uk 2 " Warna hitam uk. 2 "</v>
      </c>
      <c r="C77" s="1007"/>
      <c r="D77" s="1007"/>
      <c r="E77" s="1007"/>
      <c r="F77" s="721">
        <f t="array" ref="F77">IFERROR(INDEX(Masteratk2024,SMALL(IF(Kriteriaatk2024=$P$4,ROW(Kriteriaatk2024)),ROW(C39)),12),"")</f>
        <v>5</v>
      </c>
      <c r="G77" s="721" t="str">
        <f t="array" ref="G77">IFERROR(INDEX(Masteratk2024,SMALL(IF(Kriteriaatk2024=$P$4,ROW(Kriteriaatk2024)),ROW(C39)),13),"")</f>
        <v>buah</v>
      </c>
      <c r="H77" s="809">
        <f t="array" ref="H77">IFERROR(INDEX(Masteratk2024,SMALL(IF(Kriteriaatk2024=$P$4,ROW(Kriteriaatk2024)),ROW(C39)),14),"")</f>
        <v>25000</v>
      </c>
      <c r="I77" s="1008">
        <f t="array" ref="I77">IFERROR(INDEX(Masteratk2024,SMALL(IF(Kriteriaatk2024=$P$4,ROW(Kriteriaatk2024)),ROW(C39)),15),"")</f>
        <v>125000</v>
      </c>
      <c r="J77" s="1008"/>
      <c r="K77" s="184" t="str">
        <f t="shared" si="0"/>
        <v>1</v>
      </c>
    </row>
    <row r="78" spans="1:11" ht="25" customHeight="1">
      <c r="A78" s="721">
        <f>IF(B78&lt;&gt;"",COUNTA($B$39:B78),"")</f>
        <v>40</v>
      </c>
      <c r="B78" s="1007" t="str">
        <f t="array" ref="B78">IFERROR(INDEX(Masteratk2024,SMALL(IF(Kriteriaatk2024=$P$4,ROW(Kriteriaatk2024)),ROW(C40)),11),"")</f>
        <v>Lakban warna Uk 2" Warna Coklat Cofiie</v>
      </c>
      <c r="C78" s="1007"/>
      <c r="D78" s="1007"/>
      <c r="E78" s="1007"/>
      <c r="F78" s="721">
        <f t="array" ref="F78">IFERROR(INDEX(Masteratk2024,SMALL(IF(Kriteriaatk2024=$P$4,ROW(Kriteriaatk2024)),ROW(C40)),12),"")</f>
        <v>3</v>
      </c>
      <c r="G78" s="721" t="str">
        <f t="array" ref="G78">IFERROR(INDEX(Masteratk2024,SMALL(IF(Kriteriaatk2024=$P$4,ROW(Kriteriaatk2024)),ROW(C40)),13),"")</f>
        <v>buah</v>
      </c>
      <c r="H78" s="809">
        <f t="array" ref="H78">IFERROR(INDEX(Masteratk2024,SMALL(IF(Kriteriaatk2024=$P$4,ROW(Kriteriaatk2024)),ROW(C40)),14),"")</f>
        <v>20000</v>
      </c>
      <c r="I78" s="1008">
        <f t="array" ref="I78">IFERROR(INDEX(Masteratk2024,SMALL(IF(Kriteriaatk2024=$P$4,ROW(Kriteriaatk2024)),ROW(C40)),15),"")</f>
        <v>60000</v>
      </c>
      <c r="J78" s="1008"/>
      <c r="K78" s="184" t="str">
        <f t="shared" si="0"/>
        <v>1</v>
      </c>
    </row>
    <row r="79" spans="1:11" ht="25" customHeight="1">
      <c r="A79" s="721">
        <f>IF(B79&lt;&gt;"",COUNTA($B$39:B79),"")</f>
        <v>41</v>
      </c>
      <c r="B79" s="1007" t="str">
        <f t="array" ref="B79">IFERROR(INDEX(Masteratk2024,SMALL(IF(Kriteriaatk2024=$P$4,ROW(Kriteriaatk2024)),ROW(C41)),11),"")</f>
        <v>Spidol Refil Spidol White Board Snowman</v>
      </c>
      <c r="C79" s="1007"/>
      <c r="D79" s="1007"/>
      <c r="E79" s="1007"/>
      <c r="F79" s="721">
        <f t="array" ref="F79">IFERROR(INDEX(Masteratk2024,SMALL(IF(Kriteriaatk2024=$P$4,ROW(Kriteriaatk2024)),ROW(C41)),12),"")</f>
        <v>10</v>
      </c>
      <c r="G79" s="721" t="str">
        <f t="array" ref="G79">IFERROR(INDEX(Masteratk2024,SMALL(IF(Kriteriaatk2024=$P$4,ROW(Kriteriaatk2024)),ROW(C41)),13),"")</f>
        <v>buah</v>
      </c>
      <c r="H79" s="809">
        <f t="array" ref="H79">IFERROR(INDEX(Masteratk2024,SMALL(IF(Kriteriaatk2024=$P$4,ROW(Kriteriaatk2024)),ROW(C41)),14),"")</f>
        <v>20900</v>
      </c>
      <c r="I79" s="1008">
        <f t="array" ref="I79">IFERROR(INDEX(Masteratk2024,SMALL(IF(Kriteriaatk2024=$P$4,ROW(Kriteriaatk2024)),ROW(C41)),15),"")</f>
        <v>209000</v>
      </c>
      <c r="J79" s="1008"/>
      <c r="K79" s="184" t="str">
        <f t="shared" si="0"/>
        <v>1</v>
      </c>
    </row>
    <row r="80" spans="1:11" ht="25" customHeight="1">
      <c r="A80" s="721">
        <f>IF(B80&lt;&gt;"",COUNTA($B$39:B80),"")</f>
        <v>42</v>
      </c>
      <c r="B80" s="1007" t="str">
        <f t="array" ref="B80">IFERROR(INDEX(Masteratk2024,SMALL(IF(Kriteriaatk2024=$P$4,ROW(Kriteriaatk2024)),ROW(C42)),11),"")</f>
        <v>Spidol White board</v>
      </c>
      <c r="C80" s="1007"/>
      <c r="D80" s="1007"/>
      <c r="E80" s="1007"/>
      <c r="F80" s="721">
        <f t="array" ref="F80">IFERROR(INDEX(Masteratk2024,SMALL(IF(Kriteriaatk2024=$P$4,ROW(Kriteriaatk2024)),ROW(C42)),12),"")</f>
        <v>2</v>
      </c>
      <c r="G80" s="721" t="str">
        <f t="array" ref="G80">IFERROR(INDEX(Masteratk2024,SMALL(IF(Kriteriaatk2024=$P$4,ROW(Kriteriaatk2024)),ROW(C42)),13),"")</f>
        <v>lusin</v>
      </c>
      <c r="H80" s="809">
        <f t="array" ref="H80">IFERROR(INDEX(Masteratk2024,SMALL(IF(Kriteriaatk2024=$P$4,ROW(Kriteriaatk2024)),ROW(C42)),14),"")</f>
        <v>120000</v>
      </c>
      <c r="I80" s="1008">
        <f t="array" ref="I80">IFERROR(INDEX(Masteratk2024,SMALL(IF(Kriteriaatk2024=$P$4,ROW(Kriteriaatk2024)),ROW(C42)),15),"")</f>
        <v>240000</v>
      </c>
      <c r="J80" s="1008"/>
      <c r="K80" s="184" t="str">
        <f t="shared" si="0"/>
        <v>1</v>
      </c>
    </row>
    <row r="81" spans="1:11" ht="25" customHeight="1">
      <c r="A81" s="721">
        <f>IF(B81&lt;&gt;"",COUNTA($B$39:B81),"")</f>
        <v>43</v>
      </c>
      <c r="B81" s="1007" t="str">
        <f t="array" ref="B81">IFERROR(INDEX(Masteratk2024,SMALL(IF(Kriteriaatk2024=$P$4,ROW(Kriteriaatk2024)),ROW(C43)),11),"")</f>
        <v>Stapler HD-10--</v>
      </c>
      <c r="C81" s="1007"/>
      <c r="D81" s="1007"/>
      <c r="E81" s="1007"/>
      <c r="F81" s="721">
        <f t="array" ref="F81">IFERROR(INDEX(Masteratk2024,SMALL(IF(Kriteriaatk2024=$P$4,ROW(Kriteriaatk2024)),ROW(C43)),12),"")</f>
        <v>2</v>
      </c>
      <c r="G81" s="721" t="str">
        <f t="array" ref="G81">IFERROR(INDEX(Masteratk2024,SMALL(IF(Kriteriaatk2024=$P$4,ROW(Kriteriaatk2024)),ROW(C43)),13),"")</f>
        <v>buah</v>
      </c>
      <c r="H81" s="809">
        <f t="array" ref="H81">IFERROR(INDEX(Masteratk2024,SMALL(IF(Kriteriaatk2024=$P$4,ROW(Kriteriaatk2024)),ROW(C43)),14),"")</f>
        <v>20000</v>
      </c>
      <c r="I81" s="1008">
        <f t="array" ref="I81">IFERROR(INDEX(Masteratk2024,SMALL(IF(Kriteriaatk2024=$P$4,ROW(Kriteriaatk2024)),ROW(C43)),15),"")</f>
        <v>40000</v>
      </c>
      <c r="J81" s="1008"/>
      <c r="K81" s="184" t="str">
        <f t="shared" si="0"/>
        <v>1</v>
      </c>
    </row>
    <row r="82" spans="1:11" ht="25" customHeight="1">
      <c r="A82" s="721">
        <f>IF(B82&lt;&gt;"",COUNTA($B$39:B82),"")</f>
        <v>44</v>
      </c>
      <c r="B82" s="1007" t="str">
        <f t="array" ref="B82">IFERROR(INDEX(Masteratk2024,SMALL(IF(Kriteriaatk2024=$P$4,ROW(Kriteriaatk2024)),ROW(C44)),11),"")</f>
        <v>Stapler Stapler No, 50 MAX</v>
      </c>
      <c r="C82" s="1007"/>
      <c r="D82" s="1007"/>
      <c r="E82" s="1007"/>
      <c r="F82" s="721">
        <f t="array" ref="F82">IFERROR(INDEX(Masteratk2024,SMALL(IF(Kriteriaatk2024=$P$4,ROW(Kriteriaatk2024)),ROW(C44)),12),"")</f>
        <v>2</v>
      </c>
      <c r="G82" s="721" t="str">
        <f t="array" ref="G82">IFERROR(INDEX(Masteratk2024,SMALL(IF(Kriteriaatk2024=$P$4,ROW(Kriteriaatk2024)),ROW(C44)),13),"")</f>
        <v>buah</v>
      </c>
      <c r="H82" s="809">
        <f t="array" ref="H82">IFERROR(INDEX(Masteratk2024,SMALL(IF(Kriteriaatk2024=$P$4,ROW(Kriteriaatk2024)),ROW(C44)),14),"")</f>
        <v>25000</v>
      </c>
      <c r="I82" s="1008">
        <f t="array" ref="I82">IFERROR(INDEX(Masteratk2024,SMALL(IF(Kriteriaatk2024=$P$4,ROW(Kriteriaatk2024)),ROW(C44)),15),"")</f>
        <v>50000</v>
      </c>
      <c r="J82" s="1008"/>
      <c r="K82" s="184" t="str">
        <f t="shared" si="0"/>
        <v>1</v>
      </c>
    </row>
    <row r="83" spans="1:11" ht="25" customHeight="1">
      <c r="A83" s="721">
        <f>IF(B83&lt;&gt;"",COUNTA($B$39:B83),"")</f>
        <v>45</v>
      </c>
      <c r="B83" s="1007" t="str">
        <f t="array" ref="B83">IFERROR(INDEX(Masteratk2024,SMALL(IF(Kriteriaatk2024=$P$4,ROW(Kriteriaatk2024)),ROW(C45)),11),"")</f>
        <v>PAPER CLIP  Paper Clip No 1</v>
      </c>
      <c r="C83" s="1007"/>
      <c r="D83" s="1007"/>
      <c r="E83" s="1007"/>
      <c r="F83" s="721">
        <f t="array" ref="F83">IFERROR(INDEX(Masteratk2024,SMALL(IF(Kriteriaatk2024=$P$4,ROW(Kriteriaatk2024)),ROW(C45)),12),"")</f>
        <v>5</v>
      </c>
      <c r="G83" s="721" t="str">
        <f t="array" ref="G83">IFERROR(INDEX(Masteratk2024,SMALL(IF(Kriteriaatk2024=$P$4,ROW(Kriteriaatk2024)),ROW(C45)),13),"")</f>
        <v>kotak</v>
      </c>
      <c r="H83" s="809">
        <f t="array" ref="H83">IFERROR(INDEX(Masteratk2024,SMALL(IF(Kriteriaatk2024=$P$4,ROW(Kriteriaatk2024)),ROW(C45)),14),"")</f>
        <v>6000</v>
      </c>
      <c r="I83" s="1008">
        <f t="array" ref="I83">IFERROR(INDEX(Masteratk2024,SMALL(IF(Kriteriaatk2024=$P$4,ROW(Kriteriaatk2024)),ROW(C45)),15),"")</f>
        <v>30000</v>
      </c>
      <c r="J83" s="1008"/>
      <c r="K83" s="184" t="str">
        <f t="shared" si="0"/>
        <v>1</v>
      </c>
    </row>
    <row r="84" spans="1:11" ht="25" customHeight="1">
      <c r="A84" s="721">
        <f>IF(B84&lt;&gt;"",COUNTA($B$39:B84),"")</f>
        <v>46</v>
      </c>
      <c r="B84" s="1007" t="str">
        <f t="array" ref="B84">IFERROR(INDEX(Masteratk2024,SMALL(IF(Kriteriaatk2024=$P$4,ROW(Kriteriaatk2024)),ROW(C46)),11),"")</f>
        <v>Paper Clip No 1  Paper Clip No 3</v>
      </c>
      <c r="C84" s="1007"/>
      <c r="D84" s="1007"/>
      <c r="E84" s="1007"/>
      <c r="F84" s="721">
        <f t="array" ref="F84">IFERROR(INDEX(Masteratk2024,SMALL(IF(Kriteriaatk2024=$P$4,ROW(Kriteriaatk2024)),ROW(C46)),12),"")</f>
        <v>5</v>
      </c>
      <c r="G84" s="721" t="str">
        <f t="array" ref="G84">IFERROR(INDEX(Masteratk2024,SMALL(IF(Kriteriaatk2024=$P$4,ROW(Kriteriaatk2024)),ROW(C46)),13),"")</f>
        <v>kotak</v>
      </c>
      <c r="H84" s="809">
        <f t="array" ref="H84">IFERROR(INDEX(Masteratk2024,SMALL(IF(Kriteriaatk2024=$P$4,ROW(Kriteriaatk2024)),ROW(C46)),14),"")</f>
        <v>6000</v>
      </c>
      <c r="I84" s="1008">
        <f t="array" ref="I84">IFERROR(INDEX(Masteratk2024,SMALL(IF(Kriteriaatk2024=$P$4,ROW(Kriteriaatk2024)),ROW(C46)),15),"")</f>
        <v>30000</v>
      </c>
      <c r="J84" s="1008"/>
      <c r="K84" s="184" t="str">
        <f t="shared" si="0"/>
        <v>1</v>
      </c>
    </row>
    <row r="85" spans="1:11" ht="25" customHeight="1">
      <c r="A85" s="721">
        <f>IF(B85&lt;&gt;"",COUNTA($B$39:B85),"")</f>
        <v>47</v>
      </c>
      <c r="B85" s="1007" t="str">
        <f t="array" ref="B85">IFERROR(INDEX(Masteratk2024,SMALL(IF(Kriteriaatk2024=$P$4,ROW(Kriteriaatk2024)),ROW(C47)),11),"")</f>
        <v>gunting kertas-ukuran : panjang 21cm x lebar 8cm, stainless steel</v>
      </c>
      <c r="C85" s="1007"/>
      <c r="D85" s="1007"/>
      <c r="E85" s="1007"/>
      <c r="F85" s="721">
        <f t="array" ref="F85">IFERROR(INDEX(Masteratk2024,SMALL(IF(Kriteriaatk2024=$P$4,ROW(Kriteriaatk2024)),ROW(C47)),12),"")</f>
        <v>2</v>
      </c>
      <c r="G85" s="721" t="str">
        <f t="array" ref="G85">IFERROR(INDEX(Masteratk2024,SMALL(IF(Kriteriaatk2024=$P$4,ROW(Kriteriaatk2024)),ROW(C47)),13),"")</f>
        <v>buah</v>
      </c>
      <c r="H85" s="809">
        <f t="array" ref="H85">IFERROR(INDEX(Masteratk2024,SMALL(IF(Kriteriaatk2024=$P$4,ROW(Kriteriaatk2024)),ROW(C47)),14),"")</f>
        <v>20000</v>
      </c>
      <c r="I85" s="1008">
        <f t="array" ref="I85">IFERROR(INDEX(Masteratk2024,SMALL(IF(Kriteriaatk2024=$P$4,ROW(Kriteriaatk2024)),ROW(C47)),15),"")</f>
        <v>40000</v>
      </c>
      <c r="J85" s="1008"/>
      <c r="K85" s="184" t="str">
        <f t="shared" si="0"/>
        <v>1</v>
      </c>
    </row>
    <row r="86" spans="1:11" ht="25" customHeight="1">
      <c r="A86" s="721">
        <f>IF(B86&lt;&gt;"",COUNTA($B$39:B86),"")</f>
        <v>48</v>
      </c>
      <c r="B86" s="1007" t="str">
        <f t="array" ref="B86">IFERROR(INDEX(Masteratk2024,SMALL(IF(Kriteriaatk2024=$P$4,ROW(Kriteriaatk2024)),ROW(C48)),11),"")</f>
        <v>Pisau Cutter Kenko L-500</v>
      </c>
      <c r="C86" s="1007"/>
      <c r="D86" s="1007"/>
      <c r="E86" s="1007"/>
      <c r="F86" s="721">
        <f t="array" ref="F86">IFERROR(INDEX(Masteratk2024,SMALL(IF(Kriteriaatk2024=$P$4,ROW(Kriteriaatk2024)),ROW(C48)),12),"")</f>
        <v>2</v>
      </c>
      <c r="G86" s="721" t="str">
        <f t="array" ref="G86">IFERROR(INDEX(Masteratk2024,SMALL(IF(Kriteriaatk2024=$P$4,ROW(Kriteriaatk2024)),ROW(C48)),13),"")</f>
        <v>buah</v>
      </c>
      <c r="H86" s="809">
        <f t="array" ref="H86">IFERROR(INDEX(Masteratk2024,SMALL(IF(Kriteriaatk2024=$P$4,ROW(Kriteriaatk2024)),ROW(C48)),14),"")</f>
        <v>15000</v>
      </c>
      <c r="I86" s="1008">
        <f t="array" ref="I86">IFERROR(INDEX(Masteratk2024,SMALL(IF(Kriteriaatk2024=$P$4,ROW(Kriteriaatk2024)),ROW(C48)),15),"")</f>
        <v>30000</v>
      </c>
      <c r="J86" s="1008"/>
      <c r="K86" s="184" t="str">
        <f t="shared" si="0"/>
        <v>1</v>
      </c>
    </row>
    <row r="87" spans="1:11" ht="25" customHeight="1">
      <c r="A87" s="721">
        <f>IF(B87&lt;&gt;"",COUNTA($B$39:B87),"")</f>
        <v>49</v>
      </c>
      <c r="B87" s="1007" t="str">
        <f t="array" ref="B87">IFERROR(INDEX(Masteratk2024,SMALL(IF(Kriteriaatk2024=$P$4,ROW(Kriteriaatk2024)),ROW(C49)),11),"")</f>
        <v>Baterey Kecil</v>
      </c>
      <c r="C87" s="1007"/>
      <c r="D87" s="1007"/>
      <c r="E87" s="1007"/>
      <c r="F87" s="721">
        <f t="array" ref="F87">IFERROR(INDEX(Masteratk2024,SMALL(IF(Kriteriaatk2024=$P$4,ROW(Kriteriaatk2024)),ROW(C49)),12),"")</f>
        <v>5</v>
      </c>
      <c r="G87" s="721" t="str">
        <f t="array" ref="G87">IFERROR(INDEX(Masteratk2024,SMALL(IF(Kriteriaatk2024=$P$4,ROW(Kriteriaatk2024)),ROW(C49)),13),"")</f>
        <v>pasang</v>
      </c>
      <c r="H87" s="809">
        <f t="array" ref="H87">IFERROR(INDEX(Masteratk2024,SMALL(IF(Kriteriaatk2024=$P$4,ROW(Kriteriaatk2024)),ROW(C49)),14),"")</f>
        <v>20000</v>
      </c>
      <c r="I87" s="1008">
        <f t="array" ref="I87">IFERROR(INDEX(Masteratk2024,SMALL(IF(Kriteriaatk2024=$P$4,ROW(Kriteriaatk2024)),ROW(C49)),15),"")</f>
        <v>100000</v>
      </c>
      <c r="J87" s="1008"/>
      <c r="K87" s="184" t="str">
        <f t="shared" si="0"/>
        <v>1</v>
      </c>
    </row>
    <row r="88" spans="1:11" ht="26.5" hidden="1" customHeight="1">
      <c r="A88" s="721" t="str">
        <f>IF(B88&lt;&gt;"",COUNTA($B$39:B88),"")</f>
        <v/>
      </c>
      <c r="B88" s="1007" t="str">
        <f t="array" ref="B88">IFERROR(INDEX(Masteratk2024,SMALL(IF(Kriteriaatk2024=$P$4,ROW(Kriteriaatk2024)),ROW(C50)),11),"")</f>
        <v/>
      </c>
      <c r="C88" s="1007"/>
      <c r="D88" s="1007"/>
      <c r="E88" s="1007"/>
      <c r="F88" s="721" t="str">
        <f t="array" ref="F88">IFERROR(INDEX(Masteratk2024,SMALL(IF(Kriteriaatk2024=$P$4,ROW(Kriteriaatk2024)),ROW(C50)),12),"")</f>
        <v/>
      </c>
      <c r="G88" s="721" t="str">
        <f t="array" ref="G88">IFERROR(INDEX(Masteratk2024,SMALL(IF(Kriteriaatk2024=$P$4,ROW(Kriteriaatk2024)),ROW(C50)),13),"")</f>
        <v/>
      </c>
      <c r="H88" s="809" t="str">
        <f t="array" ref="H88">IFERROR(INDEX(Masteratk2024,SMALL(IF(Kriteriaatk2024=$P$4,ROW(Kriteriaatk2024)),ROW(C50)),14),"")</f>
        <v/>
      </c>
      <c r="I88" s="1008" t="str">
        <f t="array" ref="I88">IFERROR(INDEX(Masteratk2024,SMALL(IF(Kriteriaatk2024=$P$4,ROW(Kriteriaatk2024)),ROW(C50)),15),"")</f>
        <v/>
      </c>
      <c r="J88" s="1008"/>
      <c r="K88" s="184" t="str">
        <f t="shared" si="0"/>
        <v>0</v>
      </c>
    </row>
    <row r="89" spans="1:11" ht="26.5" hidden="1" customHeight="1">
      <c r="A89" s="721" t="str">
        <f>IF(B89&lt;&gt;"",COUNTA($B$39:B89),"")</f>
        <v/>
      </c>
      <c r="B89" s="1007" t="str">
        <f t="array" ref="B89">IFERROR(INDEX(Masteratk2024,SMALL(IF(Kriteriaatk2024=$P$4,ROW(Kriteriaatk2024)),ROW(C51)),11),"")</f>
        <v/>
      </c>
      <c r="C89" s="1007"/>
      <c r="D89" s="1007"/>
      <c r="E89" s="1007"/>
      <c r="F89" s="721" t="str">
        <f t="array" ref="F89">IFERROR(INDEX(Masteratk2024,SMALL(IF(Kriteriaatk2024=$P$4,ROW(Kriteriaatk2024)),ROW(C51)),12),"")</f>
        <v/>
      </c>
      <c r="G89" s="721" t="str">
        <f t="array" ref="G89">IFERROR(INDEX(Masteratk2024,SMALL(IF(Kriteriaatk2024=$P$4,ROW(Kriteriaatk2024)),ROW(C51)),13),"")</f>
        <v/>
      </c>
      <c r="H89" s="809" t="str">
        <f t="array" ref="H89">IFERROR(INDEX(Masteratk2024,SMALL(IF(Kriteriaatk2024=$P$4,ROW(Kriteriaatk2024)),ROW(C51)),14),"")</f>
        <v/>
      </c>
      <c r="I89" s="1008" t="str">
        <f t="array" ref="I89">IFERROR(INDEX(Masteratk2024,SMALL(IF(Kriteriaatk2024=$P$4,ROW(Kriteriaatk2024)),ROW(C51)),15),"")</f>
        <v/>
      </c>
      <c r="J89" s="1008"/>
      <c r="K89" s="184" t="str">
        <f t="shared" si="0"/>
        <v>0</v>
      </c>
    </row>
    <row r="90" spans="1:11" ht="26.5" hidden="1" customHeight="1">
      <c r="A90" s="721" t="str">
        <f>IF(B90&lt;&gt;"",COUNTA($B$39:B90),"")</f>
        <v/>
      </c>
      <c r="B90" s="1007" t="str">
        <f t="array" ref="B90">IFERROR(INDEX(Masteratk2024,SMALL(IF(Kriteriaatk2024=$P$4,ROW(Kriteriaatk2024)),ROW(C52)),11),"")</f>
        <v/>
      </c>
      <c r="C90" s="1007"/>
      <c r="D90" s="1007"/>
      <c r="E90" s="1007"/>
      <c r="F90" s="721" t="str">
        <f t="array" ref="F90">IFERROR(INDEX(Masteratk2024,SMALL(IF(Kriteriaatk2024=$P$4,ROW(Kriteriaatk2024)),ROW(C52)),12),"")</f>
        <v/>
      </c>
      <c r="G90" s="721" t="str">
        <f t="array" ref="G90">IFERROR(INDEX(Masteratk2024,SMALL(IF(Kriteriaatk2024=$P$4,ROW(Kriteriaatk2024)),ROW(C52)),13),"")</f>
        <v/>
      </c>
      <c r="H90" s="809" t="str">
        <f t="array" ref="H90">IFERROR(INDEX(Masteratk2024,SMALL(IF(Kriteriaatk2024=$P$4,ROW(Kriteriaatk2024)),ROW(C52)),14),"")</f>
        <v/>
      </c>
      <c r="I90" s="1008" t="str">
        <f t="array" ref="I90">IFERROR(INDEX(Masteratk2024,SMALL(IF(Kriteriaatk2024=$P$4,ROW(Kriteriaatk2024)),ROW(C52)),15),"")</f>
        <v/>
      </c>
      <c r="J90" s="1008"/>
      <c r="K90" s="184" t="str">
        <f t="shared" si="0"/>
        <v>0</v>
      </c>
    </row>
    <row r="91" spans="1:11" ht="26.5" hidden="1" customHeight="1">
      <c r="A91" s="721" t="str">
        <f>IF(B91&lt;&gt;"",COUNTA($B$39:B91),"")</f>
        <v/>
      </c>
      <c r="B91" s="1007" t="str">
        <f t="array" ref="B91">IFERROR(INDEX(Masteratk2024,SMALL(IF(Kriteriaatk2024=$P$4,ROW(Kriteriaatk2024)),ROW(C53)),11),"")</f>
        <v/>
      </c>
      <c r="C91" s="1007"/>
      <c r="D91" s="1007"/>
      <c r="E91" s="1007"/>
      <c r="F91" s="721" t="str">
        <f t="array" ref="F91">IFERROR(INDEX(Masteratk2024,SMALL(IF(Kriteriaatk2024=$P$4,ROW(Kriteriaatk2024)),ROW(C53)),12),"")</f>
        <v/>
      </c>
      <c r="G91" s="721" t="str">
        <f t="array" ref="G91">IFERROR(INDEX(Masteratk2024,SMALL(IF(Kriteriaatk2024=$P$4,ROW(Kriteriaatk2024)),ROW(C53)),13),"")</f>
        <v/>
      </c>
      <c r="H91" s="809" t="str">
        <f t="array" ref="H91">IFERROR(INDEX(Masteratk2024,SMALL(IF(Kriteriaatk2024=$P$4,ROW(Kriteriaatk2024)),ROW(C53)),14),"")</f>
        <v/>
      </c>
      <c r="I91" s="1008" t="str">
        <f t="array" ref="I91">IFERROR(INDEX(Masteratk2024,SMALL(IF(Kriteriaatk2024=$P$4,ROW(Kriteriaatk2024)),ROW(C53)),15),"")</f>
        <v/>
      </c>
      <c r="J91" s="1008"/>
      <c r="K91" s="184" t="str">
        <f t="shared" si="0"/>
        <v>0</v>
      </c>
    </row>
    <row r="92" spans="1:11" ht="26.5" hidden="1" customHeight="1">
      <c r="A92" s="721" t="str">
        <f>IF(B92&lt;&gt;"",COUNTA($B$39:B92),"")</f>
        <v/>
      </c>
      <c r="B92" s="1007" t="str">
        <f t="array" ref="B92">IFERROR(INDEX(Masteratk2024,SMALL(IF(Kriteriaatk2024=$P$4,ROW(Kriteriaatk2024)),ROW(C54)),11),"")</f>
        <v/>
      </c>
      <c r="C92" s="1007"/>
      <c r="D92" s="1007"/>
      <c r="E92" s="1007"/>
      <c r="F92" s="721" t="str">
        <f t="array" ref="F92">IFERROR(INDEX(Masteratk2024,SMALL(IF(Kriteriaatk2024=$P$4,ROW(Kriteriaatk2024)),ROW(C54)),12),"")</f>
        <v/>
      </c>
      <c r="G92" s="721" t="str">
        <f t="array" ref="G92">IFERROR(INDEX(Masteratk2024,SMALL(IF(Kriteriaatk2024=$P$4,ROW(Kriteriaatk2024)),ROW(C54)),13),"")</f>
        <v/>
      </c>
      <c r="H92" s="809" t="str">
        <f t="array" ref="H92">IFERROR(INDEX(Masteratk2024,SMALL(IF(Kriteriaatk2024=$P$4,ROW(Kriteriaatk2024)),ROW(C54)),14),"")</f>
        <v/>
      </c>
      <c r="I92" s="1008" t="str">
        <f t="array" ref="I92">IFERROR(INDEX(Masteratk2024,SMALL(IF(Kriteriaatk2024=$P$4,ROW(Kriteriaatk2024)),ROW(C54)),15),"")</f>
        <v/>
      </c>
      <c r="J92" s="1008"/>
      <c r="K92" s="184" t="str">
        <f t="shared" si="0"/>
        <v>0</v>
      </c>
    </row>
    <row r="93" spans="1:11" ht="26.5" hidden="1" customHeight="1">
      <c r="A93" s="721" t="str">
        <f>IF(B93&lt;&gt;"",COUNTA($B$39:B93),"")</f>
        <v/>
      </c>
      <c r="B93" s="1007" t="str">
        <f t="array" ref="B93">IFERROR(INDEX(Masteratk2024,SMALL(IF(Kriteriaatk2024=$P$4,ROW(Kriteriaatk2024)),ROW(C55)),11),"")</f>
        <v/>
      </c>
      <c r="C93" s="1007"/>
      <c r="D93" s="1007"/>
      <c r="E93" s="1007"/>
      <c r="F93" s="721" t="str">
        <f t="array" ref="F93">IFERROR(INDEX(Masteratk2024,SMALL(IF(Kriteriaatk2024=$P$4,ROW(Kriteriaatk2024)),ROW(C55)),12),"")</f>
        <v/>
      </c>
      <c r="G93" s="721" t="str">
        <f t="array" ref="G93">IFERROR(INDEX(Masteratk2024,SMALL(IF(Kriteriaatk2024=$P$4,ROW(Kriteriaatk2024)),ROW(C55)),13),"")</f>
        <v/>
      </c>
      <c r="H93" s="809" t="str">
        <f t="array" ref="H93">IFERROR(INDEX(Masteratk2024,SMALL(IF(Kriteriaatk2024=$P$4,ROW(Kriteriaatk2024)),ROW(C55)),14),"")</f>
        <v/>
      </c>
      <c r="I93" s="1008" t="str">
        <f t="array" ref="I93">IFERROR(INDEX(Masteratk2024,SMALL(IF(Kriteriaatk2024=$P$4,ROW(Kriteriaatk2024)),ROW(C55)),15),"")</f>
        <v/>
      </c>
      <c r="J93" s="1008"/>
      <c r="K93" s="184" t="str">
        <f t="shared" si="0"/>
        <v>0</v>
      </c>
    </row>
    <row r="94" spans="1:11" ht="26.5" hidden="1" customHeight="1">
      <c r="A94" s="721" t="str">
        <f>IF(B94&lt;&gt;"",COUNTA($B$39:B94),"")</f>
        <v/>
      </c>
      <c r="B94" s="1007" t="str">
        <f t="array" ref="B94">IFERROR(INDEX(Masteratk2024,SMALL(IF(Kriteriaatk2024=$P$4,ROW(Kriteriaatk2024)),ROW(C56)),11),"")</f>
        <v/>
      </c>
      <c r="C94" s="1007"/>
      <c r="D94" s="1007"/>
      <c r="E94" s="1007"/>
      <c r="F94" s="721" t="str">
        <f t="array" ref="F94">IFERROR(INDEX(Masteratk2024,SMALL(IF(Kriteriaatk2024=$P$4,ROW(Kriteriaatk2024)),ROW(C56)),12),"")</f>
        <v/>
      </c>
      <c r="G94" s="721" t="str">
        <f t="array" ref="G94">IFERROR(INDEX(Masteratk2024,SMALL(IF(Kriteriaatk2024=$P$4,ROW(Kriteriaatk2024)),ROW(C56)),13),"")</f>
        <v/>
      </c>
      <c r="H94" s="809" t="str">
        <f t="array" ref="H94">IFERROR(INDEX(Masteratk2024,SMALL(IF(Kriteriaatk2024=$P$4,ROW(Kriteriaatk2024)),ROW(C56)),14),"")</f>
        <v/>
      </c>
      <c r="I94" s="1008" t="str">
        <f t="array" ref="I94">IFERROR(INDEX(Masteratk2024,SMALL(IF(Kriteriaatk2024=$P$4,ROW(Kriteriaatk2024)),ROW(C56)),15),"")</f>
        <v/>
      </c>
      <c r="J94" s="1008"/>
      <c r="K94" s="184" t="str">
        <f t="shared" si="0"/>
        <v>0</v>
      </c>
    </row>
    <row r="95" spans="1:11" ht="26.5" hidden="1" customHeight="1">
      <c r="A95" s="721" t="str">
        <f>IF(B95&lt;&gt;"",COUNTA($B$39:B95),"")</f>
        <v/>
      </c>
      <c r="B95" s="1007" t="str">
        <f t="array" ref="B95">IFERROR(INDEX(Masteratk2024,SMALL(IF(Kriteriaatk2024=$P$4,ROW(Kriteriaatk2024)),ROW(C57)),11),"")</f>
        <v/>
      </c>
      <c r="C95" s="1007"/>
      <c r="D95" s="1007"/>
      <c r="E95" s="1007"/>
      <c r="F95" s="721" t="str">
        <f t="array" ref="F95">IFERROR(INDEX(Masteratk2024,SMALL(IF(Kriteriaatk2024=$P$4,ROW(Kriteriaatk2024)),ROW(C57)),12),"")</f>
        <v/>
      </c>
      <c r="G95" s="721" t="str">
        <f t="array" ref="G95">IFERROR(INDEX(Masteratk2024,SMALL(IF(Kriteriaatk2024=$P$4,ROW(Kriteriaatk2024)),ROW(C57)),13),"")</f>
        <v/>
      </c>
      <c r="H95" s="809" t="str">
        <f t="array" ref="H95">IFERROR(INDEX(Masteratk2024,SMALL(IF(Kriteriaatk2024=$P$4,ROW(Kriteriaatk2024)),ROW(C57)),14),"")</f>
        <v/>
      </c>
      <c r="I95" s="1008" t="str">
        <f t="array" ref="I95">IFERROR(INDEX(Masteratk2024,SMALL(IF(Kriteriaatk2024=$P$4,ROW(Kriteriaatk2024)),ROW(C57)),15),"")</f>
        <v/>
      </c>
      <c r="J95" s="1008"/>
      <c r="K95" s="184" t="str">
        <f t="shared" si="0"/>
        <v>0</v>
      </c>
    </row>
    <row r="96" spans="1:11" ht="26.5" hidden="1" customHeight="1">
      <c r="A96" s="721" t="str">
        <f>IF(B96&lt;&gt;"",COUNTA($B$39:B96),"")</f>
        <v/>
      </c>
      <c r="B96" s="1007" t="str">
        <f t="array" ref="B96">IFERROR(INDEX(Masteratk2024,SMALL(IF(Kriteriaatk2024=$P$4,ROW(Kriteriaatk2024)),ROW(C58)),11),"")</f>
        <v/>
      </c>
      <c r="C96" s="1007"/>
      <c r="D96" s="1007"/>
      <c r="E96" s="1007"/>
      <c r="F96" s="721" t="str">
        <f t="array" ref="F96">IFERROR(INDEX(Masteratk2024,SMALL(IF(Kriteriaatk2024=$P$4,ROW(Kriteriaatk2024)),ROW(C58)),12),"")</f>
        <v/>
      </c>
      <c r="G96" s="721" t="str">
        <f t="array" ref="G96">IFERROR(INDEX(Masteratk2024,SMALL(IF(Kriteriaatk2024=$P$4,ROW(Kriteriaatk2024)),ROW(C58)),13),"")</f>
        <v/>
      </c>
      <c r="H96" s="809" t="str">
        <f t="array" ref="H96">IFERROR(INDEX(Masteratk2024,SMALL(IF(Kriteriaatk2024=$P$4,ROW(Kriteriaatk2024)),ROW(C58)),14),"")</f>
        <v/>
      </c>
      <c r="I96" s="1008" t="str">
        <f t="array" ref="I96">IFERROR(INDEX(Masteratk2024,SMALL(IF(Kriteriaatk2024=$P$4,ROW(Kriteriaatk2024)),ROW(C58)),15),"")</f>
        <v/>
      </c>
      <c r="J96" s="1008"/>
      <c r="K96" s="184" t="str">
        <f t="shared" si="0"/>
        <v>0</v>
      </c>
    </row>
    <row r="97" spans="1:11" ht="26.5" hidden="1" customHeight="1">
      <c r="A97" s="721" t="str">
        <f>IF(B97&lt;&gt;"",COUNTA($B$39:B97),"")</f>
        <v/>
      </c>
      <c r="B97" s="1007" t="str">
        <f t="array" ref="B97">IFERROR(INDEX(Masteratk2024,SMALL(IF(Kriteriaatk2024=$P$4,ROW(Kriteriaatk2024)),ROW(C59)),11),"")</f>
        <v/>
      </c>
      <c r="C97" s="1007"/>
      <c r="D97" s="1007"/>
      <c r="E97" s="1007"/>
      <c r="F97" s="721" t="str">
        <f t="array" ref="F97">IFERROR(INDEX(Masteratk2024,SMALL(IF(Kriteriaatk2024=$P$4,ROW(Kriteriaatk2024)),ROW(C59)),12),"")</f>
        <v/>
      </c>
      <c r="G97" s="721" t="str">
        <f t="array" ref="G97">IFERROR(INDEX(Masteratk2024,SMALL(IF(Kriteriaatk2024=$P$4,ROW(Kriteriaatk2024)),ROW(C59)),13),"")</f>
        <v/>
      </c>
      <c r="H97" s="809" t="str">
        <f t="array" ref="H97">IFERROR(INDEX(Masteratk2024,SMALL(IF(Kriteriaatk2024=$P$4,ROW(Kriteriaatk2024)),ROW(C59)),14),"")</f>
        <v/>
      </c>
      <c r="I97" s="1008" t="str">
        <f t="array" ref="I97">IFERROR(INDEX(Masteratk2024,SMALL(IF(Kriteriaatk2024=$P$4,ROW(Kriteriaatk2024)),ROW(C59)),15),"")</f>
        <v/>
      </c>
      <c r="J97" s="1008"/>
      <c r="K97" s="184" t="str">
        <f t="shared" si="0"/>
        <v>0</v>
      </c>
    </row>
    <row r="98" spans="1:11" ht="26.5" hidden="1" customHeight="1">
      <c r="A98" s="721" t="str">
        <f>IF(B98&lt;&gt;"",COUNTA($B$39:B98),"")</f>
        <v/>
      </c>
      <c r="B98" s="1007" t="str">
        <f t="array" ref="B98">IFERROR(INDEX(Masteratk2024,SMALL(IF(Kriteriaatk2024=$P$4,ROW(Kriteriaatk2024)),ROW(C60)),11),"")</f>
        <v/>
      </c>
      <c r="C98" s="1007"/>
      <c r="D98" s="1007"/>
      <c r="E98" s="1007"/>
      <c r="F98" s="721" t="str">
        <f t="array" ref="F98">IFERROR(INDEX(Masteratk2024,SMALL(IF(Kriteriaatk2024=$P$4,ROW(Kriteriaatk2024)),ROW(C60)),12),"")</f>
        <v/>
      </c>
      <c r="G98" s="721" t="str">
        <f t="array" ref="G98">IFERROR(INDEX(Masteratk2024,SMALL(IF(Kriteriaatk2024=$P$4,ROW(Kriteriaatk2024)),ROW(C60)),13),"")</f>
        <v/>
      </c>
      <c r="H98" s="809" t="str">
        <f t="array" ref="H98">IFERROR(INDEX(Masteratk2024,SMALL(IF(Kriteriaatk2024=$P$4,ROW(Kriteriaatk2024)),ROW(C60)),14),"")</f>
        <v/>
      </c>
      <c r="I98" s="1008" t="str">
        <f t="array" ref="I98">IFERROR(INDEX(Masteratk2024,SMALL(IF(Kriteriaatk2024=$P$4,ROW(Kriteriaatk2024)),ROW(C60)),15),"")</f>
        <v/>
      </c>
      <c r="J98" s="1008"/>
      <c r="K98" s="184" t="str">
        <f t="shared" si="0"/>
        <v>0</v>
      </c>
    </row>
    <row r="99" spans="1:11" ht="26.5" hidden="1" customHeight="1">
      <c r="A99" s="721" t="str">
        <f>IF(B99&lt;&gt;"",COUNTA($B$39:B99),"")</f>
        <v/>
      </c>
      <c r="B99" s="1007" t="str">
        <f t="array" ref="B99">IFERROR(INDEX(Masteratk2024,SMALL(IF(Kriteriaatk2024=$P$4,ROW(Kriteriaatk2024)),ROW(C61)),11),"")</f>
        <v/>
      </c>
      <c r="C99" s="1007"/>
      <c r="D99" s="1007"/>
      <c r="E99" s="1007"/>
      <c r="F99" s="721" t="str">
        <f t="array" ref="F99">IFERROR(INDEX(Masteratk2024,SMALL(IF(Kriteriaatk2024=$P$4,ROW(Kriteriaatk2024)),ROW(C61)),12),"")</f>
        <v/>
      </c>
      <c r="G99" s="721" t="str">
        <f t="array" ref="G99">IFERROR(INDEX(Masteratk2024,SMALL(IF(Kriteriaatk2024=$P$4,ROW(Kriteriaatk2024)),ROW(C61)),13),"")</f>
        <v/>
      </c>
      <c r="H99" s="809" t="str">
        <f t="array" ref="H99">IFERROR(INDEX(Masteratk2024,SMALL(IF(Kriteriaatk2024=$P$4,ROW(Kriteriaatk2024)),ROW(C61)),14),"")</f>
        <v/>
      </c>
      <c r="I99" s="1008" t="str">
        <f t="array" ref="I99">IFERROR(INDEX(Masteratk2024,SMALL(IF(Kriteriaatk2024=$P$4,ROW(Kriteriaatk2024)),ROW(C61)),15),"")</f>
        <v/>
      </c>
      <c r="J99" s="1008"/>
      <c r="K99" s="184" t="str">
        <f t="shared" si="0"/>
        <v>0</v>
      </c>
    </row>
    <row r="100" spans="1:11" ht="26.5" hidden="1" customHeight="1">
      <c r="A100" s="721" t="str">
        <f>IF(B100&lt;&gt;"",COUNTA($B$39:B100),"")</f>
        <v/>
      </c>
      <c r="B100" s="1007" t="str">
        <f t="array" ref="B100">IFERROR(INDEX(Masteratk2024,SMALL(IF(Kriteriaatk2024=$P$4,ROW(Kriteriaatk2024)),ROW(C62)),11),"")</f>
        <v/>
      </c>
      <c r="C100" s="1007"/>
      <c r="D100" s="1007"/>
      <c r="E100" s="1007"/>
      <c r="F100" s="721" t="str">
        <f t="array" ref="F100">IFERROR(INDEX(Masteratk2024,SMALL(IF(Kriteriaatk2024=$P$4,ROW(Kriteriaatk2024)),ROW(C62)),12),"")</f>
        <v/>
      </c>
      <c r="G100" s="721" t="str">
        <f t="array" ref="G100">IFERROR(INDEX(Masteratk2024,SMALL(IF(Kriteriaatk2024=$P$4,ROW(Kriteriaatk2024)),ROW(C62)),13),"")</f>
        <v/>
      </c>
      <c r="H100" s="809" t="str">
        <f t="array" ref="H100">IFERROR(INDEX(Masteratk2024,SMALL(IF(Kriteriaatk2024=$P$4,ROW(Kriteriaatk2024)),ROW(C62)),14),"")</f>
        <v/>
      </c>
      <c r="I100" s="1008" t="str">
        <f t="array" ref="I100">IFERROR(INDEX(Masteratk2024,SMALL(IF(Kriteriaatk2024=$P$4,ROW(Kriteriaatk2024)),ROW(C62)),15),"")</f>
        <v/>
      </c>
      <c r="J100" s="1008"/>
      <c r="K100" s="184" t="str">
        <f t="shared" si="0"/>
        <v>0</v>
      </c>
    </row>
    <row r="101" spans="1:11" ht="26.5" hidden="1" customHeight="1">
      <c r="A101" s="721" t="str">
        <f>IF(B101&lt;&gt;"",COUNTA($B$39:B101),"")</f>
        <v/>
      </c>
      <c r="B101" s="1007" t="str">
        <f t="array" ref="B101">IFERROR(INDEX(Masteratk2024,SMALL(IF(Kriteriaatk2024=$P$4,ROW(Kriteriaatk2024)),ROW(C63)),11),"")</f>
        <v/>
      </c>
      <c r="C101" s="1007"/>
      <c r="D101" s="1007"/>
      <c r="E101" s="1007"/>
      <c r="F101" s="721" t="str">
        <f t="array" ref="F101">IFERROR(INDEX(Masteratk2024,SMALL(IF(Kriteriaatk2024=$P$4,ROW(Kriteriaatk2024)),ROW(C63)),12),"")</f>
        <v/>
      </c>
      <c r="G101" s="721" t="str">
        <f t="array" ref="G101">IFERROR(INDEX(Masteratk2024,SMALL(IF(Kriteriaatk2024=$P$4,ROW(Kriteriaatk2024)),ROW(C63)),13),"")</f>
        <v/>
      </c>
      <c r="H101" s="809" t="str">
        <f t="array" ref="H101">IFERROR(INDEX(Masteratk2024,SMALL(IF(Kriteriaatk2024=$P$4,ROW(Kriteriaatk2024)),ROW(C63)),14),"")</f>
        <v/>
      </c>
      <c r="I101" s="1008" t="str">
        <f t="array" ref="I101">IFERROR(INDEX(Masteratk2024,SMALL(IF(Kriteriaatk2024=$P$4,ROW(Kriteriaatk2024)),ROW(C63)),15),"")</f>
        <v/>
      </c>
      <c r="J101" s="1008"/>
      <c r="K101" s="184" t="str">
        <f t="shared" si="0"/>
        <v>0</v>
      </c>
    </row>
    <row r="102" spans="1:11" ht="26.5" hidden="1" customHeight="1">
      <c r="A102" s="721" t="str">
        <f>IF(B102&lt;&gt;"",COUNTA($B$39:B102),"")</f>
        <v/>
      </c>
      <c r="B102" s="1007" t="str">
        <f t="array" ref="B102">IFERROR(INDEX(Masteratk2024,SMALL(IF(Kriteriaatk2024=$P$4,ROW(Kriteriaatk2024)),ROW(C64)),11),"")</f>
        <v/>
      </c>
      <c r="C102" s="1007"/>
      <c r="D102" s="1007"/>
      <c r="E102" s="1007"/>
      <c r="F102" s="721" t="str">
        <f t="array" ref="F102">IFERROR(INDEX(Masteratk2024,SMALL(IF(Kriteriaatk2024=$P$4,ROW(Kriteriaatk2024)),ROW(C64)),12),"")</f>
        <v/>
      </c>
      <c r="G102" s="721" t="str">
        <f t="array" ref="G102">IFERROR(INDEX(Masteratk2024,SMALL(IF(Kriteriaatk2024=$P$4,ROW(Kriteriaatk2024)),ROW(C64)),13),"")</f>
        <v/>
      </c>
      <c r="H102" s="809" t="str">
        <f t="array" ref="H102">IFERROR(INDEX(Masteratk2024,SMALL(IF(Kriteriaatk2024=$P$4,ROW(Kriteriaatk2024)),ROW(C64)),14),"")</f>
        <v/>
      </c>
      <c r="I102" s="1008" t="str">
        <f t="array" ref="I102">IFERROR(INDEX(Masteratk2024,SMALL(IF(Kriteriaatk2024=$P$4,ROW(Kriteriaatk2024)),ROW(C64)),15),"")</f>
        <v/>
      </c>
      <c r="J102" s="1008"/>
      <c r="K102" s="184" t="str">
        <f t="shared" si="0"/>
        <v>0</v>
      </c>
    </row>
    <row r="103" spans="1:11" ht="26.5" hidden="1" customHeight="1">
      <c r="A103" s="721" t="str">
        <f>IF(B103&lt;&gt;"",COUNTA($B$39:B103),"")</f>
        <v/>
      </c>
      <c r="B103" s="1007" t="str">
        <f t="array" ref="B103">IFERROR(INDEX(Masteratk2024,SMALL(IF(Kriteriaatk2024=$P$4,ROW(Kriteriaatk2024)),ROW(C65)),11),"")</f>
        <v/>
      </c>
      <c r="C103" s="1007"/>
      <c r="D103" s="1007"/>
      <c r="E103" s="1007"/>
      <c r="F103" s="721" t="str">
        <f t="array" ref="F103">IFERROR(INDEX(Masteratk2024,SMALL(IF(Kriteriaatk2024=$P$4,ROW(Kriteriaatk2024)),ROW(C65)),12),"")</f>
        <v/>
      </c>
      <c r="G103" s="721" t="str">
        <f t="array" ref="G103">IFERROR(INDEX(Masteratk2024,SMALL(IF(Kriteriaatk2024=$P$4,ROW(Kriteriaatk2024)),ROW(C65)),13),"")</f>
        <v/>
      </c>
      <c r="H103" s="809" t="str">
        <f t="array" ref="H103">IFERROR(INDEX(Masteratk2024,SMALL(IF(Kriteriaatk2024=$P$4,ROW(Kriteriaatk2024)),ROW(C65)),14),"")</f>
        <v/>
      </c>
      <c r="I103" s="1008" t="str">
        <f t="array" ref="I103">IFERROR(INDEX(Masteratk2024,SMALL(IF(Kriteriaatk2024=$P$4,ROW(Kriteriaatk2024)),ROW(C65)),15),"")</f>
        <v/>
      </c>
      <c r="J103" s="1008"/>
      <c r="K103" s="184" t="str">
        <f t="shared" si="0"/>
        <v>0</v>
      </c>
    </row>
    <row r="104" spans="1:11" ht="26.5" hidden="1" customHeight="1">
      <c r="A104" s="721" t="str">
        <f>IF(B104&lt;&gt;"",COUNTA($B$39:B104),"")</f>
        <v/>
      </c>
      <c r="B104" s="1007" t="str">
        <f t="array" ref="B104">IFERROR(INDEX(Masteratk2024,SMALL(IF(Kriteriaatk2024=$P$4,ROW(Kriteriaatk2024)),ROW(C66)),11),"")</f>
        <v/>
      </c>
      <c r="C104" s="1007"/>
      <c r="D104" s="1007"/>
      <c r="E104" s="1007"/>
      <c r="F104" s="721" t="str">
        <f t="array" ref="F104">IFERROR(INDEX(Masteratk2024,SMALL(IF(Kriteriaatk2024=$P$4,ROW(Kriteriaatk2024)),ROW(C66)),12),"")</f>
        <v/>
      </c>
      <c r="G104" s="721" t="str">
        <f t="array" ref="G104">IFERROR(INDEX(Masteratk2024,SMALL(IF(Kriteriaatk2024=$P$4,ROW(Kriteriaatk2024)),ROW(C66)),13),"")</f>
        <v/>
      </c>
      <c r="H104" s="809" t="str">
        <f t="array" ref="H104">IFERROR(INDEX(Masteratk2024,SMALL(IF(Kriteriaatk2024=$P$4,ROW(Kriteriaatk2024)),ROW(C66)),14),"")</f>
        <v/>
      </c>
      <c r="I104" s="1008" t="str">
        <f t="array" ref="I104">IFERROR(INDEX(Masteratk2024,SMALL(IF(Kriteriaatk2024=$P$4,ROW(Kriteriaatk2024)),ROW(C66)),15),"")</f>
        <v/>
      </c>
      <c r="J104" s="1008"/>
      <c r="K104" s="184" t="str">
        <f t="shared" ref="K104:K118" si="1">IF(A104="","0","1")</f>
        <v>0</v>
      </c>
    </row>
    <row r="105" spans="1:11" ht="26.5" hidden="1" customHeight="1">
      <c r="A105" s="721" t="str">
        <f>IF(B105&lt;&gt;"",COUNTA($B$39:B105),"")</f>
        <v/>
      </c>
      <c r="B105" s="1007" t="str">
        <f t="array" ref="B105">IFERROR(INDEX(Masteratk2024,SMALL(IF(Kriteriaatk2024=$P$4,ROW(Kriteriaatk2024)),ROW(C67)),11),"")</f>
        <v/>
      </c>
      <c r="C105" s="1007"/>
      <c r="D105" s="1007"/>
      <c r="E105" s="1007"/>
      <c r="F105" s="721" t="str">
        <f t="array" ref="F105">IFERROR(INDEX(Masteratk2024,SMALL(IF(Kriteriaatk2024=$P$4,ROW(Kriteriaatk2024)),ROW(C67)),12),"")</f>
        <v/>
      </c>
      <c r="G105" s="721" t="str">
        <f t="array" ref="G105">IFERROR(INDEX(Masteratk2024,SMALL(IF(Kriteriaatk2024=$P$4,ROW(Kriteriaatk2024)),ROW(C67)),13),"")</f>
        <v/>
      </c>
      <c r="H105" s="809" t="str">
        <f t="array" ref="H105">IFERROR(INDEX(Masteratk2024,SMALL(IF(Kriteriaatk2024=$P$4,ROW(Kriteriaatk2024)),ROW(C67)),14),"")</f>
        <v/>
      </c>
      <c r="I105" s="1008" t="str">
        <f t="array" ref="I105">IFERROR(INDEX(Masteratk2024,SMALL(IF(Kriteriaatk2024=$P$4,ROW(Kriteriaatk2024)),ROW(C67)),15),"")</f>
        <v/>
      </c>
      <c r="J105" s="1008"/>
      <c r="K105" s="184" t="str">
        <f t="shared" si="1"/>
        <v>0</v>
      </c>
    </row>
    <row r="106" spans="1:11" ht="26.5" hidden="1" customHeight="1">
      <c r="A106" s="721" t="str">
        <f>IF(B106&lt;&gt;"",COUNTA($B$39:B106),"")</f>
        <v/>
      </c>
      <c r="B106" s="1007" t="str">
        <f t="array" ref="B106">IFERROR(INDEX(Masteratk2024,SMALL(IF(Kriteriaatk2024=$P$4,ROW(Kriteriaatk2024)),ROW(C68)),11),"")</f>
        <v/>
      </c>
      <c r="C106" s="1007"/>
      <c r="D106" s="1007"/>
      <c r="E106" s="1007"/>
      <c r="F106" s="721" t="str">
        <f t="array" ref="F106">IFERROR(INDEX(Masteratk2024,SMALL(IF(Kriteriaatk2024=$P$4,ROW(Kriteriaatk2024)),ROW(C68)),12),"")</f>
        <v/>
      </c>
      <c r="G106" s="721" t="str">
        <f t="array" ref="G106">IFERROR(INDEX(Masteratk2024,SMALL(IF(Kriteriaatk2024=$P$4,ROW(Kriteriaatk2024)),ROW(C68)),13),"")</f>
        <v/>
      </c>
      <c r="H106" s="809" t="str">
        <f t="array" ref="H106">IFERROR(INDEX(Masteratk2024,SMALL(IF(Kriteriaatk2024=$P$4,ROW(Kriteriaatk2024)),ROW(C68)),14),"")</f>
        <v/>
      </c>
      <c r="I106" s="1008" t="str">
        <f t="array" ref="I106">IFERROR(INDEX(Masteratk2024,SMALL(IF(Kriteriaatk2024=$P$4,ROW(Kriteriaatk2024)),ROW(C68)),15),"")</f>
        <v/>
      </c>
      <c r="J106" s="1008"/>
      <c r="K106" s="184" t="str">
        <f t="shared" si="1"/>
        <v>0</v>
      </c>
    </row>
    <row r="107" spans="1:11" ht="26.5" hidden="1" customHeight="1">
      <c r="A107" s="721" t="str">
        <f>IF(B107&lt;&gt;"",COUNTA($B$39:B107),"")</f>
        <v/>
      </c>
      <c r="B107" s="1007" t="str">
        <f t="array" ref="B107">IFERROR(INDEX(Masteratk2024,SMALL(IF(Kriteriaatk2024=$P$4,ROW(Kriteriaatk2024)),ROW(C69)),11),"")</f>
        <v/>
      </c>
      <c r="C107" s="1007"/>
      <c r="D107" s="1007"/>
      <c r="E107" s="1007"/>
      <c r="F107" s="721" t="str">
        <f t="array" ref="F107">IFERROR(INDEX(Masteratk2024,SMALL(IF(Kriteriaatk2024=$P$4,ROW(Kriteriaatk2024)),ROW(C69)),12),"")</f>
        <v/>
      </c>
      <c r="G107" s="721" t="str">
        <f t="array" ref="G107">IFERROR(INDEX(Masteratk2024,SMALL(IF(Kriteriaatk2024=$P$4,ROW(Kriteriaatk2024)),ROW(C69)),13),"")</f>
        <v/>
      </c>
      <c r="H107" s="809" t="str">
        <f t="array" ref="H107">IFERROR(INDEX(Masteratk2024,SMALL(IF(Kriteriaatk2024=$P$4,ROW(Kriteriaatk2024)),ROW(C69)),14),"")</f>
        <v/>
      </c>
      <c r="I107" s="1008" t="str">
        <f t="array" ref="I107">IFERROR(INDEX(Masteratk2024,SMALL(IF(Kriteriaatk2024=$P$4,ROW(Kriteriaatk2024)),ROW(C69)),15),"")</f>
        <v/>
      </c>
      <c r="J107" s="1008"/>
      <c r="K107" s="184" t="str">
        <f t="shared" si="1"/>
        <v>0</v>
      </c>
    </row>
    <row r="108" spans="1:11" ht="26.5" hidden="1" customHeight="1">
      <c r="A108" s="721" t="str">
        <f>IF(B108&lt;&gt;"",COUNTA($B$39:B108),"")</f>
        <v/>
      </c>
      <c r="B108" s="1007" t="str">
        <f t="array" ref="B108">IFERROR(INDEX(Masteratk2024,SMALL(IF(Kriteriaatk2024=$P$4,ROW(Kriteriaatk2024)),ROW(C70)),11),"")</f>
        <v/>
      </c>
      <c r="C108" s="1007"/>
      <c r="D108" s="1007"/>
      <c r="E108" s="1007"/>
      <c r="F108" s="721" t="str">
        <f t="array" ref="F108">IFERROR(INDEX(Masteratk2024,SMALL(IF(Kriteriaatk2024=$P$4,ROW(Kriteriaatk2024)),ROW(C70)),12),"")</f>
        <v/>
      </c>
      <c r="G108" s="721" t="str">
        <f t="array" ref="G108">IFERROR(INDEX(Masteratk2024,SMALL(IF(Kriteriaatk2024=$P$4,ROW(Kriteriaatk2024)),ROW(C70)),13),"")</f>
        <v/>
      </c>
      <c r="H108" s="809" t="str">
        <f t="array" ref="H108">IFERROR(INDEX(Masteratk2024,SMALL(IF(Kriteriaatk2024=$P$4,ROW(Kriteriaatk2024)),ROW(C70)),14),"")</f>
        <v/>
      </c>
      <c r="I108" s="1008" t="str">
        <f t="array" ref="I108">IFERROR(INDEX(Masteratk2024,SMALL(IF(Kriteriaatk2024=$P$4,ROW(Kriteriaatk2024)),ROW(C70)),15),"")</f>
        <v/>
      </c>
      <c r="J108" s="1008"/>
      <c r="K108" s="184" t="str">
        <f t="shared" si="1"/>
        <v>0</v>
      </c>
    </row>
    <row r="109" spans="1:11" ht="26.5" hidden="1" customHeight="1">
      <c r="A109" s="721" t="str">
        <f>IF(B109&lt;&gt;"",COUNTA($B$39:B109),"")</f>
        <v/>
      </c>
      <c r="B109" s="1007" t="str">
        <f t="array" ref="B109">IFERROR(INDEX(Masteratk2024,SMALL(IF(Kriteriaatk2024=$P$4,ROW(Kriteriaatk2024)),ROW(C71)),11),"")</f>
        <v/>
      </c>
      <c r="C109" s="1007"/>
      <c r="D109" s="1007"/>
      <c r="E109" s="1007"/>
      <c r="F109" s="721" t="str">
        <f t="array" ref="F109">IFERROR(INDEX(Masteratk2024,SMALL(IF(Kriteriaatk2024=$P$4,ROW(Kriteriaatk2024)),ROW(C71)),12),"")</f>
        <v/>
      </c>
      <c r="G109" s="721" t="str">
        <f t="array" ref="G109">IFERROR(INDEX(Masteratk2024,SMALL(IF(Kriteriaatk2024=$P$4,ROW(Kriteriaatk2024)),ROW(C71)),13),"")</f>
        <v/>
      </c>
      <c r="H109" s="809" t="str">
        <f t="array" ref="H109">IFERROR(INDEX(Masteratk2024,SMALL(IF(Kriteriaatk2024=$P$4,ROW(Kriteriaatk2024)),ROW(C71)),14),"")</f>
        <v/>
      </c>
      <c r="I109" s="896"/>
      <c r="J109" s="896"/>
      <c r="K109" s="184" t="str">
        <f t="shared" si="1"/>
        <v>0</v>
      </c>
    </row>
    <row r="110" spans="1:11" ht="26.5" hidden="1" customHeight="1">
      <c r="A110" s="721" t="str">
        <f>IF(B110&lt;&gt;"",COUNTA($B$39:B110),"")</f>
        <v/>
      </c>
      <c r="B110" s="1007" t="str">
        <f t="array" ref="B110">IFERROR(INDEX(Masteratk2024,SMALL(IF(Kriteriaatk2024=$P$4,ROW(Kriteriaatk2024)),ROW(C72)),11),"")</f>
        <v/>
      </c>
      <c r="C110" s="1007"/>
      <c r="D110" s="1007"/>
      <c r="E110" s="1007"/>
      <c r="F110" s="721" t="str">
        <f t="array" ref="F110">IFERROR(INDEX(Masteratk2024,SMALL(IF(Kriteriaatk2024=$P$4,ROW(Kriteriaatk2024)),ROW(C72)),12),"")</f>
        <v/>
      </c>
      <c r="G110" s="721" t="str">
        <f t="array" ref="G110">IFERROR(INDEX(Masteratk2024,SMALL(IF(Kriteriaatk2024=$P$4,ROW(Kriteriaatk2024)),ROW(C72)),13),"")</f>
        <v/>
      </c>
      <c r="H110" s="809" t="str">
        <f t="array" ref="H110">IFERROR(INDEX(Masteratk2024,SMALL(IF(Kriteriaatk2024=$P$4,ROW(Kriteriaatk2024)),ROW(C72)),14),"")</f>
        <v/>
      </c>
      <c r="I110" s="896"/>
      <c r="J110" s="896"/>
      <c r="K110" s="184" t="str">
        <f t="shared" si="1"/>
        <v>0</v>
      </c>
    </row>
    <row r="111" spans="1:11" ht="26.5" hidden="1" customHeight="1">
      <c r="A111" s="721" t="str">
        <f>IF(B111&lt;&gt;"",COUNTA($B$39:B111),"")</f>
        <v/>
      </c>
      <c r="B111" s="1007" t="str">
        <f t="array" ref="B111">IFERROR(INDEX(Masteratk2024,SMALL(IF(Kriteriaatk2024=$P$4,ROW(Kriteriaatk2024)),ROW(C73)),11),"")</f>
        <v/>
      </c>
      <c r="C111" s="1007"/>
      <c r="D111" s="1007"/>
      <c r="E111" s="1007"/>
      <c r="F111" s="721" t="str">
        <f t="array" ref="F111">IFERROR(INDEX(Masteratk2024,SMALL(IF(Kriteriaatk2024=$P$4,ROW(Kriteriaatk2024)),ROW(C73)),12),"")</f>
        <v/>
      </c>
      <c r="G111" s="721" t="str">
        <f t="array" ref="G111">IFERROR(INDEX(Masteratk2024,SMALL(IF(Kriteriaatk2024=$P$4,ROW(Kriteriaatk2024)),ROW(C73)),13),"")</f>
        <v/>
      </c>
      <c r="H111" s="809" t="str">
        <f t="array" ref="H111">IFERROR(INDEX(Masteratk2024,SMALL(IF(Kriteriaatk2024=$P$4,ROW(Kriteriaatk2024)),ROW(C73)),14),"")</f>
        <v/>
      </c>
      <c r="I111" s="896"/>
      <c r="J111" s="896"/>
      <c r="K111" s="184" t="str">
        <f t="shared" si="1"/>
        <v>0</v>
      </c>
    </row>
    <row r="112" spans="1:11" ht="26.5" hidden="1" customHeight="1">
      <c r="A112" s="721" t="str">
        <f>IF(B112&lt;&gt;"",COUNTA($B$39:B112),"")</f>
        <v/>
      </c>
      <c r="B112" s="1007" t="str">
        <f t="array" ref="B112">IFERROR(INDEX(Masteratk2024,SMALL(IF(Kriteriaatk2024=$P$4,ROW(Kriteriaatk2024)),ROW(C74)),11),"")</f>
        <v/>
      </c>
      <c r="C112" s="1007"/>
      <c r="D112" s="1007"/>
      <c r="E112" s="1007"/>
      <c r="F112" s="721" t="str">
        <f t="array" ref="F112">IFERROR(INDEX(Masteratk2024,SMALL(IF(Kriteriaatk2024=$P$4,ROW(Kriteriaatk2024)),ROW(C74)),12),"")</f>
        <v/>
      </c>
      <c r="G112" s="721" t="str">
        <f t="array" ref="G112">IFERROR(INDEX(Masteratk2024,SMALL(IF(Kriteriaatk2024=$P$4,ROW(Kriteriaatk2024)),ROW(C74)),13),"")</f>
        <v/>
      </c>
      <c r="H112" s="809" t="str">
        <f t="array" ref="H112">IFERROR(INDEX(Masteratk2024,SMALL(IF(Kriteriaatk2024=$P$4,ROW(Kriteriaatk2024)),ROW(C74)),14),"")</f>
        <v/>
      </c>
      <c r="I112" s="896"/>
      <c r="J112" s="896"/>
      <c r="K112" s="184" t="str">
        <f t="shared" si="1"/>
        <v>0</v>
      </c>
    </row>
    <row r="113" spans="1:11" ht="26.5" hidden="1" customHeight="1">
      <c r="A113" s="721" t="str">
        <f>IF(B113&lt;&gt;"",COUNTA($B$39:B113),"")</f>
        <v/>
      </c>
      <c r="B113" s="1007" t="str">
        <f t="array" ref="B113">IFERROR(INDEX(Masteratk2024,SMALL(IF(Kriteriaatk2024=$P$4,ROW(Kriteriaatk2024)),ROW(C75)),11),"")</f>
        <v/>
      </c>
      <c r="C113" s="1007"/>
      <c r="D113" s="1007"/>
      <c r="E113" s="1007"/>
      <c r="F113" s="721" t="str">
        <f t="array" ref="F113">IFERROR(INDEX(Masteratk2024,SMALL(IF(Kriteriaatk2024=$P$4,ROW(Kriteriaatk2024)),ROW(C75)),12),"")</f>
        <v/>
      </c>
      <c r="G113" s="721" t="str">
        <f t="array" ref="G113">IFERROR(INDEX(Masteratk2024,SMALL(IF(Kriteriaatk2024=$P$4,ROW(Kriteriaatk2024)),ROW(C75)),13),"")</f>
        <v/>
      </c>
      <c r="H113" s="809" t="str">
        <f t="array" ref="H113">IFERROR(INDEX(Masteratk2024,SMALL(IF(Kriteriaatk2024=$P$4,ROW(Kriteriaatk2024)),ROW(C75)),14),"")</f>
        <v/>
      </c>
      <c r="I113" s="896"/>
      <c r="J113" s="896"/>
      <c r="K113" s="184" t="str">
        <f t="shared" si="1"/>
        <v>0</v>
      </c>
    </row>
    <row r="114" spans="1:11" ht="26.5" hidden="1" customHeight="1">
      <c r="A114" s="721" t="str">
        <f>IF(B114&lt;&gt;"",COUNTA($B$39:B114),"")</f>
        <v/>
      </c>
      <c r="B114" s="1007" t="str">
        <f t="array" ref="B114">IFERROR(INDEX(Masteratk2024,SMALL(IF(Kriteriaatk2024=$P$4,ROW(Kriteriaatk2024)),ROW(C76)),11),"")</f>
        <v/>
      </c>
      <c r="C114" s="1007"/>
      <c r="D114" s="1007"/>
      <c r="E114" s="1007"/>
      <c r="F114" s="721" t="str">
        <f t="array" ref="F114">IFERROR(INDEX(Masteratk2024,SMALL(IF(Kriteriaatk2024=$P$4,ROW(Kriteriaatk2024)),ROW(C76)),12),"")</f>
        <v/>
      </c>
      <c r="G114" s="721" t="str">
        <f t="array" ref="G114">IFERROR(INDEX(Masteratk2024,SMALL(IF(Kriteriaatk2024=$P$4,ROW(Kriteriaatk2024)),ROW(C76)),13),"")</f>
        <v/>
      </c>
      <c r="H114" s="809" t="str">
        <f t="array" ref="H114">IFERROR(INDEX(Masteratk2024,SMALL(IF(Kriteriaatk2024=$P$4,ROW(Kriteriaatk2024)),ROW(C76)),14),"")</f>
        <v/>
      </c>
      <c r="I114" s="896"/>
      <c r="J114" s="896"/>
      <c r="K114" s="184" t="str">
        <f t="shared" si="1"/>
        <v>0</v>
      </c>
    </row>
    <row r="115" spans="1:11" ht="26.5" hidden="1" customHeight="1">
      <c r="A115" s="721" t="str">
        <f>IF(B115&lt;&gt;"",COUNTA($B$39:B115),"")</f>
        <v/>
      </c>
      <c r="B115" s="1007" t="str">
        <f t="array" ref="B115">IFERROR(INDEX(Masteratk2024,SMALL(IF(Kriteriaatk2024=$P$4,ROW(Kriteriaatk2024)),ROW(C77)),11),"")</f>
        <v/>
      </c>
      <c r="C115" s="1007"/>
      <c r="D115" s="1007"/>
      <c r="E115" s="1007"/>
      <c r="F115" s="721" t="str">
        <f t="array" ref="F115">IFERROR(INDEX(Masteratk2024,SMALL(IF(Kriteriaatk2024=$P$4,ROW(Kriteriaatk2024)),ROW(C77)),12),"")</f>
        <v/>
      </c>
      <c r="G115" s="721" t="str">
        <f t="array" ref="G115">IFERROR(INDEX(Masteratk2024,SMALL(IF(Kriteriaatk2024=$P$4,ROW(Kriteriaatk2024)),ROW(C77)),13),"")</f>
        <v/>
      </c>
      <c r="H115" s="809" t="str">
        <f t="array" ref="H115">IFERROR(INDEX(Masteratk2024,SMALL(IF(Kriteriaatk2024=$P$4,ROW(Kriteriaatk2024)),ROW(C77)),14),"")</f>
        <v/>
      </c>
      <c r="I115" s="896"/>
      <c r="J115" s="896"/>
      <c r="K115" s="184" t="str">
        <f t="shared" si="1"/>
        <v>0</v>
      </c>
    </row>
    <row r="116" spans="1:11" ht="26.5" hidden="1" customHeight="1">
      <c r="A116" s="721" t="str">
        <f>IF(B116&lt;&gt;"",COUNTA($B$39:B116),"")</f>
        <v/>
      </c>
      <c r="B116" s="1007" t="str">
        <f t="array" ref="B116">IFERROR(INDEX(Masteratk2024,SMALL(IF(Kriteriaatk2024=$P$4,ROW(Kriteriaatk2024)),ROW(C78)),11),"")</f>
        <v/>
      </c>
      <c r="C116" s="1007"/>
      <c r="D116" s="1007"/>
      <c r="E116" s="1007"/>
      <c r="F116" s="721" t="str">
        <f t="array" ref="F116">IFERROR(INDEX(Masteratk2024,SMALL(IF(Kriteriaatk2024=$P$4,ROW(Kriteriaatk2024)),ROW(C78)),12),"")</f>
        <v/>
      </c>
      <c r="G116" s="721" t="str">
        <f t="array" ref="G116">IFERROR(INDEX(Masteratk2024,SMALL(IF(Kriteriaatk2024=$P$4,ROW(Kriteriaatk2024)),ROW(C78)),13),"")</f>
        <v/>
      </c>
      <c r="H116" s="809" t="str">
        <f t="array" ref="H116">IFERROR(INDEX(Masteratk2024,SMALL(IF(Kriteriaatk2024=$P$4,ROW(Kriteriaatk2024)),ROW(C78)),14),"")</f>
        <v/>
      </c>
      <c r="I116" s="896"/>
      <c r="J116" s="896"/>
      <c r="K116" s="184" t="str">
        <f t="shared" si="1"/>
        <v>0</v>
      </c>
    </row>
    <row r="117" spans="1:11" ht="26.5" hidden="1" customHeight="1">
      <c r="A117" s="721" t="str">
        <f>IF(B117&lt;&gt;"",COUNTA($B$39:B117),"")</f>
        <v/>
      </c>
      <c r="B117" s="1007" t="str">
        <f t="array" ref="B117">IFERROR(INDEX(Masteratk2024,SMALL(IF(Kriteriaatk2024=$P$4,ROW(Kriteriaatk2024)),ROW(C79)),11),"")</f>
        <v/>
      </c>
      <c r="C117" s="1007"/>
      <c r="D117" s="1007"/>
      <c r="E117" s="1007"/>
      <c r="F117" s="721" t="str">
        <f t="array" ref="F117">IFERROR(INDEX(Masteratk2024,SMALL(IF(Kriteriaatk2024=$P$4,ROW(Kriteriaatk2024)),ROW(C79)),12),"")</f>
        <v/>
      </c>
      <c r="G117" s="721" t="str">
        <f t="array" ref="G117">IFERROR(INDEX(Masteratk2024,SMALL(IF(Kriteriaatk2024=$P$4,ROW(Kriteriaatk2024)),ROW(C79)),13),"")</f>
        <v/>
      </c>
      <c r="H117" s="809" t="str">
        <f t="array" ref="H117">IFERROR(INDEX(Masteratk2024,SMALL(IF(Kriteriaatk2024=$P$4,ROW(Kriteriaatk2024)),ROW(C79)),14),"")</f>
        <v/>
      </c>
      <c r="I117" s="896"/>
      <c r="J117" s="896"/>
      <c r="K117" s="184" t="str">
        <f t="shared" si="1"/>
        <v>0</v>
      </c>
    </row>
    <row r="118" spans="1:11" ht="26.5" hidden="1" customHeight="1">
      <c r="A118" s="721" t="str">
        <f>IF(B118&lt;&gt;"",COUNTA($B$39:B118),"")</f>
        <v/>
      </c>
      <c r="B118" s="1007" t="str">
        <f t="array" ref="B118">IFERROR(INDEX(Masteratk2024,SMALL(IF(Kriteriaatk2024=$P$4,ROW(Kriteriaatk2024)),ROW(C80)),11),"")</f>
        <v/>
      </c>
      <c r="C118" s="1007"/>
      <c r="D118" s="1007"/>
      <c r="E118" s="1007"/>
      <c r="F118" s="721" t="str">
        <f t="array" ref="F118">IFERROR(INDEX(Masteratk2024,SMALL(IF(Kriteriaatk2024=$P$4,ROW(Kriteriaatk2024)),ROW(C80)),12),"")</f>
        <v/>
      </c>
      <c r="G118" s="721" t="str">
        <f t="array" ref="G118">IFERROR(INDEX(Masteratk2024,SMALL(IF(Kriteriaatk2024=$P$4,ROW(Kriteriaatk2024)),ROW(C80)),13),"")</f>
        <v/>
      </c>
      <c r="H118" s="809" t="str">
        <f t="array" ref="H118">IFERROR(INDEX(Masteratk2024,SMALL(IF(Kriteriaatk2024=$P$4,ROW(Kriteriaatk2024)),ROW(C80)),14),"")</f>
        <v/>
      </c>
      <c r="I118" s="896"/>
      <c r="J118" s="896"/>
      <c r="K118" s="184" t="str">
        <f t="shared" si="1"/>
        <v>0</v>
      </c>
    </row>
    <row r="119" spans="1:11" s="898" customFormat="1" ht="21" customHeight="1">
      <c r="A119" s="1018" t="s">
        <v>71</v>
      </c>
      <c r="B119" s="1018"/>
      <c r="C119" s="1018"/>
      <c r="D119" s="1018"/>
      <c r="E119" s="1018"/>
      <c r="F119" s="1018"/>
      <c r="G119" s="1018"/>
      <c r="H119" s="1018"/>
      <c r="I119" s="1017">
        <f>SUM(I39:I118)</f>
        <v>11247000</v>
      </c>
      <c r="J119" s="1017"/>
    </row>
    <row r="120" spans="1:11" ht="14.5" customHeight="1">
      <c r="A120" s="1011" t="s">
        <v>3513</v>
      </c>
      <c r="B120" s="1012"/>
      <c r="C120" s="1013"/>
      <c r="D120" s="1010" t="str">
        <f>IF(I119=0,"nol",IF(I119&lt;0,"minus ","")&amp; SUBSTITUTE(TRIM(SUBSTITUTE(SUBSTITUTE(SUBSTITUTE(SUBSTITUTE(SUBSTITUTE(SUBSTITUTE(SUBSTITUTE(SUBSTITUTE(SUBSTITUTE(SUBSTITUTE(SUBSTITUTE(SUBSTITUTE(SUBSTITUTE(SUBSTITUTE(SUBSTITUTE(SUBSTITUTE(SUBSTITUTE(SUBSTITUTE(SUBSTITUTE(SUBSTITUTE(SUBSTITUTE(SUBSTITUTE(SUBSTITUTE(SUBSTITUTE( IF(--MID(TEXT(ABS(I119),"000000000000000"),1,3)=0,"",MID(TEXT(ABS(I119),"000000000000000"),1,1)&amp;" Ratus "&amp;MID(TEXT(ABS(I119),"000000000000000"),2,1)&amp;" puluh "&amp;MID(TEXT(ABS(I119),"000000000000000"),3,1)&amp;" trilyun ")&amp; IF(--MID(TEXT(ABS(I119),"000000000000000"),4,3)=0,"",MID(TEXT(ABS(I119),"000000000000000"),4,1)&amp;" ratus "&amp;MID(TEXT(ABS(I119),"000000000000000"),5,1)&amp;" Puluh "&amp;MID(TEXT(ABS(I119),"000000000000000"),6,1)&amp;" Milyar ")&amp; IF(--MID(TEXT(ABS(I119),"000000000000000"),7,3)=0,"",MID(TEXT(ABS(I119),"000000000000000"),7,1)&amp;" Ratus "&amp;MID(TEXT(ABS(I119),"000000000000000"),8,1)&amp;" Puluh "&amp;MID(TEXT(ABS(I119),"000000000000000"),9,1)&amp;" Juta ")&amp; IF(--MID(TEXT(ABS(I119),"000000000000000"),10,3)=0,"",IF(--MID(TEXT(ABS(I119),"000000000000000"),10,3)=1,"*",MID(TEXT(ABS(I119),"000000000000000"),10,1)&amp;" Ratus "&amp;MID(TEXT(ABS(I119),"000000000000000"),11,1)&amp;" Puluh ")&amp;MID(TEXT(ABS(I119),"000000000000000"),12,1)&amp;" Ribu ")&amp; IF(--MID(TEXT(ABS(I119),"000000000000000"),13,3)=0,"",MID(TEXT(ABS(I119),"000000000000000"),13,1)&amp;" Ratus "&amp;MID(TEXT(ABS(I119),"000000000000000"),14,1)&amp;" Puluh "&amp;MID(TEXT(ABS(I119),"000000000000000"),15,1)),1,"Satu"),2,"Dua"),3,"Tiga"),4,"Empat"),5,"Lima"),6,"Enam"),7,"Tujuh"),8,"Delapan"),9,"Sembilan"),"0 Ratus",""),"0 Puluh",""),"Satu Puluh 0","Sepuluh"),"Satu Puluh Satu","Sebelas"),"Satu Puluh Dua","Dua Belas"),"Satu Puluh Tiga","Tiga Belas"),"Satu Puluh Empat","Empat Belas"),"Satu Puluh Lima","Lima Belas"),"Satu Puluh Enam","Enam Belas"),"Satu Puluh Tujuh","Tujuh Belas"),"Satu Puluh Delapan","Delapan Belas"),"Satu Puluh Sembilan","Sembilan Belas"),"Satu Ratus","Seratus"),"*Satu Ribu","Seribu"),0,""))," "," "))&amp; " Rupiah"</f>
        <v>Sebelas Juta Dua Ratus Empat Puluh Tujuh Ribu Rupiah</v>
      </c>
      <c r="E120" s="1010"/>
      <c r="F120" s="1010"/>
      <c r="G120" s="1010"/>
      <c r="H120" s="1010"/>
      <c r="I120" s="1010"/>
      <c r="J120" s="1010"/>
    </row>
    <row r="121" spans="1:11">
      <c r="A121" s="1014"/>
      <c r="B121" s="1015"/>
      <c r="C121" s="1016"/>
      <c r="D121" s="1010"/>
      <c r="E121" s="1010"/>
      <c r="F121" s="1010"/>
      <c r="G121" s="1010"/>
      <c r="H121" s="1010"/>
      <c r="I121" s="1010"/>
      <c r="J121" s="1010"/>
    </row>
    <row r="122" spans="1:11" ht="9.5" customHeight="1">
      <c r="A122" s="670"/>
      <c r="B122" s="670"/>
      <c r="C122" s="670"/>
      <c r="D122" s="667"/>
      <c r="E122" s="667"/>
      <c r="F122" s="667"/>
      <c r="G122" s="667"/>
      <c r="H122" s="667"/>
      <c r="I122" s="667"/>
      <c r="J122" s="667"/>
    </row>
    <row r="123" spans="1:11" ht="9.5" customHeight="1">
      <c r="A123" s="670"/>
      <c r="B123" s="670"/>
      <c r="C123" s="670"/>
      <c r="D123" s="667"/>
      <c r="E123" s="667"/>
      <c r="F123" s="667"/>
      <c r="G123" s="667"/>
      <c r="H123" s="667"/>
      <c r="I123" s="667"/>
      <c r="J123" s="667"/>
    </row>
    <row r="124" spans="1:11">
      <c r="A124" s="37"/>
      <c r="B124" s="652"/>
      <c r="C124" s="37"/>
      <c r="D124" s="37"/>
      <c r="F124" s="37"/>
      <c r="G124" s="671" t="str">
        <f>G4</f>
        <v>Telukdalam, 01 Februari 2025</v>
      </c>
    </row>
    <row r="125" spans="1:11">
      <c r="A125" s="37"/>
      <c r="B125" s="37"/>
      <c r="C125" s="37"/>
      <c r="D125" s="37" t="s">
        <v>3514</v>
      </c>
      <c r="F125" s="37"/>
      <c r="G125" s="37" t="str">
        <f>G22</f>
        <v>UD. JOSUA</v>
      </c>
    </row>
    <row r="126" spans="1:11">
      <c r="A126" s="37"/>
      <c r="B126" s="37"/>
      <c r="C126" s="37"/>
      <c r="D126" s="37"/>
      <c r="F126" s="666"/>
    </row>
    <row r="127" spans="1:11">
      <c r="A127" s="37"/>
      <c r="B127" s="37"/>
      <c r="C127" s="37"/>
      <c r="D127" s="37"/>
      <c r="F127" s="666"/>
      <c r="G127" s="37"/>
    </row>
    <row r="128" spans="1:11">
      <c r="A128" s="37"/>
      <c r="B128" s="37"/>
      <c r="C128" s="37"/>
      <c r="D128" s="37"/>
      <c r="F128" s="666"/>
      <c r="G128" s="37"/>
    </row>
    <row r="129" spans="1:7">
      <c r="A129" s="37"/>
      <c r="B129" s="37"/>
      <c r="C129" s="37"/>
      <c r="D129" s="37"/>
      <c r="F129" s="666"/>
      <c r="G129" s="37"/>
    </row>
    <row r="130" spans="1:7">
      <c r="A130" s="37"/>
      <c r="B130" s="37"/>
      <c r="C130" s="37"/>
      <c r="D130" s="37"/>
      <c r="F130" s="37"/>
      <c r="G130" s="672" t="str">
        <f>G26</f>
        <v>Gestiwan Bazikho</v>
      </c>
    </row>
    <row r="131" spans="1:7">
      <c r="A131" s="37"/>
      <c r="B131" s="37"/>
      <c r="C131" s="37"/>
      <c r="D131" s="37"/>
      <c r="F131" s="37"/>
      <c r="G131" s="665" t="str">
        <f>G27</f>
        <v>Direktur</v>
      </c>
    </row>
  </sheetData>
  <mergeCells count="173">
    <mergeCell ref="Q3:Q4"/>
    <mergeCell ref="Q5:Q6"/>
    <mergeCell ref="N1:P1"/>
    <mergeCell ref="A1:J1"/>
    <mergeCell ref="A2:J2"/>
    <mergeCell ref="A31:J31"/>
    <mergeCell ref="A32:J32"/>
    <mergeCell ref="A34:J34"/>
    <mergeCell ref="B11:G11"/>
    <mergeCell ref="P4:P5"/>
    <mergeCell ref="B14:J20"/>
    <mergeCell ref="H36:H37"/>
    <mergeCell ref="I36:J37"/>
    <mergeCell ref="B38:E38"/>
    <mergeCell ref="I39:J39"/>
    <mergeCell ref="I40:J40"/>
    <mergeCell ref="B39:E39"/>
    <mergeCell ref="B40:E40"/>
    <mergeCell ref="B41:E41"/>
    <mergeCell ref="B105:E105"/>
    <mergeCell ref="B80:E80"/>
    <mergeCell ref="I53:J53"/>
    <mergeCell ref="I54:J54"/>
    <mergeCell ref="I55:J55"/>
    <mergeCell ref="I56:J56"/>
    <mergeCell ref="I57:J57"/>
    <mergeCell ref="B50:E50"/>
    <mergeCell ref="I58:J58"/>
    <mergeCell ref="I47:J47"/>
    <mergeCell ref="I48:J48"/>
    <mergeCell ref="I49:J49"/>
    <mergeCell ref="I50:J50"/>
    <mergeCell ref="I51:J51"/>
    <mergeCell ref="I52:J52"/>
    <mergeCell ref="B51:E51"/>
    <mergeCell ref="B106:E106"/>
    <mergeCell ref="B95:E95"/>
    <mergeCell ref="B96:E96"/>
    <mergeCell ref="B49:E49"/>
    <mergeCell ref="I41:J41"/>
    <mergeCell ref="I42:J42"/>
    <mergeCell ref="I43:J43"/>
    <mergeCell ref="I44:J44"/>
    <mergeCell ref="I45:J45"/>
    <mergeCell ref="I46:J46"/>
    <mergeCell ref="B44:E44"/>
    <mergeCell ref="B45:E45"/>
    <mergeCell ref="B46:E46"/>
    <mergeCell ref="B63:E63"/>
    <mergeCell ref="B64:E64"/>
    <mergeCell ref="B65:E65"/>
    <mergeCell ref="B66:E66"/>
    <mergeCell ref="B67:E67"/>
    <mergeCell ref="B68:E68"/>
    <mergeCell ref="B84:E84"/>
    <mergeCell ref="B85:E85"/>
    <mergeCell ref="B86:E86"/>
    <mergeCell ref="B47:E47"/>
    <mergeCell ref="B104:E104"/>
    <mergeCell ref="D120:J121"/>
    <mergeCell ref="A120:C121"/>
    <mergeCell ref="I119:J119"/>
    <mergeCell ref="I104:J104"/>
    <mergeCell ref="A119:H119"/>
    <mergeCell ref="I38:J38"/>
    <mergeCell ref="B81:E81"/>
    <mergeCell ref="B82:E82"/>
    <mergeCell ref="B71:E71"/>
    <mergeCell ref="B72:E72"/>
    <mergeCell ref="B73:E73"/>
    <mergeCell ref="B74:E74"/>
    <mergeCell ref="B69:E69"/>
    <mergeCell ref="B70:E70"/>
    <mergeCell ref="B59:E59"/>
    <mergeCell ref="B60:E60"/>
    <mergeCell ref="B61:E61"/>
    <mergeCell ref="B107:E107"/>
    <mergeCell ref="B97:E97"/>
    <mergeCell ref="B98:E98"/>
    <mergeCell ref="B93:E93"/>
    <mergeCell ref="B94:E94"/>
    <mergeCell ref="B83:E83"/>
    <mergeCell ref="B108:E108"/>
    <mergeCell ref="A36:A37"/>
    <mergeCell ref="B36:E37"/>
    <mergeCell ref="F36:F37"/>
    <mergeCell ref="G36:G37"/>
    <mergeCell ref="B99:E99"/>
    <mergeCell ref="B100:E100"/>
    <mergeCell ref="B101:E101"/>
    <mergeCell ref="B102:E102"/>
    <mergeCell ref="B103:E103"/>
    <mergeCell ref="B43:E43"/>
    <mergeCell ref="B62:E62"/>
    <mergeCell ref="B48:E48"/>
    <mergeCell ref="B42:E42"/>
    <mergeCell ref="B87:E87"/>
    <mergeCell ref="B88:E88"/>
    <mergeCell ref="B89:E89"/>
    <mergeCell ref="B90:E90"/>
    <mergeCell ref="B91:E91"/>
    <mergeCell ref="B92:E92"/>
    <mergeCell ref="B75:E75"/>
    <mergeCell ref="B76:E76"/>
    <mergeCell ref="B77:E77"/>
    <mergeCell ref="B78:E78"/>
    <mergeCell ref="B79:E79"/>
    <mergeCell ref="B52:E52"/>
    <mergeCell ref="B53:E53"/>
    <mergeCell ref="B54:E54"/>
    <mergeCell ref="B55:E55"/>
    <mergeCell ref="B56:E56"/>
    <mergeCell ref="B57:E57"/>
    <mergeCell ref="B58:E58"/>
    <mergeCell ref="I65:J65"/>
    <mergeCell ref="I66:J66"/>
    <mergeCell ref="I67:J67"/>
    <mergeCell ref="I68:J68"/>
    <mergeCell ref="I69:J69"/>
    <mergeCell ref="I70:J70"/>
    <mergeCell ref="I59:J59"/>
    <mergeCell ref="I60:J60"/>
    <mergeCell ref="I61:J61"/>
    <mergeCell ref="I62:J62"/>
    <mergeCell ref="I63:J63"/>
    <mergeCell ref="I64:J64"/>
    <mergeCell ref="I77:J77"/>
    <mergeCell ref="I78:J78"/>
    <mergeCell ref="I79:J79"/>
    <mergeCell ref="I80:J80"/>
    <mergeCell ref="I81:J81"/>
    <mergeCell ref="I82:J82"/>
    <mergeCell ref="I71:J71"/>
    <mergeCell ref="I72:J72"/>
    <mergeCell ref="I73:J73"/>
    <mergeCell ref="I74:J74"/>
    <mergeCell ref="I75:J75"/>
    <mergeCell ref="I76:J76"/>
    <mergeCell ref="I89:J89"/>
    <mergeCell ref="I90:J90"/>
    <mergeCell ref="I91:J91"/>
    <mergeCell ref="I92:J92"/>
    <mergeCell ref="I93:J93"/>
    <mergeCell ref="I94:J94"/>
    <mergeCell ref="I83:J83"/>
    <mergeCell ref="I84:J84"/>
    <mergeCell ref="I85:J85"/>
    <mergeCell ref="I86:J86"/>
    <mergeCell ref="I87:J87"/>
    <mergeCell ref="I88:J88"/>
    <mergeCell ref="I108:J108"/>
    <mergeCell ref="I101:J101"/>
    <mergeCell ref="I102:J102"/>
    <mergeCell ref="I103:J103"/>
    <mergeCell ref="I105:J105"/>
    <mergeCell ref="I106:J106"/>
    <mergeCell ref="I107:J107"/>
    <mergeCell ref="I95:J95"/>
    <mergeCell ref="I96:J96"/>
    <mergeCell ref="I97:J97"/>
    <mergeCell ref="I98:J98"/>
    <mergeCell ref="I99:J99"/>
    <mergeCell ref="I100:J100"/>
    <mergeCell ref="B118:E118"/>
    <mergeCell ref="B109:E109"/>
    <mergeCell ref="B110:E110"/>
    <mergeCell ref="B111:E111"/>
    <mergeCell ref="B112:E112"/>
    <mergeCell ref="B113:E113"/>
    <mergeCell ref="B114:E114"/>
    <mergeCell ref="B115:E115"/>
    <mergeCell ref="B116:E116"/>
    <mergeCell ref="B117:E117"/>
  </mergeCells>
  <conditionalFormatting sqref="A39:J118">
    <cfRule type="expression" dxfId="3" priority="1">
      <formula>$A39&lt;&gt;""</formula>
    </cfRule>
  </conditionalFormatting>
  <printOptions horizontalCentered="1"/>
  <pageMargins left="0.51181102362204722" right="0.51181102362204722" top="0.55118110236220474" bottom="0.55118110236220474" header="0.31496062992125984" footer="0.31496062992125984"/>
  <pageSetup paperSize="9" scale="90" orientation="portrait" r:id="rId1"/>
  <rowBreaks count="1" manualBreakCount="1">
    <brk id="29" max="16383" man="1"/>
  </row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08D9295-05F4-49EA-AE3C-D36AD1876E4D}">
          <x14:formula1>
            <xm:f>'NO BPU'!$E$2:$E$653</xm:f>
          </x14:formula1>
          <xm:sqref>P4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rgb="FF0070C0"/>
  </sheetPr>
  <dimension ref="A1:T257"/>
  <sheetViews>
    <sheetView showGridLines="0" view="pageBreakPreview" zoomScale="85" zoomScaleNormal="100" zoomScaleSheetLayoutView="85" zoomScalePageLayoutView="85" workbookViewId="0">
      <pane ySplit="8" topLeftCell="A9" activePane="bottomLeft" state="frozen"/>
      <selection activeCell="P114" sqref="P114"/>
      <selection pane="bottomLeft" activeCell="P114" sqref="P114"/>
    </sheetView>
  </sheetViews>
  <sheetFormatPr defaultRowHeight="14"/>
  <cols>
    <col min="1" max="1" width="8.7265625" style="29"/>
    <col min="2" max="2" width="26.453125" style="29" customWidth="1"/>
    <col min="3" max="4" width="5.81640625" style="29" customWidth="1"/>
    <col min="5" max="14" width="8.26953125" style="29" customWidth="1"/>
    <col min="15" max="16384" width="8.7265625" style="29"/>
  </cols>
  <sheetData>
    <row r="1" spans="1:20" s="6" customFormat="1" ht="25.5" thickTop="1">
      <c r="A1" s="1052" t="s">
        <v>56</v>
      </c>
      <c r="B1" s="1053"/>
      <c r="C1" s="1053"/>
      <c r="D1" s="1053"/>
      <c r="E1" s="1053"/>
      <c r="F1" s="1053"/>
      <c r="G1" s="1053"/>
      <c r="H1" s="1053"/>
      <c r="I1" s="1053"/>
      <c r="J1" s="1053"/>
      <c r="K1" s="1053"/>
      <c r="L1" s="1053"/>
      <c r="M1" s="1053"/>
      <c r="N1" s="1054"/>
    </row>
    <row r="2" spans="1:20" s="6" customFormat="1" ht="14" customHeight="1">
      <c r="A2" s="77"/>
      <c r="N2" s="75"/>
    </row>
    <row r="3" spans="1:20" s="12" customFormat="1" ht="15" customHeight="1" thickBot="1">
      <c r="A3" s="1068" t="s">
        <v>28</v>
      </c>
      <c r="B3" s="1069"/>
      <c r="C3" s="1069"/>
      <c r="D3" s="1069"/>
      <c r="E3" s="1055" t="str">
        <f>'Data Sekolah'!B2</f>
        <v>SMA NEGERI 1 TELUKDALAM</v>
      </c>
      <c r="F3" s="1055"/>
      <c r="G3" s="1055"/>
      <c r="H3" s="1055"/>
      <c r="I3" s="1055"/>
      <c r="J3" s="1055"/>
      <c r="K3" s="1055"/>
      <c r="L3" s="1055"/>
      <c r="M3" s="1055"/>
      <c r="N3" s="1056"/>
      <c r="O3" s="26"/>
      <c r="P3" s="26"/>
      <c r="R3" s="635"/>
      <c r="S3" s="26"/>
    </row>
    <row r="4" spans="1:20" s="12" customFormat="1" ht="15" customHeight="1">
      <c r="A4" s="1068" t="s">
        <v>30</v>
      </c>
      <c r="B4" s="1069"/>
      <c r="C4" s="1069"/>
      <c r="D4" s="1069"/>
      <c r="E4" s="1055" t="str">
        <f>'Data Sekolah'!B4</f>
        <v>Jl. Pendidikan No. 13 Kelurahan Pasar Telukdalam Kecamatan Teluk Dalam</v>
      </c>
      <c r="F4" s="1055"/>
      <c r="G4" s="1055"/>
      <c r="H4" s="1055"/>
      <c r="I4" s="1055"/>
      <c r="J4" s="1055"/>
      <c r="K4" s="1055"/>
      <c r="L4" s="1055"/>
      <c r="M4" s="1055"/>
      <c r="N4" s="1056"/>
      <c r="P4" s="1043">
        <v>45</v>
      </c>
      <c r="Q4" s="1041">
        <f>P4-1</f>
        <v>44</v>
      </c>
      <c r="R4" s="635"/>
    </row>
    <row r="5" spans="1:20" s="12" customFormat="1" ht="15" customHeight="1" thickBot="1">
      <c r="A5" s="1068" t="s">
        <v>58</v>
      </c>
      <c r="B5" s="1069"/>
      <c r="C5" s="1069"/>
      <c r="D5" s="1069" t="str">
        <f t="array" ref="D5">IFERROR(INDEX(MASTERKU,SMALL(IF(KRITERIAKU=#REF!,ROW(KRITERIAKU)),ROW(E1)),11),"")</f>
        <v/>
      </c>
      <c r="E5" s="312" t="str">
        <f t="array" ref="E5">IFERROR(INDEX(Masteratk2024,SMALL(IF(Kriteriaatk2024=$P$4,ROW(Kriteriaatk2024)),ROW(C1)),26),"")</f>
        <v>Alat Tulis Kantor (ATK)</v>
      </c>
      <c r="F5" s="202"/>
      <c r="G5" s="202"/>
      <c r="H5" s="202"/>
      <c r="I5" s="202"/>
      <c r="J5" s="202"/>
      <c r="K5" s="202"/>
      <c r="L5" s="202"/>
      <c r="M5" s="202"/>
      <c r="N5" s="203"/>
      <c r="P5" s="1044"/>
      <c r="Q5" s="1042"/>
      <c r="R5" s="635"/>
      <c r="T5" s="634"/>
    </row>
    <row r="6" spans="1:20" s="6" customFormat="1" ht="17.5" customHeight="1">
      <c r="A6" s="1066" t="s">
        <v>3903</v>
      </c>
      <c r="B6" s="1067"/>
      <c r="C6" s="1060" t="s">
        <v>59</v>
      </c>
      <c r="D6" s="1060"/>
      <c r="E6" s="1060"/>
      <c r="F6" s="1060"/>
      <c r="G6" s="1060"/>
      <c r="H6" s="1060"/>
      <c r="I6" s="1060"/>
      <c r="J6" s="1060"/>
      <c r="K6" s="1060"/>
      <c r="L6" s="1060"/>
      <c r="M6" s="1060"/>
      <c r="N6" s="1061"/>
      <c r="P6" s="1044"/>
      <c r="Q6" s="1039">
        <f>P4+1</f>
        <v>46</v>
      </c>
      <c r="R6" s="635"/>
      <c r="S6" s="886"/>
      <c r="T6" s="635"/>
    </row>
    <row r="7" spans="1:20" s="6" customFormat="1" ht="14.5" customHeight="1" thickBot="1">
      <c r="A7" s="1062" t="s">
        <v>60</v>
      </c>
      <c r="B7" s="1063"/>
      <c r="C7" s="1057">
        <f t="array" ref="C7">IFERROR(INDEX(Masteratk2024,SMALL(IF(Kriteriaatk2024=$P$4,ROW(Kriteriaatk2024)),ROW(C1)),12),"")</f>
        <v>5</v>
      </c>
      <c r="D7" s="1058"/>
      <c r="E7" s="1058"/>
      <c r="F7" s="1058"/>
      <c r="G7" s="1058"/>
      <c r="H7" s="1058"/>
      <c r="I7" s="1058"/>
      <c r="J7" s="1058"/>
      <c r="K7" s="1058"/>
      <c r="L7" s="1058"/>
      <c r="M7" s="1058"/>
      <c r="N7" s="1059"/>
      <c r="P7" s="1045"/>
      <c r="Q7" s="1040"/>
      <c r="R7" s="635"/>
      <c r="S7" s="886"/>
      <c r="T7" s="635"/>
    </row>
    <row r="8" spans="1:20" s="7" customFormat="1" ht="27.5">
      <c r="A8" s="1064" t="s">
        <v>61</v>
      </c>
      <c r="B8" s="1065"/>
      <c r="C8" s="804" t="s">
        <v>3881</v>
      </c>
      <c r="D8" s="693">
        <f>IF(E8&lt;&gt;"",COUNTA($E$8:E8),"")</f>
        <v>1</v>
      </c>
      <c r="E8" s="1033" t="str">
        <f t="array" ref="E8">IFERROR(INDEX(Masteratk2024,SMALL(IF(Kriteriaatk2024=$P$4,ROW(Kriteriaatk2024)),ROW(C1)),17),"")</f>
        <v>Plastik Mika Jilid F4 (Length 21.0Cm, Width 33.0Cm, Height 7.0Cm, Weight 548Gr)</v>
      </c>
      <c r="F8" s="1034"/>
      <c r="G8" s="1034"/>
      <c r="H8" s="1034"/>
      <c r="I8" s="1034"/>
      <c r="J8" s="1034"/>
      <c r="K8" s="1034"/>
      <c r="L8" s="1034"/>
      <c r="M8" s="1034"/>
      <c r="N8" s="1035"/>
      <c r="O8" s="25" t="str">
        <f>IF(E8="","0","1")</f>
        <v>1</v>
      </c>
      <c r="P8" s="886"/>
      <c r="Q8" s="886"/>
      <c r="R8" s="635"/>
      <c r="S8" s="886"/>
    </row>
    <row r="9" spans="1:20" s="7" customFormat="1" ht="29" customHeight="1">
      <c r="A9" s="199"/>
      <c r="B9" s="24"/>
      <c r="C9" s="804" t="s">
        <v>3881</v>
      </c>
      <c r="D9" s="693">
        <f>IF(E9&lt;&gt;"",COUNTA($E$8:E9),"")</f>
        <v>2</v>
      </c>
      <c r="E9" s="1033" t="str">
        <f t="array" ref="E9">IFERROR(INDEX(Masteratk2024,SMALL(IF(Kriteriaatk2024=$P$4,ROW(Kriteriaatk2024)),ROW(C2)),17),"")</f>
        <v>Kertas Hvs Warna 70 Gsm (Length 21.0Cm, Width 33.0Cm, Height 7.0Cm, Weight 2400Gr)</v>
      </c>
      <c r="F9" s="1034"/>
      <c r="G9" s="1034"/>
      <c r="H9" s="1034"/>
      <c r="I9" s="1034"/>
      <c r="J9" s="1034"/>
      <c r="K9" s="1034"/>
      <c r="L9" s="1034"/>
      <c r="M9" s="1034"/>
      <c r="N9" s="1035"/>
      <c r="O9" s="25" t="str">
        <f t="shared" ref="O9:O72" si="0">IF(E9="","0","1")</f>
        <v>1</v>
      </c>
      <c r="P9" s="25"/>
      <c r="Q9" s="25"/>
    </row>
    <row r="10" spans="1:20" s="7" customFormat="1" ht="29" customHeight="1">
      <c r="A10" s="199"/>
      <c r="B10" s="24"/>
      <c r="C10" s="804" t="s">
        <v>3881</v>
      </c>
      <c r="D10" s="693">
        <f>IF(E10&lt;&gt;"",COUNTA($E$8:E10),"")</f>
        <v>3</v>
      </c>
      <c r="E10" s="1033" t="str">
        <f t="array" ref="E10">IFERROR(INDEX(Masteratk2024,SMALL(IF(Kriteriaatk2024=$P$4,ROW(Kriteriaatk2024)),ROW(C3)),17),"")</f>
        <v>Kertas Buffalo F4 (Length 21.0Cm, Width 33.0Cm, Height 7.0Cm, Weight 1006Gr)</v>
      </c>
      <c r="F10" s="1034"/>
      <c r="G10" s="1034"/>
      <c r="H10" s="1034"/>
      <c r="I10" s="1034"/>
      <c r="J10" s="1034"/>
      <c r="K10" s="1034"/>
      <c r="L10" s="1034"/>
      <c r="M10" s="1034"/>
      <c r="N10" s="1035"/>
      <c r="O10" s="25" t="str">
        <f t="shared" si="0"/>
        <v>1</v>
      </c>
      <c r="P10" s="25"/>
      <c r="Q10" s="25"/>
    </row>
    <row r="11" spans="1:20" s="7" customFormat="1" ht="29" customHeight="1">
      <c r="A11" s="199"/>
      <c r="B11" s="24"/>
      <c r="C11" s="804" t="s">
        <v>3881</v>
      </c>
      <c r="D11" s="693">
        <f>IF(E11&lt;&gt;"",COUNTA($E$8:E11),"")</f>
        <v>4</v>
      </c>
      <c r="E11" s="1033" t="str">
        <f t="array" ref="E11">IFERROR(INDEX(Masteratk2024,SMALL(IF(Kriteriaatk2024=$P$4,ROW(Kriteriaatk2024)),ROW(C4)),17),"")</f>
        <v>Post It Warna Warni (Length 7.0Cm, Width 7.0Cm, Height 7.0Cm, Weight 44Gr)</v>
      </c>
      <c r="F11" s="1034"/>
      <c r="G11" s="1034"/>
      <c r="H11" s="1034"/>
      <c r="I11" s="1034"/>
      <c r="J11" s="1034"/>
      <c r="K11" s="1034"/>
      <c r="L11" s="1034"/>
      <c r="M11" s="1034"/>
      <c r="N11" s="1035"/>
      <c r="O11" s="25" t="str">
        <f t="shared" si="0"/>
        <v>1</v>
      </c>
      <c r="P11" s="25"/>
      <c r="Q11" s="25"/>
    </row>
    <row r="12" spans="1:20" s="7" customFormat="1" ht="29" customHeight="1">
      <c r="A12" s="199"/>
      <c r="B12" s="24"/>
      <c r="C12" s="804" t="s">
        <v>3881</v>
      </c>
      <c r="D12" s="693">
        <f>IF(E12&lt;&gt;"",COUNTA($E$8:E12),"")</f>
        <v>5</v>
      </c>
      <c r="E12" s="1033" t="str">
        <f t="array" ref="E12">IFERROR(INDEX(Masteratk2024,SMALL(IF(Kriteriaatk2024=$P$4,ROW(Kriteriaatk2024)),ROW(C5)),17),"")</f>
        <v>Kertas Hvs 60Gsm Paper One F4 (Length 33.0Cm, Width 21.0Cm, Height 7.0Cm, Weight 1400Gr)</v>
      </c>
      <c r="F12" s="1034"/>
      <c r="G12" s="1034"/>
      <c r="H12" s="1034"/>
      <c r="I12" s="1034"/>
      <c r="J12" s="1034"/>
      <c r="K12" s="1034"/>
      <c r="L12" s="1034"/>
      <c r="M12" s="1034"/>
      <c r="N12" s="1035"/>
      <c r="O12" s="25" t="str">
        <f t="shared" si="0"/>
        <v>1</v>
      </c>
      <c r="P12" s="25"/>
      <c r="Q12" s="25"/>
    </row>
    <row r="13" spans="1:20" s="7" customFormat="1" ht="29" customHeight="1">
      <c r="A13" s="199"/>
      <c r="B13" s="24"/>
      <c r="C13" s="804" t="s">
        <v>3881</v>
      </c>
      <c r="D13" s="693">
        <f>IF(E13&lt;&gt;"",COUNTA($E$8:E13),"")</f>
        <v>6</v>
      </c>
      <c r="E13" s="1033" t="str">
        <f t="array" ref="E13">IFERROR(INDEX(Masteratk2024,SMALL(IF(Kriteriaatk2024=$P$4,ROW(Kriteriaatk2024)),ROW(C6)),17),"")</f>
        <v>Kertas Hvs 80 Gram Merk : Paper One A4, Ukuran : 8,27" X 11,69", Isi : 500 Lembar</v>
      </c>
      <c r="F13" s="1034"/>
      <c r="G13" s="1034"/>
      <c r="H13" s="1034"/>
      <c r="I13" s="1034"/>
      <c r="J13" s="1034"/>
      <c r="K13" s="1034"/>
      <c r="L13" s="1034"/>
      <c r="M13" s="1034"/>
      <c r="N13" s="1035"/>
      <c r="O13" s="25" t="str">
        <f t="shared" si="0"/>
        <v>1</v>
      </c>
      <c r="P13" s="25"/>
      <c r="Q13" s="25"/>
    </row>
    <row r="14" spans="1:20" s="7" customFormat="1" ht="29" customHeight="1">
      <c r="A14" s="199"/>
      <c r="B14" s="24"/>
      <c r="C14" s="804" t="s">
        <v>3881</v>
      </c>
      <c r="D14" s="693">
        <f>IF(E14&lt;&gt;"",COUNTA($E$8:E14),"")</f>
        <v>7</v>
      </c>
      <c r="E14" s="1033" t="str">
        <f t="array" ref="E14">IFERROR(INDEX(Masteratk2024,SMALL(IF(Kriteriaatk2024=$P$4,ROW(Kriteriaatk2024)),ROW(C7)),17),"")</f>
        <v>Kertas Stencil Folio (Length 33.0Cm, Width 21.0Cm, Height 5.0Cm, Weight 1400Gr)</v>
      </c>
      <c r="F14" s="1034"/>
      <c r="G14" s="1034"/>
      <c r="H14" s="1034"/>
      <c r="I14" s="1034"/>
      <c r="J14" s="1034"/>
      <c r="K14" s="1034"/>
      <c r="L14" s="1034"/>
      <c r="M14" s="1034"/>
      <c r="N14" s="1035"/>
      <c r="O14" s="25" t="str">
        <f t="shared" si="0"/>
        <v>1</v>
      </c>
      <c r="P14" s="25"/>
      <c r="Q14" s="25"/>
    </row>
    <row r="15" spans="1:20" s="7" customFormat="1" ht="29" customHeight="1">
      <c r="A15" s="199"/>
      <c r="B15" s="24"/>
      <c r="C15" s="804" t="s">
        <v>3881</v>
      </c>
      <c r="D15" s="693">
        <f>IF(E15&lt;&gt;"",COUNTA($E$8:E15),"")</f>
        <v>8</v>
      </c>
      <c r="E15" s="1033" t="str">
        <f t="array" ref="E15">IFERROR(INDEX(Masteratk2024,SMALL(IF(Kriteriaatk2024=$P$4,ROW(Kriteriaatk2024)),ROW(C8)),17),"")</f>
        <v>KERTAS LEBEL KOTAK (Length 5.0cm, Width 5.0cm, Height 7.0cm, Weight 5gr)</v>
      </c>
      <c r="F15" s="1034"/>
      <c r="G15" s="1034"/>
      <c r="H15" s="1034"/>
      <c r="I15" s="1034"/>
      <c r="J15" s="1034"/>
      <c r="K15" s="1034"/>
      <c r="L15" s="1034"/>
      <c r="M15" s="1034"/>
      <c r="N15" s="1035"/>
      <c r="O15" s="25" t="str">
        <f t="shared" si="0"/>
        <v>1</v>
      </c>
      <c r="P15" s="25"/>
      <c r="Q15" s="25"/>
    </row>
    <row r="16" spans="1:20" s="7" customFormat="1" ht="29" customHeight="1">
      <c r="A16" s="199"/>
      <c r="B16" s="24"/>
      <c r="C16" s="804" t="s">
        <v>3881</v>
      </c>
      <c r="D16" s="693">
        <f>IF(E16&lt;&gt;"",COUNTA($E$8:E16),"")</f>
        <v>9</v>
      </c>
      <c r="E16" s="1033" t="str">
        <f t="array" ref="E16">IFERROR(INDEX(Masteratk2024,SMALL(IF(Kriteriaatk2024=$P$4,ROW(Kriteriaatk2024)),ROW(C9)),17),"")</f>
        <v>Amplop Coklat (Merk : GSU Ukuran : 1/2 folio, bergaris)</v>
      </c>
      <c r="F16" s="1034"/>
      <c r="G16" s="1034"/>
      <c r="H16" s="1034"/>
      <c r="I16" s="1034"/>
      <c r="J16" s="1034"/>
      <c r="K16" s="1034"/>
      <c r="L16" s="1034"/>
      <c r="M16" s="1034"/>
      <c r="N16" s="1035"/>
      <c r="O16" s="25" t="str">
        <f t="shared" si="0"/>
        <v>1</v>
      </c>
      <c r="P16" s="25"/>
      <c r="Q16" s="25"/>
    </row>
    <row r="17" spans="1:17" s="7" customFormat="1" ht="29" customHeight="1">
      <c r="A17" s="199"/>
      <c r="B17" s="24"/>
      <c r="C17" s="804" t="s">
        <v>3881</v>
      </c>
      <c r="D17" s="693">
        <f>IF(E17&lt;&gt;"",COUNTA($E$8:E17),"")</f>
        <v>10</v>
      </c>
      <c r="E17" s="1033" t="str">
        <f t="array" ref="E17">IFERROR(INDEX(Masteratk2024,SMALL(IF(Kriteriaatk2024=$P$4,ROW(Kriteriaatk2024)),ROW(C10)),17),"")</f>
        <v>Amplop (Merk : Amplop Garda Ukuran : Super Kabinet Warna : Coklat polos Isi / Pack :100 pcs Ukuran : 14 cm x 27 cm)</v>
      </c>
      <c r="F17" s="1034"/>
      <c r="G17" s="1034"/>
      <c r="H17" s="1034"/>
      <c r="I17" s="1034"/>
      <c r="J17" s="1034"/>
      <c r="K17" s="1034"/>
      <c r="L17" s="1034"/>
      <c r="M17" s="1034"/>
      <c r="N17" s="1035"/>
      <c r="O17" s="25" t="str">
        <f t="shared" si="0"/>
        <v>1</v>
      </c>
      <c r="P17" s="25"/>
      <c r="Q17" s="25"/>
    </row>
    <row r="18" spans="1:17" s="7" customFormat="1" ht="29" customHeight="1">
      <c r="A18" s="199"/>
      <c r="B18" s="24"/>
      <c r="C18" s="804" t="s">
        <v>3881</v>
      </c>
      <c r="D18" s="693">
        <f>IF(E18&lt;&gt;"",COUNTA($E$8:E18),"")</f>
        <v>11</v>
      </c>
      <c r="E18" s="1033" t="str">
        <f t="array" ref="E18">IFERROR(INDEX(Masteratk2024,SMALL(IF(Kriteriaatk2024=$P$4,ROW(Kriteriaatk2024)),ROW(C11)),17),"")</f>
        <v>Amplop Coklat Folio (Berat: 1000 gram. Panjang: 25 cm. Lebar: 5 cm. Tinggi: 35 cm)</v>
      </c>
      <c r="F18" s="1034"/>
      <c r="G18" s="1034"/>
      <c r="H18" s="1034"/>
      <c r="I18" s="1034"/>
      <c r="J18" s="1034"/>
      <c r="K18" s="1034"/>
      <c r="L18" s="1034"/>
      <c r="M18" s="1034"/>
      <c r="N18" s="1035"/>
      <c r="O18" s="25" t="str">
        <f t="shared" si="0"/>
        <v>1</v>
      </c>
      <c r="P18" s="25"/>
      <c r="Q18" s="25"/>
    </row>
    <row r="19" spans="1:17" s="7" customFormat="1" ht="29" customHeight="1">
      <c r="A19" s="199"/>
      <c r="B19" s="24"/>
      <c r="C19" s="804" t="s">
        <v>3881</v>
      </c>
      <c r="D19" s="693">
        <f>IF(E19&lt;&gt;"",COUNTA($E$8:E19),"")</f>
        <v>12</v>
      </c>
      <c r="E19" s="1033" t="str">
        <f t="array" ref="E19">IFERROR(INDEX(Masteratk2024,SMALL(IF(Kriteriaatk2024=$P$4,ROW(Kriteriaatk2024)),ROW(C12)),17),"")</f>
        <v xml:space="preserve"> Amplop Panjang Putih Polos (Merk : Jaya Ukuran : 11 x 23 cm)</v>
      </c>
      <c r="F19" s="1034"/>
      <c r="G19" s="1034"/>
      <c r="H19" s="1034"/>
      <c r="I19" s="1034"/>
      <c r="J19" s="1034"/>
      <c r="K19" s="1034"/>
      <c r="L19" s="1034"/>
      <c r="M19" s="1034"/>
      <c r="N19" s="1035"/>
      <c r="O19" s="25" t="str">
        <f t="shared" si="0"/>
        <v>1</v>
      </c>
      <c r="P19" s="25"/>
      <c r="Q19" s="25"/>
    </row>
    <row r="20" spans="1:17" s="7" customFormat="1" ht="29" customHeight="1">
      <c r="A20" s="199"/>
      <c r="B20" s="24"/>
      <c r="C20" s="804" t="s">
        <v>3881</v>
      </c>
      <c r="D20" s="693">
        <f>IF(E20&lt;&gt;"",COUNTA($E$8:E20),"")</f>
        <v>13</v>
      </c>
      <c r="E20" s="1033" t="str">
        <f t="array" ref="E20">IFERROR(INDEX(Masteratk2024,SMALL(IF(Kriteriaatk2024=$P$4,ROW(Kriteriaatk2024)),ROW(C13)),17),"")</f>
        <v>Ballpoint Drawing Pen 0,5 Snowman (Length 5.0Cm, Width 5.0Cm, Height 5.0Cm, Weight 5Gr)</v>
      </c>
      <c r="F20" s="1034"/>
      <c r="G20" s="1034"/>
      <c r="H20" s="1034"/>
      <c r="I20" s="1034"/>
      <c r="J20" s="1034"/>
      <c r="K20" s="1034"/>
      <c r="L20" s="1034"/>
      <c r="M20" s="1034"/>
      <c r="N20" s="1035"/>
      <c r="O20" s="25" t="str">
        <f t="shared" si="0"/>
        <v>1</v>
      </c>
      <c r="P20" s="25"/>
      <c r="Q20" s="25"/>
    </row>
    <row r="21" spans="1:17" s="7" customFormat="1" ht="29" customHeight="1">
      <c r="A21" s="199"/>
      <c r="B21" s="24"/>
      <c r="C21" s="804" t="s">
        <v>3881</v>
      </c>
      <c r="D21" s="693">
        <f>IF(E21&lt;&gt;"",COUNTA($E$8:E21),"")</f>
        <v>14</v>
      </c>
      <c r="E21" s="1033" t="str">
        <f t="array" ref="E21">IFERROR(INDEX(Masteratk2024,SMALL(IF(Kriteriaatk2024=$P$4,ROW(Kriteriaatk2024)),ROW(C14)),17),"")</f>
        <v>Ballpoint Standard AE7 (Jenis Barang: Pulpen Merk: Standard Tipe: AE-7 Ukuran: 0.5 mm; Warna Tinta, hitam)</v>
      </c>
      <c r="F21" s="1034"/>
      <c r="G21" s="1034"/>
      <c r="H21" s="1034"/>
      <c r="I21" s="1034"/>
      <c r="J21" s="1034"/>
      <c r="K21" s="1034"/>
      <c r="L21" s="1034"/>
      <c r="M21" s="1034"/>
      <c r="N21" s="1035"/>
      <c r="O21" s="25" t="str">
        <f t="shared" si="0"/>
        <v>1</v>
      </c>
      <c r="P21" s="25"/>
      <c r="Q21" s="25"/>
    </row>
    <row r="22" spans="1:17" s="7" customFormat="1" ht="29" customHeight="1">
      <c r="A22" s="199"/>
      <c r="B22" s="24"/>
      <c r="C22" s="804" t="s">
        <v>3881</v>
      </c>
      <c r="D22" s="693">
        <f>IF(E22&lt;&gt;"",COUNTA($E$8:E22),"")</f>
        <v>15</v>
      </c>
      <c r="E22" s="1033" t="str">
        <f t="array" ref="E22">IFERROR(INDEX(Masteratk2024,SMALL(IF(Kriteriaatk2024=$P$4,ROW(Kriteriaatk2024)),ROW(C15)),17),"")</f>
        <v>Ballpoint Pilot G2 (Length 5.0Cm, Width 5.0Cm, Height 5.0Cm, Weight 5Gr)</v>
      </c>
      <c r="F22" s="1034"/>
      <c r="G22" s="1034"/>
      <c r="H22" s="1034"/>
      <c r="I22" s="1034"/>
      <c r="J22" s="1034"/>
      <c r="K22" s="1034"/>
      <c r="L22" s="1034"/>
      <c r="M22" s="1034"/>
      <c r="N22" s="1035"/>
      <c r="O22" s="25" t="str">
        <f t="shared" si="0"/>
        <v>1</v>
      </c>
      <c r="P22" s="25"/>
      <c r="Q22" s="25"/>
    </row>
    <row r="23" spans="1:17" s="7" customFormat="1" ht="29" customHeight="1">
      <c r="A23" s="199"/>
      <c r="B23" s="24"/>
      <c r="C23" s="804" t="s">
        <v>3881</v>
      </c>
      <c r="D23" s="693">
        <f>IF(E23&lt;&gt;"",COUNTA($E$8:E23),"")</f>
        <v>16</v>
      </c>
      <c r="E23" s="1033" t="str">
        <f t="array" ref="E23">IFERROR(INDEX(Masteratk2024,SMALL(IF(Kriteriaatk2024=$P$4,ROW(Kriteriaatk2024)),ROW(C16)),17),"")</f>
        <v>Binder Clip N0 107 (Length 5.0Cm, Width 5.0Cm, Height 5.0Cm, Weight 5Gr)</v>
      </c>
      <c r="F23" s="1034"/>
      <c r="G23" s="1034"/>
      <c r="H23" s="1034"/>
      <c r="I23" s="1034"/>
      <c r="J23" s="1034"/>
      <c r="K23" s="1034"/>
      <c r="L23" s="1034"/>
      <c r="M23" s="1034"/>
      <c r="N23" s="1035"/>
      <c r="O23" s="25" t="str">
        <f t="shared" si="0"/>
        <v>1</v>
      </c>
      <c r="P23" s="25"/>
      <c r="Q23" s="25"/>
    </row>
    <row r="24" spans="1:17" s="7" customFormat="1" ht="29" customHeight="1">
      <c r="A24" s="199"/>
      <c r="B24" s="24"/>
      <c r="C24" s="804" t="s">
        <v>3881</v>
      </c>
      <c r="D24" s="693">
        <f>IF(E24&lt;&gt;"",COUNTA($E$8:E24),"")</f>
        <v>17</v>
      </c>
      <c r="E24" s="1033" t="str">
        <f t="array" ref="E24">IFERROR(INDEX(Masteratk2024,SMALL(IF(Kriteriaatk2024=$P$4,ROW(Kriteriaatk2024)),ROW(C17)),17),"")</f>
        <v>Binder Clip No 111 (Length 5.0Cm, Width 5.0Cm, Height 5.0Cm, Weight 5Gr)</v>
      </c>
      <c r="F24" s="1034"/>
      <c r="G24" s="1034"/>
      <c r="H24" s="1034"/>
      <c r="I24" s="1034"/>
      <c r="J24" s="1034"/>
      <c r="K24" s="1034"/>
      <c r="L24" s="1034"/>
      <c r="M24" s="1034"/>
      <c r="N24" s="1035"/>
      <c r="O24" s="25" t="str">
        <f t="shared" si="0"/>
        <v>1</v>
      </c>
      <c r="P24" s="25"/>
      <c r="Q24" s="25"/>
    </row>
    <row r="25" spans="1:17" s="7" customFormat="1" ht="29" customHeight="1">
      <c r="A25" s="199"/>
      <c r="B25" s="24"/>
      <c r="C25" s="804" t="s">
        <v>3881</v>
      </c>
      <c r="D25" s="693">
        <f>IF(E25&lt;&gt;"",COUNTA($E$8:E25),"")</f>
        <v>18</v>
      </c>
      <c r="E25" s="1033" t="str">
        <f t="array" ref="E25">IFERROR(INDEX(Masteratk2024,SMALL(IF(Kriteriaatk2024=$P$4,ROW(Kriteriaatk2024)),ROW(C18)),17),"")</f>
        <v>Binder Clip Nomor 200 (Length 5.0Cm, Width 5.0Cm, Height 5.0Cm, Weight 5Gr)</v>
      </c>
      <c r="F25" s="1034"/>
      <c r="G25" s="1034"/>
      <c r="H25" s="1034"/>
      <c r="I25" s="1034"/>
      <c r="J25" s="1034"/>
      <c r="K25" s="1034"/>
      <c r="L25" s="1034"/>
      <c r="M25" s="1034"/>
      <c r="N25" s="1035"/>
      <c r="O25" s="25" t="str">
        <f t="shared" si="0"/>
        <v>1</v>
      </c>
      <c r="P25" s="25"/>
      <c r="Q25" s="25"/>
    </row>
    <row r="26" spans="1:17" s="7" customFormat="1" ht="29" customHeight="1">
      <c r="A26" s="199"/>
      <c r="B26" s="24"/>
      <c r="C26" s="804" t="s">
        <v>3881</v>
      </c>
      <c r="D26" s="693">
        <f>IF(E26&lt;&gt;"",COUNTA($E$8:E26),"")</f>
        <v>19</v>
      </c>
      <c r="E26" s="1033" t="str">
        <f t="array" ref="E26">IFERROR(INDEX(Masteratk2024,SMALL(IF(Kriteriaatk2024=$P$4,ROW(Kriteriaatk2024)),ROW(C19)),17),"")</f>
        <v>Binder Clip No 260 (Length 5.0Cm, Width 5.0Cm, Height 5.0Cm, Weight 5Gr)</v>
      </c>
      <c r="F26" s="1034"/>
      <c r="G26" s="1034"/>
      <c r="H26" s="1034"/>
      <c r="I26" s="1034"/>
      <c r="J26" s="1034"/>
      <c r="K26" s="1034"/>
      <c r="L26" s="1034"/>
      <c r="M26" s="1034"/>
      <c r="N26" s="1035"/>
      <c r="O26" s="25" t="str">
        <f t="shared" si="0"/>
        <v>1</v>
      </c>
      <c r="P26" s="25"/>
      <c r="Q26" s="25"/>
    </row>
    <row r="27" spans="1:17" s="7" customFormat="1" ht="29" customHeight="1">
      <c r="A27" s="199"/>
      <c r="B27" s="24"/>
      <c r="C27" s="804" t="s">
        <v>3881</v>
      </c>
      <c r="D27" s="693">
        <f>IF(E27&lt;&gt;"",COUNTA($E$8:E27),"")</f>
        <v>20</v>
      </c>
      <c r="E27" s="1033" t="str">
        <f t="array" ref="E27">IFERROR(INDEX(Masteratk2024,SMALL(IF(Kriteriaatk2024=$P$4,ROW(Kriteriaatk2024)),ROW(C20)),17),"")</f>
        <v xml:space="preserve">Binder Clip merk kenko NO 105 (Length 5.0cm, Width 5.0cm, Height 5.0cm, Weight 5gr)  </v>
      </c>
      <c r="F27" s="1034"/>
      <c r="G27" s="1034"/>
      <c r="H27" s="1034"/>
      <c r="I27" s="1034"/>
      <c r="J27" s="1034"/>
      <c r="K27" s="1034"/>
      <c r="L27" s="1034"/>
      <c r="M27" s="1034"/>
      <c r="N27" s="1035"/>
      <c r="O27" s="25" t="str">
        <f t="shared" si="0"/>
        <v>1</v>
      </c>
      <c r="P27" s="25"/>
      <c r="Q27" s="25"/>
    </row>
    <row r="28" spans="1:17" s="7" customFormat="1" ht="29" customHeight="1">
      <c r="A28" s="199"/>
      <c r="B28" s="24"/>
      <c r="C28" s="804" t="s">
        <v>3881</v>
      </c>
      <c r="D28" s="693">
        <f>IF(E28&lt;&gt;"",COUNTA($E$8:E28),"")</f>
        <v>21</v>
      </c>
      <c r="E28" s="1033" t="str">
        <f t="array" ref="E28">IFERROR(INDEX(Masteratk2024,SMALL(IF(Kriteriaatk2024=$P$4,ROW(Kriteriaatk2024)),ROW(C21)),17),"")</f>
        <v>Map Binder (Length 5.0Cm, Width 5.0Cm, Height 5.0Cm, Weight 5Gr)</v>
      </c>
      <c r="F28" s="1034"/>
      <c r="G28" s="1034"/>
      <c r="H28" s="1034"/>
      <c r="I28" s="1034"/>
      <c r="J28" s="1034"/>
      <c r="K28" s="1034"/>
      <c r="L28" s="1034"/>
      <c r="M28" s="1034"/>
      <c r="N28" s="1035"/>
      <c r="O28" s="25" t="str">
        <f t="shared" si="0"/>
        <v>1</v>
      </c>
      <c r="P28" s="25"/>
      <c r="Q28" s="25"/>
    </row>
    <row r="29" spans="1:17" s="7" customFormat="1" ht="29" customHeight="1">
      <c r="A29" s="199"/>
      <c r="B29" s="24"/>
      <c r="C29" s="804" t="s">
        <v>3881</v>
      </c>
      <c r="D29" s="693">
        <f>IF(E29&lt;&gt;"",COUNTA($E$8:E29),"")</f>
        <v>22</v>
      </c>
      <c r="E29" s="1033" t="str">
        <f t="array" ref="E29">IFERROR(INDEX(Masteratk2024,SMALL(IF(Kriteriaatk2024=$P$4,ROW(Kriteriaatk2024)),ROW(C22)),17),"")</f>
        <v>Stofmap Kertas (Length 5.0Cm, Width 5.0Cm, Height 5.0Cm, Weight 5Gr)</v>
      </c>
      <c r="F29" s="1034"/>
      <c r="G29" s="1034"/>
      <c r="H29" s="1034"/>
      <c r="I29" s="1034"/>
      <c r="J29" s="1034"/>
      <c r="K29" s="1034"/>
      <c r="L29" s="1034"/>
      <c r="M29" s="1034"/>
      <c r="N29" s="1035"/>
      <c r="O29" s="25" t="str">
        <f t="shared" si="0"/>
        <v>1</v>
      </c>
      <c r="P29" s="25"/>
      <c r="Q29" s="25"/>
    </row>
    <row r="30" spans="1:17" s="7" customFormat="1" ht="29" customHeight="1">
      <c r="A30" s="199"/>
      <c r="B30" s="24"/>
      <c r="C30" s="804" t="s">
        <v>3881</v>
      </c>
      <c r="D30" s="693">
        <f>IF(E30&lt;&gt;"",COUNTA($E$8:E30),"")</f>
        <v>23</v>
      </c>
      <c r="E30" s="1033" t="str">
        <f t="array" ref="E30">IFERROR(INDEX(Masteratk2024,SMALL(IF(Kriteriaatk2024=$P$4,ROW(Kriteriaatk2024)),ROW(C23)),17),"")</f>
        <v>Stofmap Transparan tali (Merk : Jenia Tipe : 2 Kancing + Tali Ukuran : 255 x 375 mm Bahan : Plastik PP 0,14 Micron)</v>
      </c>
      <c r="F30" s="1034"/>
      <c r="G30" s="1034"/>
      <c r="H30" s="1034"/>
      <c r="I30" s="1034"/>
      <c r="J30" s="1034"/>
      <c r="K30" s="1034"/>
      <c r="L30" s="1034"/>
      <c r="M30" s="1034"/>
      <c r="N30" s="1035"/>
      <c r="O30" s="25" t="str">
        <f t="shared" si="0"/>
        <v>1</v>
      </c>
      <c r="P30" s="25"/>
      <c r="Q30" s="25"/>
    </row>
    <row r="31" spans="1:17" s="7" customFormat="1" ht="29" customHeight="1">
      <c r="A31" s="199"/>
      <c r="B31" s="24"/>
      <c r="C31" s="804" t="s">
        <v>3881</v>
      </c>
      <c r="D31" s="693">
        <f>IF(E31&lt;&gt;"",COUNTA($E$8:E31),"")</f>
        <v>24</v>
      </c>
      <c r="E31" s="1033" t="str">
        <f t="array" ref="E31">IFERROR(INDEX(Masteratk2024,SMALL(IF(Kriteriaatk2024=$P$4,ROW(Kriteriaatk2024)),ROW(C24)),17),"")</f>
        <v>Stofmap Transparan (Length 5.0Cm, Width 5.0Cm, Height 5.0Cm, Weight 5Gr)</v>
      </c>
      <c r="F31" s="1034"/>
      <c r="G31" s="1034"/>
      <c r="H31" s="1034"/>
      <c r="I31" s="1034"/>
      <c r="J31" s="1034"/>
      <c r="K31" s="1034"/>
      <c r="L31" s="1034"/>
      <c r="M31" s="1034"/>
      <c r="N31" s="1035"/>
      <c r="O31" s="25" t="str">
        <f t="shared" si="0"/>
        <v>1</v>
      </c>
      <c r="P31" s="25"/>
      <c r="Q31" s="25"/>
    </row>
    <row r="32" spans="1:17" s="7" customFormat="1" ht="29" customHeight="1">
      <c r="A32" s="199"/>
      <c r="B32" s="24"/>
      <c r="C32" s="804" t="s">
        <v>3881</v>
      </c>
      <c r="D32" s="693">
        <f>IF(E32&lt;&gt;"",COUNTA($E$8:E32),"")</f>
        <v>25</v>
      </c>
      <c r="E32" s="1033" t="str">
        <f t="array" ref="E32">IFERROR(INDEX(Masteratk2024,SMALL(IF(Kriteriaatk2024=$P$4,ROW(Kriteriaatk2024)),ROW(C25)),17),"")</f>
        <v>Binder Klip Ordner (Length 5.0Cm, Width 5.0Cm, Height 5.0Cm, Weight 5Gr)</v>
      </c>
      <c r="F32" s="1034"/>
      <c r="G32" s="1034"/>
      <c r="H32" s="1034"/>
      <c r="I32" s="1034"/>
      <c r="J32" s="1034"/>
      <c r="K32" s="1034"/>
      <c r="L32" s="1034"/>
      <c r="M32" s="1034"/>
      <c r="N32" s="1035"/>
      <c r="O32" s="25" t="str">
        <f t="shared" si="0"/>
        <v>1</v>
      </c>
      <c r="P32" s="25"/>
      <c r="Q32" s="25"/>
    </row>
    <row r="33" spans="1:17" s="7" customFormat="1" ht="29" customHeight="1">
      <c r="A33" s="199"/>
      <c r="B33" s="24"/>
      <c r="C33" s="804" t="s">
        <v>3881</v>
      </c>
      <c r="D33" s="693">
        <f>IF(E33&lt;&gt;"",COUNTA($E$8:E33),"")</f>
        <v>26</v>
      </c>
      <c r="E33" s="1033" t="str">
        <f t="array" ref="E33">IFERROR(INDEX(Masteratk2024,SMALL(IF(Kriteriaatk2024=$P$4,ROW(Kriteriaatk2024)),ROW(C26)),17),"")</f>
        <v>Box File (Length 5.0Cm, Width 5.0Cm, Height 5.0Cm, Weight 5Gr)</v>
      </c>
      <c r="F33" s="1034"/>
      <c r="G33" s="1034"/>
      <c r="H33" s="1034"/>
      <c r="I33" s="1034"/>
      <c r="J33" s="1034"/>
      <c r="K33" s="1034"/>
      <c r="L33" s="1034"/>
      <c r="M33" s="1034"/>
      <c r="N33" s="1035"/>
      <c r="O33" s="25" t="str">
        <f t="shared" si="0"/>
        <v>1</v>
      </c>
      <c r="P33" s="25"/>
      <c r="Q33" s="25"/>
    </row>
    <row r="34" spans="1:17" s="7" customFormat="1" ht="29" customHeight="1">
      <c r="A34" s="199"/>
      <c r="B34" s="24"/>
      <c r="C34" s="804" t="s">
        <v>3881</v>
      </c>
      <c r="D34" s="693">
        <f>IF(E34&lt;&gt;"",COUNTA($E$8:E34),"")</f>
        <v>27</v>
      </c>
      <c r="E34" s="1033" t="str">
        <f t="array" ref="E34">IFERROR(INDEX(Masteratk2024,SMALL(IF(Kriteriaatk2024=$P$4,ROW(Kriteriaatk2024)),ROW(C27)),17),"")</f>
        <v>Sampul Plastik (Length 5.0Cm, Width 5.0Cm, Height 5.0Cm, Weight 5Gr)</v>
      </c>
      <c r="F34" s="1034"/>
      <c r="G34" s="1034"/>
      <c r="H34" s="1034"/>
      <c r="I34" s="1034"/>
      <c r="J34" s="1034"/>
      <c r="K34" s="1034"/>
      <c r="L34" s="1034"/>
      <c r="M34" s="1034"/>
      <c r="N34" s="1035"/>
      <c r="O34" s="25" t="str">
        <f t="shared" si="0"/>
        <v>1</v>
      </c>
      <c r="P34" s="25"/>
      <c r="Q34" s="25"/>
    </row>
    <row r="35" spans="1:17" s="7" customFormat="1" ht="29" customHeight="1">
      <c r="A35" s="199"/>
      <c r="B35" s="24"/>
      <c r="C35" s="804" t="s">
        <v>3881</v>
      </c>
      <c r="D35" s="693">
        <f>IF(E35&lt;&gt;"",COUNTA($E$8:E35),"")</f>
        <v>28</v>
      </c>
      <c r="E35" s="1033" t="str">
        <f t="array" ref="E35">IFERROR(INDEX(Masteratk2024,SMALL(IF(Kriteriaatk2024=$P$4,ROW(Kriteriaatk2024)),ROW(C28)),17),"")</f>
        <v>Tinta Printer Canon Aiflo Hitam (Length 5.0cm, Width 5.0cm, Height 5.0cm, Weight 5gr)</v>
      </c>
      <c r="F35" s="1034"/>
      <c r="G35" s="1034"/>
      <c r="H35" s="1034"/>
      <c r="I35" s="1034"/>
      <c r="J35" s="1034"/>
      <c r="K35" s="1034"/>
      <c r="L35" s="1034"/>
      <c r="M35" s="1034"/>
      <c r="N35" s="1035"/>
      <c r="O35" s="25" t="str">
        <f t="shared" si="0"/>
        <v>1</v>
      </c>
      <c r="P35" s="25"/>
      <c r="Q35" s="25"/>
    </row>
    <row r="36" spans="1:17" s="7" customFormat="1" ht="29" customHeight="1">
      <c r="A36" s="199"/>
      <c r="B36" s="24"/>
      <c r="C36" s="804" t="s">
        <v>3881</v>
      </c>
      <c r="D36" s="693">
        <f>IF(E36&lt;&gt;"",COUNTA($E$8:E36),"")</f>
        <v>29</v>
      </c>
      <c r="E36" s="1033" t="str">
        <f t="array" ref="E36">IFERROR(INDEX(Masteratk2024,SMALL(IF(Kriteriaatk2024=$P$4,ROW(Kriteriaatk2024)),ROW(C29)),17),"")</f>
        <v>Tinta Printer Canon Aiflo Warna (Length 5.0cm, Width 5.0cm, Height 5.0cm, Weight 5gr)</v>
      </c>
      <c r="F36" s="1034"/>
      <c r="G36" s="1034"/>
      <c r="H36" s="1034"/>
      <c r="I36" s="1034"/>
      <c r="J36" s="1034"/>
      <c r="K36" s="1034"/>
      <c r="L36" s="1034"/>
      <c r="M36" s="1034"/>
      <c r="N36" s="1035"/>
      <c r="O36" s="25" t="str">
        <f t="shared" si="0"/>
        <v>1</v>
      </c>
      <c r="P36" s="25"/>
      <c r="Q36" s="25"/>
    </row>
    <row r="37" spans="1:17" s="7" customFormat="1" ht="29" customHeight="1">
      <c r="A37" s="199"/>
      <c r="B37" s="24"/>
      <c r="C37" s="804" t="s">
        <v>3881</v>
      </c>
      <c r="D37" s="693">
        <f>IF(E37&lt;&gt;"",COUNTA($E$8:E37),"")</f>
        <v>30</v>
      </c>
      <c r="E37" s="1033" t="str">
        <f t="array" ref="E37">IFERROR(INDEX(Masteratk2024,SMALL(IF(Kriteriaatk2024=$P$4,ROW(Kriteriaatk2024)),ROW(C30)),17),"")</f>
        <v>Tinta Printer Epson 664 Hitam (Length 5.0Cm, Width 5.0Cm, Height 5.0Cm, Weight 5Gr)</v>
      </c>
      <c r="F37" s="1034"/>
      <c r="G37" s="1034"/>
      <c r="H37" s="1034"/>
      <c r="I37" s="1034"/>
      <c r="J37" s="1034"/>
      <c r="K37" s="1034"/>
      <c r="L37" s="1034"/>
      <c r="M37" s="1034"/>
      <c r="N37" s="1035"/>
      <c r="O37" s="25" t="str">
        <f t="shared" si="0"/>
        <v>1</v>
      </c>
      <c r="P37" s="25"/>
      <c r="Q37" s="25"/>
    </row>
    <row r="38" spans="1:17" s="7" customFormat="1" ht="29" customHeight="1">
      <c r="A38" s="199"/>
      <c r="B38" s="24"/>
      <c r="C38" s="804" t="s">
        <v>3881</v>
      </c>
      <c r="D38" s="693">
        <f>IF(E38&lt;&gt;"",COUNTA($E$8:E38),"")</f>
        <v>31</v>
      </c>
      <c r="E38" s="1033" t="str">
        <f t="array" ref="E38">IFERROR(INDEX(Masteratk2024,SMALL(IF(Kriteriaatk2024=$P$4,ROW(Kriteriaatk2024)),ROW(C31)),17),"")</f>
        <v>Tinta Printer Epson 664 Kuning (Length 5.0Cm, Width 5.0Cm, Height 5.0Cm, Weight 5Gr)</v>
      </c>
      <c r="F38" s="1034"/>
      <c r="G38" s="1034"/>
      <c r="H38" s="1034"/>
      <c r="I38" s="1034"/>
      <c r="J38" s="1034"/>
      <c r="K38" s="1034"/>
      <c r="L38" s="1034"/>
      <c r="M38" s="1034"/>
      <c r="N38" s="1035"/>
      <c r="O38" s="25" t="str">
        <f t="shared" si="0"/>
        <v>1</v>
      </c>
      <c r="P38" s="25"/>
      <c r="Q38" s="25"/>
    </row>
    <row r="39" spans="1:17" s="7" customFormat="1" ht="29" customHeight="1">
      <c r="A39" s="199"/>
      <c r="B39" s="24"/>
      <c r="C39" s="804" t="s">
        <v>3881</v>
      </c>
      <c r="D39" s="693">
        <f>IF(E39&lt;&gt;"",COUNTA($E$8:E39),"")</f>
        <v>32</v>
      </c>
      <c r="E39" s="1033" t="str">
        <f t="array" ref="E39">IFERROR(INDEX(Masteratk2024,SMALL(IF(Kriteriaatk2024=$P$4,ROW(Kriteriaatk2024)),ROW(C32)),17),"")</f>
        <v>Tinta Printer Epson 664 Biru (Length 5.0Cm, Width 5.0Cm, Height 5.0Cm, Weight 5Gr)</v>
      </c>
      <c r="F39" s="1034"/>
      <c r="G39" s="1034"/>
      <c r="H39" s="1034"/>
      <c r="I39" s="1034"/>
      <c r="J39" s="1034"/>
      <c r="K39" s="1034"/>
      <c r="L39" s="1034"/>
      <c r="M39" s="1034"/>
      <c r="N39" s="1035"/>
      <c r="O39" s="25" t="str">
        <f t="shared" si="0"/>
        <v>1</v>
      </c>
      <c r="P39" s="25"/>
      <c r="Q39" s="25"/>
    </row>
    <row r="40" spans="1:17" s="7" customFormat="1" ht="29" customHeight="1">
      <c r="A40" s="199"/>
      <c r="B40" s="24"/>
      <c r="C40" s="804" t="s">
        <v>3881</v>
      </c>
      <c r="D40" s="693">
        <f>IF(E40&lt;&gt;"",COUNTA($E$8:E40),"")</f>
        <v>33</v>
      </c>
      <c r="E40" s="1033" t="str">
        <f t="array" ref="E40">IFERROR(INDEX(Masteratk2024,SMALL(IF(Kriteriaatk2024=$P$4,ROW(Kriteriaatk2024)),ROW(C33)),17),"")</f>
        <v>Tinta Printer Epson 664 Merah (Length 5.0Cm, Width 5.0Cm, Height 5.0Cm, Weight 5Gr)</v>
      </c>
      <c r="F40" s="1034"/>
      <c r="G40" s="1034"/>
      <c r="H40" s="1034"/>
      <c r="I40" s="1034"/>
      <c r="J40" s="1034"/>
      <c r="K40" s="1034"/>
      <c r="L40" s="1034"/>
      <c r="M40" s="1034"/>
      <c r="N40" s="1035"/>
      <c r="O40" s="25" t="str">
        <f t="shared" si="0"/>
        <v>1</v>
      </c>
      <c r="P40" s="25"/>
      <c r="Q40" s="25"/>
    </row>
    <row r="41" spans="1:17" s="7" customFormat="1" ht="29" customHeight="1">
      <c r="A41" s="199"/>
      <c r="B41" s="24"/>
      <c r="C41" s="804" t="s">
        <v>3881</v>
      </c>
      <c r="D41" s="693">
        <f>IF(E41&lt;&gt;"",COUNTA($E$8:E41),"")</f>
        <v>34</v>
      </c>
      <c r="E41" s="1033" t="str">
        <f t="array" ref="E41">IFERROR(INDEX(Masteratk2024,SMALL(IF(Kriteriaatk2024=$P$4,ROW(Kriteriaatk2024)),ROW(C34)),17),"")</f>
        <v>Lakban Hitam Besar (Brand : Daimaru • Ukuran : 48 mm x 109 Yard)</v>
      </c>
      <c r="F41" s="1034"/>
      <c r="G41" s="1034"/>
      <c r="H41" s="1034"/>
      <c r="I41" s="1034"/>
      <c r="J41" s="1034"/>
      <c r="K41" s="1034"/>
      <c r="L41" s="1034"/>
      <c r="M41" s="1034"/>
      <c r="N41" s="1035"/>
      <c r="O41" s="25" t="str">
        <f t="shared" si="0"/>
        <v>1</v>
      </c>
      <c r="P41" s="25"/>
      <c r="Q41" s="25"/>
    </row>
    <row r="42" spans="1:17" s="7" customFormat="1" ht="29" customHeight="1">
      <c r="A42" s="199"/>
      <c r="B42" s="24"/>
      <c r="C42" s="804" t="s">
        <v>3881</v>
      </c>
      <c r="D42" s="693">
        <f>IF(E42&lt;&gt;"",COUNTA($E$8:E42),"")</f>
        <v>35</v>
      </c>
      <c r="E42" s="1033" t="str">
        <f t="array" ref="E42">IFERROR(INDEX(Masteratk2024,SMALL(IF(Kriteriaatk2024=$P$4,ROW(Kriteriaatk2024)),ROW(C35)),17),"")</f>
        <v>Lakban 45 MM x 50 Meter daimaru / 2 Inch x 50 M</v>
      </c>
      <c r="F42" s="1034"/>
      <c r="G42" s="1034"/>
      <c r="H42" s="1034"/>
      <c r="I42" s="1034"/>
      <c r="J42" s="1034"/>
      <c r="K42" s="1034"/>
      <c r="L42" s="1034"/>
      <c r="M42" s="1034"/>
      <c r="N42" s="1035"/>
      <c r="O42" s="25" t="str">
        <f t="shared" si="0"/>
        <v>1</v>
      </c>
      <c r="P42" s="25"/>
      <c r="Q42" s="25"/>
    </row>
    <row r="43" spans="1:17" s="7" customFormat="1" ht="29" customHeight="1">
      <c r="A43" s="199"/>
      <c r="B43" s="24"/>
      <c r="C43" s="804" t="s">
        <v>3881</v>
      </c>
      <c r="D43" s="693">
        <f>IF(E43&lt;&gt;"",COUNTA($E$8:E43),"")</f>
        <v>36</v>
      </c>
      <c r="E43" s="1033" t="str">
        <f t="array" ref="E43">IFERROR(INDEX(Masteratk2024,SMALL(IF(Kriteriaatk2024=$P$4,ROW(Kriteriaatk2024)),ROW(C36)),17),"")</f>
        <v>Isolasi Bening Sedang Mpi Solatip 24 X 72 Yard 1 Inc</v>
      </c>
      <c r="F43" s="1034"/>
      <c r="G43" s="1034"/>
      <c r="H43" s="1034"/>
      <c r="I43" s="1034"/>
      <c r="J43" s="1034"/>
      <c r="K43" s="1034"/>
      <c r="L43" s="1034"/>
      <c r="M43" s="1034"/>
      <c r="N43" s="1035"/>
      <c r="O43" s="25" t="str">
        <f t="shared" si="0"/>
        <v>1</v>
      </c>
      <c r="P43" s="25"/>
      <c r="Q43" s="25"/>
    </row>
    <row r="44" spans="1:17" s="7" customFormat="1" ht="29" customHeight="1">
      <c r="A44" s="199"/>
      <c r="B44" s="24"/>
      <c r="C44" s="804" t="s">
        <v>3881</v>
      </c>
      <c r="D44" s="693">
        <f>IF(E44&lt;&gt;"",COUNTA($E$8:E44),"")</f>
        <v>37</v>
      </c>
      <c r="E44" s="1033" t="str">
        <f t="array" ref="E44">IFERROR(INDEX(Masteratk2024,SMALL(IF(Kriteriaatk2024=$P$4,ROW(Kriteriaatk2024)),ROW(C37)),17),"")</f>
        <v>Lakban Hitam (Length 5.0Cm, Width 5.0Cm, Height 5.0Cm, Weight 5Gr)</v>
      </c>
      <c r="F44" s="1034"/>
      <c r="G44" s="1034"/>
      <c r="H44" s="1034"/>
      <c r="I44" s="1034"/>
      <c r="J44" s="1034"/>
      <c r="K44" s="1034"/>
      <c r="L44" s="1034"/>
      <c r="M44" s="1034"/>
      <c r="N44" s="1035"/>
      <c r="O44" s="25" t="str">
        <f t="shared" si="0"/>
        <v>1</v>
      </c>
      <c r="P44" s="25"/>
      <c r="Q44" s="25"/>
    </row>
    <row r="45" spans="1:17" s="7" customFormat="1" ht="29" customHeight="1">
      <c r="A45" s="199"/>
      <c r="B45" s="24"/>
      <c r="C45" s="804" t="s">
        <v>3881</v>
      </c>
      <c r="D45" s="693">
        <f>IF(E45&lt;&gt;"",COUNTA($E$8:E45),"")</f>
        <v>38</v>
      </c>
      <c r="E45" s="1033" t="str">
        <f t="array" ref="E45">IFERROR(INDEX(Masteratk2024,SMALL(IF(Kriteriaatk2024=$P$4,ROW(Kriteriaatk2024)),ROW(C38)),17),"")</f>
        <v>Lakban Hitam Kecil (ukuran : lebar 2 inch, panjang 12m, bahan : kain)</v>
      </c>
      <c r="F45" s="1034"/>
      <c r="G45" s="1034"/>
      <c r="H45" s="1034"/>
      <c r="I45" s="1034"/>
      <c r="J45" s="1034"/>
      <c r="K45" s="1034"/>
      <c r="L45" s="1034"/>
      <c r="M45" s="1034"/>
      <c r="N45" s="1035"/>
      <c r="O45" s="25" t="str">
        <f t="shared" si="0"/>
        <v>1</v>
      </c>
      <c r="P45" s="25"/>
      <c r="Q45" s="25"/>
    </row>
    <row r="46" spans="1:17" s="7" customFormat="1" ht="29" customHeight="1">
      <c r="A46" s="199"/>
      <c r="B46" s="24"/>
      <c r="C46" s="804" t="s">
        <v>3881</v>
      </c>
      <c r="D46" s="693">
        <f>IF(E46&lt;&gt;"",COUNTA($E$8:E46),"")</f>
        <v>39</v>
      </c>
      <c r="E46" s="1033" t="str">
        <f t="array" ref="E46">IFERROR(INDEX(Masteratk2024,SMALL(IF(Kriteriaatk2024=$P$4,ROW(Kriteriaatk2024)),ROW(C39)),17),"")</f>
        <v>Lakban Warna Uk 2" Warna Hitam (Ukuran 90Yard Lebar : 48Mm)</v>
      </c>
      <c r="F46" s="1034"/>
      <c r="G46" s="1034"/>
      <c r="H46" s="1034"/>
      <c r="I46" s="1034"/>
      <c r="J46" s="1034"/>
      <c r="K46" s="1034"/>
      <c r="L46" s="1034"/>
      <c r="M46" s="1034"/>
      <c r="N46" s="1035"/>
      <c r="O46" s="25" t="str">
        <f t="shared" si="0"/>
        <v>1</v>
      </c>
      <c r="P46" s="25"/>
      <c r="Q46" s="25"/>
    </row>
    <row r="47" spans="1:17" s="7" customFormat="1" ht="29" customHeight="1">
      <c r="A47" s="199"/>
      <c r="B47" s="24"/>
      <c r="C47" s="804" t="s">
        <v>3881</v>
      </c>
      <c r="D47" s="693">
        <f>IF(E47&lt;&gt;"",COUNTA($E$8:E47),"")</f>
        <v>40</v>
      </c>
      <c r="E47" s="1033" t="str">
        <f t="array" ref="E47">IFERROR(INDEX(Masteratk2024,SMALL(IF(Kriteriaatk2024=$P$4,ROW(Kriteriaatk2024)),ROW(C40)),17),"")</f>
        <v>Lakban Warna Uk 2" Warna Coklat Cofiie (Ukuran 90Yard Lebar : 48Mm)</v>
      </c>
      <c r="F47" s="1034"/>
      <c r="G47" s="1034"/>
      <c r="H47" s="1034"/>
      <c r="I47" s="1034"/>
      <c r="J47" s="1034"/>
      <c r="K47" s="1034"/>
      <c r="L47" s="1034"/>
      <c r="M47" s="1034"/>
      <c r="N47" s="1035"/>
      <c r="O47" s="25" t="str">
        <f t="shared" si="0"/>
        <v>1</v>
      </c>
      <c r="P47" s="25"/>
      <c r="Q47" s="25"/>
    </row>
    <row r="48" spans="1:17" s="7" customFormat="1" ht="29" customHeight="1">
      <c r="A48" s="199"/>
      <c r="B48" s="24"/>
      <c r="C48" s="804" t="s">
        <v>3881</v>
      </c>
      <c r="D48" s="693">
        <f>IF(E48&lt;&gt;"",COUNTA($E$8:E48),"")</f>
        <v>41</v>
      </c>
      <c r="E48" s="1033" t="str">
        <f t="array" ref="E48">IFERROR(INDEX(Masteratk2024,SMALL(IF(Kriteriaatk2024=$P$4,ROW(Kriteriaatk2024)),ROW(C41)),17),"")</f>
        <v>Spidol Refil Spidol White Board Snowman (Panjang. : 10 Cm ; Lebar. : 5 Cm ; Tinggi. : 7 Cm ; Berat. : 500 Gr)</v>
      </c>
      <c r="F48" s="1034"/>
      <c r="G48" s="1034"/>
      <c r="H48" s="1034"/>
      <c r="I48" s="1034"/>
      <c r="J48" s="1034"/>
      <c r="K48" s="1034"/>
      <c r="L48" s="1034"/>
      <c r="M48" s="1034"/>
      <c r="N48" s="1035"/>
      <c r="O48" s="25" t="str">
        <f t="shared" si="0"/>
        <v>1</v>
      </c>
      <c r="P48" s="25"/>
      <c r="Q48" s="25"/>
    </row>
    <row r="49" spans="1:17" s="7" customFormat="1" ht="29" customHeight="1">
      <c r="A49" s="199"/>
      <c r="B49" s="24"/>
      <c r="C49" s="804" t="s">
        <v>3881</v>
      </c>
      <c r="D49" s="693">
        <f>IF(E49&lt;&gt;"",COUNTA($E$8:E49),"")</f>
        <v>42</v>
      </c>
      <c r="E49" s="1033" t="str">
        <f t="array" ref="E49">IFERROR(INDEX(Masteratk2024,SMALL(IF(Kriteriaatk2024=$P$4,ROW(Kriteriaatk2024)),ROW(C42)),17),"")</f>
        <v>Spidol White Board (Berat Produk 0.5 Kg, Panjang Produk 10 Cm, Lebar Produk 3 Cm, Tinggi Produk 10 Cm)</v>
      </c>
      <c r="F49" s="1034"/>
      <c r="G49" s="1034"/>
      <c r="H49" s="1034"/>
      <c r="I49" s="1034"/>
      <c r="J49" s="1034"/>
      <c r="K49" s="1034"/>
      <c r="L49" s="1034"/>
      <c r="M49" s="1034"/>
      <c r="N49" s="1035"/>
      <c r="O49" s="25" t="str">
        <f t="shared" si="0"/>
        <v>1</v>
      </c>
      <c r="P49" s="25"/>
      <c r="Q49" s="25"/>
    </row>
    <row r="50" spans="1:17" s="7" customFormat="1" ht="29" customHeight="1">
      <c r="A50" s="199"/>
      <c r="B50" s="24"/>
      <c r="C50" s="804" t="s">
        <v>3881</v>
      </c>
      <c r="D50" s="693">
        <f>IF(E50&lt;&gt;"",COUNTA($E$8:E50),"")</f>
        <v>43</v>
      </c>
      <c r="E50" s="1033" t="str">
        <f t="array" ref="E50">IFERROR(INDEX(Masteratk2024,SMALL(IF(Kriteriaatk2024=$P$4,ROW(Kriteriaatk2024)),ROW(C43)),17),"")</f>
        <v>Stapler HD-10 (Merk : MAX Ukuran : 3.5 x 10 cm)</v>
      </c>
      <c r="F50" s="1034"/>
      <c r="G50" s="1034"/>
      <c r="H50" s="1034"/>
      <c r="I50" s="1034"/>
      <c r="J50" s="1034"/>
      <c r="K50" s="1034"/>
      <c r="L50" s="1034"/>
      <c r="M50" s="1034"/>
      <c r="N50" s="1035"/>
      <c r="O50" s="25" t="str">
        <f t="shared" si="0"/>
        <v>1</v>
      </c>
      <c r="P50" s="25"/>
      <c r="Q50" s="25"/>
    </row>
    <row r="51" spans="1:17" s="7" customFormat="1" ht="29" customHeight="1">
      <c r="A51" s="199"/>
      <c r="B51" s="24"/>
      <c r="C51" s="804" t="s">
        <v>3881</v>
      </c>
      <c r="D51" s="693">
        <f>IF(E51&lt;&gt;"",COUNTA($E$8:E51),"")</f>
        <v>44</v>
      </c>
      <c r="E51" s="1033" t="str">
        <f t="array" ref="E51">IFERROR(INDEX(Masteratk2024,SMALL(IF(Kriteriaatk2024=$P$4,ROW(Kriteriaatk2024)),ROW(C44)),17),"")</f>
        <v>Stapler 50 (Length 5.0Cm, Width 5.0Cm, Height 5.0Cm, Weight 5Gr)</v>
      </c>
      <c r="F51" s="1034"/>
      <c r="G51" s="1034"/>
      <c r="H51" s="1034"/>
      <c r="I51" s="1034"/>
      <c r="J51" s="1034"/>
      <c r="K51" s="1034"/>
      <c r="L51" s="1034"/>
      <c r="M51" s="1034"/>
      <c r="N51" s="1035"/>
      <c r="O51" s="25" t="str">
        <f t="shared" si="0"/>
        <v>1</v>
      </c>
      <c r="P51" s="25"/>
      <c r="Q51" s="25"/>
    </row>
    <row r="52" spans="1:17" s="7" customFormat="1" ht="29" customHeight="1">
      <c r="A52" s="199"/>
      <c r="B52" s="24"/>
      <c r="C52" s="804" t="s">
        <v>3881</v>
      </c>
      <c r="D52" s="693">
        <f>IF(E52&lt;&gt;"",COUNTA($E$8:E52),"")</f>
        <v>45</v>
      </c>
      <c r="E52" s="1033" t="str">
        <f t="array" ref="E52">IFERROR(INDEX(Masteratk2024,SMALL(IF(Kriteriaatk2024=$P$4,ROW(Kriteriaatk2024)),ROW(C45)),17),"")</f>
        <v>Paper Clip No 1 (Length 5.0Cm, Width 5.0Cm, Height 5.0Cm, Weight 5Gr)</v>
      </c>
      <c r="F52" s="1034"/>
      <c r="G52" s="1034"/>
      <c r="H52" s="1034"/>
      <c r="I52" s="1034"/>
      <c r="J52" s="1034"/>
      <c r="K52" s="1034"/>
      <c r="L52" s="1034"/>
      <c r="M52" s="1034"/>
      <c r="N52" s="1035"/>
      <c r="O52" s="25" t="str">
        <f t="shared" si="0"/>
        <v>1</v>
      </c>
      <c r="P52" s="25"/>
      <c r="Q52" s="25"/>
    </row>
    <row r="53" spans="1:17" s="7" customFormat="1" ht="29" customHeight="1">
      <c r="A53" s="199"/>
      <c r="B53" s="24"/>
      <c r="C53" s="804" t="s">
        <v>3881</v>
      </c>
      <c r="D53" s="693">
        <f>IF(E53&lt;&gt;"",COUNTA($E$8:E53),"")</f>
        <v>46</v>
      </c>
      <c r="E53" s="1033" t="str">
        <f t="array" ref="E53">IFERROR(INDEX(Masteratk2024,SMALL(IF(Kriteriaatk2024=$P$4,ROW(Kriteriaatk2024)),ROW(C46)),17),"")</f>
        <v>Paper Clip No 3 (Length 5.0Cm, Width 5.0Cm, Height 5.0Cm, Weight 5Gr)</v>
      </c>
      <c r="F53" s="1034"/>
      <c r="G53" s="1034"/>
      <c r="H53" s="1034"/>
      <c r="I53" s="1034"/>
      <c r="J53" s="1034"/>
      <c r="K53" s="1034"/>
      <c r="L53" s="1034"/>
      <c r="M53" s="1034"/>
      <c r="N53" s="1035"/>
      <c r="O53" s="25" t="str">
        <f t="shared" si="0"/>
        <v>1</v>
      </c>
      <c r="P53" s="25"/>
      <c r="Q53" s="25"/>
    </row>
    <row r="54" spans="1:17" s="7" customFormat="1" ht="29" customHeight="1">
      <c r="A54" s="199"/>
      <c r="B54" s="24"/>
      <c r="C54" s="804" t="s">
        <v>3881</v>
      </c>
      <c r="D54" s="693">
        <f>IF(E54&lt;&gt;"",COUNTA($E$8:E54),"")</f>
        <v>47</v>
      </c>
      <c r="E54" s="1033" t="str">
        <f t="array" ref="E54">IFERROR(INDEX(Masteratk2024,SMALL(IF(Kriteriaatk2024=$P$4,ROW(Kriteriaatk2024)),ROW(C47)),17),"")</f>
        <v>Gunting Besar (Length 5.0Cm, Width 5.0Cm, Height 5.0Cm, Weight 5Gr)</v>
      </c>
      <c r="F54" s="1034"/>
      <c r="G54" s="1034"/>
      <c r="H54" s="1034"/>
      <c r="I54" s="1034"/>
      <c r="J54" s="1034"/>
      <c r="K54" s="1034"/>
      <c r="L54" s="1034"/>
      <c r="M54" s="1034"/>
      <c r="N54" s="1035"/>
      <c r="O54" s="25" t="str">
        <f t="shared" si="0"/>
        <v>1</v>
      </c>
      <c r="P54" s="25"/>
      <c r="Q54" s="25"/>
    </row>
    <row r="55" spans="1:17" s="7" customFormat="1" ht="29" customHeight="1">
      <c r="A55" s="199"/>
      <c r="B55" s="24"/>
      <c r="C55" s="804" t="s">
        <v>3881</v>
      </c>
      <c r="D55" s="693">
        <f>IF(E55&lt;&gt;"",COUNTA($E$8:E55),"")</f>
        <v>48</v>
      </c>
      <c r="E55" s="1033" t="str">
        <f t="array" ref="E55">IFERROR(INDEX(Masteratk2024,SMALL(IF(Kriteriaatk2024=$P$4,ROW(Kriteriaatk2024)),ROW(C48)),17),"")</f>
        <v>Cutter L500 (Length 5.0Cm, Width 5.0Cm, Height 5.0Cm, Weight 5Gr)</v>
      </c>
      <c r="F55" s="1034"/>
      <c r="G55" s="1034"/>
      <c r="H55" s="1034"/>
      <c r="I55" s="1034"/>
      <c r="J55" s="1034"/>
      <c r="K55" s="1034"/>
      <c r="L55" s="1034"/>
      <c r="M55" s="1034"/>
      <c r="N55" s="1035"/>
      <c r="O55" s="25" t="str">
        <f t="shared" si="0"/>
        <v>1</v>
      </c>
      <c r="P55" s="25"/>
      <c r="Q55" s="25"/>
    </row>
    <row r="56" spans="1:17" s="7" customFormat="1" ht="29" customHeight="1">
      <c r="A56" s="199"/>
      <c r="B56" s="24"/>
      <c r="C56" s="804" t="s">
        <v>3881</v>
      </c>
      <c r="D56" s="693">
        <f>IF(E56&lt;&gt;"",COUNTA($E$8:E56),"")</f>
        <v>49</v>
      </c>
      <c r="E56" s="1033" t="str">
        <f t="array" ref="E56">IFERROR(INDEX(Masteratk2024,SMALL(IF(Kriteriaatk2024=$P$4,ROW(Kriteriaatk2024)),ROW(C49)),17),"")</f>
        <v>Baterey Kecil (Type: Aa; Tegangan: 1.5 Volt; Ukuran: 14 X 50 Mm)</v>
      </c>
      <c r="F56" s="1034"/>
      <c r="G56" s="1034"/>
      <c r="H56" s="1034"/>
      <c r="I56" s="1034"/>
      <c r="J56" s="1034"/>
      <c r="K56" s="1034"/>
      <c r="L56" s="1034"/>
      <c r="M56" s="1034"/>
      <c r="N56" s="1035"/>
      <c r="O56" s="25" t="str">
        <f t="shared" si="0"/>
        <v>1</v>
      </c>
      <c r="P56" s="25"/>
      <c r="Q56" s="25"/>
    </row>
    <row r="57" spans="1:17" s="7" customFormat="1" ht="29" hidden="1" customHeight="1">
      <c r="A57" s="199"/>
      <c r="B57" s="24"/>
      <c r="C57" s="804" t="s">
        <v>3881</v>
      </c>
      <c r="D57" s="693" t="str">
        <f>IF(E57&lt;&gt;"",COUNTA($E$8:E57),"")</f>
        <v/>
      </c>
      <c r="E57" s="1033" t="str">
        <f t="array" ref="E57">IFERROR(INDEX(Masteratk2024,SMALL(IF(Kriteriaatk2024=$P$4,ROW(Kriteriaatk2024)),ROW(C50)),17),"")</f>
        <v/>
      </c>
      <c r="F57" s="1034"/>
      <c r="G57" s="1034"/>
      <c r="H57" s="1034"/>
      <c r="I57" s="1034"/>
      <c r="J57" s="1034"/>
      <c r="K57" s="1034"/>
      <c r="L57" s="1034"/>
      <c r="M57" s="1034"/>
      <c r="N57" s="1035"/>
      <c r="O57" s="25" t="str">
        <f t="shared" si="0"/>
        <v>0</v>
      </c>
      <c r="P57" s="25"/>
      <c r="Q57" s="25"/>
    </row>
    <row r="58" spans="1:17" s="7" customFormat="1" ht="29" hidden="1" customHeight="1">
      <c r="A58" s="199"/>
      <c r="B58" s="24"/>
      <c r="C58" s="804" t="s">
        <v>3881</v>
      </c>
      <c r="D58" s="693" t="str">
        <f>IF(E58&lt;&gt;"",COUNTA($E$8:E58),"")</f>
        <v/>
      </c>
      <c r="E58" s="1033" t="str">
        <f t="array" ref="E58">IFERROR(INDEX(Masteratk2024,SMALL(IF(Kriteriaatk2024=$P$4,ROW(Kriteriaatk2024)),ROW(C51)),17),"")</f>
        <v/>
      </c>
      <c r="F58" s="1034"/>
      <c r="G58" s="1034"/>
      <c r="H58" s="1034"/>
      <c r="I58" s="1034"/>
      <c r="J58" s="1034"/>
      <c r="K58" s="1034"/>
      <c r="L58" s="1034"/>
      <c r="M58" s="1034"/>
      <c r="N58" s="1035"/>
      <c r="O58" s="25" t="str">
        <f t="shared" si="0"/>
        <v>0</v>
      </c>
      <c r="P58" s="25"/>
      <c r="Q58" s="25"/>
    </row>
    <row r="59" spans="1:17" s="7" customFormat="1" ht="29" hidden="1" customHeight="1">
      <c r="A59" s="199"/>
      <c r="B59" s="24"/>
      <c r="C59" s="804" t="s">
        <v>3881</v>
      </c>
      <c r="D59" s="693" t="str">
        <f>IF(E59&lt;&gt;"",COUNTA($E$8:E59),"")</f>
        <v/>
      </c>
      <c r="E59" s="1033" t="str">
        <f t="array" ref="E59">IFERROR(INDEX(Masteratk2024,SMALL(IF(Kriteriaatk2024=$P$4,ROW(Kriteriaatk2024)),ROW(C52)),17),"")</f>
        <v/>
      </c>
      <c r="F59" s="1034"/>
      <c r="G59" s="1034"/>
      <c r="H59" s="1034"/>
      <c r="I59" s="1034"/>
      <c r="J59" s="1034"/>
      <c r="K59" s="1034"/>
      <c r="L59" s="1034"/>
      <c r="M59" s="1034"/>
      <c r="N59" s="1035"/>
      <c r="O59" s="25" t="str">
        <f t="shared" si="0"/>
        <v>0</v>
      </c>
      <c r="P59" s="25"/>
      <c r="Q59" s="25"/>
    </row>
    <row r="60" spans="1:17" s="7" customFormat="1" ht="29" hidden="1" customHeight="1">
      <c r="A60" s="199"/>
      <c r="B60" s="24"/>
      <c r="C60" s="804" t="s">
        <v>3881</v>
      </c>
      <c r="D60" s="693" t="str">
        <f>IF(E60&lt;&gt;"",COUNTA($E$8:E60),"")</f>
        <v/>
      </c>
      <c r="E60" s="1033" t="str">
        <f t="array" ref="E60">IFERROR(INDEX(Masteratk2024,SMALL(IF(Kriteriaatk2024=$P$4,ROW(Kriteriaatk2024)),ROW(C53)),17),"")</f>
        <v/>
      </c>
      <c r="F60" s="1034"/>
      <c r="G60" s="1034"/>
      <c r="H60" s="1034"/>
      <c r="I60" s="1034"/>
      <c r="J60" s="1034"/>
      <c r="K60" s="1034"/>
      <c r="L60" s="1034"/>
      <c r="M60" s="1034"/>
      <c r="N60" s="1035"/>
      <c r="O60" s="25" t="str">
        <f t="shared" si="0"/>
        <v>0</v>
      </c>
      <c r="P60" s="25"/>
      <c r="Q60" s="25"/>
    </row>
    <row r="61" spans="1:17" s="7" customFormat="1" ht="29" hidden="1" customHeight="1">
      <c r="A61" s="199"/>
      <c r="B61" s="24"/>
      <c r="C61" s="804" t="s">
        <v>3881</v>
      </c>
      <c r="D61" s="693" t="str">
        <f>IF(E61&lt;&gt;"",COUNTA($E$8:E61),"")</f>
        <v/>
      </c>
      <c r="E61" s="1033" t="str">
        <f t="array" ref="E61">IFERROR(INDEX(Masteratk2024,SMALL(IF(Kriteriaatk2024=$P$4,ROW(Kriteriaatk2024)),ROW(C54)),17),"")</f>
        <v/>
      </c>
      <c r="F61" s="1034"/>
      <c r="G61" s="1034"/>
      <c r="H61" s="1034"/>
      <c r="I61" s="1034"/>
      <c r="J61" s="1034"/>
      <c r="K61" s="1034"/>
      <c r="L61" s="1034"/>
      <c r="M61" s="1034"/>
      <c r="N61" s="1035"/>
      <c r="O61" s="25" t="str">
        <f t="shared" si="0"/>
        <v>0</v>
      </c>
      <c r="P61" s="25"/>
      <c r="Q61" s="25"/>
    </row>
    <row r="62" spans="1:17" s="7" customFormat="1" ht="29" hidden="1" customHeight="1">
      <c r="A62" s="199"/>
      <c r="B62" s="24"/>
      <c r="C62" s="804" t="s">
        <v>3881</v>
      </c>
      <c r="D62" s="693" t="str">
        <f>IF(E62&lt;&gt;"",COUNTA($E$8:E62),"")</f>
        <v/>
      </c>
      <c r="E62" s="1033" t="str">
        <f t="array" ref="E62">IFERROR(INDEX(Masteratk2024,SMALL(IF(Kriteriaatk2024=$P$4,ROW(Kriteriaatk2024)),ROW(C55)),17),"")</f>
        <v/>
      </c>
      <c r="F62" s="1034"/>
      <c r="G62" s="1034"/>
      <c r="H62" s="1034"/>
      <c r="I62" s="1034"/>
      <c r="J62" s="1034"/>
      <c r="K62" s="1034"/>
      <c r="L62" s="1034"/>
      <c r="M62" s="1034"/>
      <c r="N62" s="1035"/>
      <c r="O62" s="25" t="str">
        <f t="shared" si="0"/>
        <v>0</v>
      </c>
      <c r="P62" s="25"/>
      <c r="Q62" s="25"/>
    </row>
    <row r="63" spans="1:17" s="7" customFormat="1" ht="29" hidden="1" customHeight="1">
      <c r="A63" s="199"/>
      <c r="B63" s="24"/>
      <c r="C63" s="804" t="s">
        <v>3881</v>
      </c>
      <c r="D63" s="693" t="str">
        <f>IF(E63&lt;&gt;"",COUNTA($E$8:E63),"")</f>
        <v/>
      </c>
      <c r="E63" s="1033" t="str">
        <f t="array" ref="E63">IFERROR(INDEX(Masteratk2024,SMALL(IF(Kriteriaatk2024=$P$4,ROW(Kriteriaatk2024)),ROW(C56)),17),"")</f>
        <v/>
      </c>
      <c r="F63" s="1034"/>
      <c r="G63" s="1034"/>
      <c r="H63" s="1034"/>
      <c r="I63" s="1034"/>
      <c r="J63" s="1034"/>
      <c r="K63" s="1034"/>
      <c r="L63" s="1034"/>
      <c r="M63" s="1034"/>
      <c r="N63" s="1035"/>
      <c r="O63" s="25" t="str">
        <f t="shared" si="0"/>
        <v>0</v>
      </c>
      <c r="P63" s="25"/>
      <c r="Q63" s="25"/>
    </row>
    <row r="64" spans="1:17" s="7" customFormat="1" ht="29" hidden="1" customHeight="1">
      <c r="A64" s="199"/>
      <c r="B64" s="24"/>
      <c r="C64" s="804" t="s">
        <v>3881</v>
      </c>
      <c r="D64" s="693" t="str">
        <f>IF(E64&lt;&gt;"",COUNTA($E$8:E64),"")</f>
        <v/>
      </c>
      <c r="E64" s="1033" t="str">
        <f t="array" ref="E64">IFERROR(INDEX(Masteratk2024,SMALL(IF(Kriteriaatk2024=$P$4,ROW(Kriteriaatk2024)),ROW(C57)),17),"")</f>
        <v/>
      </c>
      <c r="F64" s="1034"/>
      <c r="G64" s="1034"/>
      <c r="H64" s="1034"/>
      <c r="I64" s="1034"/>
      <c r="J64" s="1034"/>
      <c r="K64" s="1034"/>
      <c r="L64" s="1034"/>
      <c r="M64" s="1034"/>
      <c r="N64" s="1035"/>
      <c r="O64" s="25" t="str">
        <f t="shared" si="0"/>
        <v>0</v>
      </c>
      <c r="P64" s="25"/>
      <c r="Q64" s="25"/>
    </row>
    <row r="65" spans="1:17" s="7" customFormat="1" ht="29" hidden="1" customHeight="1">
      <c r="A65" s="199"/>
      <c r="B65" s="24"/>
      <c r="C65" s="804" t="s">
        <v>3881</v>
      </c>
      <c r="D65" s="693" t="str">
        <f>IF(E65&lt;&gt;"",COUNTA($E$8:E65),"")</f>
        <v/>
      </c>
      <c r="E65" s="1033" t="str">
        <f t="array" ref="E65">IFERROR(INDEX(Masteratk2024,SMALL(IF(Kriteriaatk2024=$P$4,ROW(Kriteriaatk2024)),ROW(C58)),17),"")</f>
        <v/>
      </c>
      <c r="F65" s="1034"/>
      <c r="G65" s="1034"/>
      <c r="H65" s="1034"/>
      <c r="I65" s="1034"/>
      <c r="J65" s="1034"/>
      <c r="K65" s="1034"/>
      <c r="L65" s="1034"/>
      <c r="M65" s="1034"/>
      <c r="N65" s="1035"/>
      <c r="O65" s="25" t="str">
        <f t="shared" si="0"/>
        <v>0</v>
      </c>
      <c r="P65" s="25"/>
      <c r="Q65" s="25"/>
    </row>
    <row r="66" spans="1:17" s="7" customFormat="1" ht="29" hidden="1" customHeight="1">
      <c r="A66" s="199"/>
      <c r="B66" s="24"/>
      <c r="C66" s="804" t="s">
        <v>3881</v>
      </c>
      <c r="D66" s="693" t="str">
        <f>IF(E66&lt;&gt;"",COUNTA($E$8:E66),"")</f>
        <v/>
      </c>
      <c r="E66" s="1033" t="str">
        <f t="array" ref="E66">IFERROR(INDEX(Masteratk2024,SMALL(IF(Kriteriaatk2024=$P$4,ROW(Kriteriaatk2024)),ROW(C59)),17),"")</f>
        <v/>
      </c>
      <c r="F66" s="1034"/>
      <c r="G66" s="1034"/>
      <c r="H66" s="1034"/>
      <c r="I66" s="1034"/>
      <c r="J66" s="1034"/>
      <c r="K66" s="1034"/>
      <c r="L66" s="1034"/>
      <c r="M66" s="1034"/>
      <c r="N66" s="1035"/>
      <c r="O66" s="25" t="str">
        <f t="shared" si="0"/>
        <v>0</v>
      </c>
      <c r="P66" s="25"/>
      <c r="Q66" s="25"/>
    </row>
    <row r="67" spans="1:17" s="7" customFormat="1" ht="29" hidden="1" customHeight="1">
      <c r="A67" s="199"/>
      <c r="B67" s="24"/>
      <c r="C67" s="804" t="s">
        <v>3881</v>
      </c>
      <c r="D67" s="693" t="str">
        <f>IF(E67&lt;&gt;"",COUNTA($E$8:E67),"")</f>
        <v/>
      </c>
      <c r="E67" s="1033" t="str">
        <f t="array" ref="E67">IFERROR(INDEX(Masteratk2024,SMALL(IF(Kriteriaatk2024=$P$4,ROW(Kriteriaatk2024)),ROW(C60)),17),"")</f>
        <v/>
      </c>
      <c r="F67" s="1034"/>
      <c r="G67" s="1034"/>
      <c r="H67" s="1034"/>
      <c r="I67" s="1034"/>
      <c r="J67" s="1034"/>
      <c r="K67" s="1034"/>
      <c r="L67" s="1034"/>
      <c r="M67" s="1034"/>
      <c r="N67" s="1035"/>
      <c r="O67" s="25" t="str">
        <f t="shared" si="0"/>
        <v>0</v>
      </c>
      <c r="P67" s="25"/>
      <c r="Q67" s="25"/>
    </row>
    <row r="68" spans="1:17" s="7" customFormat="1" ht="29" hidden="1" customHeight="1">
      <c r="A68" s="199"/>
      <c r="B68" s="24"/>
      <c r="C68" s="804" t="s">
        <v>3881</v>
      </c>
      <c r="D68" s="693" t="str">
        <f>IF(E68&lt;&gt;"",COUNTA($E$8:E68),"")</f>
        <v/>
      </c>
      <c r="E68" s="1033" t="str">
        <f t="array" ref="E68">IFERROR(INDEX(Masteratk2024,SMALL(IF(Kriteriaatk2024=$P$4,ROW(Kriteriaatk2024)),ROW(C61)),17),"")</f>
        <v/>
      </c>
      <c r="F68" s="1034"/>
      <c r="G68" s="1034"/>
      <c r="H68" s="1034"/>
      <c r="I68" s="1034"/>
      <c r="J68" s="1034"/>
      <c r="K68" s="1034"/>
      <c r="L68" s="1034"/>
      <c r="M68" s="1034"/>
      <c r="N68" s="1035"/>
      <c r="O68" s="25" t="str">
        <f t="shared" si="0"/>
        <v>0</v>
      </c>
      <c r="P68" s="25"/>
      <c r="Q68" s="25"/>
    </row>
    <row r="69" spans="1:17" s="7" customFormat="1" ht="29" hidden="1" customHeight="1">
      <c r="A69" s="199"/>
      <c r="B69" s="24"/>
      <c r="C69" s="804" t="s">
        <v>3881</v>
      </c>
      <c r="D69" s="693" t="str">
        <f>IF(E69&lt;&gt;"",COUNTA($E$8:E69),"")</f>
        <v/>
      </c>
      <c r="E69" s="1033" t="str">
        <f t="array" ref="E69">IFERROR(INDEX(Masteratk2024,SMALL(IF(Kriteriaatk2024=$P$4,ROW(Kriteriaatk2024)),ROW(C62)),17),"")</f>
        <v/>
      </c>
      <c r="F69" s="1034"/>
      <c r="G69" s="1034"/>
      <c r="H69" s="1034"/>
      <c r="I69" s="1034"/>
      <c r="J69" s="1034"/>
      <c r="K69" s="1034"/>
      <c r="L69" s="1034"/>
      <c r="M69" s="1034"/>
      <c r="N69" s="1035"/>
      <c r="O69" s="25" t="str">
        <f t="shared" si="0"/>
        <v>0</v>
      </c>
      <c r="P69" s="25"/>
      <c r="Q69" s="25"/>
    </row>
    <row r="70" spans="1:17" s="7" customFormat="1" ht="29" hidden="1" customHeight="1">
      <c r="A70" s="199"/>
      <c r="B70" s="24"/>
      <c r="C70" s="804" t="s">
        <v>3881</v>
      </c>
      <c r="D70" s="693" t="str">
        <f>IF(E70&lt;&gt;"",COUNTA($E$8:E70),"")</f>
        <v/>
      </c>
      <c r="E70" s="1033" t="str">
        <f t="array" ref="E70">IFERROR(INDEX(Masteratk2024,SMALL(IF(Kriteriaatk2024=$P$4,ROW(Kriteriaatk2024)),ROW(C63)),17),"")</f>
        <v/>
      </c>
      <c r="F70" s="1034"/>
      <c r="G70" s="1034"/>
      <c r="H70" s="1034"/>
      <c r="I70" s="1034"/>
      <c r="J70" s="1034"/>
      <c r="K70" s="1034"/>
      <c r="L70" s="1034"/>
      <c r="M70" s="1034"/>
      <c r="N70" s="1035"/>
      <c r="O70" s="25" t="str">
        <f t="shared" si="0"/>
        <v>0</v>
      </c>
      <c r="P70" s="25"/>
      <c r="Q70" s="25"/>
    </row>
    <row r="71" spans="1:17" s="7" customFormat="1" ht="29" hidden="1" customHeight="1">
      <c r="A71" s="199"/>
      <c r="B71" s="24"/>
      <c r="C71" s="804" t="s">
        <v>3881</v>
      </c>
      <c r="D71" s="693" t="str">
        <f>IF(E71&lt;&gt;"",COUNTA($E$8:E71),"")</f>
        <v/>
      </c>
      <c r="E71" s="1033" t="str">
        <f t="array" ref="E71">IFERROR(INDEX(Masteratk2024,SMALL(IF(Kriteriaatk2024=$P$4,ROW(Kriteriaatk2024)),ROW(C64)),17),"")</f>
        <v/>
      </c>
      <c r="F71" s="1034"/>
      <c r="G71" s="1034"/>
      <c r="H71" s="1034"/>
      <c r="I71" s="1034"/>
      <c r="J71" s="1034"/>
      <c r="K71" s="1034"/>
      <c r="L71" s="1034"/>
      <c r="M71" s="1034"/>
      <c r="N71" s="1035"/>
      <c r="O71" s="25" t="str">
        <f t="shared" si="0"/>
        <v>0</v>
      </c>
      <c r="P71" s="25"/>
      <c r="Q71" s="25"/>
    </row>
    <row r="72" spans="1:17" s="7" customFormat="1" ht="29" hidden="1" customHeight="1">
      <c r="A72" s="199"/>
      <c r="B72" s="24"/>
      <c r="C72" s="804" t="s">
        <v>3881</v>
      </c>
      <c r="D72" s="693" t="str">
        <f>IF(E72&lt;&gt;"",COUNTA($E$8:E72),"")</f>
        <v/>
      </c>
      <c r="E72" s="1033" t="str">
        <f t="array" ref="E72">IFERROR(INDEX(Masteratk2024,SMALL(IF(Kriteriaatk2024=$P$4,ROW(Kriteriaatk2024)),ROW(C65)),17),"")</f>
        <v/>
      </c>
      <c r="F72" s="1034"/>
      <c r="G72" s="1034"/>
      <c r="H72" s="1034"/>
      <c r="I72" s="1034"/>
      <c r="J72" s="1034"/>
      <c r="K72" s="1034"/>
      <c r="L72" s="1034"/>
      <c r="M72" s="1034"/>
      <c r="N72" s="1035"/>
      <c r="O72" s="25" t="str">
        <f t="shared" si="0"/>
        <v>0</v>
      </c>
      <c r="P72" s="25"/>
      <c r="Q72" s="25"/>
    </row>
    <row r="73" spans="1:17" s="7" customFormat="1" ht="29" hidden="1" customHeight="1">
      <c r="A73" s="199"/>
      <c r="B73" s="24"/>
      <c r="C73" s="804" t="s">
        <v>3881</v>
      </c>
      <c r="D73" s="693" t="str">
        <f>IF(E73&lt;&gt;"",COUNTA($E$8:E73),"")</f>
        <v/>
      </c>
      <c r="E73" s="1033" t="str">
        <f t="array" ref="E73">IFERROR(INDEX(Masteratk2024,SMALL(IF(Kriteriaatk2024=$P$4,ROW(Kriteriaatk2024)),ROW(C66)),17),"")</f>
        <v/>
      </c>
      <c r="F73" s="1034"/>
      <c r="G73" s="1034"/>
      <c r="H73" s="1034"/>
      <c r="I73" s="1034"/>
      <c r="J73" s="1034"/>
      <c r="K73" s="1034"/>
      <c r="L73" s="1034"/>
      <c r="M73" s="1034"/>
      <c r="N73" s="1035"/>
      <c r="O73" s="25" t="str">
        <f t="shared" ref="O73:O87" si="1">IF(E73="","0","1")</f>
        <v>0</v>
      </c>
      <c r="P73" s="25"/>
      <c r="Q73" s="25"/>
    </row>
    <row r="74" spans="1:17" s="7" customFormat="1" ht="28.5" hidden="1" customHeight="1">
      <c r="A74" s="199"/>
      <c r="B74" s="24"/>
      <c r="C74" s="804" t="s">
        <v>3881</v>
      </c>
      <c r="D74" s="693" t="str">
        <f>IF(E74&lt;&gt;"",COUNTA($E$8:E74),"")</f>
        <v/>
      </c>
      <c r="E74" s="1033" t="str">
        <f t="array" ref="E74">IFERROR(INDEX(Masteratk2024,SMALL(IF(Kriteriaatk2024=$P$4,ROW(Kriteriaatk2024)),ROW(C67)),17),"")</f>
        <v/>
      </c>
      <c r="F74" s="1034"/>
      <c r="G74" s="1034"/>
      <c r="H74" s="1034"/>
      <c r="I74" s="1034"/>
      <c r="J74" s="1034"/>
      <c r="K74" s="1034"/>
      <c r="L74" s="1034"/>
      <c r="M74" s="1034"/>
      <c r="N74" s="1035"/>
      <c r="O74" s="25" t="str">
        <f t="shared" si="1"/>
        <v>0</v>
      </c>
      <c r="P74" s="25"/>
      <c r="Q74" s="25"/>
    </row>
    <row r="75" spans="1:17" s="7" customFormat="1" ht="28.5" hidden="1" customHeight="1">
      <c r="A75" s="199"/>
      <c r="B75" s="24"/>
      <c r="C75" s="804" t="s">
        <v>3881</v>
      </c>
      <c r="D75" s="693" t="str">
        <f>IF(E75&lt;&gt;"",COUNTA($E$8:E75),"")</f>
        <v/>
      </c>
      <c r="E75" s="1033" t="str">
        <f t="array" ref="E75">IFERROR(INDEX(Masteratk2024,SMALL(IF(Kriteriaatk2024=$P$4,ROW(Kriteriaatk2024)),ROW(C68)),17),"")</f>
        <v/>
      </c>
      <c r="F75" s="1034"/>
      <c r="G75" s="1034"/>
      <c r="H75" s="1034"/>
      <c r="I75" s="1034"/>
      <c r="J75" s="1034"/>
      <c r="K75" s="1034"/>
      <c r="L75" s="1034"/>
      <c r="M75" s="1034"/>
      <c r="N75" s="1035"/>
      <c r="O75" s="25" t="str">
        <f t="shared" si="1"/>
        <v>0</v>
      </c>
      <c r="P75" s="25"/>
      <c r="Q75" s="25"/>
    </row>
    <row r="76" spans="1:17" s="7" customFormat="1" ht="28.5" hidden="1" customHeight="1">
      <c r="A76" s="199"/>
      <c r="B76" s="24"/>
      <c r="C76" s="804" t="s">
        <v>3881</v>
      </c>
      <c r="D76" s="693" t="str">
        <f>IF(E76&lt;&gt;"",COUNTA($E$8:E76),"")</f>
        <v/>
      </c>
      <c r="E76" s="1033" t="str">
        <f t="array" ref="E76">IFERROR(INDEX(Masteratk2024,SMALL(IF(Kriteriaatk2024=$P$4,ROW(Kriteriaatk2024)),ROW(C69)),17),"")</f>
        <v/>
      </c>
      <c r="F76" s="1034"/>
      <c r="G76" s="1034"/>
      <c r="H76" s="1034"/>
      <c r="I76" s="1034"/>
      <c r="J76" s="1034"/>
      <c r="K76" s="1034"/>
      <c r="L76" s="1034"/>
      <c r="M76" s="1034"/>
      <c r="N76" s="1035"/>
      <c r="O76" s="25" t="str">
        <f t="shared" si="1"/>
        <v>0</v>
      </c>
      <c r="P76" s="25"/>
      <c r="Q76" s="25"/>
    </row>
    <row r="77" spans="1:17" s="7" customFormat="1" ht="28.5" hidden="1" customHeight="1">
      <c r="A77" s="199"/>
      <c r="B77" s="24"/>
      <c r="C77" s="804" t="s">
        <v>3881</v>
      </c>
      <c r="D77" s="693" t="str">
        <f>IF(E77&lt;&gt;"",COUNTA($E$8:E77),"")</f>
        <v/>
      </c>
      <c r="E77" s="1033" t="str">
        <f t="array" ref="E77">IFERROR(INDEX(Masteratk2024,SMALL(IF(Kriteriaatk2024=$P$4,ROW(Kriteriaatk2024)),ROW(C70)),17),"")</f>
        <v/>
      </c>
      <c r="F77" s="1034"/>
      <c r="G77" s="1034"/>
      <c r="H77" s="1034"/>
      <c r="I77" s="1034"/>
      <c r="J77" s="1034"/>
      <c r="K77" s="1034"/>
      <c r="L77" s="1034"/>
      <c r="M77" s="1034"/>
      <c r="N77" s="1035"/>
      <c r="O77" s="25" t="str">
        <f t="shared" si="1"/>
        <v>0</v>
      </c>
      <c r="P77" s="25"/>
      <c r="Q77" s="25"/>
    </row>
    <row r="78" spans="1:17" s="7" customFormat="1" ht="28.5" hidden="1" customHeight="1">
      <c r="A78" s="199"/>
      <c r="B78" s="24"/>
      <c r="C78" s="804" t="s">
        <v>3881</v>
      </c>
      <c r="D78" s="693" t="str">
        <f>IF(E78&lt;&gt;"",COUNTA($E$8:E78),"")</f>
        <v/>
      </c>
      <c r="E78" s="1033" t="str">
        <f t="array" ref="E78">IFERROR(INDEX(Masteratk2024,SMALL(IF(Kriteriaatk2024=$P$4,ROW(Kriteriaatk2024)),ROW(C71)),17),"")</f>
        <v/>
      </c>
      <c r="F78" s="1034"/>
      <c r="G78" s="1034"/>
      <c r="H78" s="1034"/>
      <c r="I78" s="1034"/>
      <c r="J78" s="1034"/>
      <c r="K78" s="1034"/>
      <c r="L78" s="1034"/>
      <c r="M78" s="1034"/>
      <c r="N78" s="1035"/>
      <c r="O78" s="25" t="str">
        <f t="shared" si="1"/>
        <v>0</v>
      </c>
      <c r="P78" s="25"/>
      <c r="Q78" s="25"/>
    </row>
    <row r="79" spans="1:17" s="7" customFormat="1" ht="28.5" hidden="1" customHeight="1">
      <c r="A79" s="199"/>
      <c r="B79" s="24"/>
      <c r="C79" s="804" t="s">
        <v>3881</v>
      </c>
      <c r="D79" s="693" t="str">
        <f>IF(E79&lt;&gt;"",COUNTA($E$8:E79),"")</f>
        <v/>
      </c>
      <c r="E79" s="1033" t="str">
        <f t="array" ref="E79">IFERROR(INDEX(Masteratk2024,SMALL(IF(Kriteriaatk2024=$P$4,ROW(Kriteriaatk2024)),ROW(C72)),17),"")</f>
        <v/>
      </c>
      <c r="F79" s="1034"/>
      <c r="G79" s="1034"/>
      <c r="H79" s="1034"/>
      <c r="I79" s="1034"/>
      <c r="J79" s="1034"/>
      <c r="K79" s="1034"/>
      <c r="L79" s="1034"/>
      <c r="M79" s="1034"/>
      <c r="N79" s="1035"/>
      <c r="O79" s="25" t="str">
        <f t="shared" si="1"/>
        <v>0</v>
      </c>
      <c r="P79" s="25"/>
      <c r="Q79" s="25"/>
    </row>
    <row r="80" spans="1:17" s="7" customFormat="1" ht="28.5" hidden="1" customHeight="1">
      <c r="A80" s="199"/>
      <c r="B80" s="24"/>
      <c r="C80" s="804" t="s">
        <v>3881</v>
      </c>
      <c r="D80" s="693" t="str">
        <f>IF(E80&lt;&gt;"",COUNTA($E$8:E80),"")</f>
        <v/>
      </c>
      <c r="E80" s="1033" t="str">
        <f t="array" ref="E80">IFERROR(INDEX(Masteratk2024,SMALL(IF(Kriteriaatk2024=$P$4,ROW(Kriteriaatk2024)),ROW(C73)),17),"")</f>
        <v/>
      </c>
      <c r="F80" s="1034"/>
      <c r="G80" s="1034"/>
      <c r="H80" s="1034"/>
      <c r="I80" s="1034"/>
      <c r="J80" s="1034"/>
      <c r="K80" s="1034"/>
      <c r="L80" s="1034"/>
      <c r="M80" s="1034"/>
      <c r="N80" s="1035"/>
      <c r="O80" s="25" t="str">
        <f t="shared" si="1"/>
        <v>0</v>
      </c>
      <c r="P80" s="25"/>
      <c r="Q80" s="25"/>
    </row>
    <row r="81" spans="1:17" s="7" customFormat="1" ht="28.5" hidden="1" customHeight="1">
      <c r="A81" s="199"/>
      <c r="B81" s="24"/>
      <c r="C81" s="804" t="s">
        <v>3881</v>
      </c>
      <c r="D81" s="693" t="str">
        <f>IF(E81&lt;&gt;"",COUNTA($E$8:E81),"")</f>
        <v/>
      </c>
      <c r="E81" s="1033" t="str">
        <f t="array" ref="E81">IFERROR(INDEX(Masteratk2024,SMALL(IF(Kriteriaatk2024=$P$4,ROW(Kriteriaatk2024)),ROW(C74)),17),"")</f>
        <v/>
      </c>
      <c r="F81" s="1034"/>
      <c r="G81" s="1034"/>
      <c r="H81" s="1034"/>
      <c r="I81" s="1034"/>
      <c r="J81" s="1034"/>
      <c r="K81" s="1034"/>
      <c r="L81" s="1034"/>
      <c r="M81" s="1034"/>
      <c r="N81" s="1035"/>
      <c r="O81" s="25" t="str">
        <f t="shared" si="1"/>
        <v>0</v>
      </c>
      <c r="P81" s="25"/>
      <c r="Q81" s="25"/>
    </row>
    <row r="82" spans="1:17" s="7" customFormat="1" ht="28.5" hidden="1" customHeight="1">
      <c r="A82" s="199"/>
      <c r="B82" s="24"/>
      <c r="C82" s="804" t="s">
        <v>3881</v>
      </c>
      <c r="D82" s="693" t="str">
        <f>IF(E82&lt;&gt;"",COUNTA($E$8:E82),"")</f>
        <v/>
      </c>
      <c r="E82" s="1033" t="str">
        <f t="array" ref="E82">IFERROR(INDEX(Masteratk2024,SMALL(IF(Kriteriaatk2024=$P$4,ROW(Kriteriaatk2024)),ROW(C75)),17),"")</f>
        <v/>
      </c>
      <c r="F82" s="1034"/>
      <c r="G82" s="1034"/>
      <c r="H82" s="1034"/>
      <c r="I82" s="1034"/>
      <c r="J82" s="1034"/>
      <c r="K82" s="1034"/>
      <c r="L82" s="1034"/>
      <c r="M82" s="1034"/>
      <c r="N82" s="1035"/>
      <c r="O82" s="25" t="str">
        <f t="shared" si="1"/>
        <v>0</v>
      </c>
      <c r="P82" s="25"/>
      <c r="Q82" s="25"/>
    </row>
    <row r="83" spans="1:17" s="7" customFormat="1" ht="28.5" hidden="1" customHeight="1">
      <c r="A83" s="199"/>
      <c r="B83" s="24"/>
      <c r="C83" s="804" t="s">
        <v>3881</v>
      </c>
      <c r="D83" s="693" t="str">
        <f>IF(E83&lt;&gt;"",COUNTA($E$8:E83),"")</f>
        <v/>
      </c>
      <c r="E83" s="1033" t="str">
        <f t="array" ref="E83">IFERROR(INDEX(Masteratk2024,SMALL(IF(Kriteriaatk2024=$P$4,ROW(Kriteriaatk2024)),ROW(C76)),17),"")</f>
        <v/>
      </c>
      <c r="F83" s="1034"/>
      <c r="G83" s="1034"/>
      <c r="H83" s="1034"/>
      <c r="I83" s="1034"/>
      <c r="J83" s="1034"/>
      <c r="K83" s="1034"/>
      <c r="L83" s="1034"/>
      <c r="M83" s="1034"/>
      <c r="N83" s="1035"/>
      <c r="O83" s="25" t="str">
        <f t="shared" si="1"/>
        <v>0</v>
      </c>
      <c r="P83" s="25"/>
      <c r="Q83" s="25"/>
    </row>
    <row r="84" spans="1:17" s="7" customFormat="1" ht="28.5" hidden="1" customHeight="1">
      <c r="A84" s="199"/>
      <c r="B84" s="24"/>
      <c r="C84" s="804" t="s">
        <v>3881</v>
      </c>
      <c r="D84" s="693" t="str">
        <f>IF(E84&lt;&gt;"",COUNTA($E$8:E84),"")</f>
        <v/>
      </c>
      <c r="E84" s="1033" t="str">
        <f t="array" ref="E84">IFERROR(INDEX(Masteratk2024,SMALL(IF(Kriteriaatk2024=$P$4,ROW(Kriteriaatk2024)),ROW(C77)),17),"")</f>
        <v/>
      </c>
      <c r="F84" s="1034"/>
      <c r="G84" s="1034"/>
      <c r="H84" s="1034"/>
      <c r="I84" s="1034"/>
      <c r="J84" s="1034"/>
      <c r="K84" s="1034"/>
      <c r="L84" s="1034"/>
      <c r="M84" s="1034"/>
      <c r="N84" s="1035"/>
      <c r="O84" s="25" t="str">
        <f t="shared" si="1"/>
        <v>0</v>
      </c>
      <c r="P84" s="25"/>
      <c r="Q84" s="25"/>
    </row>
    <row r="85" spans="1:17" s="7" customFormat="1" ht="28.5" hidden="1" customHeight="1">
      <c r="A85" s="199"/>
      <c r="B85" s="24"/>
      <c r="C85" s="804" t="s">
        <v>3881</v>
      </c>
      <c r="D85" s="693" t="str">
        <f>IF(E85&lt;&gt;"",COUNTA($E$8:E85),"")</f>
        <v/>
      </c>
      <c r="E85" s="1033" t="str">
        <f t="array" ref="E85">IFERROR(INDEX(Masteratk2024,SMALL(IF(Kriteriaatk2024=$P$4,ROW(Kriteriaatk2024)),ROW(C78)),17),"")</f>
        <v/>
      </c>
      <c r="F85" s="1034"/>
      <c r="G85" s="1034"/>
      <c r="H85" s="1034"/>
      <c r="I85" s="1034"/>
      <c r="J85" s="1034"/>
      <c r="K85" s="1034"/>
      <c r="L85" s="1034"/>
      <c r="M85" s="1034"/>
      <c r="N85" s="1035"/>
      <c r="O85" s="25" t="str">
        <f t="shared" si="1"/>
        <v>0</v>
      </c>
      <c r="P85" s="25"/>
      <c r="Q85" s="25"/>
    </row>
    <row r="86" spans="1:17" s="7" customFormat="1" ht="28.5" hidden="1" customHeight="1">
      <c r="A86" s="199"/>
      <c r="B86" s="24"/>
      <c r="C86" s="804" t="s">
        <v>3881</v>
      </c>
      <c r="D86" s="693" t="str">
        <f>IF(E86&lt;&gt;"",COUNTA($E$8:E86),"")</f>
        <v/>
      </c>
      <c r="E86" s="1033" t="str">
        <f t="array" ref="E86">IFERROR(INDEX(Masteratk2024,SMALL(IF(Kriteriaatk2024=$P$4,ROW(Kriteriaatk2024)),ROW(C79)),17),"")</f>
        <v/>
      </c>
      <c r="F86" s="1034"/>
      <c r="G86" s="1034"/>
      <c r="H86" s="1034"/>
      <c r="I86" s="1034"/>
      <c r="J86" s="1034"/>
      <c r="K86" s="1034"/>
      <c r="L86" s="1034"/>
      <c r="M86" s="1034"/>
      <c r="N86" s="1035"/>
      <c r="O86" s="25" t="str">
        <f t="shared" si="1"/>
        <v>0</v>
      </c>
      <c r="P86" s="25"/>
      <c r="Q86" s="25"/>
    </row>
    <row r="87" spans="1:17" s="7" customFormat="1" ht="28.5" hidden="1" customHeight="1">
      <c r="A87" s="199"/>
      <c r="B87" s="24"/>
      <c r="C87" s="804" t="s">
        <v>3881</v>
      </c>
      <c r="D87" s="693" t="str">
        <f>IF(E87&lt;&gt;"",COUNTA($E$8:E87),"")</f>
        <v/>
      </c>
      <c r="E87" s="1033" t="str">
        <f t="array" ref="E87">IFERROR(INDEX(Masteratk2024,SMALL(IF(Kriteriaatk2024=$P$4,ROW(Kriteriaatk2024)),ROW(C80)),17),"")</f>
        <v/>
      </c>
      <c r="F87" s="1034"/>
      <c r="G87" s="1034"/>
      <c r="H87" s="1034"/>
      <c r="I87" s="1034"/>
      <c r="J87" s="1034"/>
      <c r="K87" s="1034"/>
      <c r="L87" s="1034"/>
      <c r="M87" s="1034"/>
      <c r="N87" s="1035"/>
      <c r="O87" s="25" t="str">
        <f t="shared" si="1"/>
        <v>0</v>
      </c>
      <c r="P87" s="25"/>
      <c r="Q87" s="25"/>
    </row>
    <row r="88" spans="1:17" s="6" customFormat="1" ht="14.15" customHeight="1">
      <c r="A88" s="1062" t="s">
        <v>62</v>
      </c>
      <c r="B88" s="1070"/>
      <c r="C88" s="1078" t="str">
        <f t="array" ref="C88">TEXT(IFERROR(INDEX(Masteratk2024,SMALL(IF(Kriteriaatk2024=$P$4,ROW(Kriteriaatk2024)),ROW(C1)),7),""), "[$-421] dd mmmm yyyy")</f>
        <v xml:space="preserve"> 01 Februari 2025</v>
      </c>
      <c r="D88" s="1079"/>
      <c r="E88" s="1079"/>
      <c r="F88" s="1079"/>
      <c r="G88" s="1079"/>
      <c r="H88" s="1079"/>
      <c r="I88" s="1079"/>
      <c r="J88" s="1079"/>
      <c r="K88" s="1079"/>
      <c r="L88" s="1079"/>
      <c r="M88" s="1079"/>
      <c r="N88" s="1080"/>
      <c r="O88" s="25"/>
    </row>
    <row r="89" spans="1:17" s="6" customFormat="1" ht="14.15" customHeight="1">
      <c r="A89" s="1062" t="s">
        <v>63</v>
      </c>
      <c r="B89" s="1070"/>
      <c r="C89" s="1036" t="str">
        <f>'Data Sekolah'!B2</f>
        <v>SMA NEGERI 1 TELUKDALAM</v>
      </c>
      <c r="D89" s="1037"/>
      <c r="E89" s="1037"/>
      <c r="F89" s="1037"/>
      <c r="G89" s="1037"/>
      <c r="H89" s="1037"/>
      <c r="I89" s="1037"/>
      <c r="J89" s="1037"/>
      <c r="K89" s="1037"/>
      <c r="L89" s="1037"/>
      <c r="M89" s="1037"/>
      <c r="N89" s="1038"/>
      <c r="O89" s="25"/>
    </row>
    <row r="90" spans="1:17" s="6" customFormat="1" ht="14.15" customHeight="1">
      <c r="A90" s="1062" t="s">
        <v>64</v>
      </c>
      <c r="B90" s="1070"/>
      <c r="C90" s="1046" t="str">
        <f>'Data Sekolah'!A14</f>
        <v>Bantuan Operasional Satuan Pendidikan (BOSP) 2025</v>
      </c>
      <c r="D90" s="1047"/>
      <c r="E90" s="1047"/>
      <c r="F90" s="1047"/>
      <c r="G90" s="1047"/>
      <c r="H90" s="1047"/>
      <c r="I90" s="1047"/>
      <c r="J90" s="1047"/>
      <c r="K90" s="1047"/>
      <c r="L90" s="1047"/>
      <c r="M90" s="1047"/>
      <c r="N90" s="1048"/>
      <c r="O90" s="25"/>
    </row>
    <row r="91" spans="1:17" s="6" customFormat="1" ht="14.5" customHeight="1">
      <c r="A91" s="1071" t="s">
        <v>65</v>
      </c>
      <c r="B91" s="1072"/>
      <c r="C91" s="1049" t="s">
        <v>66</v>
      </c>
      <c r="D91" s="1050"/>
      <c r="E91" s="1050"/>
      <c r="F91" s="1050"/>
      <c r="G91" s="1050"/>
      <c r="H91" s="1050"/>
      <c r="I91" s="1050"/>
      <c r="J91" s="1050"/>
      <c r="K91" s="1050"/>
      <c r="L91" s="1050"/>
      <c r="M91" s="1050"/>
      <c r="N91" s="1051"/>
      <c r="O91" s="25"/>
    </row>
    <row r="92" spans="1:17" s="6" customFormat="1" ht="15.65" customHeight="1">
      <c r="A92" s="1071"/>
      <c r="B92" s="1072"/>
      <c r="C92" s="1049" t="s">
        <v>439</v>
      </c>
      <c r="D92" s="1050"/>
      <c r="E92" s="1050"/>
      <c r="F92" s="1050"/>
      <c r="G92" s="1050"/>
      <c r="H92" s="1050"/>
      <c r="I92" s="1050"/>
      <c r="J92" s="1050"/>
      <c r="K92" s="1050"/>
      <c r="L92" s="1050"/>
      <c r="M92" s="1050"/>
      <c r="N92" s="1051"/>
      <c r="O92" s="25"/>
    </row>
    <row r="93" spans="1:17" s="6" customFormat="1">
      <c r="A93" s="1071"/>
      <c r="B93" s="1072"/>
      <c r="C93" s="1049" t="s">
        <v>441</v>
      </c>
      <c r="D93" s="1050"/>
      <c r="E93" s="1050"/>
      <c r="F93" s="1050"/>
      <c r="G93" s="1050"/>
      <c r="H93" s="1050"/>
      <c r="I93" s="1050"/>
      <c r="J93" s="1050"/>
      <c r="K93" s="1050"/>
      <c r="L93" s="1050"/>
      <c r="M93" s="1050"/>
      <c r="N93" s="1051"/>
      <c r="O93" s="25"/>
    </row>
    <row r="94" spans="1:17" s="6" customFormat="1" ht="14.15" customHeight="1">
      <c r="A94" s="1071"/>
      <c r="B94" s="1072"/>
      <c r="C94" s="1049" t="s">
        <v>440</v>
      </c>
      <c r="D94" s="1050"/>
      <c r="E94" s="1050"/>
      <c r="F94" s="1050"/>
      <c r="G94" s="1050"/>
      <c r="H94" s="1050"/>
      <c r="I94" s="1050"/>
      <c r="J94" s="1050"/>
      <c r="K94" s="1050"/>
      <c r="L94" s="1050"/>
      <c r="M94" s="1050"/>
      <c r="N94" s="1051"/>
      <c r="O94" s="25"/>
    </row>
    <row r="95" spans="1:17" s="6" customFormat="1" ht="11.15" customHeight="1">
      <c r="A95" s="1073"/>
      <c r="B95" s="1074"/>
      <c r="C95" s="1075"/>
      <c r="D95" s="1076"/>
      <c r="E95" s="1076"/>
      <c r="F95" s="1076"/>
      <c r="G95" s="1076"/>
      <c r="H95" s="1076"/>
      <c r="I95" s="1076"/>
      <c r="J95" s="1076"/>
      <c r="K95" s="1076"/>
      <c r="L95" s="1076"/>
      <c r="M95" s="1076"/>
      <c r="N95" s="1077"/>
      <c r="O95" s="25"/>
    </row>
    <row r="96" spans="1:17" s="6" customFormat="1">
      <c r="A96" s="205"/>
      <c r="B96" s="206"/>
      <c r="N96" s="75"/>
    </row>
    <row r="97" spans="1:14" s="6" customFormat="1">
      <c r="A97" s="77"/>
      <c r="J97" s="81" t="str">
        <f t="array" ref="J97">"Telukdalam, "&amp;TEXT(IFERROR(INDEX(Masteratk2024,SMALL(IF(Kriteriaatk2024=$P$4,ROW(Kriteriaatk2024)),ROW(C1)),5),""), "[$-421] dd mmmm yyyy")</f>
        <v>Telukdalam,  30 Januari 2025</v>
      </c>
      <c r="N97" s="75"/>
    </row>
    <row r="98" spans="1:14" s="6" customFormat="1">
      <c r="A98" s="77"/>
      <c r="J98" s="6" t="s">
        <v>55</v>
      </c>
      <c r="N98" s="75"/>
    </row>
    <row r="99" spans="1:14" s="6" customFormat="1">
      <c r="A99" s="77"/>
      <c r="B99" s="204"/>
      <c r="N99" s="75"/>
    </row>
    <row r="100" spans="1:14" s="6" customFormat="1">
      <c r="A100" s="77"/>
      <c r="N100" s="75"/>
    </row>
    <row r="101" spans="1:14" s="6" customFormat="1">
      <c r="A101" s="77"/>
      <c r="N101" s="75"/>
    </row>
    <row r="102" spans="1:14" s="6" customFormat="1">
      <c r="A102" s="77"/>
      <c r="N102" s="75"/>
    </row>
    <row r="103" spans="1:14" s="6" customFormat="1">
      <c r="A103" s="77"/>
      <c r="B103" s="204"/>
      <c r="N103" s="75"/>
    </row>
    <row r="104" spans="1:14" s="6" customFormat="1">
      <c r="A104" s="77"/>
      <c r="B104" s="204"/>
      <c r="J104" s="82" t="str">
        <f>'Data Sekolah'!A6</f>
        <v>Nursari Rindu Simanullang, S.Pd., M.M.</v>
      </c>
      <c r="N104" s="75"/>
    </row>
    <row r="105" spans="1:14" s="6" customFormat="1">
      <c r="A105" s="77"/>
      <c r="J105" s="6" t="str">
        <f>"NIP. "&amp;'Data Sekolah'!B6</f>
        <v>NIP. 19691208 200502 2 001</v>
      </c>
      <c r="N105" s="75"/>
    </row>
    <row r="106" spans="1:14" s="6" customFormat="1">
      <c r="A106" s="189" t="s">
        <v>69</v>
      </c>
      <c r="N106" s="75"/>
    </row>
    <row r="107" spans="1:14" s="6" customFormat="1" ht="14.5" thickBot="1">
      <c r="A107" s="313" t="s">
        <v>70</v>
      </c>
      <c r="B107" s="314"/>
      <c r="C107" s="78"/>
      <c r="D107" s="87"/>
      <c r="E107" s="78"/>
      <c r="F107" s="78"/>
      <c r="G107" s="78"/>
      <c r="H107" s="78"/>
      <c r="I107" s="78"/>
      <c r="J107" s="78"/>
      <c r="K107" s="78"/>
      <c r="L107" s="78"/>
      <c r="M107" s="78"/>
      <c r="N107" s="79"/>
    </row>
    <row r="108" spans="1:14" s="6" customFormat="1" ht="14.5" thickTop="1"/>
    <row r="109" spans="1:14" s="6" customFormat="1"/>
    <row r="110" spans="1:14" s="6" customFormat="1"/>
    <row r="111" spans="1:14" s="6" customFormat="1"/>
    <row r="112" spans="1:14" s="6" customFormat="1"/>
    <row r="113" s="6" customFormat="1"/>
    <row r="114" s="6" customFormat="1"/>
    <row r="115" s="6" customFormat="1"/>
    <row r="116" s="6" customFormat="1"/>
    <row r="117" s="6" customFormat="1"/>
    <row r="118" s="6" customFormat="1"/>
    <row r="119" s="6" customFormat="1"/>
    <row r="120" s="6" customFormat="1"/>
    <row r="121" s="6" customFormat="1"/>
    <row r="122" s="6" customFormat="1"/>
    <row r="123" s="6" customFormat="1"/>
    <row r="124" s="6" customFormat="1"/>
    <row r="125" s="6" customFormat="1"/>
    <row r="126" s="6" customFormat="1"/>
    <row r="127" s="6" customFormat="1"/>
    <row r="128" s="6" customFormat="1"/>
    <row r="129" s="6" customFormat="1"/>
    <row r="130" s="6" customFormat="1"/>
    <row r="131" s="6" customFormat="1"/>
    <row r="132" s="6" customFormat="1"/>
    <row r="133" s="6" customFormat="1"/>
    <row r="134" s="6" customFormat="1"/>
    <row r="135" s="6" customFormat="1"/>
    <row r="136" s="6" customFormat="1"/>
    <row r="137" s="6" customFormat="1"/>
    <row r="138" s="6" customFormat="1"/>
    <row r="139" s="6" customFormat="1"/>
    <row r="140" s="6" customFormat="1"/>
    <row r="141" s="6" customFormat="1"/>
    <row r="142" s="6" customFormat="1"/>
    <row r="143" s="6" customFormat="1"/>
    <row r="144" s="6" customFormat="1"/>
    <row r="145" s="6" customFormat="1"/>
    <row r="146" s="6" customFormat="1"/>
    <row r="147" s="6" customFormat="1"/>
    <row r="148" s="6" customFormat="1"/>
    <row r="149" s="6" customFormat="1"/>
    <row r="150" s="6" customFormat="1"/>
    <row r="151" s="6" customFormat="1"/>
    <row r="152" s="6" customFormat="1"/>
    <row r="153" s="6" customFormat="1"/>
    <row r="154" s="6" customFormat="1"/>
    <row r="155" s="6" customFormat="1"/>
    <row r="156" s="6" customFormat="1"/>
    <row r="157" s="6" customFormat="1"/>
    <row r="158" s="6" customFormat="1"/>
    <row r="159" s="6" customFormat="1"/>
    <row r="160" s="6" customFormat="1"/>
    <row r="161" spans="1:12" s="6" customFormat="1"/>
    <row r="162" spans="1:12" s="6" customFormat="1"/>
    <row r="163" spans="1:12" s="6" customFormat="1"/>
    <row r="164" spans="1:12" s="6" customFormat="1"/>
    <row r="165" spans="1:12" s="6" customFormat="1"/>
    <row r="166" spans="1:12" s="6" customFormat="1"/>
    <row r="167" spans="1:12" s="6" customFormat="1"/>
    <row r="168" spans="1:12" s="6" customFormat="1"/>
    <row r="169" spans="1:12" s="6" customFormat="1"/>
    <row r="170" spans="1:12" s="6" customFormat="1"/>
    <row r="171" spans="1:12" s="6" customFormat="1"/>
    <row r="172" spans="1:12" s="6" customFormat="1" ht="14.5" thickBot="1">
      <c r="A172" s="78"/>
      <c r="B172" s="78"/>
      <c r="C172" s="78"/>
      <c r="D172" s="78"/>
      <c r="E172" s="78"/>
      <c r="F172" s="78"/>
      <c r="G172" s="78"/>
      <c r="H172" s="78"/>
      <c r="I172" s="78"/>
      <c r="J172" s="78"/>
      <c r="K172" s="78"/>
      <c r="L172" s="78"/>
    </row>
    <row r="173" spans="1:12" s="6" customFormat="1" ht="25.5" thickTop="1">
      <c r="A173" s="1099"/>
      <c r="B173" s="1099"/>
      <c r="C173" s="1099"/>
      <c r="D173" s="1099"/>
      <c r="E173" s="1099"/>
      <c r="F173" s="1099"/>
      <c r="G173" s="1099"/>
      <c r="H173" s="1099"/>
      <c r="I173" s="1099"/>
      <c r="J173" s="1099"/>
      <c r="K173" s="1099"/>
      <c r="L173" s="1100"/>
    </row>
    <row r="174" spans="1:12" s="6" customFormat="1" ht="15.5">
      <c r="A174" s="9"/>
      <c r="B174" s="9"/>
      <c r="C174" s="9"/>
      <c r="D174" s="9"/>
      <c r="E174" s="9"/>
      <c r="L174" s="75"/>
    </row>
    <row r="175" spans="1:12" s="6" customFormat="1" ht="15.5">
      <c r="A175" s="1095" t="s">
        <v>73</v>
      </c>
      <c r="B175" s="1095"/>
      <c r="C175" s="9"/>
      <c r="D175" s="9" t="s">
        <v>57</v>
      </c>
      <c r="E175" s="9"/>
      <c r="L175" s="75"/>
    </row>
    <row r="176" spans="1:12" s="6" customFormat="1" ht="15.5">
      <c r="A176" s="1095" t="s">
        <v>84</v>
      </c>
      <c r="B176" s="1095"/>
      <c r="C176" s="9"/>
      <c r="D176" s="9" t="s">
        <v>85</v>
      </c>
      <c r="E176" s="9"/>
      <c r="L176" s="75"/>
    </row>
    <row r="177" spans="1:12" s="6" customFormat="1" ht="15.5">
      <c r="A177" s="1095" t="s">
        <v>86</v>
      </c>
      <c r="B177" s="1095"/>
      <c r="D177" s="9" t="str">
        <f t="array" ref="D177">IFERROR(INDEX(MASTERKU,SMALL(IF(KRITERIAKU=#REF!,ROW(KRITERIAKU)),ROW(#REF!)),9),"")</f>
        <v/>
      </c>
      <c r="E177" s="9"/>
      <c r="L177" s="75"/>
    </row>
    <row r="178" spans="1:12" s="6" customFormat="1" ht="15.5">
      <c r="A178" s="1095" t="s">
        <v>83</v>
      </c>
      <c r="B178" s="1095"/>
      <c r="C178" s="9"/>
      <c r="D178" s="9" t="str">
        <f t="array" ref="D178">IFERROR(INDEX(MASTERKU,SMALL(IF(KRITERIAKU=#REF!,ROW(KRITERIAKU)),ROW(#REF!)),29),"")</f>
        <v/>
      </c>
      <c r="E178" s="9"/>
      <c r="L178" s="75"/>
    </row>
    <row r="179" spans="1:12" s="6" customFormat="1" ht="15.5">
      <c r="A179" s="1095" t="s">
        <v>87</v>
      </c>
      <c r="B179" s="1095"/>
      <c r="C179" s="9"/>
      <c r="D179" s="9" t="str">
        <f t="array" ref="D179">TEXT(IFERROR(INDEX(MASTERKU,SMALL(IF(KRITERIAKU=#REF!,ROW(KRITERIAKU)),ROW(#REF!)),5),""),"dd mmmm yyyy")</f>
        <v/>
      </c>
      <c r="E179" s="9"/>
      <c r="L179" s="75"/>
    </row>
    <row r="180" spans="1:12" s="6" customFormat="1" ht="15.5">
      <c r="A180" s="1095" t="s">
        <v>88</v>
      </c>
      <c r="B180" s="1095"/>
      <c r="C180" s="9"/>
      <c r="D180" s="71" t="str">
        <f>"Penawaran tercapai kesepakatan dengan "&amp;D177 &amp;""</f>
        <v xml:space="preserve">Penawaran tercapai kesepakatan dengan </v>
      </c>
      <c r="E180" s="9"/>
      <c r="L180" s="75"/>
    </row>
    <row r="181" spans="1:12" s="6" customFormat="1" ht="15.5">
      <c r="A181" s="9"/>
      <c r="B181" s="9"/>
      <c r="C181" s="9"/>
      <c r="D181" s="9"/>
      <c r="E181" s="9"/>
      <c r="L181" s="75"/>
    </row>
    <row r="182" spans="1:12" s="6" customFormat="1" ht="29.15" customHeight="1">
      <c r="A182" s="1096" t="s">
        <v>79</v>
      </c>
      <c r="B182" s="1097"/>
      <c r="C182" s="1097"/>
      <c r="D182" s="1097"/>
      <c r="E182" s="1098"/>
      <c r="F182" s="74" t="s">
        <v>5</v>
      </c>
      <c r="G182" s="1096" t="s">
        <v>89</v>
      </c>
      <c r="H182" s="1097"/>
      <c r="I182" s="1098"/>
      <c r="J182" s="1096" t="s">
        <v>218</v>
      </c>
      <c r="K182" s="1098"/>
      <c r="L182" s="80" t="s">
        <v>90</v>
      </c>
    </row>
    <row r="183" spans="1:12" s="6" customFormat="1" ht="15.5">
      <c r="A183" s="1081" t="str">
        <f t="array" ref="A183">IFERROR(INDEX(MASTERKU,SMALL(IF(KRITERIAKU=#REF!,ROW(KRITERIAKU)),ROW(E1)),12),"")</f>
        <v/>
      </c>
      <c r="B183" s="1082"/>
      <c r="C183" s="1082"/>
      <c r="D183" s="1082"/>
      <c r="E183" s="1083"/>
      <c r="F183" s="88" t="str">
        <f t="array" ref="F183">IFERROR(INDEX(MASTERKU,SMALL(IF(KRITERIAKU=#REF!,ROW(KRITERIAKU)),ROW(E1)),13),"")</f>
        <v/>
      </c>
      <c r="G183" s="1084" t="str">
        <f t="array" ref="G183">IFERROR(INDEX(MASTERKU,SMALL(IF(KRITERIAKU=#REF!,ROW(KRITERIAKU)),ROW(E1)),14),"")</f>
        <v/>
      </c>
      <c r="H183" s="1085"/>
      <c r="I183" s="1086"/>
      <c r="J183" s="1087" t="str">
        <f t="array" ref="J183">IFERROR(INDEX(MASTERKU,SMALL(IF(KRITERIAKU=#REF!,ROW(KRITERIAKU)),ROW(E1)),15),"")</f>
        <v/>
      </c>
      <c r="K183" s="1088"/>
      <c r="L183" s="127"/>
    </row>
    <row r="184" spans="1:12" s="6" customFormat="1" ht="15.5">
      <c r="A184" s="1081" t="str">
        <f t="array" ref="A184">IFERROR(INDEX(MASTERKU,SMALL(IF(KRITERIAKU=#REF!,ROW(KRITERIAKU)),ROW(E2)),12),"")</f>
        <v/>
      </c>
      <c r="B184" s="1082"/>
      <c r="C184" s="1082"/>
      <c r="D184" s="1082"/>
      <c r="E184" s="1083"/>
      <c r="F184" s="88" t="str">
        <f t="array" ref="F184">IFERROR(INDEX(MASTERKU,SMALL(IF(KRITERIAKU=#REF!,ROW(KRITERIAKU)),ROW(E2)),13),"")</f>
        <v/>
      </c>
      <c r="G184" s="1084" t="str">
        <f t="array" ref="G184">IFERROR(INDEX(MASTERKU,SMALL(IF(KRITERIAKU=#REF!,ROW(KRITERIAKU)),ROW(E2)),14),"")</f>
        <v/>
      </c>
      <c r="H184" s="1085"/>
      <c r="I184" s="1086"/>
      <c r="J184" s="1087" t="str">
        <f t="array" ref="J184">IFERROR(INDEX(MASTERKU,SMALL(IF(KRITERIAKU=#REF!,ROW(KRITERIAKU)),ROW(E2)),15),"")</f>
        <v/>
      </c>
      <c r="K184" s="1088"/>
      <c r="L184" s="80"/>
    </row>
    <row r="185" spans="1:12" s="6" customFormat="1" ht="15.5">
      <c r="A185" s="1081" t="str">
        <f t="array" ref="A185">IFERROR(INDEX(MASTERKU,SMALL(IF(KRITERIAKU=#REF!,ROW(KRITERIAKU)),ROW(#REF!)),12),"")</f>
        <v/>
      </c>
      <c r="B185" s="1082"/>
      <c r="C185" s="1082"/>
      <c r="D185" s="1082"/>
      <c r="E185" s="1083"/>
      <c r="F185" s="88" t="str">
        <f t="array" ref="F185">IFERROR(INDEX(MASTERKU,SMALL(IF(KRITERIAKU=#REF!,ROW(KRITERIAKU)),ROW(#REF!)),13),"")</f>
        <v/>
      </c>
      <c r="G185" s="1084" t="str">
        <f t="array" ref="G185">IFERROR(INDEX(MASTERKU,SMALL(IF(KRITERIAKU=#REF!,ROW(KRITERIAKU)),ROW(#REF!)),14),"")</f>
        <v/>
      </c>
      <c r="H185" s="1085"/>
      <c r="I185" s="1086"/>
      <c r="J185" s="1087" t="str">
        <f t="array" ref="J185">IFERROR(INDEX(MASTERKU,SMALL(IF(KRITERIAKU=#REF!,ROW(KRITERIAKU)),ROW(#REF!)),15),"")</f>
        <v/>
      </c>
      <c r="K185" s="1088"/>
      <c r="L185" s="80"/>
    </row>
    <row r="186" spans="1:12" s="6" customFormat="1" ht="15.5">
      <c r="A186" s="1081" t="str">
        <f t="array" ref="A186">IFERROR(INDEX(MASTERKU,SMALL(IF(KRITERIAKU=#REF!,ROW(KRITERIAKU)),ROW(#REF!)),12),"")</f>
        <v/>
      </c>
      <c r="B186" s="1082"/>
      <c r="C186" s="1082"/>
      <c r="D186" s="1082"/>
      <c r="E186" s="1083"/>
      <c r="F186" s="88" t="str">
        <f t="array" ref="F186">IFERROR(INDEX(MASTERKU,SMALL(IF(KRITERIAKU=#REF!,ROW(KRITERIAKU)),ROW(#REF!)),13),"")</f>
        <v/>
      </c>
      <c r="G186" s="1084" t="str">
        <f t="array" ref="G186">IFERROR(INDEX(MASTERKU,SMALL(IF(KRITERIAKU=#REF!,ROW(KRITERIAKU)),ROW(#REF!)),14),"")</f>
        <v/>
      </c>
      <c r="H186" s="1085"/>
      <c r="I186" s="1086"/>
      <c r="J186" s="1087" t="str">
        <f t="array" ref="J186">IFERROR(INDEX(MASTERKU,SMALL(IF(KRITERIAKU=#REF!,ROW(KRITERIAKU)),ROW(#REF!)),15),"")</f>
        <v/>
      </c>
      <c r="K186" s="1088"/>
      <c r="L186" s="80"/>
    </row>
    <row r="187" spans="1:12" s="6" customFormat="1" ht="15.5">
      <c r="A187" s="1081" t="str">
        <f t="array" ref="A187">IFERROR(INDEX(MASTERKU,SMALL(IF(KRITERIAKU=#REF!,ROW(KRITERIAKU)),ROW(E5)),12),"")</f>
        <v/>
      </c>
      <c r="B187" s="1082"/>
      <c r="C187" s="1082"/>
      <c r="D187" s="1082"/>
      <c r="E187" s="1083"/>
      <c r="F187" s="88" t="str">
        <f t="array" ref="F187">IFERROR(INDEX(MASTERKU,SMALL(IF(KRITERIAKU=#REF!,ROW(KRITERIAKU)),ROW(E5)),13),"")</f>
        <v/>
      </c>
      <c r="G187" s="1084" t="str">
        <f t="array" ref="G187">IFERROR(INDEX(MASTERKU,SMALL(IF(KRITERIAKU=#REF!,ROW(KRITERIAKU)),ROW(E5)),14),"")</f>
        <v/>
      </c>
      <c r="H187" s="1085"/>
      <c r="I187" s="1086"/>
      <c r="J187" s="1087" t="str">
        <f t="array" ref="J187">IFERROR(INDEX(MASTERKU,SMALL(IF(KRITERIAKU=#REF!,ROW(KRITERIAKU)),ROW(E5)),15),"")</f>
        <v/>
      </c>
      <c r="K187" s="1088"/>
      <c r="L187" s="80"/>
    </row>
    <row r="188" spans="1:12" s="6" customFormat="1" ht="15.5">
      <c r="A188" s="1081" t="str">
        <f t="array" ref="A188">IFERROR(INDEX(MASTERKU,SMALL(IF(KRITERIAKU=#REF!,ROW(KRITERIAKU)),ROW(E6)),12),"")</f>
        <v/>
      </c>
      <c r="B188" s="1082"/>
      <c r="C188" s="1082"/>
      <c r="D188" s="1082"/>
      <c r="E188" s="1083"/>
      <c r="F188" s="88" t="str">
        <f t="array" ref="F188">IFERROR(INDEX(MASTERKU,SMALL(IF(KRITERIAKU=#REF!,ROW(KRITERIAKU)),ROW(E6)),13),"")</f>
        <v/>
      </c>
      <c r="G188" s="1084" t="str">
        <f t="array" ref="G188">IFERROR(INDEX(MASTERKU,SMALL(IF(KRITERIAKU=#REF!,ROW(KRITERIAKU)),ROW(E6)),14),"")</f>
        <v/>
      </c>
      <c r="H188" s="1085"/>
      <c r="I188" s="1086"/>
      <c r="J188" s="1087" t="str">
        <f t="array" ref="J188">IFERROR(INDEX(MASTERKU,SMALL(IF(KRITERIAKU=#REF!,ROW(KRITERIAKU)),ROW(E6)),15),"")</f>
        <v/>
      </c>
      <c r="K188" s="1088"/>
      <c r="L188" s="80"/>
    </row>
    <row r="189" spans="1:12" s="6" customFormat="1" ht="15.5">
      <c r="A189" s="1081" t="str">
        <f t="array" ref="A189">IFERROR(INDEX(MASTERKU,SMALL(IF(KRITERIAKU=#REF!,ROW(KRITERIAKU)),ROW(B99)),12),"")</f>
        <v/>
      </c>
      <c r="B189" s="1082"/>
      <c r="C189" s="1082"/>
      <c r="D189" s="1082"/>
      <c r="E189" s="1083"/>
      <c r="F189" s="88" t="str">
        <f t="array" ref="F189">IFERROR(INDEX(MASTERKU,SMALL(IF(KRITERIAKU=#REF!,ROW(KRITERIAKU)),ROW(B99)),13),"")</f>
        <v/>
      </c>
      <c r="G189" s="1084" t="str">
        <f t="array" ref="G189">IFERROR(INDEX(MASTERKU,SMALL(IF(KRITERIAKU=#REF!,ROW(KRITERIAKU)),ROW(B99)),14),"")</f>
        <v/>
      </c>
      <c r="H189" s="1085"/>
      <c r="I189" s="1086"/>
      <c r="J189" s="1087" t="str">
        <f t="array" ref="J189">IFERROR(INDEX(MASTERKU,SMALL(IF(KRITERIAKU=#REF!,ROW(KRITERIAKU)),ROW(B99)),15),"")</f>
        <v/>
      </c>
      <c r="K189" s="1088"/>
      <c r="L189" s="80"/>
    </row>
    <row r="190" spans="1:12" s="6" customFormat="1" ht="15.5">
      <c r="A190" s="1081" t="str">
        <f t="array" ref="A190">IFERROR(INDEX(MASTERKU,SMALL(IF(KRITERIAKU=#REF!,ROW(KRITERIAKU)),ROW(#REF!)),12),"")</f>
        <v/>
      </c>
      <c r="B190" s="1082"/>
      <c r="C190" s="1082"/>
      <c r="D190" s="1082"/>
      <c r="E190" s="1083"/>
      <c r="F190" s="88" t="str">
        <f t="array" ref="F190">IFERROR(INDEX(MASTERKU,SMALL(IF(KRITERIAKU=#REF!,ROW(KRITERIAKU)),ROW(#REF!)),13),"")</f>
        <v/>
      </c>
      <c r="G190" s="1084" t="str">
        <f t="array" ref="G190">IFERROR(INDEX(MASTERKU,SMALL(IF(KRITERIAKU=#REF!,ROW(KRITERIAKU)),ROW(#REF!)),14),"")</f>
        <v/>
      </c>
      <c r="H190" s="1085"/>
      <c r="I190" s="1086"/>
      <c r="J190" s="1087" t="str">
        <f t="array" ref="J190">IFERROR(INDEX(MASTERKU,SMALL(IF(KRITERIAKU=#REF!,ROW(KRITERIAKU)),ROW(#REF!)),15),"")</f>
        <v/>
      </c>
      <c r="K190" s="1088"/>
      <c r="L190" s="80"/>
    </row>
    <row r="191" spans="1:12" s="6" customFormat="1" ht="15.5">
      <c r="A191" s="1081" t="str">
        <f t="array" ref="A191">IFERROR(INDEX(MASTERKU,SMALL(IF(KRITERIAKU=#REF!,ROW(KRITERIAKU)),ROW(E9)),12),"")</f>
        <v/>
      </c>
      <c r="B191" s="1082"/>
      <c r="C191" s="1082"/>
      <c r="D191" s="1082"/>
      <c r="E191" s="1083"/>
      <c r="F191" s="88" t="str">
        <f t="array" ref="F191">IFERROR(INDEX(MASTERKU,SMALL(IF(KRITERIAKU=#REF!,ROW(KRITERIAKU)),ROW(E9)),13),"")</f>
        <v/>
      </c>
      <c r="G191" s="1084" t="str">
        <f t="array" ref="G191">IFERROR(INDEX(MASTERKU,SMALL(IF(KRITERIAKU=#REF!,ROW(KRITERIAKU)),ROW(E9)),14),"")</f>
        <v/>
      </c>
      <c r="H191" s="1085"/>
      <c r="I191" s="1086"/>
      <c r="J191" s="1087" t="str">
        <f t="array" ref="J191">IFERROR(INDEX(MASTERKU,SMALL(IF(KRITERIAKU=#REF!,ROW(KRITERIAKU)),ROW(E9)),15),"")</f>
        <v/>
      </c>
      <c r="K191" s="1088"/>
      <c r="L191" s="80"/>
    </row>
    <row r="192" spans="1:12" s="6" customFormat="1" ht="15.5">
      <c r="A192" s="1081" t="str">
        <f t="array" ref="A192">IFERROR(INDEX(MASTERKU,SMALL(IF(KRITERIAKU=#REF!,ROW(KRITERIAKU)),ROW(E10)),12),"")</f>
        <v/>
      </c>
      <c r="B192" s="1082"/>
      <c r="C192" s="1082"/>
      <c r="D192" s="1082"/>
      <c r="E192" s="1083"/>
      <c r="F192" s="88" t="str">
        <f t="array" ref="F192">IFERROR(INDEX(MASTERKU,SMALL(IF(KRITERIAKU=#REF!,ROW(KRITERIAKU)),ROW(E10)),13),"")</f>
        <v/>
      </c>
      <c r="G192" s="1084" t="str">
        <f t="array" ref="G192">IFERROR(INDEX(MASTERKU,SMALL(IF(KRITERIAKU=#REF!,ROW(KRITERIAKU)),ROW(E10)),14),"")</f>
        <v/>
      </c>
      <c r="H192" s="1085"/>
      <c r="I192" s="1086"/>
      <c r="J192" s="1087" t="str">
        <f t="array" ref="J192">IFERROR(INDEX(MASTERKU,SMALL(IF(KRITERIAKU=#REF!,ROW(KRITERIAKU)),ROW(E10)),15),"")</f>
        <v/>
      </c>
      <c r="K192" s="1088"/>
      <c r="L192" s="80"/>
    </row>
    <row r="193" spans="1:12" s="6" customFormat="1" ht="15.5">
      <c r="A193" s="1081" t="str">
        <f t="array" ref="A193">IFERROR(INDEX(MASTERKU,SMALL(IF(KRITERIAKU=#REF!,ROW(KRITERIAKU)),ROW(E11)),12),"")</f>
        <v/>
      </c>
      <c r="B193" s="1082"/>
      <c r="C193" s="1082"/>
      <c r="D193" s="1082"/>
      <c r="E193" s="1083"/>
      <c r="F193" s="88" t="str">
        <f t="array" ref="F193">IFERROR(INDEX(MASTERKU,SMALL(IF(KRITERIAKU=#REF!,ROW(KRITERIAKU)),ROW(E11)),13),"")</f>
        <v/>
      </c>
      <c r="G193" s="1084" t="str">
        <f t="array" ref="G193">IFERROR(INDEX(MASTERKU,SMALL(IF(KRITERIAKU=#REF!,ROW(KRITERIAKU)),ROW(E11)),14),"")</f>
        <v/>
      </c>
      <c r="H193" s="1085"/>
      <c r="I193" s="1086"/>
      <c r="J193" s="1087" t="str">
        <f t="array" ref="J193">IFERROR(INDEX(MASTERKU,SMALL(IF(KRITERIAKU=#REF!,ROW(KRITERIAKU)),ROW(E11)),15),"")</f>
        <v/>
      </c>
      <c r="K193" s="1088"/>
      <c r="L193" s="80"/>
    </row>
    <row r="194" spans="1:12" s="6" customFormat="1" ht="15.5">
      <c r="A194" s="1081" t="str">
        <f t="array" ref="A194">IFERROR(INDEX(MASTERKU,SMALL(IF(KRITERIAKU=#REF!,ROW(KRITERIAKU)),ROW(E12)),12),"")</f>
        <v/>
      </c>
      <c r="B194" s="1082"/>
      <c r="C194" s="1082"/>
      <c r="D194" s="1082"/>
      <c r="E194" s="1083"/>
      <c r="F194" s="88" t="str">
        <f t="array" ref="F194">IFERROR(INDEX(MASTERKU,SMALL(IF(KRITERIAKU=#REF!,ROW(KRITERIAKU)),ROW(E12)),13),"")</f>
        <v/>
      </c>
      <c r="G194" s="1084" t="str">
        <f t="array" ref="G194">IFERROR(INDEX(MASTERKU,SMALL(IF(KRITERIAKU=#REF!,ROW(KRITERIAKU)),ROW(E12)),14),"")</f>
        <v/>
      </c>
      <c r="H194" s="1085"/>
      <c r="I194" s="1086"/>
      <c r="J194" s="1087" t="str">
        <f t="array" ref="J194">IFERROR(INDEX(MASTERKU,SMALL(IF(KRITERIAKU=#REF!,ROW(KRITERIAKU)),ROW(E12)),15),"")</f>
        <v/>
      </c>
      <c r="K194" s="1088"/>
      <c r="L194" s="80"/>
    </row>
    <row r="195" spans="1:12" s="6" customFormat="1" ht="15.5">
      <c r="A195" s="1081" t="str">
        <f t="array" ref="A195">IFERROR(INDEX(MASTERKU,SMALL(IF(KRITERIAKU=#REF!,ROW(KRITERIAKU)),ROW(E13)),12),"")</f>
        <v/>
      </c>
      <c r="B195" s="1082"/>
      <c r="C195" s="1082"/>
      <c r="D195" s="1082"/>
      <c r="E195" s="1083"/>
      <c r="F195" s="88" t="str">
        <f t="array" ref="F195">IFERROR(INDEX(MASTERKU,SMALL(IF(KRITERIAKU=#REF!,ROW(KRITERIAKU)),ROW(E13)),13),"")</f>
        <v/>
      </c>
      <c r="G195" s="1084" t="str">
        <f t="array" ref="G195">IFERROR(INDEX(MASTERKU,SMALL(IF(KRITERIAKU=#REF!,ROW(KRITERIAKU)),ROW(E13)),14),"")</f>
        <v/>
      </c>
      <c r="H195" s="1085"/>
      <c r="I195" s="1086"/>
      <c r="J195" s="1087" t="str">
        <f t="array" ref="J195">IFERROR(INDEX(MASTERKU,SMALL(IF(KRITERIAKU=#REF!,ROW(KRITERIAKU)),ROW(E13)),15),"")</f>
        <v/>
      </c>
      <c r="K195" s="1088"/>
      <c r="L195" s="80"/>
    </row>
    <row r="196" spans="1:12" s="6" customFormat="1" ht="15.5">
      <c r="A196" s="1081" t="str">
        <f t="array" ref="A196">IFERROR(INDEX(MASTERKU,SMALL(IF(KRITERIAKU=#REF!,ROW(KRITERIAKU)),ROW(#REF!)),12),"")</f>
        <v/>
      </c>
      <c r="B196" s="1082"/>
      <c r="C196" s="1082"/>
      <c r="D196" s="1082"/>
      <c r="E196" s="1083"/>
      <c r="F196" s="88" t="str">
        <f t="array" ref="F196">IFERROR(INDEX(MASTERKU,SMALL(IF(KRITERIAKU=#REF!,ROW(KRITERIAKU)),ROW(#REF!)),13),"")</f>
        <v/>
      </c>
      <c r="G196" s="1084" t="str">
        <f t="array" ref="G196">IFERROR(INDEX(MASTERKU,SMALL(IF(KRITERIAKU=#REF!,ROW(KRITERIAKU)),ROW(#REF!)),14),"")</f>
        <v/>
      </c>
      <c r="H196" s="1085"/>
      <c r="I196" s="1086"/>
      <c r="J196" s="1087" t="str">
        <f t="array" ref="J196">IFERROR(INDEX(MASTERKU,SMALL(IF(KRITERIAKU=#REF!,ROW(KRITERIAKU)),ROW(#REF!)),15),"")</f>
        <v/>
      </c>
      <c r="K196" s="1088"/>
      <c r="L196" s="80"/>
    </row>
    <row r="197" spans="1:12" s="6" customFormat="1" ht="15.5">
      <c r="A197" s="1081" t="str">
        <f t="array" ref="A197">IFERROR(INDEX(MASTERKU,SMALL(IF(KRITERIAKU=#REF!,ROW(KRITERIAKU)),ROW(#REF!)),12),"")</f>
        <v/>
      </c>
      <c r="B197" s="1082"/>
      <c r="C197" s="1082"/>
      <c r="D197" s="1082"/>
      <c r="E197" s="1083"/>
      <c r="F197" s="88" t="str">
        <f t="array" ref="F197">IFERROR(INDEX(MASTERKU,SMALL(IF(KRITERIAKU=#REF!,ROW(KRITERIAKU)),ROW(#REF!)),13),"")</f>
        <v/>
      </c>
      <c r="G197" s="1084" t="str">
        <f t="array" ref="G197">IFERROR(INDEX(MASTERKU,SMALL(IF(KRITERIAKU=#REF!,ROW(KRITERIAKU)),ROW(#REF!)),14),"")</f>
        <v/>
      </c>
      <c r="H197" s="1085"/>
      <c r="I197" s="1086"/>
      <c r="J197" s="1087" t="str">
        <f t="array" ref="J197">IFERROR(INDEX(MASTERKU,SMALL(IF(KRITERIAKU=#REF!,ROW(KRITERIAKU)),ROW(#REF!)),15),"")</f>
        <v/>
      </c>
      <c r="K197" s="1088"/>
      <c r="L197" s="80"/>
    </row>
    <row r="198" spans="1:12" s="6" customFormat="1" ht="15.5">
      <c r="A198" s="1081" t="str">
        <f t="array" ref="A198">IFERROR(INDEX(MASTERKU,SMALL(IF(KRITERIAKU=#REF!,ROW(KRITERIAKU)),ROW(#REF!)),12),"")</f>
        <v/>
      </c>
      <c r="B198" s="1082"/>
      <c r="C198" s="1082"/>
      <c r="D198" s="1082"/>
      <c r="E198" s="1083"/>
      <c r="F198" s="88" t="str">
        <f t="array" ref="F198">IFERROR(INDEX(MASTERKU,SMALL(IF(KRITERIAKU=#REF!,ROW(KRITERIAKU)),ROW(#REF!)),13),"")</f>
        <v/>
      </c>
      <c r="G198" s="1084" t="str">
        <f t="array" ref="G198">IFERROR(INDEX(MASTERKU,SMALL(IF(KRITERIAKU=#REF!,ROW(KRITERIAKU)),ROW(#REF!)),14),"")</f>
        <v/>
      </c>
      <c r="H198" s="1085"/>
      <c r="I198" s="1086"/>
      <c r="J198" s="1087" t="str">
        <f t="array" ref="J198">IFERROR(INDEX(MASTERKU,SMALL(IF(KRITERIAKU=#REF!,ROW(KRITERIAKU)),ROW(#REF!)),15),"")</f>
        <v/>
      </c>
      <c r="K198" s="1088"/>
      <c r="L198" s="80"/>
    </row>
    <row r="199" spans="1:12" s="6" customFormat="1" ht="15.5">
      <c r="A199" s="1081" t="str">
        <f t="array" ref="A199">IFERROR(INDEX(MASTERKU,SMALL(IF(KRITERIAKU=#REF!,ROW(KRITERIAKU)),ROW(#REF!)),12),"")</f>
        <v/>
      </c>
      <c r="B199" s="1082"/>
      <c r="C199" s="1082"/>
      <c r="D199" s="1082"/>
      <c r="E199" s="1083"/>
      <c r="F199" s="88" t="str">
        <f t="array" ref="F199">IFERROR(INDEX(MASTERKU,SMALL(IF(KRITERIAKU=#REF!,ROW(KRITERIAKU)),ROW(#REF!)),13),"")</f>
        <v/>
      </c>
      <c r="G199" s="1084" t="str">
        <f t="array" ref="G199">IFERROR(INDEX(MASTERKU,SMALL(IF(KRITERIAKU=#REF!,ROW(KRITERIAKU)),ROW(#REF!)),14),"")</f>
        <v/>
      </c>
      <c r="H199" s="1085"/>
      <c r="I199" s="1086"/>
      <c r="J199" s="1087" t="str">
        <f t="array" ref="J199">IFERROR(INDEX(MASTERKU,SMALL(IF(KRITERIAKU=#REF!,ROW(KRITERIAKU)),ROW(#REF!)),15),"")</f>
        <v/>
      </c>
      <c r="K199" s="1088"/>
      <c r="L199" s="80"/>
    </row>
    <row r="200" spans="1:12" s="6" customFormat="1" ht="15.5">
      <c r="A200" s="1081" t="str">
        <f t="array" ref="A200">IFERROR(INDEX(MASTERKU,SMALL(IF(KRITERIAKU=#REF!,ROW(KRITERIAKU)),ROW(#REF!)),12),"")</f>
        <v/>
      </c>
      <c r="B200" s="1082"/>
      <c r="C200" s="1082"/>
      <c r="D200" s="1082"/>
      <c r="E200" s="1083"/>
      <c r="F200" s="88" t="str">
        <f t="array" ref="F200">IFERROR(INDEX(MASTERKU,SMALL(IF(KRITERIAKU=#REF!,ROW(KRITERIAKU)),ROW(#REF!)),13),"")</f>
        <v/>
      </c>
      <c r="G200" s="1084" t="str">
        <f t="array" ref="G200">IFERROR(INDEX(MASTERKU,SMALL(IF(KRITERIAKU=#REF!,ROW(KRITERIAKU)),ROW(#REF!)),14),"")</f>
        <v/>
      </c>
      <c r="H200" s="1085"/>
      <c r="I200" s="1086"/>
      <c r="J200" s="1087" t="str">
        <f t="array" ref="J200">IFERROR(INDEX(MASTERKU,SMALL(IF(KRITERIAKU=#REF!,ROW(KRITERIAKU)),ROW(#REF!)),15),"")</f>
        <v/>
      </c>
      <c r="K200" s="1088"/>
      <c r="L200" s="80"/>
    </row>
    <row r="201" spans="1:12" s="6" customFormat="1" ht="15.5">
      <c r="A201" s="1081" t="str">
        <f t="array" ref="A201">IFERROR(INDEX(MASTERKU,SMALL(IF(KRITERIAKU=#REF!,ROW(KRITERIAKU)),ROW(#REF!)),12),"")</f>
        <v/>
      </c>
      <c r="B201" s="1082"/>
      <c r="C201" s="1082"/>
      <c r="D201" s="1082"/>
      <c r="E201" s="1083"/>
      <c r="F201" s="88" t="str">
        <f t="array" ref="F201">IFERROR(INDEX(MASTERKU,SMALL(IF(KRITERIAKU=#REF!,ROW(KRITERIAKU)),ROW(#REF!)),13),"")</f>
        <v/>
      </c>
      <c r="G201" s="1084" t="str">
        <f t="array" ref="G201">IFERROR(INDEX(MASTERKU,SMALL(IF(KRITERIAKU=#REF!,ROW(KRITERIAKU)),ROW(#REF!)),14),"")</f>
        <v/>
      </c>
      <c r="H201" s="1085"/>
      <c r="I201" s="1086"/>
      <c r="J201" s="1087" t="str">
        <f t="array" ref="J201">IFERROR(INDEX(MASTERKU,SMALL(IF(KRITERIAKU=#REF!,ROW(KRITERIAKU)),ROW(#REF!)),15),"")</f>
        <v/>
      </c>
      <c r="K201" s="1088"/>
      <c r="L201" s="80"/>
    </row>
    <row r="202" spans="1:12" s="6" customFormat="1" ht="15.5">
      <c r="A202" s="1081" t="str">
        <f t="array" ref="A202">IFERROR(INDEX(MASTERKU,SMALL(IF(KRITERIAKU=#REF!,ROW(KRITERIAKU)),ROW(#REF!)),12),"")</f>
        <v/>
      </c>
      <c r="B202" s="1082"/>
      <c r="C202" s="1082"/>
      <c r="D202" s="1082"/>
      <c r="E202" s="1083"/>
      <c r="F202" s="88" t="str">
        <f t="array" ref="F202">IFERROR(INDEX(MASTERKU,SMALL(IF(KRITERIAKU=#REF!,ROW(KRITERIAKU)),ROW(#REF!)),13),"")</f>
        <v/>
      </c>
      <c r="G202" s="1084" t="str">
        <f t="array" ref="G202">IFERROR(INDEX(MASTERKU,SMALL(IF(KRITERIAKU=#REF!,ROW(KRITERIAKU)),ROW(#REF!)),14),"")</f>
        <v/>
      </c>
      <c r="H202" s="1085"/>
      <c r="I202" s="1086"/>
      <c r="J202" s="1087" t="str">
        <f t="array" ref="J202">IFERROR(INDEX(MASTERKU,SMALL(IF(KRITERIAKU=#REF!,ROW(KRITERIAKU)),ROW(#REF!)),15),"")</f>
        <v/>
      </c>
      <c r="K202" s="1088"/>
      <c r="L202" s="80"/>
    </row>
    <row r="203" spans="1:12" s="6" customFormat="1" ht="15.5">
      <c r="A203" s="1081" t="str">
        <f t="array" ref="A203">IFERROR(INDEX(MASTERKU,SMALL(IF(KRITERIAKU=#REF!,ROW(KRITERIAKU)),ROW(#REF!)),12),"")</f>
        <v/>
      </c>
      <c r="B203" s="1082"/>
      <c r="C203" s="1082"/>
      <c r="D203" s="1082"/>
      <c r="E203" s="1083"/>
      <c r="F203" s="88" t="str">
        <f t="array" ref="F203">IFERROR(INDEX(MASTERKU,SMALL(IF(KRITERIAKU=#REF!,ROW(KRITERIAKU)),ROW(#REF!)),13),"")</f>
        <v/>
      </c>
      <c r="G203" s="1084" t="str">
        <f t="array" ref="G203">IFERROR(INDEX(MASTERKU,SMALL(IF(KRITERIAKU=#REF!,ROW(KRITERIAKU)),ROW(#REF!)),14),"")</f>
        <v/>
      </c>
      <c r="H203" s="1085"/>
      <c r="I203" s="1086"/>
      <c r="J203" s="1087" t="str">
        <f t="array" ref="J203">IFERROR(INDEX(MASTERKU,SMALL(IF(KRITERIAKU=#REF!,ROW(KRITERIAKU)),ROW(#REF!)),15),"")</f>
        <v/>
      </c>
      <c r="K203" s="1088"/>
      <c r="L203" s="80"/>
    </row>
    <row r="204" spans="1:12" s="6" customFormat="1" ht="15.5">
      <c r="A204" s="1081" t="str">
        <f t="array" ref="A204">IFERROR(INDEX(MASTERKU,SMALL(IF(KRITERIAKU=#REF!,ROW(KRITERIAKU)),ROW(#REF!)),12),"")</f>
        <v/>
      </c>
      <c r="B204" s="1082"/>
      <c r="C204" s="1082"/>
      <c r="D204" s="1082"/>
      <c r="E204" s="1083"/>
      <c r="F204" s="88" t="str">
        <f t="array" ref="F204">IFERROR(INDEX(MASTERKU,SMALL(IF(KRITERIAKU=#REF!,ROW(KRITERIAKU)),ROW(#REF!)),13),"")</f>
        <v/>
      </c>
      <c r="G204" s="1084" t="str">
        <f t="array" ref="G204">IFERROR(INDEX(MASTERKU,SMALL(IF(KRITERIAKU=#REF!,ROW(KRITERIAKU)),ROW(#REF!)),14),"")</f>
        <v/>
      </c>
      <c r="H204" s="1085"/>
      <c r="I204" s="1086"/>
      <c r="J204" s="1087" t="str">
        <f t="array" ref="J204">IFERROR(INDEX(MASTERKU,SMALL(IF(KRITERIAKU=#REF!,ROW(KRITERIAKU)),ROW(#REF!)),15),"")</f>
        <v/>
      </c>
      <c r="K204" s="1088"/>
      <c r="L204" s="80"/>
    </row>
    <row r="205" spans="1:12" s="6" customFormat="1" ht="15.5">
      <c r="A205" s="1081" t="str">
        <f t="array" ref="A205">IFERROR(INDEX(MASTERKU,SMALL(IF(KRITERIAKU=#REF!,ROW(KRITERIAKU)),ROW(#REF!)),12),"")</f>
        <v/>
      </c>
      <c r="B205" s="1082"/>
      <c r="C205" s="1082"/>
      <c r="D205" s="1082"/>
      <c r="E205" s="1083"/>
      <c r="F205" s="88" t="str">
        <f t="array" ref="F205">IFERROR(INDEX(MASTERKU,SMALL(IF(KRITERIAKU=#REF!,ROW(KRITERIAKU)),ROW(#REF!)),13),"")</f>
        <v/>
      </c>
      <c r="G205" s="1084" t="str">
        <f t="array" ref="G205">IFERROR(INDEX(MASTERKU,SMALL(IF(KRITERIAKU=#REF!,ROW(KRITERIAKU)),ROW(#REF!)),14),"")</f>
        <v/>
      </c>
      <c r="H205" s="1085"/>
      <c r="I205" s="1086"/>
      <c r="J205" s="1087" t="str">
        <f t="array" ref="J205">IFERROR(INDEX(MASTERKU,SMALL(IF(KRITERIAKU=#REF!,ROW(KRITERIAKU)),ROW(#REF!)),15),"")</f>
        <v/>
      </c>
      <c r="K205" s="1088"/>
      <c r="L205" s="80"/>
    </row>
    <row r="206" spans="1:12" s="6" customFormat="1" ht="15.5">
      <c r="A206" s="1081" t="str">
        <f t="array" ref="A206">IFERROR(INDEX(MASTERKU,SMALL(IF(KRITERIAKU=#REF!,ROW(KRITERIAKU)),ROW(#REF!)),12),"")</f>
        <v/>
      </c>
      <c r="B206" s="1082"/>
      <c r="C206" s="1082"/>
      <c r="D206" s="1082"/>
      <c r="E206" s="1083"/>
      <c r="F206" s="88" t="str">
        <f t="array" ref="F206">IFERROR(INDEX(MASTERKU,SMALL(IF(KRITERIAKU=#REF!,ROW(KRITERIAKU)),ROW(#REF!)),13),"")</f>
        <v/>
      </c>
      <c r="G206" s="1084" t="str">
        <f t="array" ref="G206">IFERROR(INDEX(MASTERKU,SMALL(IF(KRITERIAKU=#REF!,ROW(KRITERIAKU)),ROW(#REF!)),14),"")</f>
        <v/>
      </c>
      <c r="H206" s="1085"/>
      <c r="I206" s="1086"/>
      <c r="J206" s="1087" t="str">
        <f t="array" ref="J206">IFERROR(INDEX(MASTERKU,SMALL(IF(KRITERIAKU=#REF!,ROW(KRITERIAKU)),ROW(#REF!)),15),"")</f>
        <v/>
      </c>
      <c r="K206" s="1088"/>
      <c r="L206" s="80"/>
    </row>
    <row r="207" spans="1:12" s="6" customFormat="1" ht="15.5">
      <c r="A207" s="1081" t="str">
        <f t="array" ref="A207">IFERROR(INDEX(MASTERKU,SMALL(IF(KRITERIAKU=#REF!,ROW(KRITERIAKU)),ROW(#REF!)),12),"")</f>
        <v/>
      </c>
      <c r="B207" s="1082"/>
      <c r="C207" s="1082"/>
      <c r="D207" s="1082"/>
      <c r="E207" s="1083"/>
      <c r="F207" s="88" t="str">
        <f t="array" ref="F207">IFERROR(INDEX(MASTERKU,SMALL(IF(KRITERIAKU=#REF!,ROW(KRITERIAKU)),ROW(#REF!)),13),"")</f>
        <v/>
      </c>
      <c r="G207" s="1084" t="str">
        <f t="array" ref="G207">IFERROR(INDEX(MASTERKU,SMALL(IF(KRITERIAKU=#REF!,ROW(KRITERIAKU)),ROW(#REF!)),14),"")</f>
        <v/>
      </c>
      <c r="H207" s="1085"/>
      <c r="I207" s="1086"/>
      <c r="J207" s="1087" t="str">
        <f t="array" ref="J207">IFERROR(INDEX(MASTERKU,SMALL(IF(KRITERIAKU=#REF!,ROW(KRITERIAKU)),ROW(#REF!)),15),"")</f>
        <v/>
      </c>
      <c r="K207" s="1088"/>
      <c r="L207" s="80"/>
    </row>
    <row r="208" spans="1:12" s="6" customFormat="1" ht="15.5">
      <c r="A208" s="1081" t="str">
        <f t="array" ref="A208">IFERROR(INDEX(MASTERKU,SMALL(IF(KRITERIAKU=#REF!,ROW(KRITERIAKU)),ROW(#REF!)),12),"")</f>
        <v/>
      </c>
      <c r="B208" s="1082"/>
      <c r="C208" s="1082"/>
      <c r="D208" s="1082"/>
      <c r="E208" s="1083"/>
      <c r="F208" s="88" t="str">
        <f t="array" ref="F208">IFERROR(INDEX(MASTERKU,SMALL(IF(KRITERIAKU=#REF!,ROW(KRITERIAKU)),ROW(#REF!)),13),"")</f>
        <v/>
      </c>
      <c r="G208" s="1084" t="str">
        <f t="array" ref="G208">IFERROR(INDEX(MASTERKU,SMALL(IF(KRITERIAKU=#REF!,ROW(KRITERIAKU)),ROW(#REF!)),14),"")</f>
        <v/>
      </c>
      <c r="H208" s="1085"/>
      <c r="I208" s="1086"/>
      <c r="J208" s="1087" t="str">
        <f t="array" ref="J208">IFERROR(INDEX(MASTERKU,SMALL(IF(KRITERIAKU=#REF!,ROW(KRITERIAKU)),ROW(#REF!)),15),"")</f>
        <v/>
      </c>
      <c r="K208" s="1088"/>
      <c r="L208" s="80"/>
    </row>
    <row r="209" spans="1:12" s="6" customFormat="1" ht="15.5">
      <c r="A209" s="1081" t="str">
        <f t="array" ref="A209">IFERROR(INDEX(MASTERKU,SMALL(IF(KRITERIAKU=#REF!,ROW(KRITERIAKU)),ROW(#REF!)),12),"")</f>
        <v/>
      </c>
      <c r="B209" s="1082"/>
      <c r="C209" s="1082"/>
      <c r="D209" s="1082"/>
      <c r="E209" s="1083"/>
      <c r="F209" s="88" t="str">
        <f t="array" ref="F209">IFERROR(INDEX(MASTERKU,SMALL(IF(KRITERIAKU=#REF!,ROW(KRITERIAKU)),ROW(#REF!)),13),"")</f>
        <v/>
      </c>
      <c r="G209" s="1084" t="str">
        <f t="array" ref="G209">IFERROR(INDEX(MASTERKU,SMALL(IF(KRITERIAKU=#REF!,ROW(KRITERIAKU)),ROW(#REF!)),14),"")</f>
        <v/>
      </c>
      <c r="H209" s="1085"/>
      <c r="I209" s="1086"/>
      <c r="J209" s="1087" t="str">
        <f t="array" ref="J209">IFERROR(INDEX(MASTERKU,SMALL(IF(KRITERIAKU=#REF!,ROW(KRITERIAKU)),ROW(#REF!)),15),"")</f>
        <v/>
      </c>
      <c r="K209" s="1088"/>
      <c r="L209" s="80"/>
    </row>
    <row r="210" spans="1:12" s="6" customFormat="1" ht="15.5">
      <c r="A210" s="1081" t="str">
        <f t="array" ref="A210">IFERROR(INDEX(MASTERKU,SMALL(IF(KRITERIAKU=#REF!,ROW(KRITERIAKU)),ROW(#REF!)),12),"")</f>
        <v/>
      </c>
      <c r="B210" s="1082"/>
      <c r="C210" s="1082"/>
      <c r="D210" s="1082"/>
      <c r="E210" s="1083"/>
      <c r="F210" s="88" t="str">
        <f t="array" ref="F210">IFERROR(INDEX(MASTERKU,SMALL(IF(KRITERIAKU=#REF!,ROW(KRITERIAKU)),ROW(#REF!)),13),"")</f>
        <v/>
      </c>
      <c r="G210" s="1084" t="str">
        <f t="array" ref="G210">IFERROR(INDEX(MASTERKU,SMALL(IF(KRITERIAKU=#REF!,ROW(KRITERIAKU)),ROW(#REF!)),14),"")</f>
        <v/>
      </c>
      <c r="H210" s="1085"/>
      <c r="I210" s="1086"/>
      <c r="J210" s="1087" t="str">
        <f t="array" ref="J210">IFERROR(INDEX(MASTERKU,SMALL(IF(KRITERIAKU=#REF!,ROW(KRITERIAKU)),ROW(#REF!)),15),"")</f>
        <v/>
      </c>
      <c r="K210" s="1088"/>
      <c r="L210" s="80"/>
    </row>
    <row r="211" spans="1:12" s="6" customFormat="1" ht="15.5">
      <c r="A211" s="1081" t="str">
        <f t="array" ref="A211">IFERROR(INDEX(MASTERKU,SMALL(IF(KRITERIAKU=#REF!,ROW(KRITERIAKU)),ROW(#REF!)),12),"")</f>
        <v/>
      </c>
      <c r="B211" s="1082"/>
      <c r="C211" s="1082"/>
      <c r="D211" s="1082"/>
      <c r="E211" s="1083"/>
      <c r="F211" s="88" t="str">
        <f t="array" ref="F211">IFERROR(INDEX(MASTERKU,SMALL(IF(KRITERIAKU=#REF!,ROW(KRITERIAKU)),ROW(#REF!)),13),"")</f>
        <v/>
      </c>
      <c r="G211" s="1084" t="str">
        <f t="array" ref="G211">IFERROR(INDEX(MASTERKU,SMALL(IF(KRITERIAKU=#REF!,ROW(KRITERIAKU)),ROW(#REF!)),14),"")</f>
        <v/>
      </c>
      <c r="H211" s="1085"/>
      <c r="I211" s="1086"/>
      <c r="J211" s="1087" t="str">
        <f t="array" ref="J211">IFERROR(INDEX(MASTERKU,SMALL(IF(KRITERIAKU=#REF!,ROW(KRITERIAKU)),ROW(#REF!)),15),"")</f>
        <v/>
      </c>
      <c r="K211" s="1088"/>
      <c r="L211" s="80"/>
    </row>
    <row r="212" spans="1:12" s="6" customFormat="1" ht="15.5">
      <c r="A212" s="1081" t="str">
        <f t="array" ref="A212">IFERROR(INDEX(MASTERKU,SMALL(IF(KRITERIAKU=#REF!,ROW(KRITERIAKU)),ROW(#REF!)),12),"")</f>
        <v/>
      </c>
      <c r="B212" s="1082"/>
      <c r="C212" s="1082"/>
      <c r="D212" s="1082"/>
      <c r="E212" s="1083"/>
      <c r="F212" s="88" t="str">
        <f t="array" ref="F212">IFERROR(INDEX(MASTERKU,SMALL(IF(KRITERIAKU=#REF!,ROW(KRITERIAKU)),ROW(#REF!)),13),"")</f>
        <v/>
      </c>
      <c r="G212" s="1084" t="str">
        <f t="array" ref="G212">IFERROR(INDEX(MASTERKU,SMALL(IF(KRITERIAKU=#REF!,ROW(KRITERIAKU)),ROW(#REF!)),14),"")</f>
        <v/>
      </c>
      <c r="H212" s="1085"/>
      <c r="I212" s="1086"/>
      <c r="J212" s="1087" t="str">
        <f t="array" ref="J212">IFERROR(INDEX(MASTERKU,SMALL(IF(KRITERIAKU=#REF!,ROW(KRITERIAKU)),ROW(#REF!)),15),"")</f>
        <v/>
      </c>
      <c r="K212" s="1088"/>
      <c r="L212" s="80"/>
    </row>
    <row r="213" spans="1:12" s="6" customFormat="1" ht="15.5">
      <c r="A213" s="1081" t="str">
        <f t="array" ref="A213">IFERROR(INDEX(MASTERKU,SMALL(IF(KRITERIAKU=#REF!,ROW(KRITERIAKU)),ROW(#REF!)),12),"")</f>
        <v/>
      </c>
      <c r="B213" s="1082"/>
      <c r="C213" s="1082"/>
      <c r="D213" s="1082"/>
      <c r="E213" s="1083"/>
      <c r="F213" s="88" t="str">
        <f t="array" ref="F213">IFERROR(INDEX(MASTERKU,SMALL(IF(KRITERIAKU=#REF!,ROW(KRITERIAKU)),ROW(#REF!)),13),"")</f>
        <v/>
      </c>
      <c r="G213" s="1084" t="str">
        <f t="array" ref="G213">IFERROR(INDEX(MASTERKU,SMALL(IF(KRITERIAKU=#REF!,ROW(KRITERIAKU)),ROW(#REF!)),14),"")</f>
        <v/>
      </c>
      <c r="H213" s="1085"/>
      <c r="I213" s="1086"/>
      <c r="J213" s="1087" t="str">
        <f t="array" ref="J213">IFERROR(INDEX(MASTERKU,SMALL(IF(KRITERIAKU=#REF!,ROW(KRITERIAKU)),ROW(#REF!)),15),"")</f>
        <v/>
      </c>
      <c r="K213" s="1088"/>
      <c r="L213" s="80"/>
    </row>
    <row r="214" spans="1:12" s="6" customFormat="1" ht="15.5">
      <c r="A214" s="1081" t="str">
        <f t="array" ref="A214">IFERROR(INDEX(MASTERKU,SMALL(IF(KRITERIAKU=#REF!,ROW(KRITERIAKU)),ROW(#REF!)),12),"")</f>
        <v/>
      </c>
      <c r="B214" s="1082"/>
      <c r="C214" s="1082"/>
      <c r="D214" s="1082"/>
      <c r="E214" s="1083"/>
      <c r="F214" s="88" t="str">
        <f t="array" ref="F214">IFERROR(INDEX(MASTERKU,SMALL(IF(KRITERIAKU=#REF!,ROW(KRITERIAKU)),ROW(#REF!)),13),"")</f>
        <v/>
      </c>
      <c r="G214" s="1084" t="str">
        <f t="array" ref="G214">IFERROR(INDEX(MASTERKU,SMALL(IF(KRITERIAKU=#REF!,ROW(KRITERIAKU)),ROW(#REF!)),14),"")</f>
        <v/>
      </c>
      <c r="H214" s="1085"/>
      <c r="I214" s="1086"/>
      <c r="J214" s="1087" t="str">
        <f t="array" ref="J214">IFERROR(INDEX(MASTERKU,SMALL(IF(KRITERIAKU=#REF!,ROW(KRITERIAKU)),ROW(#REF!)),15),"")</f>
        <v/>
      </c>
      <c r="K214" s="1088"/>
      <c r="L214" s="80"/>
    </row>
    <row r="215" spans="1:12" s="6" customFormat="1" ht="15.5">
      <c r="A215" s="1081" t="str">
        <f t="array" ref="A215">IFERROR(INDEX(MASTERKU,SMALL(IF(KRITERIAKU=#REF!,ROW(KRITERIAKU)),ROW(#REF!)),12),"")</f>
        <v/>
      </c>
      <c r="B215" s="1082"/>
      <c r="C215" s="1082"/>
      <c r="D215" s="1082"/>
      <c r="E215" s="1083"/>
      <c r="F215" s="88" t="str">
        <f t="array" ref="F215">IFERROR(INDEX(MASTERKU,SMALL(IF(KRITERIAKU=#REF!,ROW(KRITERIAKU)),ROW(#REF!)),13),"")</f>
        <v/>
      </c>
      <c r="G215" s="1084" t="str">
        <f t="array" ref="G215">IFERROR(INDEX(MASTERKU,SMALL(IF(KRITERIAKU=#REF!,ROW(KRITERIAKU)),ROW(#REF!)),14),"")</f>
        <v/>
      </c>
      <c r="H215" s="1085"/>
      <c r="I215" s="1086"/>
      <c r="J215" s="1087" t="str">
        <f t="array" ref="J215">IFERROR(INDEX(MASTERKU,SMALL(IF(KRITERIAKU=#REF!,ROW(KRITERIAKU)),ROW(#REF!)),15),"")</f>
        <v/>
      </c>
      <c r="K215" s="1088"/>
      <c r="L215" s="80"/>
    </row>
    <row r="216" spans="1:12" s="6" customFormat="1" ht="15.5">
      <c r="A216" s="1081" t="str">
        <f t="array" ref="A216">IFERROR(INDEX(MASTERKU,SMALL(IF(KRITERIAKU=#REF!,ROW(KRITERIAKU)),ROW(#REF!)),12),"")</f>
        <v/>
      </c>
      <c r="B216" s="1082"/>
      <c r="C216" s="1082"/>
      <c r="D216" s="1082"/>
      <c r="E216" s="1083"/>
      <c r="F216" s="88" t="str">
        <f t="array" ref="F216">IFERROR(INDEX(MASTERKU,SMALL(IF(KRITERIAKU=#REF!,ROW(KRITERIAKU)),ROW(#REF!)),13),"")</f>
        <v/>
      </c>
      <c r="G216" s="1084" t="str">
        <f t="array" ref="G216">IFERROR(INDEX(MASTERKU,SMALL(IF(KRITERIAKU=#REF!,ROW(KRITERIAKU)),ROW(#REF!)),14),"")</f>
        <v/>
      </c>
      <c r="H216" s="1085"/>
      <c r="I216" s="1086"/>
      <c r="J216" s="1087" t="str">
        <f t="array" ref="J216">IFERROR(INDEX(MASTERKU,SMALL(IF(KRITERIAKU=#REF!,ROW(KRITERIAKU)),ROW(#REF!)),15),"")</f>
        <v/>
      </c>
      <c r="K216" s="1088"/>
      <c r="L216" s="80"/>
    </row>
    <row r="217" spans="1:12" s="6" customFormat="1" ht="15.5">
      <c r="A217" s="1081" t="str">
        <f t="array" ref="A217">IFERROR(INDEX(MASTERKU,SMALL(IF(KRITERIAKU=#REF!,ROW(KRITERIAKU)),ROW(#REF!)),12),"")</f>
        <v/>
      </c>
      <c r="B217" s="1082"/>
      <c r="C217" s="1082"/>
      <c r="D217" s="1082"/>
      <c r="E217" s="1083"/>
      <c r="F217" s="88" t="str">
        <f t="array" ref="F217">IFERROR(INDEX(MASTERKU,SMALL(IF(KRITERIAKU=#REF!,ROW(KRITERIAKU)),ROW(#REF!)),13),"")</f>
        <v/>
      </c>
      <c r="G217" s="1084" t="str">
        <f t="array" ref="G217">IFERROR(INDEX(MASTERKU,SMALL(IF(KRITERIAKU=#REF!,ROW(KRITERIAKU)),ROW(#REF!)),14),"")</f>
        <v/>
      </c>
      <c r="H217" s="1085"/>
      <c r="I217" s="1086"/>
      <c r="J217" s="1087" t="str">
        <f t="array" ref="J217">IFERROR(INDEX(MASTERKU,SMALL(IF(KRITERIAKU=#REF!,ROW(KRITERIAKU)),ROW(#REF!)),15),"")</f>
        <v/>
      </c>
      <c r="K217" s="1088"/>
      <c r="L217" s="80"/>
    </row>
    <row r="218" spans="1:12" s="6" customFormat="1" ht="15.5">
      <c r="A218" s="1081" t="str">
        <f t="array" ref="A218">IFERROR(INDEX(MASTERKU,SMALL(IF(KRITERIAKU=#REF!,ROW(KRITERIAKU)),ROW(#REF!)),12),"")</f>
        <v/>
      </c>
      <c r="B218" s="1082"/>
      <c r="C218" s="1082"/>
      <c r="D218" s="1082"/>
      <c r="E218" s="1083"/>
      <c r="F218" s="88" t="str">
        <f t="array" ref="F218">IFERROR(INDEX(MASTERKU,SMALL(IF(KRITERIAKU=#REF!,ROW(KRITERIAKU)),ROW(#REF!)),13),"")</f>
        <v/>
      </c>
      <c r="G218" s="1084" t="str">
        <f t="array" ref="G218">IFERROR(INDEX(MASTERKU,SMALL(IF(KRITERIAKU=#REF!,ROW(KRITERIAKU)),ROW(#REF!)),14),"")</f>
        <v/>
      </c>
      <c r="H218" s="1085"/>
      <c r="I218" s="1086"/>
      <c r="J218" s="1087" t="str">
        <f t="array" ref="J218">IFERROR(INDEX(MASTERKU,SMALL(IF(KRITERIAKU=#REF!,ROW(KRITERIAKU)),ROW(#REF!)),15),"")</f>
        <v/>
      </c>
      <c r="K218" s="1088"/>
      <c r="L218" s="80"/>
    </row>
    <row r="219" spans="1:12" s="6" customFormat="1" ht="15.5">
      <c r="A219" s="1081" t="str">
        <f t="array" ref="A219">IFERROR(INDEX(MASTERKU,SMALL(IF(KRITERIAKU=#REF!,ROW(KRITERIAKU)),ROW(#REF!)),12),"")</f>
        <v/>
      </c>
      <c r="B219" s="1082"/>
      <c r="C219" s="1082"/>
      <c r="D219" s="1082"/>
      <c r="E219" s="1083"/>
      <c r="F219" s="88" t="str">
        <f t="array" ref="F219">IFERROR(INDEX(MASTERKU,SMALL(IF(KRITERIAKU=#REF!,ROW(KRITERIAKU)),ROW(#REF!)),13),"")</f>
        <v/>
      </c>
      <c r="G219" s="1084" t="str">
        <f t="array" ref="G219">IFERROR(INDEX(MASTERKU,SMALL(IF(KRITERIAKU=#REF!,ROW(KRITERIAKU)),ROW(#REF!)),14),"")</f>
        <v/>
      </c>
      <c r="H219" s="1085"/>
      <c r="I219" s="1086"/>
      <c r="J219" s="1087" t="str">
        <f t="array" ref="J219">IFERROR(INDEX(MASTERKU,SMALL(IF(KRITERIAKU=#REF!,ROW(KRITERIAKU)),ROW(#REF!)),15),"")</f>
        <v/>
      </c>
      <c r="K219" s="1088"/>
      <c r="L219" s="80"/>
    </row>
    <row r="220" spans="1:12" s="6" customFormat="1" ht="15.5">
      <c r="A220" s="1081" t="str">
        <f t="array" ref="A220">IFERROR(INDEX(MASTERKU,SMALL(IF(KRITERIAKU=#REF!,ROW(KRITERIAKU)),ROW(#REF!)),12),"")</f>
        <v/>
      </c>
      <c r="B220" s="1082"/>
      <c r="C220" s="1082"/>
      <c r="D220" s="1082"/>
      <c r="E220" s="1083"/>
      <c r="F220" s="88" t="str">
        <f t="array" ref="F220">IFERROR(INDEX(MASTERKU,SMALL(IF(KRITERIAKU=#REF!,ROW(KRITERIAKU)),ROW(#REF!)),13),"")</f>
        <v/>
      </c>
      <c r="G220" s="1084" t="str">
        <f t="array" ref="G220">IFERROR(INDEX(MASTERKU,SMALL(IF(KRITERIAKU=#REF!,ROW(KRITERIAKU)),ROW(#REF!)),14),"")</f>
        <v/>
      </c>
      <c r="H220" s="1085"/>
      <c r="I220" s="1086"/>
      <c r="J220" s="1087" t="str">
        <f t="array" ref="J220">IFERROR(INDEX(MASTERKU,SMALL(IF(KRITERIAKU=#REF!,ROW(KRITERIAKU)),ROW(#REF!)),15),"")</f>
        <v/>
      </c>
      <c r="K220" s="1088"/>
      <c r="L220" s="80"/>
    </row>
    <row r="221" spans="1:12" s="6" customFormat="1" ht="15.5">
      <c r="A221" s="1081" t="str">
        <f t="array" ref="A221">IFERROR(INDEX(MASTERKU,SMALL(IF(KRITERIAKU=#REF!,ROW(KRITERIAKU)),ROW(#REF!)),12),"")</f>
        <v/>
      </c>
      <c r="B221" s="1082"/>
      <c r="C221" s="1082"/>
      <c r="D221" s="1082"/>
      <c r="E221" s="1083"/>
      <c r="F221" s="88" t="str">
        <f t="array" ref="F221">IFERROR(INDEX(MASTERKU,SMALL(IF(KRITERIAKU=#REF!,ROW(KRITERIAKU)),ROW(#REF!)),13),"")</f>
        <v/>
      </c>
      <c r="G221" s="1084" t="str">
        <f t="array" ref="G221">IFERROR(INDEX(MASTERKU,SMALL(IF(KRITERIAKU=#REF!,ROW(KRITERIAKU)),ROW(#REF!)),14),"")</f>
        <v/>
      </c>
      <c r="H221" s="1085"/>
      <c r="I221" s="1086"/>
      <c r="J221" s="1087" t="str">
        <f t="array" ref="J221">IFERROR(INDEX(MASTERKU,SMALL(IF(KRITERIAKU=#REF!,ROW(KRITERIAKU)),ROW(#REF!)),15),"")</f>
        <v/>
      </c>
      <c r="K221" s="1088"/>
      <c r="L221" s="80"/>
    </row>
    <row r="222" spans="1:12" s="6" customFormat="1" ht="15.5">
      <c r="A222" s="1081" t="str">
        <f t="array" ref="A222">IFERROR(INDEX(MASTERKU,SMALL(IF(KRITERIAKU=#REF!,ROW(KRITERIAKU)),ROW(#REF!)),12),"")</f>
        <v/>
      </c>
      <c r="B222" s="1082"/>
      <c r="C222" s="1082"/>
      <c r="D222" s="1082"/>
      <c r="E222" s="1083"/>
      <c r="F222" s="88" t="str">
        <f t="array" ref="F222">IFERROR(INDEX(MASTERKU,SMALL(IF(KRITERIAKU=#REF!,ROW(KRITERIAKU)),ROW(#REF!)),13),"")</f>
        <v/>
      </c>
      <c r="G222" s="1084" t="str">
        <f t="array" ref="G222">IFERROR(INDEX(MASTERKU,SMALL(IF(KRITERIAKU=#REF!,ROW(KRITERIAKU)),ROW(#REF!)),14),"")</f>
        <v/>
      </c>
      <c r="H222" s="1085"/>
      <c r="I222" s="1086"/>
      <c r="J222" s="1087" t="str">
        <f t="array" ref="J222">IFERROR(INDEX(MASTERKU,SMALL(IF(KRITERIAKU=#REF!,ROW(KRITERIAKU)),ROW(#REF!)),15),"")</f>
        <v/>
      </c>
      <c r="K222" s="1088"/>
      <c r="L222" s="80"/>
    </row>
    <row r="223" spans="1:12" s="6" customFormat="1" ht="15.5">
      <c r="A223" s="1081" t="str">
        <f t="array" ref="A223">IFERROR(INDEX(MASTERKU,SMALL(IF(KRITERIAKU=#REF!,ROW(KRITERIAKU)),ROW(#REF!)),12),"")</f>
        <v/>
      </c>
      <c r="B223" s="1082"/>
      <c r="C223" s="1082"/>
      <c r="D223" s="1082"/>
      <c r="E223" s="1083"/>
      <c r="F223" s="88" t="str">
        <f t="array" ref="F223">IFERROR(INDEX(MASTERKU,SMALL(IF(KRITERIAKU=#REF!,ROW(KRITERIAKU)),ROW(#REF!)),13),"")</f>
        <v/>
      </c>
      <c r="G223" s="1084" t="str">
        <f t="array" ref="G223">IFERROR(INDEX(MASTERKU,SMALL(IF(KRITERIAKU=#REF!,ROW(KRITERIAKU)),ROW(#REF!)),14),"")</f>
        <v/>
      </c>
      <c r="H223" s="1085"/>
      <c r="I223" s="1086"/>
      <c r="J223" s="1087" t="str">
        <f t="array" ref="J223">IFERROR(INDEX(MASTERKU,SMALL(IF(KRITERIAKU=#REF!,ROW(KRITERIAKU)),ROW(#REF!)),15),"")</f>
        <v/>
      </c>
      <c r="K223" s="1088"/>
      <c r="L223" s="80"/>
    </row>
    <row r="224" spans="1:12" s="6" customFormat="1" ht="15.5">
      <c r="A224" s="1081" t="str">
        <f t="array" ref="A224">IFERROR(INDEX(MASTERKU,SMALL(IF(KRITERIAKU=#REF!,ROW(KRITERIAKU)),ROW(#REF!)),12),"")</f>
        <v/>
      </c>
      <c r="B224" s="1082"/>
      <c r="C224" s="1082"/>
      <c r="D224" s="1082"/>
      <c r="E224" s="1083"/>
      <c r="F224" s="88" t="str">
        <f t="array" ref="F224">IFERROR(INDEX(MASTERKU,SMALL(IF(KRITERIAKU=#REF!,ROW(KRITERIAKU)),ROW(#REF!)),13),"")</f>
        <v/>
      </c>
      <c r="G224" s="1084" t="str">
        <f t="array" ref="G224">IFERROR(INDEX(MASTERKU,SMALL(IF(KRITERIAKU=#REF!,ROW(KRITERIAKU)),ROW(#REF!)),14),"")</f>
        <v/>
      </c>
      <c r="H224" s="1085"/>
      <c r="I224" s="1086"/>
      <c r="J224" s="1087" t="str">
        <f t="array" ref="J224">IFERROR(INDEX(MASTERKU,SMALL(IF(KRITERIAKU=#REF!,ROW(KRITERIAKU)),ROW(#REF!)),15),"")</f>
        <v/>
      </c>
      <c r="K224" s="1088"/>
      <c r="L224" s="80"/>
    </row>
    <row r="225" spans="1:12" s="6" customFormat="1" ht="15.5">
      <c r="A225" s="1081" t="str">
        <f t="array" ref="A225">IFERROR(INDEX(MASTERKU,SMALL(IF(KRITERIAKU=#REF!,ROW(KRITERIAKU)),ROW(#REF!)),12),"")</f>
        <v/>
      </c>
      <c r="B225" s="1082"/>
      <c r="C225" s="1082"/>
      <c r="D225" s="1082"/>
      <c r="E225" s="1083"/>
      <c r="F225" s="88" t="str">
        <f t="array" ref="F225">IFERROR(INDEX(MASTERKU,SMALL(IF(KRITERIAKU=#REF!,ROW(KRITERIAKU)),ROW(#REF!)),13),"")</f>
        <v/>
      </c>
      <c r="G225" s="1084" t="str">
        <f t="array" ref="G225">IFERROR(INDEX(MASTERKU,SMALL(IF(KRITERIAKU=#REF!,ROW(KRITERIAKU)),ROW(#REF!)),14),"")</f>
        <v/>
      </c>
      <c r="H225" s="1085"/>
      <c r="I225" s="1086"/>
      <c r="J225" s="1087" t="str">
        <f t="array" ref="J225">IFERROR(INDEX(MASTERKU,SMALL(IF(KRITERIAKU=#REF!,ROW(KRITERIAKU)),ROW(#REF!)),15),"")</f>
        <v/>
      </c>
      <c r="K225" s="1088"/>
      <c r="L225" s="80"/>
    </row>
    <row r="226" spans="1:12" s="6" customFormat="1" ht="15.5">
      <c r="A226" s="1081" t="str">
        <f t="array" ref="A226">IFERROR(INDEX(MASTERKU,SMALL(IF(KRITERIAKU=#REF!,ROW(KRITERIAKU)),ROW(#REF!)),12),"")</f>
        <v/>
      </c>
      <c r="B226" s="1082"/>
      <c r="C226" s="1082"/>
      <c r="D226" s="1082"/>
      <c r="E226" s="1083"/>
      <c r="F226" s="88" t="str">
        <f t="array" ref="F226">IFERROR(INDEX(MASTERKU,SMALL(IF(KRITERIAKU=#REF!,ROW(KRITERIAKU)),ROW(#REF!)),13),"")</f>
        <v/>
      </c>
      <c r="G226" s="1084" t="str">
        <f t="array" ref="G226">IFERROR(INDEX(MASTERKU,SMALL(IF(KRITERIAKU=#REF!,ROW(KRITERIAKU)),ROW(#REF!)),14),"")</f>
        <v/>
      </c>
      <c r="H226" s="1085"/>
      <c r="I226" s="1086"/>
      <c r="J226" s="1087" t="str">
        <f t="array" ref="J226">IFERROR(INDEX(MASTERKU,SMALL(IF(KRITERIAKU=#REF!,ROW(KRITERIAKU)),ROW(#REF!)),15),"")</f>
        <v/>
      </c>
      <c r="K226" s="1088"/>
      <c r="L226" s="80"/>
    </row>
    <row r="227" spans="1:12" s="6" customFormat="1" ht="15.5">
      <c r="A227" s="1081" t="str">
        <f t="array" ref="A227">IFERROR(INDEX(MASTERKU,SMALL(IF(KRITERIAKU=#REF!,ROW(KRITERIAKU)),ROW(#REF!)),12),"")</f>
        <v/>
      </c>
      <c r="B227" s="1082"/>
      <c r="C227" s="1082"/>
      <c r="D227" s="1082"/>
      <c r="E227" s="1083"/>
      <c r="F227" s="88" t="str">
        <f t="array" ref="F227">IFERROR(INDEX(MASTERKU,SMALL(IF(KRITERIAKU=#REF!,ROW(KRITERIAKU)),ROW(#REF!)),13),"")</f>
        <v/>
      </c>
      <c r="G227" s="1084" t="str">
        <f t="array" ref="G227">IFERROR(INDEX(MASTERKU,SMALL(IF(KRITERIAKU=#REF!,ROW(KRITERIAKU)),ROW(#REF!)),14),"")</f>
        <v/>
      </c>
      <c r="H227" s="1085"/>
      <c r="I227" s="1086"/>
      <c r="J227" s="1087" t="str">
        <f t="array" ref="J227">IFERROR(INDEX(MASTERKU,SMALL(IF(KRITERIAKU=#REF!,ROW(KRITERIAKU)),ROW(#REF!)),15),"")</f>
        <v/>
      </c>
      <c r="K227" s="1088"/>
      <c r="L227" s="80"/>
    </row>
    <row r="228" spans="1:12" s="6" customFormat="1" ht="15.5">
      <c r="A228" s="1081" t="str">
        <f t="array" ref="A228">IFERROR(INDEX(MASTERKU,SMALL(IF(KRITERIAKU=#REF!,ROW(KRITERIAKU)),ROW(#REF!)),12),"")</f>
        <v/>
      </c>
      <c r="B228" s="1082"/>
      <c r="C228" s="1082"/>
      <c r="D228" s="1082"/>
      <c r="E228" s="1083"/>
      <c r="F228" s="88" t="str">
        <f t="array" ref="F228">IFERROR(INDEX(MASTERKU,SMALL(IF(KRITERIAKU=#REF!,ROW(KRITERIAKU)),ROW(#REF!)),13),"")</f>
        <v/>
      </c>
      <c r="G228" s="1084" t="str">
        <f t="array" ref="G228">IFERROR(INDEX(MASTERKU,SMALL(IF(KRITERIAKU=#REF!,ROW(KRITERIAKU)),ROW(#REF!)),14),"")</f>
        <v/>
      </c>
      <c r="H228" s="1085"/>
      <c r="I228" s="1086"/>
      <c r="J228" s="1087" t="str">
        <f t="array" ref="J228">IFERROR(INDEX(MASTERKU,SMALL(IF(KRITERIAKU=#REF!,ROW(KRITERIAKU)),ROW(#REF!)),15),"")</f>
        <v/>
      </c>
      <c r="K228" s="1088"/>
      <c r="L228" s="80"/>
    </row>
    <row r="229" spans="1:12" s="6" customFormat="1" ht="15.5">
      <c r="A229" s="1081" t="str">
        <f t="array" ref="A229">IFERROR(INDEX(MASTERKU,SMALL(IF(KRITERIAKU=#REF!,ROW(KRITERIAKU)),ROW(#REF!)),12),"")</f>
        <v/>
      </c>
      <c r="B229" s="1082"/>
      <c r="C229" s="1082"/>
      <c r="D229" s="1082"/>
      <c r="E229" s="1083"/>
      <c r="F229" s="88" t="str">
        <f t="array" ref="F229">IFERROR(INDEX(MASTERKU,SMALL(IF(KRITERIAKU=#REF!,ROW(KRITERIAKU)),ROW(#REF!)),13),"")</f>
        <v/>
      </c>
      <c r="G229" s="1084" t="str">
        <f t="array" ref="G229">IFERROR(INDEX(MASTERKU,SMALL(IF(KRITERIAKU=#REF!,ROW(KRITERIAKU)),ROW(#REF!)),14),"")</f>
        <v/>
      </c>
      <c r="H229" s="1085"/>
      <c r="I229" s="1086"/>
      <c r="J229" s="1087" t="str">
        <f t="array" ref="J229">IFERROR(INDEX(MASTERKU,SMALL(IF(KRITERIAKU=#REF!,ROW(KRITERIAKU)),ROW(#REF!)),15),"")</f>
        <v/>
      </c>
      <c r="K229" s="1088"/>
      <c r="L229" s="80"/>
    </row>
    <row r="230" spans="1:12" s="6" customFormat="1" ht="15.5">
      <c r="A230" s="1081" t="str">
        <f t="array" ref="A230">IFERROR(INDEX(MASTERKU,SMALL(IF(KRITERIAKU=#REF!,ROW(KRITERIAKU)),ROW(#REF!)),12),"")</f>
        <v/>
      </c>
      <c r="B230" s="1082"/>
      <c r="C230" s="1082"/>
      <c r="D230" s="1082"/>
      <c r="E230" s="1083"/>
      <c r="F230" s="88" t="str">
        <f t="array" ref="F230">IFERROR(INDEX(MASTERKU,SMALL(IF(KRITERIAKU=#REF!,ROW(KRITERIAKU)),ROW(#REF!)),13),"")</f>
        <v/>
      </c>
      <c r="G230" s="1084" t="str">
        <f t="array" ref="G230">IFERROR(INDEX(MASTERKU,SMALL(IF(KRITERIAKU=#REF!,ROW(KRITERIAKU)),ROW(#REF!)),14),"")</f>
        <v/>
      </c>
      <c r="H230" s="1085"/>
      <c r="I230" s="1086"/>
      <c r="J230" s="1087" t="str">
        <f t="array" ref="J230">IFERROR(INDEX(MASTERKU,SMALL(IF(KRITERIAKU=#REF!,ROW(KRITERIAKU)),ROW(#REF!)),15),"")</f>
        <v/>
      </c>
      <c r="K230" s="1088"/>
      <c r="L230" s="80"/>
    </row>
    <row r="231" spans="1:12" s="6" customFormat="1" ht="15.5">
      <c r="A231" s="1081" t="str">
        <f t="array" ref="A231">IFERROR(INDEX(MASTERKU,SMALL(IF(KRITERIAKU=#REF!,ROW(KRITERIAKU)),ROW(#REF!)),12),"")</f>
        <v/>
      </c>
      <c r="B231" s="1082"/>
      <c r="C231" s="1082"/>
      <c r="D231" s="1082"/>
      <c r="E231" s="1083"/>
      <c r="F231" s="88" t="str">
        <f t="array" ref="F231">IFERROR(INDEX(MASTERKU,SMALL(IF(KRITERIAKU=#REF!,ROW(KRITERIAKU)),ROW(#REF!)),13),"")</f>
        <v/>
      </c>
      <c r="G231" s="1084" t="str">
        <f t="array" ref="G231">IFERROR(INDEX(MASTERKU,SMALL(IF(KRITERIAKU=#REF!,ROW(KRITERIAKU)),ROW(#REF!)),14),"")</f>
        <v/>
      </c>
      <c r="H231" s="1085"/>
      <c r="I231" s="1086"/>
      <c r="J231" s="1087" t="str">
        <f t="array" ref="J231">IFERROR(INDEX(MASTERKU,SMALL(IF(KRITERIAKU=#REF!,ROW(KRITERIAKU)),ROW(#REF!)),15),"")</f>
        <v/>
      </c>
      <c r="K231" s="1088"/>
      <c r="L231" s="80"/>
    </row>
    <row r="232" spans="1:12" s="6" customFormat="1" ht="15.5">
      <c r="A232" s="1081" t="str">
        <f t="array" ref="A232">IFERROR(INDEX(MASTERKU,SMALL(IF(KRITERIAKU=#REF!,ROW(KRITERIAKU)),ROW(#REF!)),12),"")</f>
        <v/>
      </c>
      <c r="B232" s="1082"/>
      <c r="C232" s="1082"/>
      <c r="D232" s="1082"/>
      <c r="E232" s="1083"/>
      <c r="F232" s="88" t="str">
        <f t="array" ref="F232">IFERROR(INDEX(MASTERKU,SMALL(IF(KRITERIAKU=#REF!,ROW(KRITERIAKU)),ROW(#REF!)),13),"")</f>
        <v/>
      </c>
      <c r="G232" s="1084" t="str">
        <f t="array" ref="G232">IFERROR(INDEX(MASTERKU,SMALL(IF(KRITERIAKU=#REF!,ROW(KRITERIAKU)),ROW(#REF!)),14),"")</f>
        <v/>
      </c>
      <c r="H232" s="1085"/>
      <c r="I232" s="1086"/>
      <c r="J232" s="1087" t="str">
        <f t="array" ref="J232">IFERROR(INDEX(MASTERKU,SMALL(IF(KRITERIAKU=#REF!,ROW(KRITERIAKU)),ROW(#REF!)),15),"")</f>
        <v/>
      </c>
      <c r="K232" s="1088"/>
      <c r="L232" s="80"/>
    </row>
    <row r="233" spans="1:12" s="6" customFormat="1" ht="15.5">
      <c r="A233" s="1081" t="str">
        <f t="array" ref="A233">IFERROR(INDEX(MASTERKU,SMALL(IF(KRITERIAKU=#REF!,ROW(KRITERIAKU)),ROW(#REF!)),12),"")</f>
        <v/>
      </c>
      <c r="B233" s="1082"/>
      <c r="C233" s="1082"/>
      <c r="D233" s="1082"/>
      <c r="E233" s="1083"/>
      <c r="F233" s="88" t="str">
        <f t="array" ref="F233">IFERROR(INDEX(MASTERKU,SMALL(IF(KRITERIAKU=#REF!,ROW(KRITERIAKU)),ROW(#REF!)),13),"")</f>
        <v/>
      </c>
      <c r="G233" s="1084" t="str">
        <f t="array" ref="G233">IFERROR(INDEX(MASTERKU,SMALL(IF(KRITERIAKU=#REF!,ROW(KRITERIAKU)),ROW(#REF!)),14),"")</f>
        <v/>
      </c>
      <c r="H233" s="1085"/>
      <c r="I233" s="1086"/>
      <c r="J233" s="1087" t="str">
        <f t="array" ref="J233">IFERROR(INDEX(MASTERKU,SMALL(IF(KRITERIAKU=#REF!,ROW(KRITERIAKU)),ROW(#REF!)),15),"")</f>
        <v/>
      </c>
      <c r="K233" s="1088"/>
      <c r="L233" s="80"/>
    </row>
    <row r="234" spans="1:12" s="6" customFormat="1" ht="15.5">
      <c r="A234" s="1081" t="str">
        <f t="array" ref="A234">IFERROR(INDEX(MASTERKU,SMALL(IF(KRITERIAKU=#REF!,ROW(KRITERIAKU)),ROW(#REF!)),12),"")</f>
        <v/>
      </c>
      <c r="B234" s="1082"/>
      <c r="C234" s="1082"/>
      <c r="D234" s="1082"/>
      <c r="E234" s="1083"/>
      <c r="F234" s="88" t="str">
        <f t="array" ref="F234">IFERROR(INDEX(MASTERKU,SMALL(IF(KRITERIAKU=#REF!,ROW(KRITERIAKU)),ROW(#REF!)),13),"")</f>
        <v/>
      </c>
      <c r="G234" s="1084" t="str">
        <f t="array" ref="G234">IFERROR(INDEX(MASTERKU,SMALL(IF(KRITERIAKU=#REF!,ROW(KRITERIAKU)),ROW(#REF!)),14),"")</f>
        <v/>
      </c>
      <c r="H234" s="1085"/>
      <c r="I234" s="1086"/>
      <c r="J234" s="1087" t="str">
        <f t="array" ref="J234">IFERROR(INDEX(MASTERKU,SMALL(IF(KRITERIAKU=#REF!,ROW(KRITERIAKU)),ROW(#REF!)),15),"")</f>
        <v/>
      </c>
      <c r="K234" s="1088"/>
      <c r="L234" s="80"/>
    </row>
    <row r="235" spans="1:12" s="6" customFormat="1" ht="15.5">
      <c r="A235" s="1081" t="str">
        <f t="array" ref="A235">IFERROR(INDEX(MASTERKU,SMALL(IF(KRITERIAKU=#REF!,ROW(KRITERIAKU)),ROW(#REF!)),12),"")</f>
        <v/>
      </c>
      <c r="B235" s="1082"/>
      <c r="C235" s="1082"/>
      <c r="D235" s="1082"/>
      <c r="E235" s="1083"/>
      <c r="F235" s="88" t="str">
        <f t="array" ref="F235">IFERROR(INDEX(MASTERKU,SMALL(IF(KRITERIAKU=#REF!,ROW(KRITERIAKU)),ROW(#REF!)),13),"")</f>
        <v/>
      </c>
      <c r="G235" s="1084" t="str">
        <f t="array" ref="G235">IFERROR(INDEX(MASTERKU,SMALL(IF(KRITERIAKU=#REF!,ROW(KRITERIAKU)),ROW(#REF!)),14),"")</f>
        <v/>
      </c>
      <c r="H235" s="1085"/>
      <c r="I235" s="1086"/>
      <c r="J235" s="1087" t="str">
        <f t="array" ref="J235">IFERROR(INDEX(MASTERKU,SMALL(IF(KRITERIAKU=#REF!,ROW(KRITERIAKU)),ROW(#REF!)),15),"")</f>
        <v/>
      </c>
      <c r="K235" s="1088"/>
      <c r="L235" s="80"/>
    </row>
    <row r="236" spans="1:12" s="6" customFormat="1" ht="15.5">
      <c r="A236" s="1081" t="str">
        <f t="array" ref="A236">IFERROR(INDEX(MASTERKU,SMALL(IF(KRITERIAKU=#REF!,ROW(KRITERIAKU)),ROW(#REF!)),12),"")</f>
        <v/>
      </c>
      <c r="B236" s="1082"/>
      <c r="C236" s="1082"/>
      <c r="D236" s="1082"/>
      <c r="E236" s="1083"/>
      <c r="F236" s="88" t="str">
        <f t="array" ref="F236">IFERROR(INDEX(MASTERKU,SMALL(IF(KRITERIAKU=#REF!,ROW(KRITERIAKU)),ROW(#REF!)),13),"")</f>
        <v/>
      </c>
      <c r="G236" s="1084" t="str">
        <f t="array" ref="G236">IFERROR(INDEX(MASTERKU,SMALL(IF(KRITERIAKU=#REF!,ROW(KRITERIAKU)),ROW(#REF!)),14),"")</f>
        <v/>
      </c>
      <c r="H236" s="1085"/>
      <c r="I236" s="1086"/>
      <c r="J236" s="1087" t="str">
        <f t="array" ref="J236">IFERROR(INDEX(MASTERKU,SMALL(IF(KRITERIAKU=#REF!,ROW(KRITERIAKU)),ROW(#REF!)),15),"")</f>
        <v/>
      </c>
      <c r="K236" s="1088"/>
      <c r="L236" s="80"/>
    </row>
    <row r="237" spans="1:12" s="6" customFormat="1" ht="15.5">
      <c r="A237" s="1081" t="str">
        <f t="array" ref="A237">IFERROR(INDEX(MASTERKU,SMALL(IF(KRITERIAKU=#REF!,ROW(KRITERIAKU)),ROW(#REF!)),12),"")</f>
        <v/>
      </c>
      <c r="B237" s="1082"/>
      <c r="C237" s="1082"/>
      <c r="D237" s="1082"/>
      <c r="E237" s="1083"/>
      <c r="F237" s="88" t="str">
        <f t="array" ref="F237">IFERROR(INDEX(MASTERKU,SMALL(IF(KRITERIAKU=#REF!,ROW(KRITERIAKU)),ROW(#REF!)),13),"")</f>
        <v/>
      </c>
      <c r="G237" s="1084" t="str">
        <f t="array" ref="G237">IFERROR(INDEX(MASTERKU,SMALL(IF(KRITERIAKU=#REF!,ROW(KRITERIAKU)),ROW(#REF!)),14),"")</f>
        <v/>
      </c>
      <c r="H237" s="1085"/>
      <c r="I237" s="1086"/>
      <c r="J237" s="1087" t="str">
        <f t="array" ref="J237">IFERROR(INDEX(MASTERKU,SMALL(IF(KRITERIAKU=#REF!,ROW(KRITERIAKU)),ROW(#REF!)),15),"")</f>
        <v/>
      </c>
      <c r="K237" s="1088"/>
      <c r="L237" s="80"/>
    </row>
    <row r="238" spans="1:12" s="6" customFormat="1" ht="15.5">
      <c r="A238" s="1081" t="str">
        <f t="array" ref="A238">IFERROR(INDEX(MASTERKU,SMALL(IF(KRITERIAKU=#REF!,ROW(KRITERIAKU)),ROW(#REF!)),12),"")</f>
        <v/>
      </c>
      <c r="B238" s="1082"/>
      <c r="C238" s="1082"/>
      <c r="D238" s="1082"/>
      <c r="E238" s="1083"/>
      <c r="F238" s="88" t="str">
        <f t="array" ref="F238">IFERROR(INDEX(MASTERKU,SMALL(IF(KRITERIAKU=#REF!,ROW(KRITERIAKU)),ROW(#REF!)),13),"")</f>
        <v/>
      </c>
      <c r="G238" s="1084" t="str">
        <f t="array" ref="G238">IFERROR(INDEX(MASTERKU,SMALL(IF(KRITERIAKU=#REF!,ROW(KRITERIAKU)),ROW(#REF!)),14),"")</f>
        <v/>
      </c>
      <c r="H238" s="1085"/>
      <c r="I238" s="1086"/>
      <c r="J238" s="1087" t="str">
        <f t="array" ref="J238">IFERROR(INDEX(MASTERKU,SMALL(IF(KRITERIAKU=#REF!,ROW(KRITERIAKU)),ROW(#REF!)),15),"")</f>
        <v/>
      </c>
      <c r="K238" s="1088"/>
      <c r="L238" s="80"/>
    </row>
    <row r="239" spans="1:12" s="6" customFormat="1" ht="15.5">
      <c r="A239" s="1081" t="str">
        <f t="array" ref="A239">IFERROR(INDEX(MASTERKU,SMALL(IF(KRITERIAKU=#REF!,ROW(KRITERIAKU)),ROW(#REF!)),12),"")</f>
        <v/>
      </c>
      <c r="B239" s="1082"/>
      <c r="C239" s="1082"/>
      <c r="D239" s="1082"/>
      <c r="E239" s="1083"/>
      <c r="F239" s="88" t="str">
        <f t="array" ref="F239">IFERROR(INDEX(MASTERKU,SMALL(IF(KRITERIAKU=#REF!,ROW(KRITERIAKU)),ROW(#REF!)),13),"")</f>
        <v/>
      </c>
      <c r="G239" s="1084" t="str">
        <f t="array" ref="G239">IFERROR(INDEX(MASTERKU,SMALL(IF(KRITERIAKU=#REF!,ROW(KRITERIAKU)),ROW(#REF!)),14),"")</f>
        <v/>
      </c>
      <c r="H239" s="1085"/>
      <c r="I239" s="1086"/>
      <c r="J239" s="1087" t="str">
        <f t="array" ref="J239">IFERROR(INDEX(MASTERKU,SMALL(IF(KRITERIAKU=#REF!,ROW(KRITERIAKU)),ROW(#REF!)),15),"")</f>
        <v/>
      </c>
      <c r="K239" s="1088"/>
      <c r="L239" s="76"/>
    </row>
    <row r="240" spans="1:12" s="6" customFormat="1" ht="15.5">
      <c r="A240" s="1081" t="str">
        <f t="array" ref="A240">IFERROR(INDEX(MASTERKU,SMALL(IF(KRITERIAKU=#REF!,ROW(KRITERIAKU)),ROW(#REF!)),12),"")</f>
        <v/>
      </c>
      <c r="B240" s="1082"/>
      <c r="C240" s="1082"/>
      <c r="D240" s="1082"/>
      <c r="E240" s="1083"/>
      <c r="F240" s="88" t="str">
        <f t="array" ref="F240">IFERROR(INDEX(MASTERKU,SMALL(IF(KRITERIAKU=#REF!,ROW(KRITERIAKU)),ROW(#REF!)),13),"")</f>
        <v/>
      </c>
      <c r="G240" s="1084" t="str">
        <f t="array" ref="G240">IFERROR(INDEX(MASTERKU,SMALL(IF(KRITERIAKU=#REF!,ROW(KRITERIAKU)),ROW(#REF!)),14),"")</f>
        <v/>
      </c>
      <c r="H240" s="1085"/>
      <c r="I240" s="1086"/>
      <c r="J240" s="1087" t="str">
        <f t="array" ref="J240">IFERROR(INDEX(MASTERKU,SMALL(IF(KRITERIAKU=#REF!,ROW(KRITERIAKU)),ROW(#REF!)),15),"")</f>
        <v/>
      </c>
      <c r="K240" s="1088"/>
      <c r="L240" s="76"/>
    </row>
    <row r="241" spans="1:12" s="6" customFormat="1" ht="15.5">
      <c r="A241" s="1081" t="str">
        <f t="array" ref="A241">IFERROR(INDEX(MASTERKU,SMALL(IF(KRITERIAKU=#REF!,ROW(KRITERIAKU)),ROW(#REF!)),12),"")</f>
        <v/>
      </c>
      <c r="B241" s="1082"/>
      <c r="C241" s="1082"/>
      <c r="D241" s="1082"/>
      <c r="E241" s="1083"/>
      <c r="F241" s="88" t="str">
        <f t="array" ref="F241">IFERROR(INDEX(MASTERKU,SMALL(IF(KRITERIAKU=#REF!,ROW(KRITERIAKU)),ROW(#REF!)),13),"")</f>
        <v/>
      </c>
      <c r="G241" s="1084" t="str">
        <f t="array" ref="G241">IFERROR(INDEX(MASTERKU,SMALL(IF(KRITERIAKU=#REF!,ROW(KRITERIAKU)),ROW(#REF!)),14),"")</f>
        <v/>
      </c>
      <c r="H241" s="1085"/>
      <c r="I241" s="1086"/>
      <c r="J241" s="1087" t="str">
        <f t="array" ref="J241">IFERROR(INDEX(MASTERKU,SMALL(IF(KRITERIAKU=#REF!,ROW(KRITERIAKU)),ROW(#REF!)),15),"")</f>
        <v/>
      </c>
      <c r="K241" s="1088"/>
      <c r="L241" s="76"/>
    </row>
    <row r="242" spans="1:12" s="6" customFormat="1" ht="15.5">
      <c r="A242" s="1081" t="str">
        <f t="array" ref="A242">IFERROR(INDEX(MASTERKU,SMALL(IF(KRITERIAKU=#REF!,ROW(KRITERIAKU)),ROW(#REF!)),12),"")</f>
        <v/>
      </c>
      <c r="B242" s="1082"/>
      <c r="C242" s="1082"/>
      <c r="D242" s="1082"/>
      <c r="E242" s="1083"/>
      <c r="F242" s="88" t="str">
        <f t="array" ref="F242">IFERROR(INDEX(MASTERKU,SMALL(IF(KRITERIAKU=#REF!,ROW(KRITERIAKU)),ROW(#REF!)),13),"")</f>
        <v/>
      </c>
      <c r="G242" s="1084" t="str">
        <f t="array" ref="G242">IFERROR(INDEX(MASTERKU,SMALL(IF(KRITERIAKU=#REF!,ROW(KRITERIAKU)),ROW(#REF!)),14),"")</f>
        <v/>
      </c>
      <c r="H242" s="1085"/>
      <c r="I242" s="1086"/>
      <c r="J242" s="1087" t="str">
        <f t="array" ref="J242">IFERROR(INDEX(MASTERKU,SMALL(IF(KRITERIAKU=#REF!,ROW(KRITERIAKU)),ROW(#REF!)),15),"")</f>
        <v/>
      </c>
      <c r="K242" s="1088"/>
      <c r="L242" s="76"/>
    </row>
    <row r="243" spans="1:12" s="6" customFormat="1" ht="16" customHeight="1">
      <c r="A243" s="1089"/>
      <c r="B243" s="1089"/>
      <c r="C243" s="1089"/>
      <c r="D243" s="1089"/>
      <c r="E243" s="1089"/>
      <c r="F243" s="1090"/>
      <c r="G243" s="1091">
        <f>SUM(J183:K242)</f>
        <v>0</v>
      </c>
      <c r="H243" s="1092"/>
      <c r="I243" s="1092"/>
      <c r="J243" s="1092"/>
      <c r="K243" s="1093"/>
      <c r="L243" s="76"/>
    </row>
    <row r="244" spans="1:12" s="6" customFormat="1" ht="15.65" customHeight="1">
      <c r="A244" s="1094"/>
      <c r="B244" s="1094"/>
      <c r="C244" s="1094"/>
      <c r="D244" s="1094"/>
      <c r="E244" s="1094"/>
      <c r="F244" s="1094"/>
      <c r="G244" s="129"/>
      <c r="H244" s="129"/>
      <c r="I244" s="129"/>
      <c r="J244" s="129"/>
      <c r="K244" s="130"/>
      <c r="L244" s="76"/>
    </row>
    <row r="245" spans="1:12" s="6" customFormat="1" ht="15.5">
      <c r="A245" s="9"/>
      <c r="B245" s="9"/>
      <c r="C245" s="9"/>
      <c r="D245" s="9"/>
      <c r="E245" s="9"/>
      <c r="L245" s="75"/>
    </row>
    <row r="246" spans="1:12" s="6" customFormat="1" ht="15.5">
      <c r="A246" s="9"/>
      <c r="B246" s="9"/>
      <c r="C246" s="9"/>
      <c r="D246" s="9"/>
      <c r="E246" s="9"/>
      <c r="I246" s="9" t="str">
        <f>"Telukdalam, "&amp;D179&amp;""</f>
        <v xml:space="preserve">Telukdalam, </v>
      </c>
      <c r="L246" s="75"/>
    </row>
    <row r="247" spans="1:12" s="6" customFormat="1" ht="15.5">
      <c r="A247" s="9"/>
      <c r="B247" s="9"/>
      <c r="C247" s="9"/>
      <c r="E247" s="9"/>
      <c r="I247" s="9" t="s">
        <v>92</v>
      </c>
      <c r="L247" s="75"/>
    </row>
    <row r="248" spans="1:12" s="6" customFormat="1" ht="15.5">
      <c r="A248" s="9" t="s">
        <v>91</v>
      </c>
      <c r="B248" s="9"/>
      <c r="C248" s="9"/>
      <c r="I248" s="9"/>
      <c r="L248" s="75"/>
    </row>
    <row r="249" spans="1:12" s="6" customFormat="1" ht="15.5">
      <c r="A249" s="9"/>
      <c r="B249" s="9"/>
      <c r="C249" s="9"/>
      <c r="I249" s="9"/>
      <c r="L249" s="75"/>
    </row>
    <row r="250" spans="1:12" s="6" customFormat="1" ht="15.5">
      <c r="A250" s="9"/>
      <c r="B250" s="9"/>
      <c r="C250" s="9"/>
      <c r="I250" s="9"/>
      <c r="L250" s="75"/>
    </row>
    <row r="251" spans="1:12" s="6" customFormat="1" ht="15.5">
      <c r="A251" s="9"/>
      <c r="B251" s="9"/>
      <c r="C251" s="9"/>
      <c r="I251" s="9"/>
      <c r="L251" s="75"/>
    </row>
    <row r="252" spans="1:12" s="6" customFormat="1" ht="15.5">
      <c r="A252" s="9" t="s">
        <v>12</v>
      </c>
      <c r="B252" s="9"/>
      <c r="C252" s="9"/>
      <c r="I252" s="72" t="s">
        <v>67</v>
      </c>
      <c r="L252" s="75"/>
    </row>
    <row r="253" spans="1:12" s="6" customFormat="1" ht="15.5">
      <c r="C253" s="9"/>
      <c r="I253" s="9" t="s">
        <v>68</v>
      </c>
      <c r="L253" s="75"/>
    </row>
    <row r="254" spans="1:12" s="6" customFormat="1" ht="15.5">
      <c r="C254" s="9"/>
      <c r="L254" s="75"/>
    </row>
    <row r="255" spans="1:12" s="6" customFormat="1" ht="15.5">
      <c r="A255" s="9"/>
      <c r="B255" s="9"/>
      <c r="C255" s="9"/>
      <c r="D255" s="9"/>
      <c r="E255" s="9"/>
      <c r="L255" s="75"/>
    </row>
    <row r="256" spans="1:12" s="6" customFormat="1" ht="15.5">
      <c r="A256" s="73" t="s">
        <v>93</v>
      </c>
      <c r="B256" s="9" t="s">
        <v>180</v>
      </c>
      <c r="C256" s="9"/>
      <c r="D256" s="9"/>
      <c r="E256" s="9"/>
      <c r="L256" s="75"/>
    </row>
    <row r="257" spans="1:12" s="6" customFormat="1" ht="15.5">
      <c r="A257" s="9"/>
      <c r="B257" s="9" t="s">
        <v>94</v>
      </c>
      <c r="C257" s="9"/>
      <c r="D257" s="9"/>
      <c r="E257" s="9"/>
      <c r="L257" s="75"/>
    </row>
  </sheetData>
  <mergeCells count="299">
    <mergeCell ref="A180:B180"/>
    <mergeCell ref="A182:E182"/>
    <mergeCell ref="G182:I182"/>
    <mergeCell ref="J182:K182"/>
    <mergeCell ref="A183:E183"/>
    <mergeCell ref="G183:I183"/>
    <mergeCell ref="J183:K183"/>
    <mergeCell ref="A173:L173"/>
    <mergeCell ref="A175:B175"/>
    <mergeCell ref="A176:B176"/>
    <mergeCell ref="A177:B177"/>
    <mergeCell ref="A178:B178"/>
    <mergeCell ref="A179:B179"/>
    <mergeCell ref="A186:E186"/>
    <mergeCell ref="G186:I186"/>
    <mergeCell ref="J186:K186"/>
    <mergeCell ref="A187:E187"/>
    <mergeCell ref="G187:I187"/>
    <mergeCell ref="J187:K187"/>
    <mergeCell ref="A184:E184"/>
    <mergeCell ref="G184:I184"/>
    <mergeCell ref="J184:K184"/>
    <mergeCell ref="A185:E185"/>
    <mergeCell ref="G185:I185"/>
    <mergeCell ref="J185:K185"/>
    <mergeCell ref="A190:E190"/>
    <mergeCell ref="G190:I190"/>
    <mergeCell ref="J190:K190"/>
    <mergeCell ref="A191:E191"/>
    <mergeCell ref="G191:I191"/>
    <mergeCell ref="J191:K191"/>
    <mergeCell ref="A188:E188"/>
    <mergeCell ref="G188:I188"/>
    <mergeCell ref="J188:K188"/>
    <mergeCell ref="A189:E189"/>
    <mergeCell ref="G189:I189"/>
    <mergeCell ref="J189:K189"/>
    <mergeCell ref="A194:E194"/>
    <mergeCell ref="G194:I194"/>
    <mergeCell ref="J194:K194"/>
    <mergeCell ref="A195:E195"/>
    <mergeCell ref="G195:I195"/>
    <mergeCell ref="J195:K195"/>
    <mergeCell ref="A192:E192"/>
    <mergeCell ref="G192:I192"/>
    <mergeCell ref="J192:K192"/>
    <mergeCell ref="A193:E193"/>
    <mergeCell ref="G193:I193"/>
    <mergeCell ref="J193:K193"/>
    <mergeCell ref="A198:E198"/>
    <mergeCell ref="G198:I198"/>
    <mergeCell ref="J198:K198"/>
    <mergeCell ref="A199:E199"/>
    <mergeCell ref="G199:I199"/>
    <mergeCell ref="J199:K199"/>
    <mergeCell ref="A196:E196"/>
    <mergeCell ref="G196:I196"/>
    <mergeCell ref="J196:K196"/>
    <mergeCell ref="A197:E197"/>
    <mergeCell ref="G197:I197"/>
    <mergeCell ref="J197:K197"/>
    <mergeCell ref="A202:E202"/>
    <mergeCell ref="G202:I202"/>
    <mergeCell ref="J202:K202"/>
    <mergeCell ref="A203:E203"/>
    <mergeCell ref="G203:I203"/>
    <mergeCell ref="J203:K203"/>
    <mergeCell ref="A200:E200"/>
    <mergeCell ref="G200:I200"/>
    <mergeCell ref="J200:K200"/>
    <mergeCell ref="A201:E201"/>
    <mergeCell ref="G201:I201"/>
    <mergeCell ref="J201:K201"/>
    <mergeCell ref="A206:E206"/>
    <mergeCell ref="G206:I206"/>
    <mergeCell ref="J206:K206"/>
    <mergeCell ref="A207:E207"/>
    <mergeCell ref="G207:I207"/>
    <mergeCell ref="J207:K207"/>
    <mergeCell ref="A204:E204"/>
    <mergeCell ref="G204:I204"/>
    <mergeCell ref="J204:K204"/>
    <mergeCell ref="A205:E205"/>
    <mergeCell ref="G205:I205"/>
    <mergeCell ref="J205:K205"/>
    <mergeCell ref="A210:E210"/>
    <mergeCell ref="G210:I210"/>
    <mergeCell ref="J210:K210"/>
    <mergeCell ref="A211:E211"/>
    <mergeCell ref="G211:I211"/>
    <mergeCell ref="J211:K211"/>
    <mergeCell ref="A208:E208"/>
    <mergeCell ref="G208:I208"/>
    <mergeCell ref="J208:K208"/>
    <mergeCell ref="A209:E209"/>
    <mergeCell ref="G209:I209"/>
    <mergeCell ref="J209:K209"/>
    <mergeCell ref="A214:E214"/>
    <mergeCell ref="G214:I214"/>
    <mergeCell ref="J214:K214"/>
    <mergeCell ref="A215:E215"/>
    <mergeCell ref="G215:I215"/>
    <mergeCell ref="J215:K215"/>
    <mergeCell ref="A212:E212"/>
    <mergeCell ref="G212:I212"/>
    <mergeCell ref="J212:K212"/>
    <mergeCell ref="A213:E213"/>
    <mergeCell ref="G213:I213"/>
    <mergeCell ref="J213:K213"/>
    <mergeCell ref="A218:E218"/>
    <mergeCell ref="G218:I218"/>
    <mergeCell ref="J218:K218"/>
    <mergeCell ref="A219:E219"/>
    <mergeCell ref="G219:I219"/>
    <mergeCell ref="J219:K219"/>
    <mergeCell ref="A216:E216"/>
    <mergeCell ref="G216:I216"/>
    <mergeCell ref="J216:K216"/>
    <mergeCell ref="A217:E217"/>
    <mergeCell ref="G217:I217"/>
    <mergeCell ref="J217:K217"/>
    <mergeCell ref="A222:E222"/>
    <mergeCell ref="G222:I222"/>
    <mergeCell ref="J222:K222"/>
    <mergeCell ref="A223:E223"/>
    <mergeCell ref="G223:I223"/>
    <mergeCell ref="J223:K223"/>
    <mergeCell ref="A220:E220"/>
    <mergeCell ref="G220:I220"/>
    <mergeCell ref="J220:K220"/>
    <mergeCell ref="A221:E221"/>
    <mergeCell ref="G221:I221"/>
    <mergeCell ref="J221:K221"/>
    <mergeCell ref="A226:E226"/>
    <mergeCell ref="G226:I226"/>
    <mergeCell ref="J226:K226"/>
    <mergeCell ref="A227:E227"/>
    <mergeCell ref="G227:I227"/>
    <mergeCell ref="J227:K227"/>
    <mergeCell ref="A224:E224"/>
    <mergeCell ref="G224:I224"/>
    <mergeCell ref="J224:K224"/>
    <mergeCell ref="A225:E225"/>
    <mergeCell ref="G225:I225"/>
    <mergeCell ref="J225:K225"/>
    <mergeCell ref="A230:E230"/>
    <mergeCell ref="G230:I230"/>
    <mergeCell ref="J230:K230"/>
    <mergeCell ref="A231:E231"/>
    <mergeCell ref="G231:I231"/>
    <mergeCell ref="J231:K231"/>
    <mergeCell ref="A228:E228"/>
    <mergeCell ref="G228:I228"/>
    <mergeCell ref="J228:K228"/>
    <mergeCell ref="A229:E229"/>
    <mergeCell ref="G229:I229"/>
    <mergeCell ref="J229:K229"/>
    <mergeCell ref="A234:E234"/>
    <mergeCell ref="G234:I234"/>
    <mergeCell ref="J234:K234"/>
    <mergeCell ref="A235:E235"/>
    <mergeCell ref="G235:I235"/>
    <mergeCell ref="J235:K235"/>
    <mergeCell ref="A232:E232"/>
    <mergeCell ref="G232:I232"/>
    <mergeCell ref="J232:K232"/>
    <mergeCell ref="A233:E233"/>
    <mergeCell ref="G233:I233"/>
    <mergeCell ref="J233:K233"/>
    <mergeCell ref="A238:E238"/>
    <mergeCell ref="G238:I238"/>
    <mergeCell ref="J238:K238"/>
    <mergeCell ref="A239:E239"/>
    <mergeCell ref="G239:I239"/>
    <mergeCell ref="J239:K239"/>
    <mergeCell ref="A236:E236"/>
    <mergeCell ref="G236:I236"/>
    <mergeCell ref="J236:K236"/>
    <mergeCell ref="A237:E237"/>
    <mergeCell ref="G237:I237"/>
    <mergeCell ref="J237:K237"/>
    <mergeCell ref="A242:E242"/>
    <mergeCell ref="G242:I242"/>
    <mergeCell ref="J242:K242"/>
    <mergeCell ref="A243:F243"/>
    <mergeCell ref="G243:K243"/>
    <mergeCell ref="A244:F244"/>
    <mergeCell ref="A240:E240"/>
    <mergeCell ref="G240:I240"/>
    <mergeCell ref="J240:K240"/>
    <mergeCell ref="A241:E241"/>
    <mergeCell ref="G241:I241"/>
    <mergeCell ref="J241:K241"/>
    <mergeCell ref="C90:N90"/>
    <mergeCell ref="C91:N91"/>
    <mergeCell ref="C92:N92"/>
    <mergeCell ref="C94:N94"/>
    <mergeCell ref="A1:N1"/>
    <mergeCell ref="E3:N3"/>
    <mergeCell ref="E4:N4"/>
    <mergeCell ref="C7:N7"/>
    <mergeCell ref="C6:N6"/>
    <mergeCell ref="A7:B7"/>
    <mergeCell ref="A8:B8"/>
    <mergeCell ref="A6:B6"/>
    <mergeCell ref="A3:D3"/>
    <mergeCell ref="A4:D4"/>
    <mergeCell ref="A5:D5"/>
    <mergeCell ref="A89:B89"/>
    <mergeCell ref="A90:B90"/>
    <mergeCell ref="A91:B95"/>
    <mergeCell ref="C93:N93"/>
    <mergeCell ref="A88:B88"/>
    <mergeCell ref="C95:N95"/>
    <mergeCell ref="E8:N8"/>
    <mergeCell ref="C88:N88"/>
    <mergeCell ref="E14:N14"/>
    <mergeCell ref="Q6:Q7"/>
    <mergeCell ref="Q4:Q5"/>
    <mergeCell ref="P4:P7"/>
    <mergeCell ref="E15:N15"/>
    <mergeCell ref="E16:N16"/>
    <mergeCell ref="E17:N17"/>
    <mergeCell ref="E18:N18"/>
    <mergeCell ref="E19:N19"/>
    <mergeCell ref="E20:N20"/>
    <mergeCell ref="E30:N30"/>
    <mergeCell ref="E31:N31"/>
    <mergeCell ref="E32:N32"/>
    <mergeCell ref="E9:N9"/>
    <mergeCell ref="E10:N10"/>
    <mergeCell ref="E11:N11"/>
    <mergeCell ref="E12:N12"/>
    <mergeCell ref="E13:N13"/>
    <mergeCell ref="C89:N89"/>
    <mergeCell ref="E21:N21"/>
    <mergeCell ref="E22:N22"/>
    <mergeCell ref="E23:N23"/>
    <mergeCell ref="E24:N24"/>
    <mergeCell ref="E25:N25"/>
    <mergeCell ref="E26:N26"/>
    <mergeCell ref="E27:N27"/>
    <mergeCell ref="E28:N28"/>
    <mergeCell ref="E29:N29"/>
    <mergeCell ref="E33:N33"/>
    <mergeCell ref="E34:N34"/>
    <mergeCell ref="E35:N35"/>
    <mergeCell ref="E36:N36"/>
    <mergeCell ref="E37:N37"/>
    <mergeCell ref="E38:N38"/>
    <mergeCell ref="E39:N39"/>
    <mergeCell ref="E40:N40"/>
    <mergeCell ref="E41:N41"/>
    <mergeCell ref="E42:N42"/>
    <mergeCell ref="E43:N43"/>
    <mergeCell ref="E44:N44"/>
    <mergeCell ref="E45:N45"/>
    <mergeCell ref="E46:N46"/>
    <mergeCell ref="E47:N47"/>
    <mergeCell ref="E48:N48"/>
    <mergeCell ref="E49:N49"/>
    <mergeCell ref="E50:N50"/>
    <mergeCell ref="E51:N51"/>
    <mergeCell ref="E52:N52"/>
    <mergeCell ref="E53:N53"/>
    <mergeCell ref="E54:N54"/>
    <mergeCell ref="E55:N55"/>
    <mergeCell ref="E56:N56"/>
    <mergeCell ref="E57:N57"/>
    <mergeCell ref="E58:N58"/>
    <mergeCell ref="E59:N59"/>
    <mergeCell ref="E60:N60"/>
    <mergeCell ref="E61:N61"/>
    <mergeCell ref="E62:N62"/>
    <mergeCell ref="E63:N63"/>
    <mergeCell ref="E64:N64"/>
    <mergeCell ref="E65:N65"/>
    <mergeCell ref="E66:N66"/>
    <mergeCell ref="E67:N67"/>
    <mergeCell ref="E68:N68"/>
    <mergeCell ref="E69:N69"/>
    <mergeCell ref="E70:N70"/>
    <mergeCell ref="E71:N71"/>
    <mergeCell ref="E72:N72"/>
    <mergeCell ref="E73:N73"/>
    <mergeCell ref="E74:N74"/>
    <mergeCell ref="E84:N84"/>
    <mergeCell ref="E85:N85"/>
    <mergeCell ref="E86:N86"/>
    <mergeCell ref="E87:N87"/>
    <mergeCell ref="E75:N75"/>
    <mergeCell ref="E76:N76"/>
    <mergeCell ref="E77:N77"/>
    <mergeCell ref="E78:N78"/>
    <mergeCell ref="E79:N79"/>
    <mergeCell ref="E80:N80"/>
    <mergeCell ref="E81:N81"/>
    <mergeCell ref="E82:N82"/>
    <mergeCell ref="E83:N83"/>
  </mergeCells>
  <printOptions horizontalCentered="1"/>
  <pageMargins left="0.19685039370078741" right="0.19685039370078741" top="0.35433070866141736" bottom="0.11811023622047245" header="0.31496062992125984" footer="0.31496062992125984"/>
  <pageSetup paperSize="9" scale="95" fitToWidth="0" fitToHeight="0" orientation="landscape" horizontalDpi="360" verticalDpi="36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'NO BPU'!$E$2:$E$653</xm:f>
          </x14:formula1>
          <xm:sqref>P4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tabColor rgb="FF0070C0"/>
  </sheetPr>
  <dimension ref="A1:Q176"/>
  <sheetViews>
    <sheetView showGridLines="0" view="pageBreakPreview" zoomScale="85" zoomScaleNormal="100" zoomScaleSheetLayoutView="85" workbookViewId="0">
      <pane ySplit="6" topLeftCell="A7" activePane="bottomLeft" state="frozen"/>
      <selection activeCell="P114" sqref="P114"/>
      <selection pane="bottomLeft" activeCell="P114" sqref="P114"/>
    </sheetView>
  </sheetViews>
  <sheetFormatPr defaultRowHeight="14"/>
  <cols>
    <col min="1" max="1" width="4.81640625" style="29" customWidth="1"/>
    <col min="2" max="2" width="8.7265625" style="29"/>
    <col min="3" max="3" width="16.1796875" style="29" customWidth="1"/>
    <col min="4" max="5" width="8.7265625" style="29"/>
    <col min="6" max="6" width="7.453125" style="29" customWidth="1"/>
    <col min="7" max="10" width="10.36328125" style="29" customWidth="1"/>
    <col min="11" max="11" width="10.90625" style="29" customWidth="1"/>
    <col min="12" max="12" width="8.7265625" style="29"/>
    <col min="13" max="13" width="9.1796875" style="29" bestFit="1" customWidth="1"/>
    <col min="14" max="16384" width="8.7265625" style="29"/>
  </cols>
  <sheetData>
    <row r="1" spans="1:17" ht="19.5" customHeight="1">
      <c r="A1" s="1128" t="s">
        <v>3905</v>
      </c>
      <c r="B1" s="1128"/>
      <c r="C1" s="1128"/>
      <c r="D1" s="1128"/>
      <c r="E1" s="1128"/>
      <c r="F1" s="1128"/>
      <c r="G1" s="1128"/>
      <c r="H1" s="1128"/>
      <c r="I1" s="1128"/>
      <c r="J1" s="1128"/>
    </row>
    <row r="2" spans="1:17" ht="19.5" customHeight="1" thickBot="1">
      <c r="A2" s="953" t="s">
        <v>3524</v>
      </c>
      <c r="B2" s="953"/>
      <c r="C2" s="953"/>
      <c r="D2" s="953"/>
      <c r="E2" s="953"/>
      <c r="F2" s="953"/>
      <c r="G2" s="953"/>
      <c r="H2" s="953"/>
      <c r="I2" s="953"/>
      <c r="J2" s="953"/>
      <c r="P2" s="2"/>
    </row>
    <row r="3" spans="1:17" ht="19.5" customHeight="1">
      <c r="A3" s="953" t="s">
        <v>3525</v>
      </c>
      <c r="B3" s="953"/>
      <c r="C3" s="953"/>
      <c r="D3" s="953"/>
      <c r="E3" s="953"/>
      <c r="F3" s="953"/>
      <c r="G3" s="953"/>
      <c r="H3" s="953"/>
      <c r="I3" s="953"/>
      <c r="J3" s="953"/>
      <c r="P3" s="889"/>
      <c r="Q3" s="1123">
        <f>P4-1</f>
        <v>44</v>
      </c>
    </row>
    <row r="4" spans="1:17" ht="19.5" customHeight="1" thickBot="1">
      <c r="A4" s="953" t="s">
        <v>57</v>
      </c>
      <c r="B4" s="953"/>
      <c r="C4" s="953"/>
      <c r="D4" s="953"/>
      <c r="E4" s="953"/>
      <c r="F4" s="953"/>
      <c r="G4" s="953"/>
      <c r="H4" s="953"/>
      <c r="I4" s="953"/>
      <c r="J4" s="953"/>
      <c r="P4" s="1127">
        <v>45</v>
      </c>
      <c r="Q4" s="1124"/>
    </row>
    <row r="5" spans="1:17" ht="14" customHeight="1">
      <c r="A5" s="954" t="s">
        <v>3516</v>
      </c>
      <c r="B5" s="954"/>
      <c r="C5" s="954"/>
      <c r="D5" s="954"/>
      <c r="E5" s="954"/>
      <c r="F5" s="954"/>
      <c r="G5" s="954"/>
      <c r="H5" s="954"/>
      <c r="I5" s="954"/>
      <c r="J5" s="954"/>
      <c r="P5" s="1127"/>
      <c r="Q5" s="1125">
        <f>P4+1</f>
        <v>46</v>
      </c>
    </row>
    <row r="6" spans="1:17" ht="22.5" customHeight="1" thickBot="1">
      <c r="A6" s="955" t="s">
        <v>3887</v>
      </c>
      <c r="B6" s="955"/>
      <c r="C6" s="955"/>
      <c r="D6" s="955"/>
      <c r="E6" s="955"/>
      <c r="F6" s="955"/>
      <c r="G6" s="955"/>
      <c r="H6" s="955"/>
      <c r="I6" s="955"/>
      <c r="J6" s="955"/>
      <c r="P6" s="890"/>
      <c r="Q6" s="1126"/>
    </row>
    <row r="7" spans="1:17" ht="7" customHeight="1" thickTop="1"/>
    <row r="8" spans="1:17" s="2" customFormat="1" ht="20">
      <c r="A8" s="1118" t="s">
        <v>36</v>
      </c>
      <c r="B8" s="1118"/>
      <c r="C8" s="1118"/>
      <c r="D8" s="1118"/>
      <c r="E8" s="1118"/>
      <c r="F8" s="1118"/>
      <c r="G8" s="1118"/>
      <c r="H8" s="1118"/>
      <c r="I8" s="1118"/>
      <c r="J8" s="1118"/>
      <c r="K8" s="687" t="str">
        <f t="array" ref="K8">IFERROR(INDEX(Masteratk2024,SMALL(IF(Kriteriaatk2024=$P$4,ROW(Kriteriaatk2024)),ROW(C1)),8),"")</f>
        <v>01/02/2025</v>
      </c>
      <c r="L8" s="3">
        <f t="array" ref="L8">IFERROR(INDEX(Masteratk2024,SMALL(IF(Kriteriaatk2024=$P$4,ROW(Kriteriaatk2024)),ROW(C1)),1),"")</f>
        <v>45</v>
      </c>
      <c r="M8" s="3" t="str">
        <f>ROMAN(MONTH(K8))</f>
        <v>II</v>
      </c>
    </row>
    <row r="9" spans="1:17" s="2" customFormat="1">
      <c r="A9" s="1119" t="str">
        <f>"NOMOR : 421.3/"&amp;L8&amp;"-PB/SMANSA-TD/"&amp;M8&amp;"/"&amp;YEAR(K8)&amp;""</f>
        <v>NOMOR : 421.3/45-PB/SMANSA-TD/II/2025</v>
      </c>
      <c r="B9" s="1119"/>
      <c r="C9" s="1119"/>
      <c r="D9" s="1119"/>
      <c r="E9" s="1119"/>
      <c r="F9" s="1119"/>
      <c r="G9" s="1119"/>
      <c r="H9" s="1119"/>
      <c r="I9" s="1119"/>
      <c r="J9" s="1119"/>
    </row>
    <row r="10" spans="1:17" s="2" customFormat="1">
      <c r="A10" s="688"/>
      <c r="C10" s="50"/>
      <c r="D10" s="50"/>
      <c r="E10" s="50"/>
      <c r="F10" s="148"/>
      <c r="G10" s="686"/>
      <c r="L10" s="2" t="s">
        <v>442</v>
      </c>
      <c r="M10" s="3">
        <f t="array" ref="M10">IFERROR(INDEX(Masteratk2024,SMALL(IF(Kriteriaatk2024=$P$4,ROW(Kriteriaatk2024)),ROW(C1)),1),"")</f>
        <v>45</v>
      </c>
    </row>
    <row r="11" spans="1:17" s="2" customFormat="1">
      <c r="A11" s="689" t="str">
        <f>"Pada hari ini, "&amp;TEXT(K8,"[$-421] dddd")&amp;" tanggal "&amp;TEXT(K8,"[$-421] DD")&amp;" bulan "&amp;TEXT(K8,"[$-421] mmmm")&amp;" tahun "&amp;YEAR(K8)&amp;", sesuai dengan :"</f>
        <v>Pada hari ini,  Sabtu tanggal  01 bulan  Februari tahun 2025, sesuai dengan :</v>
      </c>
      <c r="C11" s="51"/>
      <c r="D11" s="51"/>
      <c r="E11" s="51"/>
      <c r="F11" s="145"/>
      <c r="G11" s="1"/>
      <c r="L11" s="2" t="s">
        <v>219</v>
      </c>
      <c r="M11" s="3">
        <f t="array" ref="M11">IFERROR(INDEX(Masteratk2024,SMALL(IF(Kriteriaatk2024=$P$4,ROW(Kriteriaatk2024)),ROW(C1)),1),"")</f>
        <v>45</v>
      </c>
    </row>
    <row r="12" spans="1:17" s="2" customFormat="1">
      <c r="A12" s="52"/>
      <c r="B12" s="1122" t="s">
        <v>19</v>
      </c>
      <c r="C12" s="1122"/>
      <c r="D12" s="1121" t="str">
        <f>"421.3/"&amp;M10&amp;"-P/DB/SMANSATD/"&amp;M8&amp;"/"&amp;YEAR(K8)&amp;""</f>
        <v>421.3/45-P/DB/SMANSATD/II/2025</v>
      </c>
      <c r="E12" s="1121"/>
      <c r="F12" s="1121"/>
      <c r="G12" s="1121"/>
      <c r="L12" s="2" t="s">
        <v>417</v>
      </c>
      <c r="M12" s="3">
        <f t="array" ref="M12">IFERROR(INDEX(Masteratk2024,SMALL(IF(Kriteriaatk2024=$P$4,ROW(Kriteriaatk2024)),ROW(C1)),1),"")</f>
        <v>45</v>
      </c>
    </row>
    <row r="13" spans="1:17" s="2" customFormat="1">
      <c r="A13" s="52"/>
      <c r="B13" s="1122" t="s">
        <v>20</v>
      </c>
      <c r="C13" s="1122"/>
      <c r="D13" s="52" t="str">
        <f>TEXT(K8, "[$-421] dd mmmm yyyy")</f>
        <v xml:space="preserve"> 01 Februari 2025</v>
      </c>
      <c r="F13" s="147"/>
    </row>
    <row r="14" spans="1:17" s="2" customFormat="1">
      <c r="A14" s="52"/>
      <c r="B14" s="1122" t="s">
        <v>21</v>
      </c>
      <c r="C14" s="1122"/>
      <c r="D14" s="52" t="str">
        <f t="array" ref="D14">"Pengadaan "&amp;IFERROR(INDEX(Masteratk2024,SMALL(IF(Kriteriaatk2024=$P$4,ROW(Kriteriaatk2024)),ROW(C1)),26),"")</f>
        <v>Pengadaan Alat Tulis Kantor (ATK)</v>
      </c>
      <c r="F14" s="145"/>
      <c r="G14" s="690"/>
    </row>
    <row r="15" spans="1:17" s="2" customFormat="1">
      <c r="A15" s="52"/>
      <c r="B15" s="1122" t="s">
        <v>16</v>
      </c>
      <c r="C15" s="1122"/>
      <c r="D15" s="52">
        <f t="array" ref="D15">YEAR(K8)</f>
        <v>2025</v>
      </c>
      <c r="F15" s="147"/>
    </row>
    <row r="16" spans="1:17" s="2" customFormat="1">
      <c r="A16" s="52" t="s">
        <v>37</v>
      </c>
      <c r="B16" s="52"/>
      <c r="D16" s="52"/>
      <c r="F16" s="147"/>
    </row>
    <row r="17" spans="1:11" s="2" customFormat="1">
      <c r="A17" s="52"/>
      <c r="B17" s="1106" t="s">
        <v>23</v>
      </c>
      <c r="C17" s="1106"/>
      <c r="D17" s="52" t="str">
        <f>'Data Sekolah'!A12</f>
        <v>Estera Nehe, S.Pd.</v>
      </c>
      <c r="F17" s="147"/>
    </row>
    <row r="18" spans="1:11" s="2" customFormat="1">
      <c r="A18" s="52"/>
      <c r="B18" s="1106" t="s">
        <v>17</v>
      </c>
      <c r="C18" s="1106"/>
      <c r="D18" s="52" t="str">
        <f>'Data Sekolah'!A11</f>
        <v>Penerima Barang</v>
      </c>
      <c r="F18" s="147"/>
    </row>
    <row r="19" spans="1:11" s="2" customFormat="1">
      <c r="A19" s="52"/>
      <c r="B19" s="1106" t="s">
        <v>28</v>
      </c>
      <c r="C19" s="1106"/>
      <c r="D19" s="52" t="str">
        <f>'Data Sekolah'!B2</f>
        <v>SMA NEGERI 1 TELUKDALAM</v>
      </c>
      <c r="F19" s="147"/>
    </row>
    <row r="20" spans="1:11" s="2" customFormat="1">
      <c r="A20" s="52"/>
      <c r="B20" s="1106" t="s">
        <v>30</v>
      </c>
      <c r="C20" s="1106"/>
      <c r="D20" s="1120" t="str">
        <f>'Data Sekolah'!B4</f>
        <v>Jl. Pendidikan No. 13 Kelurahan Pasar Telukdalam Kecamatan Teluk Dalam</v>
      </c>
      <c r="E20" s="1120"/>
      <c r="F20" s="1120"/>
      <c r="G20" s="1120"/>
      <c r="H20" s="1120"/>
      <c r="I20" s="1120"/>
      <c r="J20" s="1120"/>
    </row>
    <row r="21" spans="1:11" s="2" customFormat="1">
      <c r="A21" s="52"/>
      <c r="B21" s="1106" t="s">
        <v>26</v>
      </c>
      <c r="C21" s="1106"/>
      <c r="D21" s="689" t="str">
        <f>'Data Sekolah'!B12</f>
        <v>0823 8612 4861</v>
      </c>
      <c r="F21" s="147"/>
    </row>
    <row r="22" spans="1:11" s="2" customFormat="1">
      <c r="A22" s="1111" t="s">
        <v>38</v>
      </c>
      <c r="B22" s="1111"/>
      <c r="C22" s="1111"/>
      <c r="D22" s="1111"/>
      <c r="E22" s="1111"/>
      <c r="F22" s="1111"/>
      <c r="G22" s="1111"/>
      <c r="H22" s="1111"/>
      <c r="I22" s="1111"/>
      <c r="J22" s="1111"/>
    </row>
    <row r="23" spans="1:11" s="2" customFormat="1" ht="21.65" customHeight="1">
      <c r="A23" s="691" t="s">
        <v>39</v>
      </c>
      <c r="B23" s="1108" t="s">
        <v>40</v>
      </c>
      <c r="C23" s="1108"/>
      <c r="D23" s="1108"/>
      <c r="E23" s="1108"/>
      <c r="F23" s="1108"/>
      <c r="G23" s="691" t="s">
        <v>5</v>
      </c>
      <c r="H23" s="1108" t="s">
        <v>6</v>
      </c>
      <c r="I23" s="1108"/>
      <c r="J23" s="691" t="s">
        <v>2104</v>
      </c>
    </row>
    <row r="24" spans="1:11" s="2" customFormat="1" ht="29" customHeight="1">
      <c r="A24" s="89">
        <f>IF(B24&lt;&gt;"",COUNTA($B$24:B24),"")</f>
        <v>1</v>
      </c>
      <c r="B24" s="1103" t="str">
        <f t="array" ref="B24">IFERROR(INDEX(Masteratk2024,SMALL(IF(Kriteriaatk2024=$P$4,ROW(Kriteriaatk2024)),ROW(C1)),11),"")</f>
        <v>Plastik Mika</v>
      </c>
      <c r="C24" s="1104"/>
      <c r="D24" s="1104"/>
      <c r="E24" s="1104"/>
      <c r="F24" s="1105"/>
      <c r="G24" s="124">
        <f t="array" ref="G24">IFERROR(INDEX(Masteratk2024,SMALL(IF(Kriteriaatk2024=$P$4,ROW(Kriteriaatk2024)),ROW(C1)),12),"")</f>
        <v>5</v>
      </c>
      <c r="H24" s="1101" t="str">
        <f t="array" ref="H24">IFERROR(INDEX(Masteratk2024,SMALL(IF(Kriteriaatk2024=$P$4,ROW(Kriteriaatk2024)),ROW(D1)),13),"")</f>
        <v>bungkus</v>
      </c>
      <c r="I24" s="1102"/>
      <c r="J24" s="124" t="str">
        <f>IF(B24="","","Baik")</f>
        <v>Baik</v>
      </c>
      <c r="K24" s="2" t="str">
        <f>IF(B24="","0","1")</f>
        <v>1</v>
      </c>
    </row>
    <row r="25" spans="1:11" s="2" customFormat="1" ht="29" customHeight="1">
      <c r="A25" s="89">
        <f>IF(B25&lt;&gt;"",COUNTA($B$24:B25),"")</f>
        <v>2</v>
      </c>
      <c r="B25" s="1103" t="str">
        <f t="array" ref="B25">IFERROR(INDEX(Masteratk2024,SMALL(IF(Kriteriaatk2024=$P$4,ROW(Kriteriaatk2024)),ROW(C2)),11),"")</f>
        <v>Kertas Warna Blank Folio, Ukuran : 8,5 x 14",  70 gram</v>
      </c>
      <c r="C25" s="1104"/>
      <c r="D25" s="1104"/>
      <c r="E25" s="1104"/>
      <c r="F25" s="1105"/>
      <c r="G25" s="124">
        <f t="array" ref="G25">IFERROR(INDEX(Masteratk2024,SMALL(IF(Kriteriaatk2024=$P$4,ROW(Kriteriaatk2024)),ROW(C2)),12),"")</f>
        <v>2</v>
      </c>
      <c r="H25" s="1101" t="str">
        <f t="array" ref="H25">IFERROR(INDEX(Masteratk2024,SMALL(IF(Kriteriaatk2024=$P$4,ROW(Kriteriaatk2024)),ROW(D2)),13),"")</f>
        <v>rim</v>
      </c>
      <c r="I25" s="1102"/>
      <c r="J25" s="124" t="str">
        <f t="shared" ref="J25:J29" si="0">IF(B25="","","Baik")</f>
        <v>Baik</v>
      </c>
      <c r="K25" s="2" t="str">
        <f t="shared" ref="K25:K33" si="1">IF(B25="","0","1")</f>
        <v>1</v>
      </c>
    </row>
    <row r="26" spans="1:11" s="2" customFormat="1" ht="29" customHeight="1">
      <c r="A26" s="89">
        <f>IF(B26&lt;&gt;"",COUNTA($B$24:B26),"")</f>
        <v>3</v>
      </c>
      <c r="B26" s="1103" t="str">
        <f t="array" ref="B26">IFERROR(INDEX(Masteratk2024,SMALL(IF(Kriteriaatk2024=$P$4,ROW(Kriteriaatk2024)),ROW(C3)),11),"")</f>
        <v>Kertas Lain-Lain Kertas Buffalo</v>
      </c>
      <c r="C26" s="1104"/>
      <c r="D26" s="1104"/>
      <c r="E26" s="1104"/>
      <c r="F26" s="1105"/>
      <c r="G26" s="124">
        <f t="array" ref="G26">IFERROR(INDEX(Masteratk2024,SMALL(IF(Kriteriaatk2024=$P$4,ROW(Kriteriaatk2024)),ROW(C3)),12),"")</f>
        <v>5</v>
      </c>
      <c r="H26" s="1101" t="str">
        <f t="array" ref="H26">IFERROR(INDEX(Masteratk2024,SMALL(IF(Kriteriaatk2024=$P$4,ROW(Kriteriaatk2024)),ROW(D3)),13),"")</f>
        <v>bungkus</v>
      </c>
      <c r="I26" s="1102"/>
      <c r="J26" s="124" t="str">
        <f t="shared" si="0"/>
        <v>Baik</v>
      </c>
      <c r="K26" s="2" t="str">
        <f t="shared" si="1"/>
        <v>1</v>
      </c>
    </row>
    <row r="27" spans="1:11" s="2" customFormat="1" ht="29" customHeight="1">
      <c r="A27" s="89">
        <f>IF(B27&lt;&gt;"",COUNTA($B$24:B27),"")</f>
        <v>4</v>
      </c>
      <c r="B27" s="1103" t="str">
        <f t="array" ref="B27">IFERROR(INDEX(Masteratk2024,SMALL(IF(Kriteriaatk2024=$P$4,ROW(Kriteriaatk2024)),ROW(C4)),11),"")</f>
        <v>Kertas Post-It Warna Warni  Sign Here</v>
      </c>
      <c r="C27" s="1104"/>
      <c r="D27" s="1104"/>
      <c r="E27" s="1104"/>
      <c r="F27" s="1105"/>
      <c r="G27" s="124">
        <f t="array" ref="G27">IFERROR(INDEX(Masteratk2024,SMALL(IF(Kriteriaatk2024=$P$4,ROW(Kriteriaatk2024)),ROW(C4)),12),"")</f>
        <v>5</v>
      </c>
      <c r="H27" s="1101" t="str">
        <f t="array" ref="H27">IFERROR(INDEX(Masteratk2024,SMALL(IF(Kriteriaatk2024=$P$4,ROW(Kriteriaatk2024)),ROW(D4)),13),"")</f>
        <v>buah</v>
      </c>
      <c r="I27" s="1102"/>
      <c r="J27" s="124" t="str">
        <f t="shared" si="0"/>
        <v>Baik</v>
      </c>
      <c r="K27" s="2" t="str">
        <f t="shared" si="1"/>
        <v>1</v>
      </c>
    </row>
    <row r="28" spans="1:11" s="2" customFormat="1" ht="29" customHeight="1">
      <c r="A28" s="89">
        <f>IF(B28&lt;&gt;"",COUNTA($B$24:B28),"")</f>
        <v>5</v>
      </c>
      <c r="B28" s="1103" t="str">
        <f t="array" ref="B28">IFERROR(INDEX(Masteratk2024,SMALL(IF(Kriteriaatk2024=$P$4,ROW(Kriteriaatk2024)),ROW(C5)),11),"")</f>
        <v>Kertas HVS 60 gram Merk : Paper One HVS F4 uk. 8.27"x11.69"</v>
      </c>
      <c r="C28" s="1104"/>
      <c r="D28" s="1104"/>
      <c r="E28" s="1104"/>
      <c r="F28" s="1105"/>
      <c r="G28" s="124">
        <f t="array" ref="G28">IFERROR(INDEX(Masteratk2024,SMALL(IF(Kriteriaatk2024=$P$4,ROW(Kriteriaatk2024)),ROW(C5)),12),"")</f>
        <v>10</v>
      </c>
      <c r="H28" s="1101" t="str">
        <f t="array" ref="H28">IFERROR(INDEX(Masteratk2024,SMALL(IF(Kriteriaatk2024=$P$4,ROW(Kriteriaatk2024)),ROW(D5)),13),"")</f>
        <v>rim</v>
      </c>
      <c r="I28" s="1102"/>
      <c r="J28" s="124" t="str">
        <f t="shared" si="0"/>
        <v>Baik</v>
      </c>
      <c r="K28" s="2" t="str">
        <f t="shared" si="1"/>
        <v>1</v>
      </c>
    </row>
    <row r="29" spans="1:11" s="2" customFormat="1" ht="29" customHeight="1">
      <c r="A29" s="89">
        <f>IF(B29&lt;&gt;"",COUNTA($B$24:B29),"")</f>
        <v>6</v>
      </c>
      <c r="B29" s="1103" t="str">
        <f t="array" ref="B29">IFERROR(INDEX(Masteratk2024,SMALL(IF(Kriteriaatk2024=$P$4,ROW(Kriteriaatk2024)),ROW(C6)),11),"")</f>
        <v>Kertas HVS 80 gram Merk : Paper One A4, Ukuran : 8,27" x 11,69", Isi : 500 lembar</v>
      </c>
      <c r="C29" s="1104"/>
      <c r="D29" s="1104"/>
      <c r="E29" s="1104"/>
      <c r="F29" s="1105"/>
      <c r="G29" s="124">
        <f t="array" ref="G29">IFERROR(INDEX(Masteratk2024,SMALL(IF(Kriteriaatk2024=$P$4,ROW(Kriteriaatk2024)),ROW(C6)),12),"")</f>
        <v>40</v>
      </c>
      <c r="H29" s="1101" t="str">
        <f t="array" ref="H29">IFERROR(INDEX(Masteratk2024,SMALL(IF(Kriteriaatk2024=$P$4,ROW(Kriteriaatk2024)),ROW(D6)),13),"")</f>
        <v>rim</v>
      </c>
      <c r="I29" s="1102"/>
      <c r="J29" s="124" t="str">
        <f t="shared" si="0"/>
        <v>Baik</v>
      </c>
      <c r="K29" s="2" t="str">
        <f t="shared" si="1"/>
        <v>1</v>
      </c>
    </row>
    <row r="30" spans="1:11" s="2" customFormat="1" ht="29" customHeight="1">
      <c r="A30" s="89">
        <f>IF(B30&lt;&gt;"",COUNTA($B$24:B30),"")</f>
        <v>7</v>
      </c>
      <c r="B30" s="1103" t="str">
        <f t="array" ref="B30">IFERROR(INDEX(Masteratk2024,SMALL(IF(Kriteriaatk2024=$P$4,ROW(Kriteriaatk2024)),ROW(C7)),11),"")</f>
        <v>Kertas StensiI</v>
      </c>
      <c r="C30" s="1104"/>
      <c r="D30" s="1104"/>
      <c r="E30" s="1104"/>
      <c r="F30" s="1105"/>
      <c r="G30" s="124">
        <f t="array" ref="G30">IFERROR(INDEX(Masteratk2024,SMALL(IF(Kriteriaatk2024=$P$4,ROW(Kriteriaatk2024)),ROW(C7)),12),"")</f>
        <v>10</v>
      </c>
      <c r="H30" s="1101" t="str">
        <f t="array" ref="H30">IFERROR(INDEX(Masteratk2024,SMALL(IF(Kriteriaatk2024=$P$4,ROW(Kriteriaatk2024)),ROW(D7)),13),"")</f>
        <v>bungkus</v>
      </c>
      <c r="I30" s="1102"/>
      <c r="J30" s="124" t="str">
        <f t="shared" ref="J30:J33" si="2">IF(B30="","","Baik")</f>
        <v>Baik</v>
      </c>
      <c r="K30" s="2" t="str">
        <f t="shared" si="1"/>
        <v>1</v>
      </c>
    </row>
    <row r="31" spans="1:11" s="2" customFormat="1" ht="29" customHeight="1">
      <c r="A31" s="89">
        <f>IF(B31&lt;&gt;"",COUNTA($B$24:B31),"")</f>
        <v>8</v>
      </c>
      <c r="B31" s="1103" t="str">
        <f t="array" ref="B31">IFERROR(INDEX(Masteratk2024,SMALL(IF(Kriteriaatk2024=$P$4,ROW(Kriteriaatk2024)),ROW(C8)),11),"")</f>
        <v>Kertas Label</v>
      </c>
      <c r="C31" s="1104"/>
      <c r="D31" s="1104"/>
      <c r="E31" s="1104"/>
      <c r="F31" s="1105"/>
      <c r="G31" s="124">
        <f t="array" ref="G31">IFERROR(INDEX(Masteratk2024,SMALL(IF(Kriteriaatk2024=$P$4,ROW(Kriteriaatk2024)),ROW(C8)),12),"")</f>
        <v>5</v>
      </c>
      <c r="H31" s="1101" t="str">
        <f t="array" ref="H31">IFERROR(INDEX(Masteratk2024,SMALL(IF(Kriteriaatk2024=$P$4,ROW(Kriteriaatk2024)),ROW(D8)),13),"")</f>
        <v>lembar</v>
      </c>
      <c r="I31" s="1102"/>
      <c r="J31" s="124" t="str">
        <f t="shared" si="2"/>
        <v>Baik</v>
      </c>
      <c r="K31" s="2" t="str">
        <f t="shared" si="1"/>
        <v>1</v>
      </c>
    </row>
    <row r="32" spans="1:11" s="2" customFormat="1" ht="29" customHeight="1">
      <c r="A32" s="89">
        <f>IF(B32&lt;&gt;"",COUNTA($B$24:B32),"")</f>
        <v>9</v>
      </c>
      <c r="B32" s="1103" t="str">
        <f t="array" ref="B32">IFERROR(INDEX(Masteratk2024,SMALL(IF(Kriteriaatk2024=$P$4,ROW(Kriteriaatk2024)),ROW(C9)),11),"")</f>
        <v>Amplop Coklat Merk : GSU Ukuran : 1/2 folio, bergaris</v>
      </c>
      <c r="C32" s="1104"/>
      <c r="D32" s="1104"/>
      <c r="E32" s="1104"/>
      <c r="F32" s="1105"/>
      <c r="G32" s="124">
        <f t="array" ref="G32">IFERROR(INDEX(Masteratk2024,SMALL(IF(Kriteriaatk2024=$P$4,ROW(Kriteriaatk2024)),ROW(C9)),12),"")</f>
        <v>1</v>
      </c>
      <c r="H32" s="1101" t="str">
        <f t="array" ref="H32">IFERROR(INDEX(Masteratk2024,SMALL(IF(Kriteriaatk2024=$P$4,ROW(Kriteriaatk2024)),ROW(D9)),13),"")</f>
        <v>bungkus</v>
      </c>
      <c r="I32" s="1102"/>
      <c r="J32" s="124" t="str">
        <f t="shared" si="2"/>
        <v>Baik</v>
      </c>
      <c r="K32" s="2" t="str">
        <f t="shared" si="1"/>
        <v>1</v>
      </c>
    </row>
    <row r="33" spans="1:11" s="2" customFormat="1" ht="29" customHeight="1">
      <c r="A33" s="89">
        <f>IF(B33&lt;&gt;"",COUNTA($B$24:B33),"")</f>
        <v>10</v>
      </c>
      <c r="B33" s="1103" t="str">
        <f t="array" ref="B33">IFERROR(INDEX(Masteratk2024,SMALL(IF(Kriteriaatk2024=$P$4,ROW(Kriteriaatk2024)),ROW(C10)),11),"")</f>
        <v>Amplop Coklat Merk : Garda Ukuran Cabinet</v>
      </c>
      <c r="C33" s="1104"/>
      <c r="D33" s="1104"/>
      <c r="E33" s="1104"/>
      <c r="F33" s="1105"/>
      <c r="G33" s="124">
        <f t="array" ref="G33">IFERROR(INDEX(Masteratk2024,SMALL(IF(Kriteriaatk2024=$P$4,ROW(Kriteriaatk2024)),ROW(C10)),12),"")</f>
        <v>3</v>
      </c>
      <c r="H33" s="1101" t="str">
        <f t="array" ref="H33">IFERROR(INDEX(Masteratk2024,SMALL(IF(Kriteriaatk2024=$P$4,ROW(Kriteriaatk2024)),ROW(D10)),13),"")</f>
        <v>bungkus</v>
      </c>
      <c r="I33" s="1102"/>
      <c r="J33" s="124" t="str">
        <f t="shared" si="2"/>
        <v>Baik</v>
      </c>
      <c r="K33" s="2" t="str">
        <f t="shared" si="1"/>
        <v>1</v>
      </c>
    </row>
    <row r="34" spans="1:11" s="2" customFormat="1" ht="29" customHeight="1">
      <c r="A34" s="89">
        <f>IF(B34&lt;&gt;"",COUNTA($B$24:B34),"")</f>
        <v>11</v>
      </c>
      <c r="B34" s="1103" t="str">
        <f t="array" ref="B34">IFERROR(INDEX(Masteratk2024,SMALL(IF(Kriteriaatk2024=$P$4,ROW(Kriteriaatk2024)),ROW(C11)),11),"")</f>
        <v>Amplop Coklat Merk : GSU Ukuran Folio polos</v>
      </c>
      <c r="C34" s="1104"/>
      <c r="D34" s="1104"/>
      <c r="E34" s="1104"/>
      <c r="F34" s="1105"/>
      <c r="G34" s="124">
        <f t="array" ref="G34">IFERROR(INDEX(Masteratk2024,SMALL(IF(Kriteriaatk2024=$P$4,ROW(Kriteriaatk2024)),ROW(C11)),12),"")</f>
        <v>2</v>
      </c>
      <c r="H34" s="1101" t="str">
        <f t="array" ref="H34">IFERROR(INDEX(Masteratk2024,SMALL(IF(Kriteriaatk2024=$P$4,ROW(Kriteriaatk2024)),ROW(D11)),13),"")</f>
        <v>bungkus</v>
      </c>
      <c r="I34" s="1102"/>
      <c r="J34" s="124" t="str">
        <f t="shared" ref="J34:J48" si="3">IF(B34="","","Baik")</f>
        <v>Baik</v>
      </c>
      <c r="K34" s="2" t="str">
        <f t="shared" ref="K34:K48" si="4">IF(B34="","0","1")</f>
        <v>1</v>
      </c>
    </row>
    <row r="35" spans="1:11" s="2" customFormat="1" ht="29" customHeight="1">
      <c r="A35" s="89">
        <f>IF(B35&lt;&gt;"",COUNTA($B$24:B35),"")</f>
        <v>12</v>
      </c>
      <c r="B35" s="1103" t="str">
        <f t="array" ref="B35">IFERROR(INDEX(Masteratk2024,SMALL(IF(Kriteriaatk2024=$P$4,ROW(Kriteriaatk2024)),ROW(C12)),11),"")</f>
        <v>Amplop Panjang Putih Polos Merk : Jaya Ukuran : 11 x 23 cm</v>
      </c>
      <c r="C35" s="1104"/>
      <c r="D35" s="1104"/>
      <c r="E35" s="1104"/>
      <c r="F35" s="1105"/>
      <c r="G35" s="124">
        <f t="array" ref="G35">IFERROR(INDEX(Masteratk2024,SMALL(IF(Kriteriaatk2024=$P$4,ROW(Kriteriaatk2024)),ROW(C12)),12),"")</f>
        <v>1</v>
      </c>
      <c r="H35" s="1101" t="str">
        <f t="array" ref="H35">IFERROR(INDEX(Masteratk2024,SMALL(IF(Kriteriaatk2024=$P$4,ROW(Kriteriaatk2024)),ROW(D12)),13),"")</f>
        <v>kotak</v>
      </c>
      <c r="I35" s="1102"/>
      <c r="J35" s="124" t="str">
        <f t="shared" si="3"/>
        <v>Baik</v>
      </c>
      <c r="K35" s="2" t="str">
        <f t="shared" si="4"/>
        <v>1</v>
      </c>
    </row>
    <row r="36" spans="1:11" s="2" customFormat="1" ht="29" customHeight="1">
      <c r="A36" s="89">
        <f>IF(B36&lt;&gt;"",COUNTA($B$24:B36),"")</f>
        <v>13</v>
      </c>
      <c r="B36" s="1103" t="str">
        <f t="array" ref="B36">IFERROR(INDEX(Masteratk2024,SMALL(IF(Kriteriaatk2024=$P$4,ROW(Kriteriaatk2024)),ROW(C13)),11),"")</f>
        <v>Ballpoint Drawing Pen 0,1 Snowman</v>
      </c>
      <c r="C36" s="1104"/>
      <c r="D36" s="1104"/>
      <c r="E36" s="1104"/>
      <c r="F36" s="1105"/>
      <c r="G36" s="124">
        <f t="array" ref="G36">IFERROR(INDEX(Masteratk2024,SMALL(IF(Kriteriaatk2024=$P$4,ROW(Kriteriaatk2024)),ROW(C13)),12),"")</f>
        <v>1</v>
      </c>
      <c r="H36" s="1101" t="str">
        <f t="array" ref="H36">IFERROR(INDEX(Masteratk2024,SMALL(IF(Kriteriaatk2024=$P$4,ROW(Kriteriaatk2024)),ROW(D13)),13),"")</f>
        <v>lusin</v>
      </c>
      <c r="I36" s="1102"/>
      <c r="J36" s="124" t="str">
        <f t="shared" si="3"/>
        <v>Baik</v>
      </c>
      <c r="K36" s="2" t="str">
        <f t="shared" si="4"/>
        <v>1</v>
      </c>
    </row>
    <row r="37" spans="1:11" s="2" customFormat="1" ht="29" customHeight="1">
      <c r="A37" s="89">
        <f>IF(B37&lt;&gt;"",COUNTA($B$24:B37),"")</f>
        <v>14</v>
      </c>
      <c r="B37" s="1103" t="str">
        <f t="array" ref="B37">IFERROR(INDEX(Masteratk2024,SMALL(IF(Kriteriaatk2024=$P$4,ROW(Kriteriaatk2024)),ROW(C14)),11),"")</f>
        <v>Ballpoint Standard AE7</v>
      </c>
      <c r="C37" s="1104"/>
      <c r="D37" s="1104"/>
      <c r="E37" s="1104"/>
      <c r="F37" s="1105"/>
      <c r="G37" s="124">
        <f t="array" ref="G37">IFERROR(INDEX(Masteratk2024,SMALL(IF(Kriteriaatk2024=$P$4,ROW(Kriteriaatk2024)),ROW(C14)),12),"")</f>
        <v>2</v>
      </c>
      <c r="H37" s="1101" t="str">
        <f t="array" ref="H37">IFERROR(INDEX(Masteratk2024,SMALL(IF(Kriteriaatk2024=$P$4,ROW(Kriteriaatk2024)),ROW(D14)),13),"")</f>
        <v>lusin</v>
      </c>
      <c r="I37" s="1102"/>
      <c r="J37" s="124" t="str">
        <f t="shared" si="3"/>
        <v>Baik</v>
      </c>
      <c r="K37" s="2" t="str">
        <f t="shared" si="4"/>
        <v>1</v>
      </c>
    </row>
    <row r="38" spans="1:11" s="2" customFormat="1" ht="29" customHeight="1">
      <c r="A38" s="89">
        <f>IF(B38&lt;&gt;"",COUNTA($B$24:B38),"")</f>
        <v>15</v>
      </c>
      <c r="B38" s="1103" t="str">
        <f t="array" ref="B38">IFERROR(INDEX(Masteratk2024,SMALL(IF(Kriteriaatk2024=$P$4,ROW(Kriteriaatk2024)),ROW(C15)),11),"")</f>
        <v>Ballpoint Pilot G2</v>
      </c>
      <c r="C38" s="1104"/>
      <c r="D38" s="1104"/>
      <c r="E38" s="1104"/>
      <c r="F38" s="1105"/>
      <c r="G38" s="124">
        <f t="array" ref="G38">IFERROR(INDEX(Masteratk2024,SMALL(IF(Kriteriaatk2024=$P$4,ROW(Kriteriaatk2024)),ROW(C15)),12),"")</f>
        <v>1</v>
      </c>
      <c r="H38" s="1101" t="str">
        <f t="array" ref="H38">IFERROR(INDEX(Masteratk2024,SMALL(IF(Kriteriaatk2024=$P$4,ROW(Kriteriaatk2024)),ROW(D15)),13),"")</f>
        <v>lusin</v>
      </c>
      <c r="I38" s="1102"/>
      <c r="J38" s="124" t="str">
        <f t="shared" si="3"/>
        <v>Baik</v>
      </c>
      <c r="K38" s="2" t="str">
        <f t="shared" si="4"/>
        <v>1</v>
      </c>
    </row>
    <row r="39" spans="1:11" s="2" customFormat="1" ht="29" customHeight="1">
      <c r="A39" s="89">
        <f>IF(B39&lt;&gt;"",COUNTA($B$24:B39),"")</f>
        <v>16</v>
      </c>
      <c r="B39" s="1103" t="str">
        <f t="array" ref="B39">IFERROR(INDEX(Masteratk2024,SMALL(IF(Kriteriaatk2024=$P$4,ROW(Kriteriaatk2024)),ROW(C16)),11),"")</f>
        <v>Binder Klip  nomor 107</v>
      </c>
      <c r="C39" s="1104"/>
      <c r="D39" s="1104"/>
      <c r="E39" s="1104"/>
      <c r="F39" s="1105"/>
      <c r="G39" s="124">
        <f t="array" ref="G39">IFERROR(INDEX(Masteratk2024,SMALL(IF(Kriteriaatk2024=$P$4,ROW(Kriteriaatk2024)),ROW(C16)),12),"")</f>
        <v>5</v>
      </c>
      <c r="H39" s="1101" t="str">
        <f t="array" ref="H39">IFERROR(INDEX(Masteratk2024,SMALL(IF(Kriteriaatk2024=$P$4,ROW(Kriteriaatk2024)),ROW(D16)),13),"")</f>
        <v>kotak</v>
      </c>
      <c r="I39" s="1102"/>
      <c r="J39" s="124" t="str">
        <f t="shared" si="3"/>
        <v>Baik</v>
      </c>
      <c r="K39" s="2" t="str">
        <f t="shared" si="4"/>
        <v>1</v>
      </c>
    </row>
    <row r="40" spans="1:11" s="2" customFormat="1" ht="29" customHeight="1">
      <c r="A40" s="89">
        <f>IF(B40&lt;&gt;"",COUNTA($B$24:B40),"")</f>
        <v>17</v>
      </c>
      <c r="B40" s="1103" t="str">
        <f t="array" ref="B40">IFERROR(INDEX(Masteratk2024,SMALL(IF(Kriteriaatk2024=$P$4,ROW(Kriteriaatk2024)),ROW(C17)),11),"")</f>
        <v>Binder Klip  nomor 111</v>
      </c>
      <c r="C40" s="1104"/>
      <c r="D40" s="1104"/>
      <c r="E40" s="1104"/>
      <c r="F40" s="1105"/>
      <c r="G40" s="124">
        <f t="array" ref="G40">IFERROR(INDEX(Masteratk2024,SMALL(IF(Kriteriaatk2024=$P$4,ROW(Kriteriaatk2024)),ROW(C17)),12),"")</f>
        <v>5</v>
      </c>
      <c r="H40" s="1101" t="str">
        <f t="array" ref="H40">IFERROR(INDEX(Masteratk2024,SMALL(IF(Kriteriaatk2024=$P$4,ROW(Kriteriaatk2024)),ROW(D17)),13),"")</f>
        <v>kotak</v>
      </c>
      <c r="I40" s="1102"/>
      <c r="J40" s="124" t="str">
        <f t="shared" si="3"/>
        <v>Baik</v>
      </c>
      <c r="K40" s="2" t="str">
        <f t="shared" si="4"/>
        <v>1</v>
      </c>
    </row>
    <row r="41" spans="1:11" s="2" customFormat="1" ht="29" customHeight="1">
      <c r="A41" s="89">
        <f>IF(B41&lt;&gt;"",COUNTA($B$24:B41),"")</f>
        <v>18</v>
      </c>
      <c r="B41" s="1103" t="str">
        <f t="array" ref="B41">IFERROR(INDEX(Masteratk2024,SMALL(IF(Kriteriaatk2024=$P$4,ROW(Kriteriaatk2024)),ROW(C18)),11),"")</f>
        <v>Binder Klip  nomor 200</v>
      </c>
      <c r="C41" s="1104"/>
      <c r="D41" s="1104"/>
      <c r="E41" s="1104"/>
      <c r="F41" s="1105"/>
      <c r="G41" s="124">
        <f t="array" ref="G41">IFERROR(INDEX(Masteratk2024,SMALL(IF(Kriteriaatk2024=$P$4,ROW(Kriteriaatk2024)),ROW(C18)),12),"")</f>
        <v>10</v>
      </c>
      <c r="H41" s="1101" t="str">
        <f t="array" ref="H41">IFERROR(INDEX(Masteratk2024,SMALL(IF(Kriteriaatk2024=$P$4,ROW(Kriteriaatk2024)),ROW(D18)),13),"")</f>
        <v>kotak</v>
      </c>
      <c r="I41" s="1102"/>
      <c r="J41" s="124" t="str">
        <f t="shared" si="3"/>
        <v>Baik</v>
      </c>
      <c r="K41" s="2" t="str">
        <f t="shared" si="4"/>
        <v>1</v>
      </c>
    </row>
    <row r="42" spans="1:11" s="2" customFormat="1" ht="29" customHeight="1">
      <c r="A42" s="89">
        <f>IF(B42&lt;&gt;"",COUNTA($B$24:B42),"")</f>
        <v>19</v>
      </c>
      <c r="B42" s="1103" t="str">
        <f t="array" ref="B42">IFERROR(INDEX(Masteratk2024,SMALL(IF(Kriteriaatk2024=$P$4,ROW(Kriteriaatk2024)),ROW(C19)),11),"")</f>
        <v>Binder Klip  nomor 260</v>
      </c>
      <c r="C42" s="1104"/>
      <c r="D42" s="1104"/>
      <c r="E42" s="1104"/>
      <c r="F42" s="1105"/>
      <c r="G42" s="124">
        <f t="array" ref="G42">IFERROR(INDEX(Masteratk2024,SMALL(IF(Kriteriaatk2024=$P$4,ROW(Kriteriaatk2024)),ROW(C19)),12),"")</f>
        <v>10</v>
      </c>
      <c r="H42" s="1101" t="str">
        <f t="array" ref="H42">IFERROR(INDEX(Masteratk2024,SMALL(IF(Kriteriaatk2024=$P$4,ROW(Kriteriaatk2024)),ROW(D19)),13),"")</f>
        <v>kotak</v>
      </c>
      <c r="I42" s="1102"/>
      <c r="J42" s="124" t="str">
        <f t="shared" si="3"/>
        <v>Baik</v>
      </c>
      <c r="K42" s="2" t="str">
        <f t="shared" si="4"/>
        <v>1</v>
      </c>
    </row>
    <row r="43" spans="1:11" s="2" customFormat="1" ht="29" customHeight="1">
      <c r="A43" s="89">
        <f>IF(B43&lt;&gt;"",COUNTA($B$24:B43),"")</f>
        <v>20</v>
      </c>
      <c r="B43" s="1103" t="str">
        <f t="array" ref="B43">IFERROR(INDEX(Masteratk2024,SMALL(IF(Kriteriaatk2024=$P$4,ROW(Kriteriaatk2024)),ROW(C20)),11),"")</f>
        <v>Binder Klip Merk : KENKO nomor 105</v>
      </c>
      <c r="C43" s="1104"/>
      <c r="D43" s="1104"/>
      <c r="E43" s="1104"/>
      <c r="F43" s="1105"/>
      <c r="G43" s="124">
        <f t="array" ref="G43">IFERROR(INDEX(Masteratk2024,SMALL(IF(Kriteriaatk2024=$P$4,ROW(Kriteriaatk2024)),ROW(C20)),12),"")</f>
        <v>2</v>
      </c>
      <c r="H43" s="1101" t="str">
        <f t="array" ref="H43">IFERROR(INDEX(Masteratk2024,SMALL(IF(Kriteriaatk2024=$P$4,ROW(Kriteriaatk2024)),ROW(D20)),13),"")</f>
        <v>kotak</v>
      </c>
      <c r="I43" s="1102"/>
      <c r="J43" s="124" t="str">
        <f t="shared" si="3"/>
        <v>Baik</v>
      </c>
      <c r="K43" s="2" t="str">
        <f t="shared" si="4"/>
        <v>1</v>
      </c>
    </row>
    <row r="44" spans="1:11" s="2" customFormat="1" ht="29" customHeight="1">
      <c r="A44" s="89">
        <f>IF(B44&lt;&gt;"",COUNTA($B$24:B44),"")</f>
        <v>21</v>
      </c>
      <c r="B44" s="1103" t="str">
        <f t="array" ref="B44">IFERROR(INDEX(Masteratk2024,SMALL(IF(Kriteriaatk2024=$P$4,ROW(Kriteriaatk2024)),ROW(C21)),11),"")</f>
        <v>Map Binder</v>
      </c>
      <c r="C44" s="1104"/>
      <c r="D44" s="1104"/>
      <c r="E44" s="1104"/>
      <c r="F44" s="1105"/>
      <c r="G44" s="124">
        <f t="array" ref="G44">IFERROR(INDEX(Masteratk2024,SMALL(IF(Kriteriaatk2024=$P$4,ROW(Kriteriaatk2024)),ROW(C21)),12),"")</f>
        <v>12</v>
      </c>
      <c r="H44" s="1101" t="str">
        <f t="array" ref="H44">IFERROR(INDEX(Masteratk2024,SMALL(IF(Kriteriaatk2024=$P$4,ROW(Kriteriaatk2024)),ROW(D21)),13),"")</f>
        <v>buah</v>
      </c>
      <c r="I44" s="1102"/>
      <c r="J44" s="124" t="str">
        <f t="shared" si="3"/>
        <v>Baik</v>
      </c>
      <c r="K44" s="2" t="str">
        <f t="shared" si="4"/>
        <v>1</v>
      </c>
    </row>
    <row r="45" spans="1:11" s="2" customFormat="1" ht="29" customHeight="1">
      <c r="A45" s="89">
        <f>IF(B45&lt;&gt;"",COUNTA($B$24:B45),"")</f>
        <v>22</v>
      </c>
      <c r="B45" s="1103" t="str">
        <f t="array" ref="B45">IFERROR(INDEX(Masteratk2024,SMALL(IF(Kriteriaatk2024=$P$4,ROW(Kriteriaatk2024)),ROW(C22)),11),"")</f>
        <v>Stofmap Kertas</v>
      </c>
      <c r="C45" s="1104"/>
      <c r="D45" s="1104"/>
      <c r="E45" s="1104"/>
      <c r="F45" s="1105"/>
      <c r="G45" s="124">
        <f t="array" ref="G45">IFERROR(INDEX(Masteratk2024,SMALL(IF(Kriteriaatk2024=$P$4,ROW(Kriteriaatk2024)),ROW(C22)),12),"")</f>
        <v>1</v>
      </c>
      <c r="H45" s="1101" t="str">
        <f t="array" ref="H45">IFERROR(INDEX(Masteratk2024,SMALL(IF(Kriteriaatk2024=$P$4,ROW(Kriteriaatk2024)),ROW(D22)),13),"")</f>
        <v>pak</v>
      </c>
      <c r="I45" s="1102"/>
      <c r="J45" s="124" t="str">
        <f t="shared" si="3"/>
        <v>Baik</v>
      </c>
      <c r="K45" s="2" t="str">
        <f t="shared" si="4"/>
        <v>1</v>
      </c>
    </row>
    <row r="46" spans="1:11" s="2" customFormat="1" ht="29" customHeight="1">
      <c r="A46" s="89">
        <f>IF(B46&lt;&gt;"",COUNTA($B$24:B46),"")</f>
        <v>23</v>
      </c>
      <c r="B46" s="1103" t="str">
        <f t="array" ref="B46">IFERROR(INDEX(Masteratk2024,SMALL(IF(Kriteriaatk2024=$P$4,ROW(Kriteriaatk2024)),ROW(C23)),11),"")</f>
        <v>Stofmap Transparan tali</v>
      </c>
      <c r="C46" s="1104"/>
      <c r="D46" s="1104"/>
      <c r="E46" s="1104"/>
      <c r="F46" s="1105"/>
      <c r="G46" s="124">
        <f t="array" ref="G46">IFERROR(INDEX(Masteratk2024,SMALL(IF(Kriteriaatk2024=$P$4,ROW(Kriteriaatk2024)),ROW(C23)),12),"")</f>
        <v>100</v>
      </c>
      <c r="H46" s="1101" t="str">
        <f t="array" ref="H46">IFERROR(INDEX(Masteratk2024,SMALL(IF(Kriteriaatk2024=$P$4,ROW(Kriteriaatk2024)),ROW(D23)),13),"")</f>
        <v>buah</v>
      </c>
      <c r="I46" s="1102"/>
      <c r="J46" s="124" t="str">
        <f t="shared" si="3"/>
        <v>Baik</v>
      </c>
      <c r="K46" s="2" t="str">
        <f t="shared" si="4"/>
        <v>1</v>
      </c>
    </row>
    <row r="47" spans="1:11" s="2" customFormat="1" ht="29" customHeight="1">
      <c r="A47" s="89">
        <f>IF(B47&lt;&gt;"",COUNTA($B$24:B47),"")</f>
        <v>24</v>
      </c>
      <c r="B47" s="1103" t="str">
        <f t="array" ref="B47">IFERROR(INDEX(Masteratk2024,SMALL(IF(Kriteriaatk2024=$P$4,ROW(Kriteriaatk2024)),ROW(C24)),11),"")</f>
        <v>Stofmap Transparan</v>
      </c>
      <c r="C47" s="1104"/>
      <c r="D47" s="1104"/>
      <c r="E47" s="1104"/>
      <c r="F47" s="1105"/>
      <c r="G47" s="124">
        <f t="array" ref="G47">IFERROR(INDEX(Masteratk2024,SMALL(IF(Kriteriaatk2024=$P$4,ROW(Kriteriaatk2024)),ROW(C24)),12),"")</f>
        <v>100</v>
      </c>
      <c r="H47" s="1101" t="str">
        <f t="array" ref="H47">IFERROR(INDEX(Masteratk2024,SMALL(IF(Kriteriaatk2024=$P$4,ROW(Kriteriaatk2024)),ROW(D24)),13),"")</f>
        <v>buah</v>
      </c>
      <c r="I47" s="1102"/>
      <c r="J47" s="124" t="str">
        <f t="shared" si="3"/>
        <v>Baik</v>
      </c>
      <c r="K47" s="2" t="str">
        <f t="shared" si="4"/>
        <v>1</v>
      </c>
    </row>
    <row r="48" spans="1:11" s="2" customFormat="1" ht="29" customHeight="1">
      <c r="A48" s="89">
        <f>IF(B48&lt;&gt;"",COUNTA($B$24:B48),"")</f>
        <v>25</v>
      </c>
      <c r="B48" s="1103" t="str">
        <f t="array" ref="B48">IFERROR(INDEX(Masteratk2024,SMALL(IF(Kriteriaatk2024=$P$4,ROW(Kriteriaatk2024)),ROW(C25)),11),"")</f>
        <v>Binder Klip Ordner</v>
      </c>
      <c r="C48" s="1104"/>
      <c r="D48" s="1104"/>
      <c r="E48" s="1104"/>
      <c r="F48" s="1105"/>
      <c r="G48" s="124">
        <f t="array" ref="G48">IFERROR(INDEX(Masteratk2024,SMALL(IF(Kriteriaatk2024=$P$4,ROW(Kriteriaatk2024)),ROW(C25)),12),"")</f>
        <v>6</v>
      </c>
      <c r="H48" s="1101" t="str">
        <f t="array" ref="H48">IFERROR(INDEX(Masteratk2024,SMALL(IF(Kriteriaatk2024=$P$4,ROW(Kriteriaatk2024)),ROW(D25)),13),"")</f>
        <v>buah</v>
      </c>
      <c r="I48" s="1102"/>
      <c r="J48" s="124" t="str">
        <f t="shared" si="3"/>
        <v>Baik</v>
      </c>
      <c r="K48" s="2" t="str">
        <f t="shared" si="4"/>
        <v>1</v>
      </c>
    </row>
    <row r="49" spans="1:11" s="2" customFormat="1" ht="29" customHeight="1">
      <c r="A49" s="89">
        <f>IF(B49&lt;&gt;"",COUNTA($B$24:B49),"")</f>
        <v>26</v>
      </c>
      <c r="B49" s="1103" t="str">
        <f t="array" ref="B49">IFERROR(INDEX(Masteratk2024,SMALL(IF(Kriteriaatk2024=$P$4,ROW(Kriteriaatk2024)),ROW(C26)),11),"")</f>
        <v>Box File Merk : Bantex Ukuran : 115x270x325 mm</v>
      </c>
      <c r="C49" s="1104"/>
      <c r="D49" s="1104"/>
      <c r="E49" s="1104"/>
      <c r="F49" s="1105"/>
      <c r="G49" s="124">
        <f t="array" ref="G49">IFERROR(INDEX(Masteratk2024,SMALL(IF(Kriteriaatk2024=$P$4,ROW(Kriteriaatk2024)),ROW(C26)),12),"")</f>
        <v>4</v>
      </c>
      <c r="H49" s="1101" t="str">
        <f t="array" ref="H49">IFERROR(INDEX(Masteratk2024,SMALL(IF(Kriteriaatk2024=$P$4,ROW(Kriteriaatk2024)),ROW(D26)),13),"")</f>
        <v>buah</v>
      </c>
      <c r="I49" s="1102"/>
      <c r="J49" s="124" t="str">
        <f t="shared" ref="J49:J103" si="5">IF(B49="","","Baik")</f>
        <v>Baik</v>
      </c>
      <c r="K49" s="2" t="str">
        <f t="shared" ref="K49:K103" si="6">IF(B49="","0","1")</f>
        <v>1</v>
      </c>
    </row>
    <row r="50" spans="1:11" s="2" customFormat="1" ht="29" customHeight="1">
      <c r="A50" s="89">
        <f>IF(B50&lt;&gt;"",COUNTA($B$24:B50),"")</f>
        <v>27</v>
      </c>
      <c r="B50" s="1103" t="str">
        <f t="array" ref="B50">IFERROR(INDEX(Masteratk2024,SMALL(IF(Kriteriaatk2024=$P$4,ROW(Kriteriaatk2024)),ROW(C27)),11),"")</f>
        <v>Sampul Plastik</v>
      </c>
      <c r="C50" s="1104"/>
      <c r="D50" s="1104"/>
      <c r="E50" s="1104"/>
      <c r="F50" s="1105"/>
      <c r="G50" s="124">
        <f t="array" ref="G50">IFERROR(INDEX(Masteratk2024,SMALL(IF(Kriteriaatk2024=$P$4,ROW(Kriteriaatk2024)),ROW(C27)),12),"")</f>
        <v>5</v>
      </c>
      <c r="H50" s="1101" t="str">
        <f t="array" ref="H50">IFERROR(INDEX(Masteratk2024,SMALL(IF(Kriteriaatk2024=$P$4,ROW(Kriteriaatk2024)),ROW(D27)),13),"")</f>
        <v>bungkus</v>
      </c>
      <c r="I50" s="1102"/>
      <c r="J50" s="124" t="str">
        <f t="shared" si="5"/>
        <v>Baik</v>
      </c>
      <c r="K50" s="2" t="str">
        <f t="shared" si="6"/>
        <v>1</v>
      </c>
    </row>
    <row r="51" spans="1:11" s="2" customFormat="1" ht="29" customHeight="1">
      <c r="A51" s="89">
        <f>IF(B51&lt;&gt;"",COUNTA($B$24:B51),"")</f>
        <v>28</v>
      </c>
      <c r="B51" s="1103" t="str">
        <f t="array" ref="B51">IFERROR(INDEX(Masteratk2024,SMALL(IF(Kriteriaatk2024=$P$4,ROW(Kriteriaatk2024)),ROW(C28)),11),"")</f>
        <v>Tinta Printer Canon 740 Hitam-740 Hitam</v>
      </c>
      <c r="C51" s="1104"/>
      <c r="D51" s="1104"/>
      <c r="E51" s="1104"/>
      <c r="F51" s="1105"/>
      <c r="G51" s="124">
        <f t="array" ref="G51">IFERROR(INDEX(Masteratk2024,SMALL(IF(Kriteriaatk2024=$P$4,ROW(Kriteriaatk2024)),ROW(C28)),12),"")</f>
        <v>8</v>
      </c>
      <c r="H51" s="1101" t="str">
        <f t="array" ref="H51">IFERROR(INDEX(Masteratk2024,SMALL(IF(Kriteriaatk2024=$P$4,ROW(Kriteriaatk2024)),ROW(D28)),13),"")</f>
        <v>botol</v>
      </c>
      <c r="I51" s="1102"/>
      <c r="J51" s="124" t="str">
        <f t="shared" si="5"/>
        <v>Baik</v>
      </c>
      <c r="K51" s="2" t="str">
        <f t="shared" si="6"/>
        <v>1</v>
      </c>
    </row>
    <row r="52" spans="1:11" s="2" customFormat="1" ht="29" customHeight="1">
      <c r="A52" s="89">
        <f>IF(B52&lt;&gt;"",COUNTA($B$24:B52),"")</f>
        <v>29</v>
      </c>
      <c r="B52" s="1103" t="str">
        <f t="array" ref="B52">IFERROR(INDEX(Masteratk2024,SMALL(IF(Kriteriaatk2024=$P$4,ROW(Kriteriaatk2024)),ROW(C29)),11),"")</f>
        <v>Tinta Printer Canon 741 Warna-741 Warna</v>
      </c>
      <c r="C52" s="1104"/>
      <c r="D52" s="1104"/>
      <c r="E52" s="1104"/>
      <c r="F52" s="1105"/>
      <c r="G52" s="124">
        <f t="array" ref="G52">IFERROR(INDEX(Masteratk2024,SMALL(IF(Kriteriaatk2024=$P$4,ROW(Kriteriaatk2024)),ROW(C29)),12),"")</f>
        <v>12</v>
      </c>
      <c r="H52" s="1101" t="str">
        <f t="array" ref="H52">IFERROR(INDEX(Masteratk2024,SMALL(IF(Kriteriaatk2024=$P$4,ROW(Kriteriaatk2024)),ROW(D29)),13),"")</f>
        <v>botol</v>
      </c>
      <c r="I52" s="1102"/>
      <c r="J52" s="124" t="str">
        <f t="shared" si="5"/>
        <v>Baik</v>
      </c>
      <c r="K52" s="2" t="str">
        <f t="shared" si="6"/>
        <v>1</v>
      </c>
    </row>
    <row r="53" spans="1:11" s="2" customFormat="1" ht="29" customHeight="1">
      <c r="A53" s="89">
        <f>IF(B53&lt;&gt;"",COUNTA($B$24:B53),"")</f>
        <v>30</v>
      </c>
      <c r="B53" s="1103" t="str">
        <f t="array" ref="B53">IFERROR(INDEX(Masteratk2024,SMALL(IF(Kriteriaatk2024=$P$4,ROW(Kriteriaatk2024)),ROW(C30)),11),"")</f>
        <v>C. Tinta Printer EPSON Toner Epson 664 Black</v>
      </c>
      <c r="C53" s="1104"/>
      <c r="D53" s="1104"/>
      <c r="E53" s="1104"/>
      <c r="F53" s="1105"/>
      <c r="G53" s="124">
        <f t="array" ref="G53">IFERROR(INDEX(Masteratk2024,SMALL(IF(Kriteriaatk2024=$P$4,ROW(Kriteriaatk2024)),ROW(C30)),12),"")</f>
        <v>6</v>
      </c>
      <c r="H53" s="1101" t="str">
        <f t="array" ref="H53">IFERROR(INDEX(Masteratk2024,SMALL(IF(Kriteriaatk2024=$P$4,ROW(Kriteriaatk2024)),ROW(D30)),13),"")</f>
        <v>botol</v>
      </c>
      <c r="I53" s="1102"/>
      <c r="J53" s="124" t="str">
        <f t="shared" si="5"/>
        <v>Baik</v>
      </c>
      <c r="K53" s="2" t="str">
        <f t="shared" si="6"/>
        <v>1</v>
      </c>
    </row>
    <row r="54" spans="1:11" s="2" customFormat="1" ht="29" customHeight="1">
      <c r="A54" s="89">
        <f>IF(B54&lt;&gt;"",COUNTA($B$24:B54),"")</f>
        <v>31</v>
      </c>
      <c r="B54" s="1103" t="str">
        <f t="array" ref="B54">IFERROR(INDEX(Masteratk2024,SMALL(IF(Kriteriaatk2024=$P$4,ROW(Kriteriaatk2024)),ROW(C31)),11),"")</f>
        <v>C. Tinta Printer EPSON Tinta Printer Epson Yellow</v>
      </c>
      <c r="C54" s="1104"/>
      <c r="D54" s="1104"/>
      <c r="E54" s="1104"/>
      <c r="F54" s="1105"/>
      <c r="G54" s="124">
        <f t="array" ref="G54">IFERROR(INDEX(Masteratk2024,SMALL(IF(Kriteriaatk2024=$P$4,ROW(Kriteriaatk2024)),ROW(C31)),12),"")</f>
        <v>4</v>
      </c>
      <c r="H54" s="1101" t="str">
        <f t="array" ref="H54">IFERROR(INDEX(Masteratk2024,SMALL(IF(Kriteriaatk2024=$P$4,ROW(Kriteriaatk2024)),ROW(D31)),13),"")</f>
        <v>botol</v>
      </c>
      <c r="I54" s="1102"/>
      <c r="J54" s="124" t="str">
        <f t="shared" si="5"/>
        <v>Baik</v>
      </c>
      <c r="K54" s="2" t="str">
        <f t="shared" si="6"/>
        <v>1</v>
      </c>
    </row>
    <row r="55" spans="1:11" s="2" customFormat="1" ht="29" customHeight="1">
      <c r="A55" s="89">
        <f>IF(B55&lt;&gt;"",COUNTA($B$24:B55),"")</f>
        <v>32</v>
      </c>
      <c r="B55" s="1103" t="str">
        <f t="array" ref="B55">IFERROR(INDEX(Masteratk2024,SMALL(IF(Kriteriaatk2024=$P$4,ROW(Kriteriaatk2024)),ROW(C32)),11),"")</f>
        <v>C. Tinta Printer EPSON Tinta Printer Epson Blue</v>
      </c>
      <c r="C55" s="1104"/>
      <c r="D55" s="1104"/>
      <c r="E55" s="1104"/>
      <c r="F55" s="1105"/>
      <c r="G55" s="124">
        <f t="array" ref="G55">IFERROR(INDEX(Masteratk2024,SMALL(IF(Kriteriaatk2024=$P$4,ROW(Kriteriaatk2024)),ROW(C32)),12),"")</f>
        <v>4</v>
      </c>
      <c r="H55" s="1101" t="str">
        <f t="array" ref="H55">IFERROR(INDEX(Masteratk2024,SMALL(IF(Kriteriaatk2024=$P$4,ROW(Kriteriaatk2024)),ROW(D32)),13),"")</f>
        <v>botol</v>
      </c>
      <c r="I55" s="1102"/>
      <c r="J55" s="124" t="str">
        <f t="shared" si="5"/>
        <v>Baik</v>
      </c>
      <c r="K55" s="2" t="str">
        <f t="shared" si="6"/>
        <v>1</v>
      </c>
    </row>
    <row r="56" spans="1:11" s="2" customFormat="1" ht="29" customHeight="1">
      <c r="A56" s="89">
        <f>IF(B56&lt;&gt;"",COUNTA($B$24:B56),"")</f>
        <v>33</v>
      </c>
      <c r="B56" s="1103" t="str">
        <f t="array" ref="B56">IFERROR(INDEX(Masteratk2024,SMALL(IF(Kriteriaatk2024=$P$4,ROW(Kriteriaatk2024)),ROW(C33)),11),"")</f>
        <v>C. Tinta Printer EPSON Tinta Printer Epson Read</v>
      </c>
      <c r="C56" s="1104"/>
      <c r="D56" s="1104"/>
      <c r="E56" s="1104"/>
      <c r="F56" s="1105"/>
      <c r="G56" s="124">
        <f t="array" ref="G56">IFERROR(INDEX(Masteratk2024,SMALL(IF(Kriteriaatk2024=$P$4,ROW(Kriteriaatk2024)),ROW(C33)),12),"")</f>
        <v>4</v>
      </c>
      <c r="H56" s="1101" t="str">
        <f t="array" ref="H56">IFERROR(INDEX(Masteratk2024,SMALL(IF(Kriteriaatk2024=$P$4,ROW(Kriteriaatk2024)),ROW(D33)),13),"")</f>
        <v>botol</v>
      </c>
      <c r="I56" s="1102"/>
      <c r="J56" s="124" t="str">
        <f t="shared" si="5"/>
        <v>Baik</v>
      </c>
      <c r="K56" s="2" t="str">
        <f t="shared" si="6"/>
        <v>1</v>
      </c>
    </row>
    <row r="57" spans="1:11" s="2" customFormat="1" ht="29" customHeight="1">
      <c r="A57" s="89">
        <f>IF(B57&lt;&gt;"",COUNTA($B$24:B57),"")</f>
        <v>34</v>
      </c>
      <c r="B57" s="1103" t="str">
        <f t="array" ref="B57">IFERROR(INDEX(Masteratk2024,SMALL(IF(Kriteriaatk2024=$P$4,ROW(Kriteriaatk2024)),ROW(C34)),11),"")</f>
        <v>Lakban Besar</v>
      </c>
      <c r="C57" s="1104"/>
      <c r="D57" s="1104"/>
      <c r="E57" s="1104"/>
      <c r="F57" s="1105"/>
      <c r="G57" s="124">
        <f t="array" ref="G57">IFERROR(INDEX(Masteratk2024,SMALL(IF(Kriteriaatk2024=$P$4,ROW(Kriteriaatk2024)),ROW(C34)),12),"")</f>
        <v>5</v>
      </c>
      <c r="H57" s="1101" t="str">
        <f t="array" ref="H57">IFERROR(INDEX(Masteratk2024,SMALL(IF(Kriteriaatk2024=$P$4,ROW(Kriteriaatk2024)),ROW(D34)),13),"")</f>
        <v>buah</v>
      </c>
      <c r="I57" s="1102"/>
      <c r="J57" s="124" t="str">
        <f t="shared" si="5"/>
        <v>Baik</v>
      </c>
      <c r="K57" s="2" t="str">
        <f t="shared" si="6"/>
        <v>1</v>
      </c>
    </row>
    <row r="58" spans="1:11" s="2" customFormat="1" ht="29" customHeight="1">
      <c r="A58" s="89">
        <f>IF(B58&lt;&gt;"",COUNTA($B$24:B58),"")</f>
        <v>35</v>
      </c>
      <c r="B58" s="1103" t="str">
        <f t="array" ref="B58">IFERROR(INDEX(Masteratk2024,SMALL(IF(Kriteriaatk2024=$P$4,ROW(Kriteriaatk2024)),ROW(C35)),11),"")</f>
        <v>Lakban Bening Sedang</v>
      </c>
      <c r="C58" s="1104"/>
      <c r="D58" s="1104"/>
      <c r="E58" s="1104"/>
      <c r="F58" s="1105"/>
      <c r="G58" s="124">
        <f t="array" ref="G58">IFERROR(INDEX(Masteratk2024,SMALL(IF(Kriteriaatk2024=$P$4,ROW(Kriteriaatk2024)),ROW(C35)),12),"")</f>
        <v>5</v>
      </c>
      <c r="H58" s="1101" t="str">
        <f t="array" ref="H58">IFERROR(INDEX(Masteratk2024,SMALL(IF(Kriteriaatk2024=$P$4,ROW(Kriteriaatk2024)),ROW(D35)),13),"")</f>
        <v>buah</v>
      </c>
      <c r="I58" s="1102"/>
      <c r="J58" s="124" t="str">
        <f t="shared" si="5"/>
        <v>Baik</v>
      </c>
      <c r="K58" s="2" t="str">
        <f t="shared" si="6"/>
        <v>1</v>
      </c>
    </row>
    <row r="59" spans="1:11" s="2" customFormat="1" ht="29" customHeight="1">
      <c r="A59" s="89">
        <f>IF(B59&lt;&gt;"",COUNTA($B$24:B59),"")</f>
        <v>36</v>
      </c>
      <c r="B59" s="1103" t="str">
        <f t="array" ref="B59">IFERROR(INDEX(Masteratk2024,SMALL(IF(Kriteriaatk2024=$P$4,ROW(Kriteriaatk2024)),ROW(C36)),11),"")</f>
        <v>Lakban Bening</v>
      </c>
      <c r="C59" s="1104"/>
      <c r="D59" s="1104"/>
      <c r="E59" s="1104"/>
      <c r="F59" s="1105"/>
      <c r="G59" s="124">
        <f t="array" ref="G59">IFERROR(INDEX(Masteratk2024,SMALL(IF(Kriteriaatk2024=$P$4,ROW(Kriteriaatk2024)),ROW(C36)),12),"")</f>
        <v>5</v>
      </c>
      <c r="H59" s="1101" t="str">
        <f t="array" ref="H59">IFERROR(INDEX(Masteratk2024,SMALL(IF(Kriteriaatk2024=$P$4,ROW(Kriteriaatk2024)),ROW(D36)),13),"")</f>
        <v>buah</v>
      </c>
      <c r="I59" s="1102"/>
      <c r="J59" s="124" t="str">
        <f t="shared" si="5"/>
        <v>Baik</v>
      </c>
      <c r="K59" s="2" t="str">
        <f t="shared" si="6"/>
        <v>1</v>
      </c>
    </row>
    <row r="60" spans="1:11" s="2" customFormat="1" ht="29" customHeight="1">
      <c r="A60" s="89">
        <f>IF(B60&lt;&gt;"",COUNTA($B$24:B60),"")</f>
        <v>37</v>
      </c>
      <c r="B60" s="1103" t="str">
        <f t="array" ref="B60">IFERROR(INDEX(Masteratk2024,SMALL(IF(Kriteriaatk2024=$P$4,ROW(Kriteriaatk2024)),ROW(C37)),11),"")</f>
        <v>Lakban Hitam--</v>
      </c>
      <c r="C60" s="1104"/>
      <c r="D60" s="1104"/>
      <c r="E60" s="1104"/>
      <c r="F60" s="1105"/>
      <c r="G60" s="124">
        <f t="array" ref="G60">IFERROR(INDEX(Masteratk2024,SMALL(IF(Kriteriaatk2024=$P$4,ROW(Kriteriaatk2024)),ROW(C37)),12),"")</f>
        <v>5</v>
      </c>
      <c r="H60" s="1101" t="str">
        <f t="array" ref="H60">IFERROR(INDEX(Masteratk2024,SMALL(IF(Kriteriaatk2024=$P$4,ROW(Kriteriaatk2024)),ROW(D37)),13),"")</f>
        <v>buah</v>
      </c>
      <c r="I60" s="1102"/>
      <c r="J60" s="124" t="str">
        <f t="shared" si="5"/>
        <v>Baik</v>
      </c>
      <c r="K60" s="2" t="str">
        <f t="shared" si="6"/>
        <v>1</v>
      </c>
    </row>
    <row r="61" spans="1:11" s="2" customFormat="1" ht="29" customHeight="1">
      <c r="A61" s="89">
        <f>IF(B61&lt;&gt;"",COUNTA($B$24:B61),"")</f>
        <v>38</v>
      </c>
      <c r="B61" s="1103" t="str">
        <f t="array" ref="B61">IFERROR(INDEX(Masteratk2024,SMALL(IF(Kriteriaatk2024=$P$4,ROW(Kriteriaatk2024)),ROW(C38)),11),"")</f>
        <v>lakban hitam-ukuran : lebar 2 inch, panjang 12m, bahan : kain</v>
      </c>
      <c r="C61" s="1104"/>
      <c r="D61" s="1104"/>
      <c r="E61" s="1104"/>
      <c r="F61" s="1105"/>
      <c r="G61" s="124">
        <f t="array" ref="G61">IFERROR(INDEX(Masteratk2024,SMALL(IF(Kriteriaatk2024=$P$4,ROW(Kriteriaatk2024)),ROW(C38)),12),"")</f>
        <v>4</v>
      </c>
      <c r="H61" s="1101" t="str">
        <f t="array" ref="H61">IFERROR(INDEX(Masteratk2024,SMALL(IF(Kriteriaatk2024=$P$4,ROW(Kriteriaatk2024)),ROW(D38)),13),"")</f>
        <v>buah</v>
      </c>
      <c r="I61" s="1102"/>
      <c r="J61" s="124" t="str">
        <f t="shared" si="5"/>
        <v>Baik</v>
      </c>
      <c r="K61" s="2" t="str">
        <f t="shared" si="6"/>
        <v>1</v>
      </c>
    </row>
    <row r="62" spans="1:11" s="2" customFormat="1" ht="29" customHeight="1">
      <c r="A62" s="89">
        <f>IF(B62&lt;&gt;"",COUNTA($B$24:B62),"")</f>
        <v>39</v>
      </c>
      <c r="B62" s="1103" t="str">
        <f t="array" ref="B62">IFERROR(INDEX(Masteratk2024,SMALL(IF(Kriteriaatk2024=$P$4,ROW(Kriteriaatk2024)),ROW(C39)),11),"")</f>
        <v>Lakban Hitam uk 2 " Warna hitam uk. 2 "</v>
      </c>
      <c r="C62" s="1104"/>
      <c r="D62" s="1104"/>
      <c r="E62" s="1104"/>
      <c r="F62" s="1105"/>
      <c r="G62" s="124">
        <f t="array" ref="G62">IFERROR(INDEX(Masteratk2024,SMALL(IF(Kriteriaatk2024=$P$4,ROW(Kriteriaatk2024)),ROW(C39)),12),"")</f>
        <v>5</v>
      </c>
      <c r="H62" s="1101" t="str">
        <f t="array" ref="H62">IFERROR(INDEX(Masteratk2024,SMALL(IF(Kriteriaatk2024=$P$4,ROW(Kriteriaatk2024)),ROW(D39)),13),"")</f>
        <v>buah</v>
      </c>
      <c r="I62" s="1102"/>
      <c r="J62" s="124" t="str">
        <f t="shared" si="5"/>
        <v>Baik</v>
      </c>
      <c r="K62" s="2" t="str">
        <f t="shared" si="6"/>
        <v>1</v>
      </c>
    </row>
    <row r="63" spans="1:11" s="2" customFormat="1" ht="29" customHeight="1">
      <c r="A63" s="89">
        <f>IF(B63&lt;&gt;"",COUNTA($B$24:B63),"")</f>
        <v>40</v>
      </c>
      <c r="B63" s="1103" t="str">
        <f t="array" ref="B63">IFERROR(INDEX(Masteratk2024,SMALL(IF(Kriteriaatk2024=$P$4,ROW(Kriteriaatk2024)),ROW(C40)),11),"")</f>
        <v>Lakban warna Uk 2" Warna Coklat Cofiie</v>
      </c>
      <c r="C63" s="1104"/>
      <c r="D63" s="1104"/>
      <c r="E63" s="1104"/>
      <c r="F63" s="1105"/>
      <c r="G63" s="124">
        <f t="array" ref="G63">IFERROR(INDEX(Masteratk2024,SMALL(IF(Kriteriaatk2024=$P$4,ROW(Kriteriaatk2024)),ROW(C40)),12),"")</f>
        <v>3</v>
      </c>
      <c r="H63" s="1101" t="str">
        <f t="array" ref="H63">IFERROR(INDEX(Masteratk2024,SMALL(IF(Kriteriaatk2024=$P$4,ROW(Kriteriaatk2024)),ROW(D40)),13),"")</f>
        <v>buah</v>
      </c>
      <c r="I63" s="1102"/>
      <c r="J63" s="124" t="str">
        <f t="shared" si="5"/>
        <v>Baik</v>
      </c>
      <c r="K63" s="2" t="str">
        <f t="shared" si="6"/>
        <v>1</v>
      </c>
    </row>
    <row r="64" spans="1:11" s="2" customFormat="1" ht="29" customHeight="1">
      <c r="A64" s="89">
        <f>IF(B64&lt;&gt;"",COUNTA($B$24:B64),"")</f>
        <v>41</v>
      </c>
      <c r="B64" s="1103" t="str">
        <f t="array" ref="B64">IFERROR(INDEX(Masteratk2024,SMALL(IF(Kriteriaatk2024=$P$4,ROW(Kriteriaatk2024)),ROW(C41)),11),"")</f>
        <v>Spidol Refil Spidol White Board Snowman</v>
      </c>
      <c r="C64" s="1104"/>
      <c r="D64" s="1104"/>
      <c r="E64" s="1104"/>
      <c r="F64" s="1105"/>
      <c r="G64" s="124">
        <f t="array" ref="G64">IFERROR(INDEX(Masteratk2024,SMALL(IF(Kriteriaatk2024=$P$4,ROW(Kriteriaatk2024)),ROW(C41)),12),"")</f>
        <v>10</v>
      </c>
      <c r="H64" s="1101" t="str">
        <f t="array" ref="H64">IFERROR(INDEX(Masteratk2024,SMALL(IF(Kriteriaatk2024=$P$4,ROW(Kriteriaatk2024)),ROW(D41)),13),"")</f>
        <v>buah</v>
      </c>
      <c r="I64" s="1102"/>
      <c r="J64" s="124" t="str">
        <f t="shared" si="5"/>
        <v>Baik</v>
      </c>
      <c r="K64" s="2" t="str">
        <f t="shared" si="6"/>
        <v>1</v>
      </c>
    </row>
    <row r="65" spans="1:11" s="2" customFormat="1" ht="29" customHeight="1">
      <c r="A65" s="89">
        <f>IF(B65&lt;&gt;"",COUNTA($B$24:B65),"")</f>
        <v>42</v>
      </c>
      <c r="B65" s="1103" t="str">
        <f t="array" ref="B65">IFERROR(INDEX(Masteratk2024,SMALL(IF(Kriteriaatk2024=$P$4,ROW(Kriteriaatk2024)),ROW(C42)),11),"")</f>
        <v>Spidol White board</v>
      </c>
      <c r="C65" s="1104"/>
      <c r="D65" s="1104"/>
      <c r="E65" s="1104"/>
      <c r="F65" s="1105"/>
      <c r="G65" s="124">
        <f t="array" ref="G65">IFERROR(INDEX(Masteratk2024,SMALL(IF(Kriteriaatk2024=$P$4,ROW(Kriteriaatk2024)),ROW(C42)),12),"")</f>
        <v>2</v>
      </c>
      <c r="H65" s="1101" t="str">
        <f t="array" ref="H65">IFERROR(INDEX(Masteratk2024,SMALL(IF(Kriteriaatk2024=$P$4,ROW(Kriteriaatk2024)),ROW(D42)),13),"")</f>
        <v>lusin</v>
      </c>
      <c r="I65" s="1102"/>
      <c r="J65" s="124" t="str">
        <f t="shared" si="5"/>
        <v>Baik</v>
      </c>
      <c r="K65" s="2" t="str">
        <f t="shared" si="6"/>
        <v>1</v>
      </c>
    </row>
    <row r="66" spans="1:11" s="2" customFormat="1" ht="29" customHeight="1">
      <c r="A66" s="89">
        <f>IF(B66&lt;&gt;"",COUNTA($B$24:B66),"")</f>
        <v>43</v>
      </c>
      <c r="B66" s="1103" t="str">
        <f t="array" ref="B66">IFERROR(INDEX(Masteratk2024,SMALL(IF(Kriteriaatk2024=$P$4,ROW(Kriteriaatk2024)),ROW(C43)),11),"")</f>
        <v>Stapler HD-10--</v>
      </c>
      <c r="C66" s="1104"/>
      <c r="D66" s="1104"/>
      <c r="E66" s="1104"/>
      <c r="F66" s="1105"/>
      <c r="G66" s="124">
        <f t="array" ref="G66">IFERROR(INDEX(Masteratk2024,SMALL(IF(Kriteriaatk2024=$P$4,ROW(Kriteriaatk2024)),ROW(C43)),12),"")</f>
        <v>2</v>
      </c>
      <c r="H66" s="1101" t="str">
        <f t="array" ref="H66">IFERROR(INDEX(Masteratk2024,SMALL(IF(Kriteriaatk2024=$P$4,ROW(Kriteriaatk2024)),ROW(D43)),13),"")</f>
        <v>buah</v>
      </c>
      <c r="I66" s="1102"/>
      <c r="J66" s="124" t="str">
        <f t="shared" si="5"/>
        <v>Baik</v>
      </c>
      <c r="K66" s="2" t="str">
        <f t="shared" si="6"/>
        <v>1</v>
      </c>
    </row>
    <row r="67" spans="1:11" s="2" customFormat="1" ht="29" customHeight="1">
      <c r="A67" s="89">
        <f>IF(B67&lt;&gt;"",COUNTA($B$24:B67),"")</f>
        <v>44</v>
      </c>
      <c r="B67" s="1103" t="str">
        <f t="array" ref="B67">IFERROR(INDEX(Masteratk2024,SMALL(IF(Kriteriaatk2024=$P$4,ROW(Kriteriaatk2024)),ROW(C44)),11),"")</f>
        <v>Stapler Stapler No, 50 MAX</v>
      </c>
      <c r="C67" s="1104"/>
      <c r="D67" s="1104"/>
      <c r="E67" s="1104"/>
      <c r="F67" s="1105"/>
      <c r="G67" s="124">
        <f t="array" ref="G67">IFERROR(INDEX(Masteratk2024,SMALL(IF(Kriteriaatk2024=$P$4,ROW(Kriteriaatk2024)),ROW(C44)),12),"")</f>
        <v>2</v>
      </c>
      <c r="H67" s="1101" t="str">
        <f t="array" ref="H67">IFERROR(INDEX(Masteratk2024,SMALL(IF(Kriteriaatk2024=$P$4,ROW(Kriteriaatk2024)),ROW(D44)),13),"")</f>
        <v>buah</v>
      </c>
      <c r="I67" s="1102"/>
      <c r="J67" s="124" t="str">
        <f t="shared" si="5"/>
        <v>Baik</v>
      </c>
      <c r="K67" s="2" t="str">
        <f t="shared" si="6"/>
        <v>1</v>
      </c>
    </row>
    <row r="68" spans="1:11" s="2" customFormat="1" ht="29" customHeight="1">
      <c r="A68" s="89">
        <f>IF(B68&lt;&gt;"",COUNTA($B$24:B68),"")</f>
        <v>45</v>
      </c>
      <c r="B68" s="1103" t="str">
        <f t="array" ref="B68">IFERROR(INDEX(Masteratk2024,SMALL(IF(Kriteriaatk2024=$P$4,ROW(Kriteriaatk2024)),ROW(C45)),11),"")</f>
        <v>PAPER CLIP  Paper Clip No 1</v>
      </c>
      <c r="C68" s="1104"/>
      <c r="D68" s="1104"/>
      <c r="E68" s="1104"/>
      <c r="F68" s="1105"/>
      <c r="G68" s="124">
        <f t="array" ref="G68">IFERROR(INDEX(Masteratk2024,SMALL(IF(Kriteriaatk2024=$P$4,ROW(Kriteriaatk2024)),ROW(C45)),12),"")</f>
        <v>5</v>
      </c>
      <c r="H68" s="1101" t="str">
        <f t="array" ref="H68">IFERROR(INDEX(Masteratk2024,SMALL(IF(Kriteriaatk2024=$P$4,ROW(Kriteriaatk2024)),ROW(D45)),13),"")</f>
        <v>kotak</v>
      </c>
      <c r="I68" s="1102"/>
      <c r="J68" s="124" t="str">
        <f t="shared" si="5"/>
        <v>Baik</v>
      </c>
      <c r="K68" s="2" t="str">
        <f t="shared" si="6"/>
        <v>1</v>
      </c>
    </row>
    <row r="69" spans="1:11" s="2" customFormat="1" ht="29" customHeight="1">
      <c r="A69" s="89">
        <f>IF(B69&lt;&gt;"",COUNTA($B$24:B69),"")</f>
        <v>46</v>
      </c>
      <c r="B69" s="1103" t="str">
        <f t="array" ref="B69">IFERROR(INDEX(Masteratk2024,SMALL(IF(Kriteriaatk2024=$P$4,ROW(Kriteriaatk2024)),ROW(C46)),11),"")</f>
        <v>Paper Clip No 1  Paper Clip No 3</v>
      </c>
      <c r="C69" s="1104"/>
      <c r="D69" s="1104"/>
      <c r="E69" s="1104"/>
      <c r="F69" s="1105"/>
      <c r="G69" s="124">
        <f t="array" ref="G69">IFERROR(INDEX(Masteratk2024,SMALL(IF(Kriteriaatk2024=$P$4,ROW(Kriteriaatk2024)),ROW(C46)),12),"")</f>
        <v>5</v>
      </c>
      <c r="H69" s="1101" t="str">
        <f t="array" ref="H69">IFERROR(INDEX(Masteratk2024,SMALL(IF(Kriteriaatk2024=$P$4,ROW(Kriteriaatk2024)),ROW(D46)),13),"")</f>
        <v>kotak</v>
      </c>
      <c r="I69" s="1102"/>
      <c r="J69" s="124" t="str">
        <f t="shared" si="5"/>
        <v>Baik</v>
      </c>
      <c r="K69" s="2" t="str">
        <f t="shared" si="6"/>
        <v>1</v>
      </c>
    </row>
    <row r="70" spans="1:11" s="2" customFormat="1" ht="29" customHeight="1">
      <c r="A70" s="89">
        <f>IF(B70&lt;&gt;"",COUNTA($B$24:B70),"")</f>
        <v>47</v>
      </c>
      <c r="B70" s="1103" t="str">
        <f t="array" ref="B70">IFERROR(INDEX(Masteratk2024,SMALL(IF(Kriteriaatk2024=$P$4,ROW(Kriteriaatk2024)),ROW(C47)),11),"")</f>
        <v>gunting kertas-ukuran : panjang 21cm x lebar 8cm, stainless steel</v>
      </c>
      <c r="C70" s="1104"/>
      <c r="D70" s="1104"/>
      <c r="E70" s="1104"/>
      <c r="F70" s="1105"/>
      <c r="G70" s="124">
        <f t="array" ref="G70">IFERROR(INDEX(Masteratk2024,SMALL(IF(Kriteriaatk2024=$P$4,ROW(Kriteriaatk2024)),ROW(C47)),12),"")</f>
        <v>2</v>
      </c>
      <c r="H70" s="1101" t="str">
        <f t="array" ref="H70">IFERROR(INDEX(Masteratk2024,SMALL(IF(Kriteriaatk2024=$P$4,ROW(Kriteriaatk2024)),ROW(D47)),13),"")</f>
        <v>buah</v>
      </c>
      <c r="I70" s="1102"/>
      <c r="J70" s="124" t="str">
        <f t="shared" si="5"/>
        <v>Baik</v>
      </c>
      <c r="K70" s="2" t="str">
        <f t="shared" si="6"/>
        <v>1</v>
      </c>
    </row>
    <row r="71" spans="1:11" s="2" customFormat="1" ht="29" customHeight="1">
      <c r="A71" s="89">
        <f>IF(B71&lt;&gt;"",COUNTA($B$24:B71),"")</f>
        <v>48</v>
      </c>
      <c r="B71" s="1103" t="str">
        <f t="array" ref="B71">IFERROR(INDEX(Masteratk2024,SMALL(IF(Kriteriaatk2024=$P$4,ROW(Kriteriaatk2024)),ROW(C48)),11),"")</f>
        <v>Pisau Cutter Kenko L-500</v>
      </c>
      <c r="C71" s="1104"/>
      <c r="D71" s="1104"/>
      <c r="E71" s="1104"/>
      <c r="F71" s="1105"/>
      <c r="G71" s="124">
        <f t="array" ref="G71">IFERROR(INDEX(Masteratk2024,SMALL(IF(Kriteriaatk2024=$P$4,ROW(Kriteriaatk2024)),ROW(C48)),12),"")</f>
        <v>2</v>
      </c>
      <c r="H71" s="1101" t="str">
        <f t="array" ref="H71">IFERROR(INDEX(Masteratk2024,SMALL(IF(Kriteriaatk2024=$P$4,ROW(Kriteriaatk2024)),ROW(D48)),13),"")</f>
        <v>buah</v>
      </c>
      <c r="I71" s="1102"/>
      <c r="J71" s="124" t="str">
        <f t="shared" si="5"/>
        <v>Baik</v>
      </c>
      <c r="K71" s="2" t="str">
        <f t="shared" si="6"/>
        <v>1</v>
      </c>
    </row>
    <row r="72" spans="1:11" s="2" customFormat="1" ht="29" customHeight="1">
      <c r="A72" s="89">
        <f>IF(B72&lt;&gt;"",COUNTA($B$24:B72),"")</f>
        <v>49</v>
      </c>
      <c r="B72" s="1103" t="str">
        <f t="array" ref="B72">IFERROR(INDEX(Masteratk2024,SMALL(IF(Kriteriaatk2024=$P$4,ROW(Kriteriaatk2024)),ROW(C49)),11),"")</f>
        <v>Baterey Kecil</v>
      </c>
      <c r="C72" s="1104"/>
      <c r="D72" s="1104"/>
      <c r="E72" s="1104"/>
      <c r="F72" s="1105"/>
      <c r="G72" s="124">
        <f t="array" ref="G72">IFERROR(INDEX(Masteratk2024,SMALL(IF(Kriteriaatk2024=$P$4,ROW(Kriteriaatk2024)),ROW(C49)),12),"")</f>
        <v>5</v>
      </c>
      <c r="H72" s="1101" t="str">
        <f t="array" ref="H72">IFERROR(INDEX(Masteratk2024,SMALL(IF(Kriteriaatk2024=$P$4,ROW(Kriteriaatk2024)),ROW(D49)),13),"")</f>
        <v>pasang</v>
      </c>
      <c r="I72" s="1102"/>
      <c r="J72" s="124" t="str">
        <f t="shared" si="5"/>
        <v>Baik</v>
      </c>
      <c r="K72" s="2" t="str">
        <f t="shared" si="6"/>
        <v>1</v>
      </c>
    </row>
    <row r="73" spans="1:11" s="2" customFormat="1" ht="29" hidden="1" customHeight="1">
      <c r="A73" s="89" t="str">
        <f>IF(B73&lt;&gt;"",COUNTA($B$24:B73),"")</f>
        <v/>
      </c>
      <c r="B73" s="1103" t="str">
        <f t="array" ref="B73">IFERROR(INDEX(Masteratk2024,SMALL(IF(Kriteriaatk2024=$P$4,ROW(Kriteriaatk2024)),ROW(C50)),11),"")</f>
        <v/>
      </c>
      <c r="C73" s="1104"/>
      <c r="D73" s="1104"/>
      <c r="E73" s="1104"/>
      <c r="F73" s="1105"/>
      <c r="G73" s="124" t="str">
        <f t="array" ref="G73">IFERROR(INDEX(Masteratk2024,SMALL(IF(Kriteriaatk2024=$P$4,ROW(Kriteriaatk2024)),ROW(C50)),12),"")</f>
        <v/>
      </c>
      <c r="H73" s="1101" t="str">
        <f t="array" ref="H73">IFERROR(INDEX(Masteratk2024,SMALL(IF(Kriteriaatk2024=$P$4,ROW(Kriteriaatk2024)),ROW(D50)),13),"")</f>
        <v/>
      </c>
      <c r="I73" s="1102"/>
      <c r="J73" s="124" t="str">
        <f t="shared" si="5"/>
        <v/>
      </c>
      <c r="K73" s="2" t="str">
        <f t="shared" si="6"/>
        <v>0</v>
      </c>
    </row>
    <row r="74" spans="1:11" s="2" customFormat="1" ht="29" hidden="1" customHeight="1">
      <c r="A74" s="89" t="str">
        <f>IF(B74&lt;&gt;"",COUNTA($B$24:B74),"")</f>
        <v/>
      </c>
      <c r="B74" s="1103" t="str">
        <f t="array" ref="B74">IFERROR(INDEX(Masteratk2024,SMALL(IF(Kriteriaatk2024=$P$4,ROW(Kriteriaatk2024)),ROW(C51)),11),"")</f>
        <v/>
      </c>
      <c r="C74" s="1104"/>
      <c r="D74" s="1104"/>
      <c r="E74" s="1104"/>
      <c r="F74" s="1105"/>
      <c r="G74" s="124" t="str">
        <f t="array" ref="G74">IFERROR(INDEX(Masteratk2024,SMALL(IF(Kriteriaatk2024=$P$4,ROW(Kriteriaatk2024)),ROW(C51)),12),"")</f>
        <v/>
      </c>
      <c r="H74" s="1101" t="str">
        <f t="array" ref="H74">IFERROR(INDEX(Masteratk2024,SMALL(IF(Kriteriaatk2024=$P$4,ROW(Kriteriaatk2024)),ROW(D51)),13),"")</f>
        <v/>
      </c>
      <c r="I74" s="1102"/>
      <c r="J74" s="124" t="str">
        <f t="shared" si="5"/>
        <v/>
      </c>
      <c r="K74" s="2" t="str">
        <f t="shared" si="6"/>
        <v>0</v>
      </c>
    </row>
    <row r="75" spans="1:11" s="2" customFormat="1" ht="29" hidden="1" customHeight="1">
      <c r="A75" s="89" t="str">
        <f>IF(B75&lt;&gt;"",COUNTA($B$24:B75),"")</f>
        <v/>
      </c>
      <c r="B75" s="1103" t="str">
        <f t="array" ref="B75">IFERROR(INDEX(Masteratk2024,SMALL(IF(Kriteriaatk2024=$P$4,ROW(Kriteriaatk2024)),ROW(C52)),11),"")</f>
        <v/>
      </c>
      <c r="C75" s="1104"/>
      <c r="D75" s="1104"/>
      <c r="E75" s="1104"/>
      <c r="F75" s="1105"/>
      <c r="G75" s="124" t="str">
        <f t="array" ref="G75">IFERROR(INDEX(Masteratk2024,SMALL(IF(Kriteriaatk2024=$P$4,ROW(Kriteriaatk2024)),ROW(C52)),12),"")</f>
        <v/>
      </c>
      <c r="H75" s="1101" t="str">
        <f t="array" ref="H75">IFERROR(INDEX(Masteratk2024,SMALL(IF(Kriteriaatk2024=$P$4,ROW(Kriteriaatk2024)),ROW(D52)),13),"")</f>
        <v/>
      </c>
      <c r="I75" s="1102"/>
      <c r="J75" s="124" t="str">
        <f t="shared" si="5"/>
        <v/>
      </c>
      <c r="K75" s="2" t="str">
        <f t="shared" si="6"/>
        <v>0</v>
      </c>
    </row>
    <row r="76" spans="1:11" s="2" customFormat="1" ht="29" hidden="1" customHeight="1">
      <c r="A76" s="89" t="str">
        <f>IF(B76&lt;&gt;"",COUNTA($B$24:B76),"")</f>
        <v/>
      </c>
      <c r="B76" s="1103" t="str">
        <f t="array" ref="B76">IFERROR(INDEX(Masteratk2024,SMALL(IF(Kriteriaatk2024=$P$4,ROW(Kriteriaatk2024)),ROW(C53)),11),"")</f>
        <v/>
      </c>
      <c r="C76" s="1104"/>
      <c r="D76" s="1104"/>
      <c r="E76" s="1104"/>
      <c r="F76" s="1105"/>
      <c r="G76" s="124" t="str">
        <f t="array" ref="G76">IFERROR(INDEX(Masteratk2024,SMALL(IF(Kriteriaatk2024=$P$4,ROW(Kriteriaatk2024)),ROW(C53)),12),"")</f>
        <v/>
      </c>
      <c r="H76" s="1101" t="str">
        <f t="array" ref="H76">IFERROR(INDEX(Masteratk2024,SMALL(IF(Kriteriaatk2024=$P$4,ROW(Kriteriaatk2024)),ROW(D53)),13),"")</f>
        <v/>
      </c>
      <c r="I76" s="1102"/>
      <c r="J76" s="124" t="str">
        <f t="shared" si="5"/>
        <v/>
      </c>
      <c r="K76" s="2" t="str">
        <f t="shared" si="6"/>
        <v>0</v>
      </c>
    </row>
    <row r="77" spans="1:11" s="2" customFormat="1" ht="29" hidden="1" customHeight="1">
      <c r="A77" s="89" t="str">
        <f>IF(B77&lt;&gt;"",COUNTA($B$24:B77),"")</f>
        <v/>
      </c>
      <c r="B77" s="1103" t="str">
        <f t="array" ref="B77">IFERROR(INDEX(Masteratk2024,SMALL(IF(Kriteriaatk2024=$P$4,ROW(Kriteriaatk2024)),ROW(C54)),11),"")</f>
        <v/>
      </c>
      <c r="C77" s="1104"/>
      <c r="D77" s="1104"/>
      <c r="E77" s="1104"/>
      <c r="F77" s="1105"/>
      <c r="G77" s="124" t="str">
        <f t="array" ref="G77">IFERROR(INDEX(Masteratk2024,SMALL(IF(Kriteriaatk2024=$P$4,ROW(Kriteriaatk2024)),ROW(C54)),12),"")</f>
        <v/>
      </c>
      <c r="H77" s="1101" t="str">
        <f t="array" ref="H77">IFERROR(INDEX(Masteratk2024,SMALL(IF(Kriteriaatk2024=$P$4,ROW(Kriteriaatk2024)),ROW(D54)),13),"")</f>
        <v/>
      </c>
      <c r="I77" s="1102"/>
      <c r="J77" s="124" t="str">
        <f t="shared" si="5"/>
        <v/>
      </c>
      <c r="K77" s="2" t="str">
        <f t="shared" si="6"/>
        <v>0</v>
      </c>
    </row>
    <row r="78" spans="1:11" s="2" customFormat="1" ht="29" hidden="1" customHeight="1">
      <c r="A78" s="89" t="str">
        <f>IF(B78&lt;&gt;"",COUNTA($B$24:B78),"")</f>
        <v/>
      </c>
      <c r="B78" s="1103" t="str">
        <f t="array" ref="B78">IFERROR(INDEX(Masteratk2024,SMALL(IF(Kriteriaatk2024=$P$4,ROW(Kriteriaatk2024)),ROW(C55)),11),"")</f>
        <v/>
      </c>
      <c r="C78" s="1104"/>
      <c r="D78" s="1104"/>
      <c r="E78" s="1104"/>
      <c r="F78" s="1105"/>
      <c r="G78" s="124" t="str">
        <f t="array" ref="G78">IFERROR(INDEX(Masteratk2024,SMALL(IF(Kriteriaatk2024=$P$4,ROW(Kriteriaatk2024)),ROW(C55)),12),"")</f>
        <v/>
      </c>
      <c r="H78" s="1101" t="str">
        <f t="array" ref="H78">IFERROR(INDEX(Masteratk2024,SMALL(IF(Kriteriaatk2024=$P$4,ROW(Kriteriaatk2024)),ROW(D55)),13),"")</f>
        <v/>
      </c>
      <c r="I78" s="1102"/>
      <c r="J78" s="124" t="str">
        <f t="shared" si="5"/>
        <v/>
      </c>
      <c r="K78" s="2" t="str">
        <f t="shared" si="6"/>
        <v>0</v>
      </c>
    </row>
    <row r="79" spans="1:11" s="2" customFormat="1" ht="29" hidden="1" customHeight="1">
      <c r="A79" s="89" t="str">
        <f>IF(B79&lt;&gt;"",COUNTA($B$24:B79),"")</f>
        <v/>
      </c>
      <c r="B79" s="1103" t="str">
        <f t="array" ref="B79">IFERROR(INDEX(Masteratk2024,SMALL(IF(Kriteriaatk2024=$P$4,ROW(Kriteriaatk2024)),ROW(C56)),11),"")</f>
        <v/>
      </c>
      <c r="C79" s="1104"/>
      <c r="D79" s="1104"/>
      <c r="E79" s="1104"/>
      <c r="F79" s="1105"/>
      <c r="G79" s="124" t="str">
        <f t="array" ref="G79">IFERROR(INDEX(Masteratk2024,SMALL(IF(Kriteriaatk2024=$P$4,ROW(Kriteriaatk2024)),ROW(C56)),12),"")</f>
        <v/>
      </c>
      <c r="H79" s="1101" t="str">
        <f t="array" ref="H79">IFERROR(INDEX(Masteratk2024,SMALL(IF(Kriteriaatk2024=$P$4,ROW(Kriteriaatk2024)),ROW(D56)),13),"")</f>
        <v/>
      </c>
      <c r="I79" s="1102"/>
      <c r="J79" s="124" t="str">
        <f t="shared" si="5"/>
        <v/>
      </c>
      <c r="K79" s="2" t="str">
        <f t="shared" si="6"/>
        <v>0</v>
      </c>
    </row>
    <row r="80" spans="1:11" s="2" customFormat="1" ht="29" hidden="1" customHeight="1">
      <c r="A80" s="89" t="str">
        <f>IF(B80&lt;&gt;"",COUNTA($B$24:B80),"")</f>
        <v/>
      </c>
      <c r="B80" s="1103" t="str">
        <f t="array" ref="B80">IFERROR(INDEX(Masteratk2024,SMALL(IF(Kriteriaatk2024=$P$4,ROW(Kriteriaatk2024)),ROW(C57)),11),"")</f>
        <v/>
      </c>
      <c r="C80" s="1104"/>
      <c r="D80" s="1104"/>
      <c r="E80" s="1104"/>
      <c r="F80" s="1105"/>
      <c r="G80" s="124" t="str">
        <f t="array" ref="G80">IFERROR(INDEX(Masteratk2024,SMALL(IF(Kriteriaatk2024=$P$4,ROW(Kriteriaatk2024)),ROW(C57)),12),"")</f>
        <v/>
      </c>
      <c r="H80" s="1101" t="str">
        <f t="array" ref="H80">IFERROR(INDEX(Masteratk2024,SMALL(IF(Kriteriaatk2024=$P$4,ROW(Kriteriaatk2024)),ROW(D57)),13),"")</f>
        <v/>
      </c>
      <c r="I80" s="1102"/>
      <c r="J80" s="124" t="str">
        <f t="shared" si="5"/>
        <v/>
      </c>
      <c r="K80" s="2" t="str">
        <f t="shared" si="6"/>
        <v>0</v>
      </c>
    </row>
    <row r="81" spans="1:11" s="2" customFormat="1" ht="29" hidden="1" customHeight="1">
      <c r="A81" s="89" t="str">
        <f>IF(B81&lt;&gt;"",COUNTA($B$24:B81),"")</f>
        <v/>
      </c>
      <c r="B81" s="1103" t="str">
        <f t="array" ref="B81">IFERROR(INDEX(Masteratk2024,SMALL(IF(Kriteriaatk2024=$P$4,ROW(Kriteriaatk2024)),ROW(C58)),11),"")</f>
        <v/>
      </c>
      <c r="C81" s="1104"/>
      <c r="D81" s="1104"/>
      <c r="E81" s="1104"/>
      <c r="F81" s="1105"/>
      <c r="G81" s="124" t="str">
        <f t="array" ref="G81">IFERROR(INDEX(Masteratk2024,SMALL(IF(Kriteriaatk2024=$P$4,ROW(Kriteriaatk2024)),ROW(C58)),12),"")</f>
        <v/>
      </c>
      <c r="H81" s="1101" t="str">
        <f t="array" ref="H81">IFERROR(INDEX(Masteratk2024,SMALL(IF(Kriteriaatk2024=$P$4,ROW(Kriteriaatk2024)),ROW(D58)),13),"")</f>
        <v/>
      </c>
      <c r="I81" s="1102"/>
      <c r="J81" s="124" t="str">
        <f t="shared" si="5"/>
        <v/>
      </c>
      <c r="K81" s="2" t="str">
        <f t="shared" si="6"/>
        <v>0</v>
      </c>
    </row>
    <row r="82" spans="1:11" s="2" customFormat="1" ht="29" hidden="1" customHeight="1">
      <c r="A82" s="89" t="str">
        <f>IF(B82&lt;&gt;"",COUNTA($B$24:B82),"")</f>
        <v/>
      </c>
      <c r="B82" s="1103" t="str">
        <f t="array" ref="B82">IFERROR(INDEX(Masteratk2024,SMALL(IF(Kriteriaatk2024=$P$4,ROW(Kriteriaatk2024)),ROW(C59)),11),"")</f>
        <v/>
      </c>
      <c r="C82" s="1104"/>
      <c r="D82" s="1104"/>
      <c r="E82" s="1104"/>
      <c r="F82" s="1105"/>
      <c r="G82" s="124" t="str">
        <f t="array" ref="G82">IFERROR(INDEX(Masteratk2024,SMALL(IF(Kriteriaatk2024=$P$4,ROW(Kriteriaatk2024)),ROW(C59)),12),"")</f>
        <v/>
      </c>
      <c r="H82" s="1101" t="str">
        <f t="array" ref="H82">IFERROR(INDEX(Masteratk2024,SMALL(IF(Kriteriaatk2024=$P$4,ROW(Kriteriaatk2024)),ROW(D59)),13),"")</f>
        <v/>
      </c>
      <c r="I82" s="1102"/>
      <c r="J82" s="124" t="str">
        <f t="shared" si="5"/>
        <v/>
      </c>
      <c r="K82" s="2" t="str">
        <f t="shared" si="6"/>
        <v>0</v>
      </c>
    </row>
    <row r="83" spans="1:11" s="2" customFormat="1" ht="29" hidden="1" customHeight="1">
      <c r="A83" s="89" t="str">
        <f>IF(B83&lt;&gt;"",COUNTA($B$24:B83),"")</f>
        <v/>
      </c>
      <c r="B83" s="1103" t="str">
        <f t="array" ref="B83">IFERROR(INDEX(Masteratk2024,SMALL(IF(Kriteriaatk2024=$P$4,ROW(Kriteriaatk2024)),ROW(C60)),11),"")</f>
        <v/>
      </c>
      <c r="C83" s="1104"/>
      <c r="D83" s="1104"/>
      <c r="E83" s="1104"/>
      <c r="F83" s="1105"/>
      <c r="G83" s="124" t="str">
        <f t="array" ref="G83">IFERROR(INDEX(Masteratk2024,SMALL(IF(Kriteriaatk2024=$P$4,ROW(Kriteriaatk2024)),ROW(C60)),12),"")</f>
        <v/>
      </c>
      <c r="H83" s="1101" t="str">
        <f t="array" ref="H83">IFERROR(INDEX(Masteratk2024,SMALL(IF(Kriteriaatk2024=$P$4,ROW(Kriteriaatk2024)),ROW(D60)),13),"")</f>
        <v/>
      </c>
      <c r="I83" s="1102"/>
      <c r="J83" s="124" t="str">
        <f t="shared" si="5"/>
        <v/>
      </c>
      <c r="K83" s="2" t="str">
        <f t="shared" si="6"/>
        <v>0</v>
      </c>
    </row>
    <row r="84" spans="1:11" s="2" customFormat="1" ht="29" hidden="1" customHeight="1">
      <c r="A84" s="89" t="str">
        <f>IF(B84&lt;&gt;"",COUNTA($B$24:B84),"")</f>
        <v/>
      </c>
      <c r="B84" s="1103" t="str">
        <f t="array" ref="B84">IFERROR(INDEX(Masteratk2024,SMALL(IF(Kriteriaatk2024=$P$4,ROW(Kriteriaatk2024)),ROW(C61)),11),"")</f>
        <v/>
      </c>
      <c r="C84" s="1104"/>
      <c r="D84" s="1104"/>
      <c r="E84" s="1104"/>
      <c r="F84" s="1105"/>
      <c r="G84" s="124" t="str">
        <f t="array" ref="G84">IFERROR(INDEX(Masteratk2024,SMALL(IF(Kriteriaatk2024=$P$4,ROW(Kriteriaatk2024)),ROW(C61)),12),"")</f>
        <v/>
      </c>
      <c r="H84" s="1101" t="str">
        <f t="array" ref="H84">IFERROR(INDEX(Masteratk2024,SMALL(IF(Kriteriaatk2024=$P$4,ROW(Kriteriaatk2024)),ROW(D61)),13),"")</f>
        <v/>
      </c>
      <c r="I84" s="1102"/>
      <c r="J84" s="124" t="str">
        <f t="shared" si="5"/>
        <v/>
      </c>
      <c r="K84" s="2" t="str">
        <f t="shared" si="6"/>
        <v>0</v>
      </c>
    </row>
    <row r="85" spans="1:11" s="2" customFormat="1" ht="29" hidden="1" customHeight="1">
      <c r="A85" s="89" t="str">
        <f>IF(B85&lt;&gt;"",COUNTA($B$24:B85),"")</f>
        <v/>
      </c>
      <c r="B85" s="1103" t="str">
        <f t="array" ref="B85">IFERROR(INDEX(Masteratk2024,SMALL(IF(Kriteriaatk2024=$P$4,ROW(Kriteriaatk2024)),ROW(C62)),11),"")</f>
        <v/>
      </c>
      <c r="C85" s="1104"/>
      <c r="D85" s="1104"/>
      <c r="E85" s="1104"/>
      <c r="F85" s="1105"/>
      <c r="G85" s="124" t="str">
        <f t="array" ref="G85">IFERROR(INDEX(Masteratk2024,SMALL(IF(Kriteriaatk2024=$P$4,ROW(Kriteriaatk2024)),ROW(C62)),12),"")</f>
        <v/>
      </c>
      <c r="H85" s="1101" t="str">
        <f t="array" ref="H85">IFERROR(INDEX(Masteratk2024,SMALL(IF(Kriteriaatk2024=$P$4,ROW(Kriteriaatk2024)),ROW(D62)),13),"")</f>
        <v/>
      </c>
      <c r="I85" s="1102"/>
      <c r="J85" s="124" t="str">
        <f t="shared" si="5"/>
        <v/>
      </c>
      <c r="K85" s="2" t="str">
        <f t="shared" si="6"/>
        <v>0</v>
      </c>
    </row>
    <row r="86" spans="1:11" s="2" customFormat="1" ht="29" hidden="1" customHeight="1">
      <c r="A86" s="89" t="str">
        <f>IF(B86&lt;&gt;"",COUNTA($B$24:B86),"")</f>
        <v/>
      </c>
      <c r="B86" s="1103" t="str">
        <f t="array" ref="B86">IFERROR(INDEX(Masteratk2024,SMALL(IF(Kriteriaatk2024=$P$4,ROW(Kriteriaatk2024)),ROW(C63)),11),"")</f>
        <v/>
      </c>
      <c r="C86" s="1104"/>
      <c r="D86" s="1104"/>
      <c r="E86" s="1104"/>
      <c r="F86" s="1105"/>
      <c r="G86" s="124" t="str">
        <f t="array" ref="G86">IFERROR(INDEX(Masteratk2024,SMALL(IF(Kriteriaatk2024=$P$4,ROW(Kriteriaatk2024)),ROW(C63)),12),"")</f>
        <v/>
      </c>
      <c r="H86" s="1101" t="str">
        <f t="array" ref="H86">IFERROR(INDEX(Masteratk2024,SMALL(IF(Kriteriaatk2024=$P$4,ROW(Kriteriaatk2024)),ROW(D63)),13),"")</f>
        <v/>
      </c>
      <c r="I86" s="1102"/>
      <c r="J86" s="124" t="str">
        <f t="shared" si="5"/>
        <v/>
      </c>
      <c r="K86" s="2" t="str">
        <f t="shared" si="6"/>
        <v>0</v>
      </c>
    </row>
    <row r="87" spans="1:11" s="2" customFormat="1" ht="29" hidden="1" customHeight="1">
      <c r="A87" s="89" t="str">
        <f>IF(B87&lt;&gt;"",COUNTA($B$24:B87),"")</f>
        <v/>
      </c>
      <c r="B87" s="1103" t="str">
        <f t="array" ref="B87">IFERROR(INDEX(Masteratk2024,SMALL(IF(Kriteriaatk2024=$P$4,ROW(Kriteriaatk2024)),ROW(C64)),11),"")</f>
        <v/>
      </c>
      <c r="C87" s="1104"/>
      <c r="D87" s="1104"/>
      <c r="E87" s="1104"/>
      <c r="F87" s="1105"/>
      <c r="G87" s="124" t="str">
        <f t="array" ref="G87">IFERROR(INDEX(Masteratk2024,SMALL(IF(Kriteriaatk2024=$P$4,ROW(Kriteriaatk2024)),ROW(C64)),12),"")</f>
        <v/>
      </c>
      <c r="H87" s="1101" t="str">
        <f t="array" ref="H87">IFERROR(INDEX(Masteratk2024,SMALL(IF(Kriteriaatk2024=$P$4,ROW(Kriteriaatk2024)),ROW(D64)),13),"")</f>
        <v/>
      </c>
      <c r="I87" s="1102"/>
      <c r="J87" s="124" t="str">
        <f t="shared" si="5"/>
        <v/>
      </c>
      <c r="K87" s="2" t="str">
        <f t="shared" si="6"/>
        <v>0</v>
      </c>
    </row>
    <row r="88" spans="1:11" s="2" customFormat="1" ht="29" hidden="1" customHeight="1">
      <c r="A88" s="89" t="str">
        <f>IF(B88&lt;&gt;"",COUNTA($B$24:B88),"")</f>
        <v/>
      </c>
      <c r="B88" s="1103" t="str">
        <f t="array" ref="B88">IFERROR(INDEX(Masteratk2024,SMALL(IF(Kriteriaatk2024=$P$4,ROW(Kriteriaatk2024)),ROW(C65)),11),"")</f>
        <v/>
      </c>
      <c r="C88" s="1104"/>
      <c r="D88" s="1104"/>
      <c r="E88" s="1104"/>
      <c r="F88" s="1105"/>
      <c r="G88" s="124" t="str">
        <f t="array" ref="G88">IFERROR(INDEX(Masteratk2024,SMALL(IF(Kriteriaatk2024=$P$4,ROW(Kriteriaatk2024)),ROW(C65)),12),"")</f>
        <v/>
      </c>
      <c r="H88" s="1101" t="str">
        <f t="array" ref="H88">IFERROR(INDEX(Masteratk2024,SMALL(IF(Kriteriaatk2024=$P$4,ROW(Kriteriaatk2024)),ROW(D65)),13),"")</f>
        <v/>
      </c>
      <c r="I88" s="1102"/>
      <c r="J88" s="124" t="str">
        <f t="shared" si="5"/>
        <v/>
      </c>
      <c r="K88" s="2" t="str">
        <f t="shared" si="6"/>
        <v>0</v>
      </c>
    </row>
    <row r="89" spans="1:11" s="2" customFormat="1" ht="29" hidden="1" customHeight="1">
      <c r="A89" s="89" t="str">
        <f>IF(B89&lt;&gt;"",COUNTA($B$24:B89),"")</f>
        <v/>
      </c>
      <c r="B89" s="1103" t="str">
        <f t="array" ref="B89">IFERROR(INDEX(Masteratk2024,SMALL(IF(Kriteriaatk2024=$P$4,ROW(Kriteriaatk2024)),ROW(C66)),11),"")</f>
        <v/>
      </c>
      <c r="C89" s="1104"/>
      <c r="D89" s="1104"/>
      <c r="E89" s="1104"/>
      <c r="F89" s="1105"/>
      <c r="G89" s="124" t="str">
        <f t="array" ref="G89">IFERROR(INDEX(Masteratk2024,SMALL(IF(Kriteriaatk2024=$P$4,ROW(Kriteriaatk2024)),ROW(C66)),12),"")</f>
        <v/>
      </c>
      <c r="H89" s="1101" t="str">
        <f t="array" ref="H89">IFERROR(INDEX(Masteratk2024,SMALL(IF(Kriteriaatk2024=$P$4,ROW(Kriteriaatk2024)),ROW(D66)),13),"")</f>
        <v/>
      </c>
      <c r="I89" s="1102"/>
      <c r="J89" s="124" t="str">
        <f t="shared" si="5"/>
        <v/>
      </c>
      <c r="K89" s="2" t="str">
        <f t="shared" si="6"/>
        <v>0</v>
      </c>
    </row>
    <row r="90" spans="1:11" s="2" customFormat="1" ht="29" hidden="1" customHeight="1">
      <c r="A90" s="89" t="str">
        <f>IF(B90&lt;&gt;"",COUNTA($B$24:B90),"")</f>
        <v/>
      </c>
      <c r="B90" s="1103" t="str">
        <f t="array" ref="B90">IFERROR(INDEX(Masteratk2024,SMALL(IF(Kriteriaatk2024=$P$4,ROW(Kriteriaatk2024)),ROW(C67)),11),"")</f>
        <v/>
      </c>
      <c r="C90" s="1104"/>
      <c r="D90" s="1104"/>
      <c r="E90" s="1104"/>
      <c r="F90" s="1105"/>
      <c r="G90" s="124" t="str">
        <f t="array" ref="G90">IFERROR(INDEX(Masteratk2024,SMALL(IF(Kriteriaatk2024=$P$4,ROW(Kriteriaatk2024)),ROW(C67)),12),"")</f>
        <v/>
      </c>
      <c r="H90" s="1101" t="str">
        <f t="array" ref="H90">IFERROR(INDEX(Masteratk2024,SMALL(IF(Kriteriaatk2024=$P$4,ROW(Kriteriaatk2024)),ROW(D67)),13),"")</f>
        <v/>
      </c>
      <c r="I90" s="1102"/>
      <c r="J90" s="124" t="str">
        <f t="shared" si="5"/>
        <v/>
      </c>
      <c r="K90" s="2" t="str">
        <f t="shared" si="6"/>
        <v>0</v>
      </c>
    </row>
    <row r="91" spans="1:11" s="2" customFormat="1" ht="29" hidden="1" customHeight="1">
      <c r="A91" s="89" t="str">
        <f>IF(B91&lt;&gt;"",COUNTA($B$24:B91),"")</f>
        <v/>
      </c>
      <c r="B91" s="1103" t="str">
        <f t="array" ref="B91">IFERROR(INDEX(Masteratk2024,SMALL(IF(Kriteriaatk2024=$P$4,ROW(Kriteriaatk2024)),ROW(C68)),11),"")</f>
        <v/>
      </c>
      <c r="C91" s="1104"/>
      <c r="D91" s="1104"/>
      <c r="E91" s="1104"/>
      <c r="F91" s="1105"/>
      <c r="G91" s="124" t="str">
        <f t="array" ref="G91">IFERROR(INDEX(Masteratk2024,SMALL(IF(Kriteriaatk2024=$P$4,ROW(Kriteriaatk2024)),ROW(C68)),12),"")</f>
        <v/>
      </c>
      <c r="H91" s="1101" t="str">
        <f t="array" ref="H91">IFERROR(INDEX(Masteratk2024,SMALL(IF(Kriteriaatk2024=$P$4,ROW(Kriteriaatk2024)),ROW(D68)),13),"")</f>
        <v/>
      </c>
      <c r="I91" s="1102"/>
      <c r="J91" s="124" t="str">
        <f t="shared" si="5"/>
        <v/>
      </c>
      <c r="K91" s="2" t="str">
        <f t="shared" si="6"/>
        <v>0</v>
      </c>
    </row>
    <row r="92" spans="1:11" s="2" customFormat="1" ht="29" hidden="1" customHeight="1">
      <c r="A92" s="89" t="str">
        <f>IF(B92&lt;&gt;"",COUNTA($B$24:B92),"")</f>
        <v/>
      </c>
      <c r="B92" s="1103" t="str">
        <f t="array" ref="B92">IFERROR(INDEX(Masteratk2024,SMALL(IF(Kriteriaatk2024=$P$4,ROW(Kriteriaatk2024)),ROW(C69)),11),"")</f>
        <v/>
      </c>
      <c r="C92" s="1104"/>
      <c r="D92" s="1104"/>
      <c r="E92" s="1104"/>
      <c r="F92" s="1105"/>
      <c r="G92" s="124" t="str">
        <f t="array" ref="G92">IFERROR(INDEX(Masteratk2024,SMALL(IF(Kriteriaatk2024=$P$4,ROW(Kriteriaatk2024)),ROW(C69)),12),"")</f>
        <v/>
      </c>
      <c r="H92" s="1101" t="str">
        <f t="array" ref="H92">IFERROR(INDEX(Masteratk2024,SMALL(IF(Kriteriaatk2024=$P$4,ROW(Kriteriaatk2024)),ROW(D69)),13),"")</f>
        <v/>
      </c>
      <c r="I92" s="1102"/>
      <c r="J92" s="124" t="str">
        <f t="shared" si="5"/>
        <v/>
      </c>
      <c r="K92" s="2" t="str">
        <f t="shared" si="6"/>
        <v>0</v>
      </c>
    </row>
    <row r="93" spans="1:11" s="2" customFormat="1" ht="29" hidden="1" customHeight="1">
      <c r="A93" s="89" t="str">
        <f>IF(B93&lt;&gt;"",COUNTA($B$24:B93),"")</f>
        <v/>
      </c>
      <c r="B93" s="1103" t="str">
        <f t="array" ref="B93">IFERROR(INDEX(Masteratk2024,SMALL(IF(Kriteriaatk2024=$P$4,ROW(Kriteriaatk2024)),ROW(C70)),11),"")</f>
        <v/>
      </c>
      <c r="C93" s="1104"/>
      <c r="D93" s="1104"/>
      <c r="E93" s="1104"/>
      <c r="F93" s="1105"/>
      <c r="G93" s="124" t="str">
        <f t="array" ref="G93">IFERROR(INDEX(Masteratk2024,SMALL(IF(Kriteriaatk2024=$P$4,ROW(Kriteriaatk2024)),ROW(C70)),12),"")</f>
        <v/>
      </c>
      <c r="H93" s="1101" t="str">
        <f t="array" ref="H93">IFERROR(INDEX(Masteratk2024,SMALL(IF(Kriteriaatk2024=$P$4,ROW(Kriteriaatk2024)),ROW(D70)),13),"")</f>
        <v/>
      </c>
      <c r="I93" s="1102"/>
      <c r="J93" s="124" t="str">
        <f t="shared" si="5"/>
        <v/>
      </c>
      <c r="K93" s="2" t="str">
        <f t="shared" si="6"/>
        <v>0</v>
      </c>
    </row>
    <row r="94" spans="1:11" s="2" customFormat="1" ht="29" hidden="1" customHeight="1">
      <c r="A94" s="89" t="str">
        <f>IF(B94&lt;&gt;"",COUNTA($B$24:B94),"")</f>
        <v/>
      </c>
      <c r="B94" s="1103" t="str">
        <f t="array" ref="B94">IFERROR(INDEX(Masteratk2024,SMALL(IF(Kriteriaatk2024=$P$4,ROW(Kriteriaatk2024)),ROW(C71)),11),"")</f>
        <v/>
      </c>
      <c r="C94" s="1104"/>
      <c r="D94" s="1104"/>
      <c r="E94" s="1104"/>
      <c r="F94" s="1105"/>
      <c r="G94" s="124" t="str">
        <f t="array" ref="G94">IFERROR(INDEX(Masteratk2024,SMALL(IF(Kriteriaatk2024=$P$4,ROW(Kriteriaatk2024)),ROW(C71)),12),"")</f>
        <v/>
      </c>
      <c r="H94" s="1101" t="str">
        <f t="array" ref="H94">IFERROR(INDEX(Masteratk2024,SMALL(IF(Kriteriaatk2024=$P$4,ROW(Kriteriaatk2024)),ROW(D71)),13),"")</f>
        <v/>
      </c>
      <c r="I94" s="1102"/>
      <c r="J94" s="124" t="str">
        <f t="shared" si="5"/>
        <v/>
      </c>
      <c r="K94" s="2" t="str">
        <f t="shared" si="6"/>
        <v>0</v>
      </c>
    </row>
    <row r="95" spans="1:11" s="2" customFormat="1" ht="29" hidden="1" customHeight="1">
      <c r="A95" s="89" t="str">
        <f>IF(B95&lt;&gt;"",COUNTA($B$24:B95),"")</f>
        <v/>
      </c>
      <c r="B95" s="1103" t="str">
        <f t="array" ref="B95">IFERROR(INDEX(Masteratk2024,SMALL(IF(Kriteriaatk2024=$P$4,ROW(Kriteriaatk2024)),ROW(C72)),11),"")</f>
        <v/>
      </c>
      <c r="C95" s="1104"/>
      <c r="D95" s="1104"/>
      <c r="E95" s="1104"/>
      <c r="F95" s="1105"/>
      <c r="G95" s="124" t="str">
        <f t="array" ref="G95">IFERROR(INDEX(Masteratk2024,SMALL(IF(Kriteriaatk2024=$P$4,ROW(Kriteriaatk2024)),ROW(C72)),12),"")</f>
        <v/>
      </c>
      <c r="H95" s="1101" t="str">
        <f t="array" ref="H95">IFERROR(INDEX(Masteratk2024,SMALL(IF(Kriteriaatk2024=$P$4,ROW(Kriteriaatk2024)),ROW(D72)),13),"")</f>
        <v/>
      </c>
      <c r="I95" s="1102"/>
      <c r="J95" s="124" t="str">
        <f t="shared" si="5"/>
        <v/>
      </c>
      <c r="K95" s="2" t="str">
        <f t="shared" si="6"/>
        <v>0</v>
      </c>
    </row>
    <row r="96" spans="1:11" s="2" customFormat="1" ht="29" hidden="1" customHeight="1">
      <c r="A96" s="89" t="str">
        <f>IF(B96&lt;&gt;"",COUNTA($B$24:B96),"")</f>
        <v/>
      </c>
      <c r="B96" s="1103" t="str">
        <f t="array" ref="B96">IFERROR(INDEX(Masteratk2024,SMALL(IF(Kriteriaatk2024=$P$4,ROW(Kriteriaatk2024)),ROW(C73)),11),"")</f>
        <v/>
      </c>
      <c r="C96" s="1104"/>
      <c r="D96" s="1104"/>
      <c r="E96" s="1104"/>
      <c r="F96" s="1105"/>
      <c r="G96" s="124" t="str">
        <f t="array" ref="G96">IFERROR(INDEX(Masteratk2024,SMALL(IF(Kriteriaatk2024=$P$4,ROW(Kriteriaatk2024)),ROW(C73)),12),"")</f>
        <v/>
      </c>
      <c r="H96" s="1101" t="str">
        <f t="array" ref="H96">IFERROR(INDEX(Masteratk2024,SMALL(IF(Kriteriaatk2024=$P$4,ROW(Kriteriaatk2024)),ROW(D73)),13),"")</f>
        <v/>
      </c>
      <c r="I96" s="1102"/>
      <c r="J96" s="124" t="str">
        <f t="shared" si="5"/>
        <v/>
      </c>
      <c r="K96" s="2" t="str">
        <f t="shared" si="6"/>
        <v>0</v>
      </c>
    </row>
    <row r="97" spans="1:11" s="2" customFormat="1" ht="29" hidden="1" customHeight="1">
      <c r="A97" s="89" t="str">
        <f>IF(B97&lt;&gt;"",COUNTA($B$24:B97),"")</f>
        <v/>
      </c>
      <c r="B97" s="1103" t="str">
        <f t="array" ref="B97">IFERROR(INDEX(Masteratk2024,SMALL(IF(Kriteriaatk2024=$P$4,ROW(Kriteriaatk2024)),ROW(C74)),11),"")</f>
        <v/>
      </c>
      <c r="C97" s="1104"/>
      <c r="D97" s="1104"/>
      <c r="E97" s="1104"/>
      <c r="F97" s="1105"/>
      <c r="G97" s="124" t="str">
        <f t="array" ref="G97">IFERROR(INDEX(Masteratk2024,SMALL(IF(Kriteriaatk2024=$P$4,ROW(Kriteriaatk2024)),ROW(C74)),12),"")</f>
        <v/>
      </c>
      <c r="H97" s="1101" t="str">
        <f t="array" ref="H97">IFERROR(INDEX(Masteratk2024,SMALL(IF(Kriteriaatk2024=$P$4,ROW(Kriteriaatk2024)),ROW(D74)),13),"")</f>
        <v/>
      </c>
      <c r="I97" s="1102"/>
      <c r="J97" s="124" t="str">
        <f t="shared" si="5"/>
        <v/>
      </c>
      <c r="K97" s="2" t="str">
        <f t="shared" si="6"/>
        <v>0</v>
      </c>
    </row>
    <row r="98" spans="1:11" s="2" customFormat="1" ht="29" hidden="1" customHeight="1">
      <c r="A98" s="89" t="str">
        <f>IF(B98&lt;&gt;"",COUNTA($B$24:B98),"")</f>
        <v/>
      </c>
      <c r="B98" s="1103" t="str">
        <f t="array" ref="B98">IFERROR(INDEX(Masteratk2024,SMALL(IF(Kriteriaatk2024=$P$4,ROW(Kriteriaatk2024)),ROW(C75)),11),"")</f>
        <v/>
      </c>
      <c r="C98" s="1104"/>
      <c r="D98" s="1104"/>
      <c r="E98" s="1104"/>
      <c r="F98" s="1105"/>
      <c r="G98" s="124" t="str">
        <f t="array" ref="G98">IFERROR(INDEX(Masteratk2024,SMALL(IF(Kriteriaatk2024=$P$4,ROW(Kriteriaatk2024)),ROW(C75)),12),"")</f>
        <v/>
      </c>
      <c r="H98" s="1101" t="str">
        <f t="array" ref="H98">IFERROR(INDEX(Masteratk2024,SMALL(IF(Kriteriaatk2024=$P$4,ROW(Kriteriaatk2024)),ROW(D75)),13),"")</f>
        <v/>
      </c>
      <c r="I98" s="1102"/>
      <c r="J98" s="124" t="str">
        <f t="shared" si="5"/>
        <v/>
      </c>
      <c r="K98" s="2" t="str">
        <f t="shared" si="6"/>
        <v>0</v>
      </c>
    </row>
    <row r="99" spans="1:11" s="2" customFormat="1" ht="29" hidden="1" customHeight="1">
      <c r="A99" s="89" t="str">
        <f>IF(B99&lt;&gt;"",COUNTA($B$24:B99),"")</f>
        <v/>
      </c>
      <c r="B99" s="1103" t="str">
        <f t="array" ref="B99">IFERROR(INDEX(Masteratk2024,SMALL(IF(Kriteriaatk2024=$P$4,ROW(Kriteriaatk2024)),ROW(C76)),11),"")</f>
        <v/>
      </c>
      <c r="C99" s="1104"/>
      <c r="D99" s="1104"/>
      <c r="E99" s="1104"/>
      <c r="F99" s="1105"/>
      <c r="G99" s="124" t="str">
        <f t="array" ref="G99">IFERROR(INDEX(Masteratk2024,SMALL(IF(Kriteriaatk2024=$P$4,ROW(Kriteriaatk2024)),ROW(C76)),12),"")</f>
        <v/>
      </c>
      <c r="H99" s="1101" t="str">
        <f t="array" ref="H99">IFERROR(INDEX(Masteratk2024,SMALL(IF(Kriteriaatk2024=$P$4,ROW(Kriteriaatk2024)),ROW(D76)),13),"")</f>
        <v/>
      </c>
      <c r="I99" s="1102"/>
      <c r="J99" s="124" t="str">
        <f t="shared" si="5"/>
        <v/>
      </c>
      <c r="K99" s="2" t="str">
        <f t="shared" si="6"/>
        <v>0</v>
      </c>
    </row>
    <row r="100" spans="1:11" s="2" customFormat="1" ht="29" hidden="1" customHeight="1">
      <c r="A100" s="89" t="str">
        <f>IF(B100&lt;&gt;"",COUNTA($B$24:B100),"")</f>
        <v/>
      </c>
      <c r="B100" s="1103" t="str">
        <f t="array" ref="B100">IFERROR(INDEX(Masteratk2024,SMALL(IF(Kriteriaatk2024=$P$4,ROW(Kriteriaatk2024)),ROW(C77)),11),"")</f>
        <v/>
      </c>
      <c r="C100" s="1104"/>
      <c r="D100" s="1104"/>
      <c r="E100" s="1104"/>
      <c r="F100" s="1105"/>
      <c r="G100" s="124" t="str">
        <f t="array" ref="G100">IFERROR(INDEX(Masteratk2024,SMALL(IF(Kriteriaatk2024=$P$4,ROW(Kriteriaatk2024)),ROW(C77)),12),"")</f>
        <v/>
      </c>
      <c r="H100" s="1101" t="str">
        <f t="array" ref="H100">IFERROR(INDEX(Masteratk2024,SMALL(IF(Kriteriaatk2024=$P$4,ROW(Kriteriaatk2024)),ROW(D77)),13),"")</f>
        <v/>
      </c>
      <c r="I100" s="1102"/>
      <c r="J100" s="124" t="str">
        <f t="shared" si="5"/>
        <v/>
      </c>
      <c r="K100" s="2" t="str">
        <f t="shared" si="6"/>
        <v>0</v>
      </c>
    </row>
    <row r="101" spans="1:11" s="2" customFormat="1" ht="29" hidden="1" customHeight="1">
      <c r="A101" s="89" t="str">
        <f>IF(B101&lt;&gt;"",COUNTA($B$24:B101),"")</f>
        <v/>
      </c>
      <c r="B101" s="1103" t="str">
        <f t="array" ref="B101">IFERROR(INDEX(Masteratk2024,SMALL(IF(Kriteriaatk2024=$P$4,ROW(Kriteriaatk2024)),ROW(C78)),11),"")</f>
        <v/>
      </c>
      <c r="C101" s="1104"/>
      <c r="D101" s="1104"/>
      <c r="E101" s="1104"/>
      <c r="F101" s="1105"/>
      <c r="G101" s="124" t="str">
        <f t="array" ref="G101">IFERROR(INDEX(Masteratk2024,SMALL(IF(Kriteriaatk2024=$P$4,ROW(Kriteriaatk2024)),ROW(C78)),12),"")</f>
        <v/>
      </c>
      <c r="H101" s="1101" t="str">
        <f t="array" ref="H101">IFERROR(INDEX(Masteratk2024,SMALL(IF(Kriteriaatk2024=$P$4,ROW(Kriteriaatk2024)),ROW(D78)),13),"")</f>
        <v/>
      </c>
      <c r="I101" s="1102"/>
      <c r="J101" s="124" t="str">
        <f t="shared" si="5"/>
        <v/>
      </c>
      <c r="K101" s="2" t="str">
        <f t="shared" si="6"/>
        <v>0</v>
      </c>
    </row>
    <row r="102" spans="1:11" s="2" customFormat="1" ht="29" hidden="1" customHeight="1">
      <c r="A102" s="89" t="str">
        <f>IF(B102&lt;&gt;"",COUNTA($B$24:B102),"")</f>
        <v/>
      </c>
      <c r="B102" s="1103" t="str">
        <f t="array" ref="B102">IFERROR(INDEX(Masteratk2024,SMALL(IF(Kriteriaatk2024=$P$4,ROW(Kriteriaatk2024)),ROW(C79)),11),"")</f>
        <v/>
      </c>
      <c r="C102" s="1104"/>
      <c r="D102" s="1104"/>
      <c r="E102" s="1104"/>
      <c r="F102" s="1105"/>
      <c r="G102" s="124" t="str">
        <f t="array" ref="G102">IFERROR(INDEX(Masteratk2024,SMALL(IF(Kriteriaatk2024=$P$4,ROW(Kriteriaatk2024)),ROW(C79)),12),"")</f>
        <v/>
      </c>
      <c r="H102" s="1101" t="str">
        <f t="array" ref="H102">IFERROR(INDEX(Masteratk2024,SMALL(IF(Kriteriaatk2024=$P$4,ROW(Kriteriaatk2024)),ROW(D79)),13),"")</f>
        <v/>
      </c>
      <c r="I102" s="1102"/>
      <c r="J102" s="124" t="str">
        <f t="shared" si="5"/>
        <v/>
      </c>
      <c r="K102" s="2" t="str">
        <f t="shared" si="6"/>
        <v>0</v>
      </c>
    </row>
    <row r="103" spans="1:11" s="2" customFormat="1" ht="29" hidden="1" customHeight="1">
      <c r="A103" s="89" t="str">
        <f>IF(B103&lt;&gt;"",COUNTA($B$24:B103),"")</f>
        <v/>
      </c>
      <c r="B103" s="1103" t="str">
        <f t="array" ref="B103">IFERROR(INDEX(Masteratk2024,SMALL(IF(Kriteriaatk2024=$P$4,ROW(Kriteriaatk2024)),ROW(C80)),11),"")</f>
        <v/>
      </c>
      <c r="C103" s="1104"/>
      <c r="D103" s="1104"/>
      <c r="E103" s="1104"/>
      <c r="F103" s="1105"/>
      <c r="G103" s="124" t="str">
        <f t="array" ref="G103">IFERROR(INDEX(Masteratk2024,SMALL(IF(Kriteriaatk2024=$P$4,ROW(Kriteriaatk2024)),ROW(C80)),12),"")</f>
        <v/>
      </c>
      <c r="H103" s="1101" t="str">
        <f t="array" ref="H103">IFERROR(INDEX(Masteratk2024,SMALL(IF(Kriteriaatk2024=$P$4,ROW(Kriteriaatk2024)),ROW(D80)),13),"")</f>
        <v/>
      </c>
      <c r="I103" s="1102"/>
      <c r="J103" s="124" t="str">
        <f t="shared" si="5"/>
        <v/>
      </c>
      <c r="K103" s="2" t="str">
        <f t="shared" si="6"/>
        <v>0</v>
      </c>
    </row>
    <row r="104" spans="1:11" s="2" customFormat="1">
      <c r="A104" s="28"/>
      <c r="B104" s="52"/>
      <c r="C104" s="52"/>
      <c r="D104" s="52"/>
      <c r="E104" s="692"/>
      <c r="F104" s="147"/>
    </row>
    <row r="105" spans="1:11" s="2" customFormat="1" ht="31.5" customHeight="1">
      <c r="A105" s="1107" t="s">
        <v>41</v>
      </c>
      <c r="B105" s="1107"/>
      <c r="C105" s="1107"/>
      <c r="D105" s="1107"/>
      <c r="E105" s="1107"/>
      <c r="F105" s="1107"/>
      <c r="G105" s="1107"/>
      <c r="H105" s="1107"/>
      <c r="I105" s="1107"/>
      <c r="J105" s="1107"/>
    </row>
    <row r="106" spans="1:11" s="2" customFormat="1" ht="13">
      <c r="F106" s="140"/>
    </row>
    <row r="107" spans="1:11" s="2" customFormat="1" ht="13" customHeight="1">
      <c r="A107" s="52"/>
      <c r="B107" s="51" t="s">
        <v>42</v>
      </c>
      <c r="C107" s="52"/>
      <c r="E107" s="52"/>
      <c r="F107" s="145"/>
      <c r="H107" s="56" t="s">
        <v>34</v>
      </c>
    </row>
    <row r="108" spans="1:11" s="2" customFormat="1">
      <c r="A108" s="52"/>
      <c r="B108" s="52"/>
      <c r="C108" s="52"/>
      <c r="E108" s="55"/>
      <c r="F108" s="146"/>
      <c r="G108" s="52"/>
    </row>
    <row r="109" spans="1:11" s="2" customFormat="1">
      <c r="A109" s="52"/>
      <c r="B109" s="52"/>
      <c r="C109" s="52"/>
      <c r="E109" s="52"/>
      <c r="F109" s="147"/>
      <c r="G109" s="52"/>
    </row>
    <row r="110" spans="1:11" s="2" customFormat="1">
      <c r="A110" s="52"/>
      <c r="B110" s="52"/>
      <c r="C110" s="52"/>
      <c r="E110" s="52"/>
      <c r="F110" s="147"/>
      <c r="G110" s="52"/>
    </row>
    <row r="111" spans="1:11" s="2" customFormat="1">
      <c r="A111" s="52"/>
      <c r="B111" s="52"/>
      <c r="C111" s="52"/>
      <c r="E111" s="52"/>
      <c r="F111" s="147"/>
      <c r="G111" s="52"/>
    </row>
    <row r="112" spans="1:11" s="2" customFormat="1">
      <c r="A112" s="52"/>
      <c r="B112" s="52"/>
      <c r="C112" s="52"/>
      <c r="E112" s="52"/>
      <c r="F112" s="147"/>
      <c r="G112" s="52"/>
    </row>
    <row r="113" spans="1:10" s="2" customFormat="1">
      <c r="A113" s="52"/>
      <c r="B113" s="51" t="str">
        <f>'Data Sekolah'!A12</f>
        <v>Estera Nehe, S.Pd.</v>
      </c>
      <c r="C113" s="52"/>
      <c r="E113" s="55"/>
      <c r="F113" s="146"/>
      <c r="G113" s="52"/>
      <c r="H113" s="52" t="str">
        <f t="array" ref="H113">IFERROR(INDEX(Masteratk2024,SMALL(IF(Kriteriaatk2024=$P$4,ROW(Kriteriaatk2024)),ROW(C1)),22),"")</f>
        <v>Gestiwan Bazikho</v>
      </c>
    </row>
    <row r="114" spans="1:10" s="2" customFormat="1">
      <c r="A114" s="52"/>
      <c r="B114" s="51" t="str">
        <f>'Data Sekolah'!A11</f>
        <v>Penerima Barang</v>
      </c>
      <c r="C114" s="52"/>
      <c r="E114" s="52"/>
      <c r="F114" s="145"/>
      <c r="G114" s="51"/>
      <c r="H114" s="2" t="s">
        <v>4</v>
      </c>
    </row>
    <row r="115" spans="1:10" s="2" customFormat="1">
      <c r="A115" s="52"/>
      <c r="B115" s="52"/>
      <c r="C115" s="52"/>
      <c r="D115" s="52"/>
      <c r="E115" s="52"/>
      <c r="F115" s="147"/>
    </row>
    <row r="116" spans="1:10" s="2" customFormat="1">
      <c r="A116" s="52"/>
      <c r="B116" s="52"/>
      <c r="C116" s="52"/>
      <c r="D116" s="52"/>
      <c r="E116" s="52"/>
      <c r="F116" s="147"/>
    </row>
    <row r="117" spans="1:10" s="2" customFormat="1">
      <c r="A117" s="1112" t="s">
        <v>217</v>
      </c>
      <c r="B117" s="1112"/>
      <c r="C117" s="1112"/>
      <c r="D117" s="1112"/>
      <c r="E117" s="1112"/>
      <c r="F117" s="1112"/>
      <c r="G117" s="1112"/>
      <c r="H117" s="1112"/>
      <c r="I117" s="1112"/>
      <c r="J117" s="1112"/>
    </row>
    <row r="118" spans="1:10" s="2" customFormat="1">
      <c r="A118" s="1112" t="s">
        <v>35</v>
      </c>
      <c r="B118" s="1112"/>
      <c r="C118" s="1112"/>
      <c r="D118" s="1112"/>
      <c r="E118" s="1112"/>
      <c r="F118" s="1112"/>
      <c r="G118" s="1112"/>
      <c r="H118" s="1112"/>
      <c r="I118" s="1112"/>
      <c r="J118" s="1112"/>
    </row>
    <row r="119" spans="1:10" s="2" customFormat="1">
      <c r="A119" s="50"/>
      <c r="B119" s="50"/>
      <c r="C119" s="50"/>
      <c r="D119" s="50"/>
      <c r="E119" s="50"/>
      <c r="F119" s="148"/>
    </row>
    <row r="120" spans="1:10" s="2" customFormat="1">
      <c r="A120" s="50"/>
      <c r="B120" s="50"/>
      <c r="C120" s="50"/>
      <c r="D120" s="50"/>
      <c r="E120" s="50"/>
      <c r="F120" s="148"/>
    </row>
    <row r="121" spans="1:10" s="2" customFormat="1">
      <c r="A121" s="52"/>
      <c r="B121" s="52"/>
      <c r="C121" s="52"/>
      <c r="D121" s="52"/>
      <c r="E121" s="52"/>
      <c r="F121" s="147"/>
    </row>
    <row r="122" spans="1:10" s="2" customFormat="1">
      <c r="A122" s="52"/>
      <c r="B122" s="52"/>
      <c r="C122" s="52"/>
      <c r="D122" s="52"/>
      <c r="E122" s="52"/>
      <c r="F122" s="147"/>
    </row>
    <row r="123" spans="1:10" s="2" customFormat="1" ht="13">
      <c r="F123" s="140"/>
    </row>
    <row r="124" spans="1:10" s="2" customFormat="1">
      <c r="A124" s="1113" t="str">
        <f>'Data Sekolah'!A10</f>
        <v>Radius S. K. Siburian, S.Pd</v>
      </c>
      <c r="B124" s="1113"/>
      <c r="C124" s="1113"/>
      <c r="D124" s="1113"/>
      <c r="E124" s="1113"/>
      <c r="F124" s="1113"/>
      <c r="G124" s="1113"/>
      <c r="H124" s="1113"/>
      <c r="I124" s="1113"/>
      <c r="J124" s="1113"/>
    </row>
    <row r="125" spans="1:10" s="2" customFormat="1">
      <c r="A125" s="1112" t="str">
        <f>'Data Sekolah'!C10</f>
        <v>Penata Muda</v>
      </c>
      <c r="B125" s="1112"/>
      <c r="C125" s="1112"/>
      <c r="D125" s="1112"/>
      <c r="E125" s="1112"/>
      <c r="F125" s="1112"/>
      <c r="G125" s="1112"/>
      <c r="H125" s="1112"/>
      <c r="I125" s="1112"/>
      <c r="J125" s="1112"/>
    </row>
    <row r="126" spans="1:10" s="2" customFormat="1">
      <c r="A126" s="1112" t="str">
        <f>"NIP. "&amp;'Data Sekolah'!B10</f>
        <v>NIP. 19861005 201903 1 009</v>
      </c>
      <c r="B126" s="1112"/>
      <c r="C126" s="1112"/>
      <c r="D126" s="1112"/>
      <c r="E126" s="1112"/>
      <c r="F126" s="1112"/>
      <c r="G126" s="1112"/>
      <c r="H126" s="1112"/>
      <c r="I126" s="1112"/>
      <c r="J126" s="1112"/>
    </row>
    <row r="134" spans="1:10" s="2" customFormat="1" ht="13" customHeight="1">
      <c r="A134" s="37"/>
      <c r="B134" s="37"/>
      <c r="C134" s="37"/>
      <c r="D134" s="37"/>
      <c r="E134" s="37"/>
      <c r="F134" s="160"/>
      <c r="G134" s="37"/>
    </row>
    <row r="135" spans="1:10" s="2" customFormat="1" ht="20">
      <c r="A135" s="963"/>
      <c r="B135" s="963"/>
      <c r="C135" s="963"/>
      <c r="D135" s="963"/>
      <c r="E135" s="963"/>
      <c r="F135" s="963"/>
      <c r="G135" s="963"/>
      <c r="H135" s="963"/>
      <c r="I135" s="963"/>
      <c r="J135" s="963"/>
    </row>
    <row r="136" spans="1:10" s="2" customFormat="1">
      <c r="A136" s="39"/>
      <c r="B136" s="39"/>
      <c r="C136" s="39"/>
      <c r="D136" s="39"/>
      <c r="E136" s="39"/>
      <c r="F136" s="161"/>
      <c r="G136" s="39"/>
    </row>
    <row r="137" spans="1:10" s="4" customFormat="1" ht="26.15" customHeight="1">
      <c r="B137" s="1110"/>
      <c r="C137" s="1110"/>
      <c r="D137" s="1110"/>
      <c r="E137" s="1110"/>
      <c r="F137" s="91"/>
    </row>
    <row r="138" spans="1:10" s="4" customFormat="1" ht="14.15" customHeight="1">
      <c r="B138" s="1110"/>
      <c r="C138" s="1110"/>
      <c r="D138" s="1110"/>
      <c r="E138" s="1110"/>
      <c r="F138" s="109"/>
    </row>
    <row r="139" spans="1:10" s="4" customFormat="1" ht="14.15" customHeight="1">
      <c r="B139" s="1110"/>
      <c r="C139" s="1110"/>
      <c r="D139" s="1110"/>
      <c r="E139" s="1110"/>
      <c r="F139" s="110"/>
    </row>
    <row r="140" spans="1:10" s="4" customFormat="1" ht="14.15" customHeight="1">
      <c r="B140" s="1110"/>
      <c r="C140" s="1110"/>
      <c r="D140" s="1110"/>
      <c r="E140" s="1110"/>
      <c r="F140" s="91"/>
    </row>
    <row r="141" spans="1:10" s="4" customFormat="1" ht="14.15" customHeight="1">
      <c r="A141" s="91"/>
      <c r="B141" s="1110"/>
      <c r="C141" s="1110"/>
      <c r="D141" s="1110"/>
      <c r="E141" s="1110"/>
      <c r="F141" s="111"/>
    </row>
    <row r="142" spans="1:10" s="4" customFormat="1" ht="14.15" customHeight="1">
      <c r="B142" s="1110"/>
      <c r="C142" s="1110"/>
      <c r="D142" s="1110"/>
      <c r="E142" s="1110"/>
      <c r="F142" s="91"/>
    </row>
    <row r="143" spans="1:10" s="2" customFormat="1">
      <c r="A143" s="37"/>
      <c r="B143" s="37"/>
      <c r="C143" s="37"/>
      <c r="D143" s="37"/>
      <c r="F143" s="140"/>
      <c r="G143" s="37"/>
    </row>
    <row r="144" spans="1:10" s="2" customFormat="1">
      <c r="A144" s="37"/>
      <c r="B144" s="37"/>
      <c r="C144" s="37"/>
      <c r="D144" s="37"/>
      <c r="F144" s="140"/>
      <c r="G144" s="37"/>
    </row>
    <row r="145" spans="1:10" s="2" customFormat="1">
      <c r="A145" s="37"/>
      <c r="B145" s="37"/>
      <c r="C145" s="37"/>
      <c r="D145" s="37"/>
      <c r="E145" s="37"/>
      <c r="F145" s="160"/>
      <c r="G145" s="37"/>
    </row>
    <row r="146" spans="1:10" s="2" customFormat="1" ht="14.5" customHeight="1">
      <c r="A146" s="1117"/>
      <c r="B146" s="1117"/>
      <c r="C146" s="1117"/>
      <c r="D146" s="1109"/>
      <c r="E146" s="1109"/>
      <c r="F146" s="1109"/>
      <c r="G146" s="52"/>
      <c r="H146" s="1117"/>
      <c r="I146" s="1117"/>
      <c r="J146" s="1117"/>
    </row>
    <row r="147" spans="1:10" s="2" customFormat="1" ht="14.5" customHeight="1">
      <c r="A147" s="1117"/>
      <c r="B147" s="1117"/>
      <c r="C147" s="1117"/>
      <c r="D147" s="37"/>
      <c r="E147" s="37"/>
      <c r="F147" s="37"/>
      <c r="G147" s="52"/>
      <c r="H147" s="1117"/>
      <c r="I147" s="1117"/>
      <c r="J147" s="1117"/>
    </row>
    <row r="148" spans="1:10" s="2" customFormat="1" ht="15.5">
      <c r="A148" s="62"/>
      <c r="B148" s="62"/>
      <c r="C148" s="63"/>
      <c r="D148" s="62"/>
      <c r="F148" s="163"/>
    </row>
    <row r="149" spans="1:10" s="2" customFormat="1" ht="15.5">
      <c r="A149" s="62"/>
      <c r="B149" s="62"/>
      <c r="C149" s="62"/>
      <c r="D149" s="62"/>
      <c r="E149" s="62"/>
      <c r="F149" s="163"/>
      <c r="G149" s="37"/>
    </row>
    <row r="150" spans="1:10" s="2" customFormat="1" ht="15.5">
      <c r="A150" s="62"/>
      <c r="B150" s="62"/>
      <c r="C150" s="62"/>
      <c r="D150" s="62"/>
      <c r="E150" s="62"/>
      <c r="F150" s="163"/>
      <c r="G150" s="37"/>
    </row>
    <row r="151" spans="1:10" s="2" customFormat="1" ht="15.5">
      <c r="A151" s="62"/>
      <c r="B151" s="62"/>
      <c r="C151" s="62"/>
      <c r="D151" s="62"/>
      <c r="E151" s="62"/>
      <c r="F151" s="164"/>
      <c r="G151" s="37"/>
    </row>
    <row r="152" spans="1:10" s="2" customFormat="1" ht="15.5">
      <c r="A152" s="62"/>
      <c r="B152" s="62"/>
      <c r="C152" s="62"/>
      <c r="D152" s="62"/>
      <c r="E152" s="62"/>
      <c r="F152" s="164"/>
      <c r="G152" s="37"/>
    </row>
    <row r="153" spans="1:10" s="2" customFormat="1" ht="15.5">
      <c r="A153" s="62"/>
      <c r="B153" s="62"/>
      <c r="C153" s="62"/>
      <c r="D153" s="62"/>
      <c r="E153" s="62"/>
      <c r="F153" s="164"/>
      <c r="G153" s="37"/>
    </row>
    <row r="154" spans="1:10" s="4" customFormat="1" ht="14.5" customHeight="1">
      <c r="A154" s="1114"/>
      <c r="B154" s="1114"/>
      <c r="C154" s="1114"/>
      <c r="D154" s="1116"/>
      <c r="E154" s="1116"/>
      <c r="F154" s="1116"/>
      <c r="G154" s="56"/>
      <c r="H154" s="1116"/>
      <c r="I154" s="1116"/>
      <c r="J154" s="1116"/>
    </row>
    <row r="155" spans="1:10" s="2" customFormat="1" ht="14.5" customHeight="1">
      <c r="A155" s="1114"/>
      <c r="B155" s="1114"/>
      <c r="C155" s="1114"/>
      <c r="D155" s="1116"/>
      <c r="E155" s="1116"/>
      <c r="F155" s="1116"/>
      <c r="G155" s="52"/>
      <c r="H155" s="1117"/>
      <c r="I155" s="1117"/>
      <c r="J155" s="1117"/>
    </row>
    <row r="156" spans="1:10" s="2" customFormat="1" ht="14.5" customHeight="1">
      <c r="A156" s="1114"/>
      <c r="B156" s="1114"/>
      <c r="C156" s="1114"/>
      <c r="D156" s="1116"/>
      <c r="E156" s="1116"/>
      <c r="F156" s="1116"/>
      <c r="G156" s="37"/>
      <c r="H156" s="52"/>
      <c r="I156" s="52"/>
      <c r="J156" s="52"/>
    </row>
    <row r="157" spans="1:10" s="2" customFormat="1">
      <c r="A157" s="37"/>
      <c r="B157" s="37"/>
      <c r="C157" s="37"/>
      <c r="D157" s="37"/>
      <c r="E157" s="37"/>
      <c r="F157" s="160"/>
      <c r="G157" s="37"/>
      <c r="H157" s="52"/>
      <c r="I157" s="52"/>
      <c r="J157" s="52"/>
    </row>
    <row r="158" spans="1:10" s="2" customFormat="1">
      <c r="A158" s="37"/>
      <c r="B158" s="37"/>
      <c r="C158" s="37"/>
      <c r="D158" s="37"/>
      <c r="E158" s="37"/>
      <c r="F158" s="160"/>
      <c r="G158" s="37"/>
      <c r="H158" s="52"/>
      <c r="I158" s="52"/>
      <c r="J158" s="52"/>
    </row>
    <row r="159" spans="1:10" s="2" customFormat="1">
      <c r="A159" s="1115"/>
      <c r="B159" s="1115"/>
      <c r="C159" s="1115"/>
      <c r="D159" s="1115"/>
      <c r="E159" s="1115"/>
      <c r="F159" s="1115"/>
      <c r="G159" s="1115"/>
      <c r="H159" s="1115"/>
      <c r="I159" s="1115"/>
      <c r="J159" s="1115"/>
    </row>
    <row r="160" spans="1:10" s="2" customFormat="1">
      <c r="A160" s="1112"/>
      <c r="B160" s="1112"/>
      <c r="C160" s="1112"/>
      <c r="D160" s="1112"/>
      <c r="E160" s="1112"/>
      <c r="F160" s="1112"/>
      <c r="G160" s="1112"/>
      <c r="H160" s="1112"/>
      <c r="I160" s="1112"/>
      <c r="J160" s="1112"/>
    </row>
    <row r="161" spans="1:10" s="2" customFormat="1">
      <c r="A161" s="37"/>
      <c r="B161" s="37"/>
      <c r="C161" s="57"/>
      <c r="D161" s="37"/>
      <c r="E161" s="37"/>
      <c r="F161" s="160"/>
      <c r="G161" s="37"/>
      <c r="H161" s="52"/>
      <c r="I161" s="52"/>
      <c r="J161" s="52"/>
    </row>
    <row r="162" spans="1:10" s="2" customFormat="1">
      <c r="A162" s="37"/>
      <c r="B162" s="37"/>
      <c r="C162" s="57"/>
      <c r="D162" s="37"/>
      <c r="E162" s="37"/>
      <c r="F162" s="160"/>
      <c r="G162" s="37"/>
      <c r="H162" s="52"/>
      <c r="I162" s="52"/>
      <c r="J162" s="52"/>
    </row>
    <row r="163" spans="1:10" s="2" customFormat="1">
      <c r="A163" s="37"/>
      <c r="B163" s="37"/>
      <c r="C163" s="57"/>
      <c r="D163" s="37"/>
      <c r="E163" s="37"/>
      <c r="F163" s="160"/>
      <c r="G163" s="37"/>
      <c r="H163" s="52"/>
      <c r="I163" s="52"/>
      <c r="J163" s="52"/>
    </row>
    <row r="164" spans="1:10" s="2" customFormat="1">
      <c r="A164" s="37"/>
      <c r="B164" s="37"/>
      <c r="C164" s="57"/>
      <c r="D164" s="37"/>
      <c r="E164" s="37"/>
      <c r="F164" s="160"/>
      <c r="G164" s="37"/>
      <c r="H164" s="52"/>
      <c r="I164" s="52"/>
      <c r="J164" s="52"/>
    </row>
    <row r="165" spans="1:10" s="2" customFormat="1">
      <c r="A165" s="40"/>
      <c r="B165" s="40"/>
      <c r="C165" s="40"/>
      <c r="D165" s="40"/>
      <c r="E165" s="40"/>
      <c r="F165" s="198"/>
      <c r="G165" s="40"/>
      <c r="H165" s="52"/>
      <c r="I165" s="52"/>
      <c r="J165" s="52"/>
    </row>
    <row r="166" spans="1:10" s="2" customFormat="1">
      <c r="A166" s="1113"/>
      <c r="B166" s="1113"/>
      <c r="C166" s="1113"/>
      <c r="D166" s="1113"/>
      <c r="E166" s="1113"/>
      <c r="F166" s="1113"/>
      <c r="G166" s="1113"/>
      <c r="H166" s="1113"/>
      <c r="I166" s="1113"/>
      <c r="J166" s="1113"/>
    </row>
    <row r="167" spans="1:10" s="2" customFormat="1">
      <c r="A167" s="1109"/>
      <c r="B167" s="1109"/>
      <c r="C167" s="1109"/>
      <c r="D167" s="1109"/>
      <c r="E167" s="1109"/>
      <c r="F167" s="1109"/>
      <c r="G167" s="1109"/>
      <c r="H167" s="1109"/>
      <c r="I167" s="1109"/>
      <c r="J167" s="1109"/>
    </row>
    <row r="168" spans="1:10" s="2" customFormat="1">
      <c r="A168" s="1112"/>
      <c r="B168" s="1112"/>
      <c r="C168" s="1112"/>
      <c r="D168" s="1112"/>
      <c r="E168" s="1112"/>
      <c r="F168" s="1112"/>
      <c r="G168" s="1112"/>
      <c r="H168" s="1112"/>
      <c r="I168" s="52"/>
      <c r="J168" s="52"/>
    </row>
    <row r="169" spans="1:10" s="2" customFormat="1" ht="13">
      <c r="F169" s="140"/>
    </row>
    <row r="170" spans="1:10" s="2" customFormat="1" ht="13">
      <c r="F170" s="140"/>
    </row>
    <row r="171" spans="1:10" s="2" customFormat="1" ht="13">
      <c r="F171" s="140"/>
    </row>
    <row r="172" spans="1:10" s="2" customFormat="1" ht="13">
      <c r="F172" s="140"/>
    </row>
    <row r="173" spans="1:10" s="2" customFormat="1" ht="13">
      <c r="F173" s="140"/>
    </row>
    <row r="174" spans="1:10" s="2" customFormat="1" ht="13">
      <c r="F174" s="140"/>
    </row>
    <row r="175" spans="1:10" s="2" customFormat="1" ht="13">
      <c r="F175" s="140"/>
    </row>
    <row r="176" spans="1:10" s="2" customFormat="1" ht="13">
      <c r="F176" s="140"/>
    </row>
  </sheetData>
  <mergeCells count="216">
    <mergeCell ref="Q3:Q4"/>
    <mergeCell ref="Q5:Q6"/>
    <mergeCell ref="P4:P5"/>
    <mergeCell ref="A3:J3"/>
    <mergeCell ref="A1:J1"/>
    <mergeCell ref="A2:J2"/>
    <mergeCell ref="A5:J5"/>
    <mergeCell ref="A6:J6"/>
    <mergeCell ref="A4:J4"/>
    <mergeCell ref="A8:J8"/>
    <mergeCell ref="A9:J9"/>
    <mergeCell ref="B19:C19"/>
    <mergeCell ref="D20:J20"/>
    <mergeCell ref="D12:G12"/>
    <mergeCell ref="B20:C20"/>
    <mergeCell ref="B12:C12"/>
    <mergeCell ref="B13:C13"/>
    <mergeCell ref="B14:C14"/>
    <mergeCell ref="B15:C15"/>
    <mergeCell ref="B17:C17"/>
    <mergeCell ref="B18:C18"/>
    <mergeCell ref="A126:J126"/>
    <mergeCell ref="A117:J117"/>
    <mergeCell ref="A125:J125"/>
    <mergeCell ref="A124:J124"/>
    <mergeCell ref="A168:H168"/>
    <mergeCell ref="A135:J135"/>
    <mergeCell ref="B141:E141"/>
    <mergeCell ref="B142:E142"/>
    <mergeCell ref="A160:J160"/>
    <mergeCell ref="A166:J166"/>
    <mergeCell ref="A167:J167"/>
    <mergeCell ref="A155:C155"/>
    <mergeCell ref="A156:C156"/>
    <mergeCell ref="A159:J159"/>
    <mergeCell ref="D154:F154"/>
    <mergeCell ref="D155:F155"/>
    <mergeCell ref="D156:F156"/>
    <mergeCell ref="H154:J154"/>
    <mergeCell ref="H155:J155"/>
    <mergeCell ref="A146:C146"/>
    <mergeCell ref="A147:C147"/>
    <mergeCell ref="A154:C154"/>
    <mergeCell ref="H146:J146"/>
    <mergeCell ref="H147:J147"/>
    <mergeCell ref="D146:F146"/>
    <mergeCell ref="B137:E137"/>
    <mergeCell ref="B138:E138"/>
    <mergeCell ref="B139:E139"/>
    <mergeCell ref="B140:E140"/>
    <mergeCell ref="H27:I27"/>
    <mergeCell ref="A22:J22"/>
    <mergeCell ref="B24:F24"/>
    <mergeCell ref="H23:I23"/>
    <mergeCell ref="H24:I24"/>
    <mergeCell ref="H25:I25"/>
    <mergeCell ref="A118:J118"/>
    <mergeCell ref="B32:F32"/>
    <mergeCell ref="H32:I32"/>
    <mergeCell ref="B33:F33"/>
    <mergeCell ref="H33:I33"/>
    <mergeCell ref="B30:F30"/>
    <mergeCell ref="H30:I30"/>
    <mergeCell ref="B31:F31"/>
    <mergeCell ref="H31:I31"/>
    <mergeCell ref="H28:I28"/>
    <mergeCell ref="H29:I29"/>
    <mergeCell ref="B28:F28"/>
    <mergeCell ref="H26:I26"/>
    <mergeCell ref="A105:J105"/>
    <mergeCell ref="B39:F39"/>
    <mergeCell ref="B40:F40"/>
    <mergeCell ref="B41:F41"/>
    <mergeCell ref="B29:F29"/>
    <mergeCell ref="B23:F23"/>
    <mergeCell ref="B34:F34"/>
    <mergeCell ref="B35:F35"/>
    <mergeCell ref="B36:F36"/>
    <mergeCell ref="B45:F45"/>
    <mergeCell ref="B46:F46"/>
    <mergeCell ref="B37:F37"/>
    <mergeCell ref="B38:F38"/>
    <mergeCell ref="B49:F49"/>
    <mergeCell ref="B50:F50"/>
    <mergeCell ref="B51:F51"/>
    <mergeCell ref="B52:F52"/>
    <mergeCell ref="B53:F53"/>
    <mergeCell ref="B54:F54"/>
    <mergeCell ref="B55:F55"/>
    <mergeCell ref="B56:F56"/>
    <mergeCell ref="B57:F57"/>
    <mergeCell ref="B58:F58"/>
    <mergeCell ref="B59:F59"/>
    <mergeCell ref="B21:C21"/>
    <mergeCell ref="B25:F25"/>
    <mergeCell ref="B26:F26"/>
    <mergeCell ref="B27:F27"/>
    <mergeCell ref="H48:I48"/>
    <mergeCell ref="B47:F47"/>
    <mergeCell ref="B48:F48"/>
    <mergeCell ref="H34:I34"/>
    <mergeCell ref="H35:I35"/>
    <mergeCell ref="H36:I36"/>
    <mergeCell ref="H37:I37"/>
    <mergeCell ref="H38:I38"/>
    <mergeCell ref="H39:I39"/>
    <mergeCell ref="H40:I40"/>
    <mergeCell ref="H41:I41"/>
    <mergeCell ref="H42:I42"/>
    <mergeCell ref="H43:I43"/>
    <mergeCell ref="H44:I44"/>
    <mergeCell ref="H45:I45"/>
    <mergeCell ref="H46:I46"/>
    <mergeCell ref="H47:I47"/>
    <mergeCell ref="B42:F42"/>
    <mergeCell ref="B43:F43"/>
    <mergeCell ref="B44:F44"/>
    <mergeCell ref="B60:F60"/>
    <mergeCell ref="B61:F61"/>
    <mergeCell ref="B62:F62"/>
    <mergeCell ref="B63:F63"/>
    <mergeCell ref="B64:F64"/>
    <mergeCell ref="B65:F65"/>
    <mergeCell ref="B66:F66"/>
    <mergeCell ref="B67:F67"/>
    <mergeCell ref="B68:F68"/>
    <mergeCell ref="B69:F69"/>
    <mergeCell ref="B70:F70"/>
    <mergeCell ref="B71:F71"/>
    <mergeCell ref="B72:F72"/>
    <mergeCell ref="B73:F73"/>
    <mergeCell ref="B74:F74"/>
    <mergeCell ref="B75:F75"/>
    <mergeCell ref="B76:F76"/>
    <mergeCell ref="B77:F77"/>
    <mergeCell ref="B78:F78"/>
    <mergeCell ref="B79:F79"/>
    <mergeCell ref="B80:F80"/>
    <mergeCell ref="B81:F81"/>
    <mergeCell ref="B82:F82"/>
    <mergeCell ref="B83:F83"/>
    <mergeCell ref="B84:F84"/>
    <mergeCell ref="B85:F85"/>
    <mergeCell ref="B86:F86"/>
    <mergeCell ref="B87:F87"/>
    <mergeCell ref="B88:F88"/>
    <mergeCell ref="B89:F89"/>
    <mergeCell ref="B90:F90"/>
    <mergeCell ref="B91:F91"/>
    <mergeCell ref="B92:F92"/>
    <mergeCell ref="B93:F93"/>
    <mergeCell ref="B94:F94"/>
    <mergeCell ref="B95:F95"/>
    <mergeCell ref="B96:F96"/>
    <mergeCell ref="B97:F97"/>
    <mergeCell ref="B98:F98"/>
    <mergeCell ref="B99:F99"/>
    <mergeCell ref="B100:F100"/>
    <mergeCell ref="B101:F101"/>
    <mergeCell ref="B102:F102"/>
    <mergeCell ref="B103:F103"/>
    <mergeCell ref="H49:I49"/>
    <mergeCell ref="H50:I50"/>
    <mergeCell ref="H51:I51"/>
    <mergeCell ref="H52:I52"/>
    <mergeCell ref="H53:I53"/>
    <mergeCell ref="H54:I54"/>
    <mergeCell ref="H55:I55"/>
    <mergeCell ref="H56:I56"/>
    <mergeCell ref="H57:I57"/>
    <mergeCell ref="H58:I58"/>
    <mergeCell ref="H59:I59"/>
    <mergeCell ref="H60:I60"/>
    <mergeCell ref="H61:I61"/>
    <mergeCell ref="H62:I62"/>
    <mergeCell ref="H63:I63"/>
    <mergeCell ref="H64:I64"/>
    <mergeCell ref="H65:I65"/>
    <mergeCell ref="H66:I66"/>
    <mergeCell ref="H67:I67"/>
    <mergeCell ref="H68:I68"/>
    <mergeCell ref="H69:I69"/>
    <mergeCell ref="H70:I70"/>
    <mergeCell ref="H71:I71"/>
    <mergeCell ref="H72:I72"/>
    <mergeCell ref="H73:I73"/>
    <mergeCell ref="H74:I74"/>
    <mergeCell ref="H75:I75"/>
    <mergeCell ref="H76:I76"/>
    <mergeCell ref="H77:I77"/>
    <mergeCell ref="H78:I78"/>
    <mergeCell ref="H79:I79"/>
    <mergeCell ref="H80:I80"/>
    <mergeCell ref="H81:I81"/>
    <mergeCell ref="H82:I82"/>
    <mergeCell ref="H83:I83"/>
    <mergeCell ref="H84:I84"/>
    <mergeCell ref="H85:I85"/>
    <mergeCell ref="H86:I86"/>
    <mergeCell ref="H87:I87"/>
    <mergeCell ref="H88:I88"/>
    <mergeCell ref="H89:I89"/>
    <mergeCell ref="H90:I90"/>
    <mergeCell ref="H91:I91"/>
    <mergeCell ref="H101:I101"/>
    <mergeCell ref="H102:I102"/>
    <mergeCell ref="H103:I103"/>
    <mergeCell ref="H92:I92"/>
    <mergeCell ref="H93:I93"/>
    <mergeCell ref="H94:I94"/>
    <mergeCell ref="H95:I95"/>
    <mergeCell ref="H96:I96"/>
    <mergeCell ref="H97:I97"/>
    <mergeCell ref="H98:I98"/>
    <mergeCell ref="H99:I99"/>
    <mergeCell ref="H100:I100"/>
  </mergeCells>
  <printOptions horizontalCentered="1"/>
  <pageMargins left="0.51181102362204722" right="0.51181102362204722" top="0.59055118110236227" bottom="0.31496062992125984" header="0.31496062992125984" footer="0.31496062992125984"/>
  <pageSetup paperSize="9" scale="87" fitToWidth="2" fitToHeight="2" orientation="portrait" horizontalDpi="360" verticalDpi="360" r:id="rId1"/>
  <headerFooter>
    <oddHeader xml:space="preserve">&amp;L
</oddHead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'NO BPU'!$E$2:$E$653</xm:f>
          </x14:formula1>
          <xm:sqref>P4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0070C0"/>
  </sheetPr>
  <dimension ref="A1:Q373"/>
  <sheetViews>
    <sheetView showGridLines="0" view="pageBreakPreview" zoomScale="85" zoomScaleNormal="100" zoomScaleSheetLayoutView="85" workbookViewId="0">
      <pane ySplit="7" topLeftCell="A27" activePane="bottomLeft" state="frozen"/>
      <selection activeCell="P114" sqref="P114"/>
      <selection pane="bottomLeft" activeCell="P114" sqref="P114"/>
    </sheetView>
  </sheetViews>
  <sheetFormatPr defaultColWidth="8.7265625" defaultRowHeight="13"/>
  <cols>
    <col min="1" max="1" width="3.7265625" style="2" customWidth="1"/>
    <col min="2" max="2" width="5.81640625" style="2" customWidth="1"/>
    <col min="3" max="3" width="17.54296875" style="2" customWidth="1"/>
    <col min="4" max="4" width="20" style="2" customWidth="1"/>
    <col min="5" max="5" width="11.81640625" style="2" customWidth="1"/>
    <col min="6" max="6" width="14.7265625" style="140" customWidth="1"/>
    <col min="7" max="8" width="14.7265625" style="2" customWidth="1"/>
    <col min="9" max="10" width="6.81640625" style="2" customWidth="1"/>
    <col min="11" max="11" width="9.81640625" style="2" customWidth="1"/>
    <col min="12" max="12" width="7.90625" style="2" customWidth="1"/>
    <col min="13" max="15" width="6.81640625" style="2" customWidth="1"/>
    <col min="16" max="16384" width="8.7265625" style="2"/>
  </cols>
  <sheetData>
    <row r="1" spans="1:17" s="37" customFormat="1" ht="20">
      <c r="A1" s="1132" t="s">
        <v>3906</v>
      </c>
      <c r="B1" s="1132"/>
      <c r="C1" s="1132"/>
      <c r="D1" s="1132"/>
      <c r="E1" s="1132"/>
      <c r="F1" s="1132"/>
      <c r="G1" s="1132"/>
      <c r="H1" s="1132"/>
      <c r="I1" s="673"/>
      <c r="J1" s="673"/>
      <c r="K1" s="673"/>
      <c r="L1" s="673"/>
      <c r="M1" s="673"/>
    </row>
    <row r="2" spans="1:17" s="37" customFormat="1" ht="23" thickBot="1">
      <c r="A2" s="953" t="s">
        <v>3524</v>
      </c>
      <c r="B2" s="953"/>
      <c r="C2" s="953"/>
      <c r="D2" s="953"/>
      <c r="E2" s="953"/>
      <c r="F2" s="953"/>
      <c r="G2" s="953"/>
      <c r="H2" s="953"/>
      <c r="I2" s="673"/>
      <c r="J2" s="673"/>
      <c r="K2" s="673"/>
      <c r="L2" s="673"/>
      <c r="M2" s="673"/>
    </row>
    <row r="3" spans="1:17" s="37" customFormat="1" ht="22.5">
      <c r="A3" s="1133" t="s">
        <v>3525</v>
      </c>
      <c r="B3" s="1133"/>
      <c r="C3" s="1133"/>
      <c r="D3" s="1133"/>
      <c r="E3" s="1133"/>
      <c r="F3" s="1133"/>
      <c r="G3" s="1133"/>
      <c r="H3" s="1133"/>
      <c r="I3" s="673"/>
      <c r="J3" s="673"/>
      <c r="K3" s="673"/>
      <c r="L3" s="673"/>
      <c r="M3" s="673"/>
      <c r="P3" s="892"/>
      <c r="Q3" s="1148">
        <f>P4-1</f>
        <v>44</v>
      </c>
    </row>
    <row r="4" spans="1:17" s="37" customFormat="1" ht="22.5" customHeight="1" thickBot="1">
      <c r="A4" s="1133" t="s">
        <v>57</v>
      </c>
      <c r="B4" s="1133"/>
      <c r="C4" s="1133"/>
      <c r="D4" s="1133"/>
      <c r="E4" s="1133"/>
      <c r="F4" s="1133"/>
      <c r="G4" s="1133"/>
      <c r="H4" s="1133"/>
      <c r="I4" s="673"/>
      <c r="J4" s="673"/>
      <c r="K4" s="673"/>
      <c r="L4" s="673"/>
      <c r="M4" s="673"/>
      <c r="P4" s="1152">
        <v>45</v>
      </c>
      <c r="Q4" s="1149"/>
    </row>
    <row r="5" spans="1:17" s="37" customFormat="1" ht="14" customHeight="1">
      <c r="A5" s="954" t="s">
        <v>3516</v>
      </c>
      <c r="B5" s="954"/>
      <c r="C5" s="954"/>
      <c r="D5" s="954"/>
      <c r="E5" s="954"/>
      <c r="F5" s="954"/>
      <c r="G5" s="954"/>
      <c r="H5" s="954"/>
      <c r="I5" s="673"/>
      <c r="J5" s="673"/>
      <c r="K5" s="673"/>
      <c r="L5" s="673"/>
      <c r="M5" s="673"/>
      <c r="P5" s="1152"/>
      <c r="Q5" s="1150">
        <f>P4+1</f>
        <v>46</v>
      </c>
    </row>
    <row r="6" spans="1:17" s="37" customFormat="1" ht="11.5" customHeight="1">
      <c r="A6" s="1135" t="s">
        <v>3887</v>
      </c>
      <c r="B6" s="1135"/>
      <c r="C6" s="1135"/>
      <c r="D6" s="1135"/>
      <c r="E6" s="1135"/>
      <c r="F6" s="1135"/>
      <c r="G6" s="1135"/>
      <c r="H6" s="1135"/>
      <c r="I6" s="673"/>
      <c r="J6" s="673"/>
      <c r="K6" s="673"/>
      <c r="L6" s="673"/>
      <c r="M6" s="673"/>
      <c r="P6" s="1152"/>
      <c r="Q6" s="1150"/>
    </row>
    <row r="7" spans="1:17" s="37" customFormat="1" ht="11.5" customHeight="1" thickBot="1">
      <c r="A7" s="955"/>
      <c r="B7" s="955"/>
      <c r="C7" s="955"/>
      <c r="D7" s="955"/>
      <c r="E7" s="955"/>
      <c r="F7" s="955"/>
      <c r="G7" s="955"/>
      <c r="H7" s="955"/>
      <c r="I7" s="673"/>
      <c r="J7" s="673"/>
      <c r="K7" s="673"/>
      <c r="L7" s="673"/>
      <c r="M7" s="673"/>
      <c r="P7" s="893"/>
      <c r="Q7" s="1151"/>
    </row>
    <row r="8" spans="1:17" ht="8" customHeight="1" thickTop="1"/>
    <row r="9" spans="1:17" ht="23.5" customHeight="1">
      <c r="A9" s="1136" t="s">
        <v>18</v>
      </c>
      <c r="B9" s="1136"/>
      <c r="C9" s="1136"/>
      <c r="D9" s="1136"/>
      <c r="E9" s="1136"/>
      <c r="F9" s="1136"/>
      <c r="G9" s="1136"/>
      <c r="H9" s="1136"/>
      <c r="J9" s="4" t="s">
        <v>219</v>
      </c>
      <c r="K9" s="233" t="str">
        <f t="array" ref="K9">IFERROR(INDEX(Masteratk2024,SMALL(IF(Kriteriaatk2024=$P$4,ROW(Kriteriaatk2024)),ROW(C1)),7),"")</f>
        <v>01/02/2025</v>
      </c>
      <c r="L9" s="3">
        <f t="array" ref="L9">IFERROR(INDEX(Masteratk2024,SMALL(IF(Kriteriaatk2024=$P$4,ROW(Kriteriaatk2024)),ROW(C1)),1),"")</f>
        <v>45</v>
      </c>
      <c r="M9" s="3" t="str">
        <f>ROMAN(MONTH(K9))</f>
        <v>II</v>
      </c>
      <c r="N9" s="3"/>
    </row>
    <row r="10" spans="1:17" ht="15" customHeight="1">
      <c r="A10" s="1137" t="str">
        <f>"NOMOR : 421.3/"&amp;L9&amp;"-BAST/SMANSA-TD/"&amp;M9&amp;"/"&amp;YEAR(K9)&amp;""</f>
        <v>NOMOR : 421.3/45-BAST/SMANSA-TD/II/2025</v>
      </c>
      <c r="B10" s="1137"/>
      <c r="C10" s="1137"/>
      <c r="D10" s="1137"/>
      <c r="E10" s="1137"/>
      <c r="F10" s="1137"/>
      <c r="G10" s="1137"/>
      <c r="H10" s="1137"/>
      <c r="J10" s="4" t="s">
        <v>416</v>
      </c>
      <c r="K10" s="233" t="str">
        <f t="array" ref="K10">IFERROR(INDEX(Masteratk2024,SMALL(IF(Kriteriaatk2024=$P$4,ROW(Kriteriaatk2024)),ROW(C1)),7),"")</f>
        <v>01/02/2025</v>
      </c>
      <c r="L10" s="3">
        <f t="array" ref="L10">IFERROR(INDEX(Masteratk2024,SMALL(IF(Kriteriaatk2024=$P$4,ROW(Kriteriaatk2024)),ROW(C1)),1),"")</f>
        <v>45</v>
      </c>
    </row>
    <row r="11" spans="1:17" ht="3" customHeight="1">
      <c r="A11" s="43"/>
      <c r="B11" s="43"/>
      <c r="C11" s="43"/>
      <c r="D11" s="43"/>
      <c r="E11" s="43"/>
      <c r="F11" s="139"/>
      <c r="G11" s="1"/>
      <c r="H11" s="1"/>
      <c r="J11" s="4"/>
      <c r="K11" s="233"/>
      <c r="L11" s="3"/>
    </row>
    <row r="12" spans="1:17" ht="14">
      <c r="A12" s="84" t="str">
        <f t="array" ref="A12">"Pada hari ini, "&amp;TEXT(K9, "[$-421] DDDD")&amp;" tanggal "&amp;TEXT(K9,"[$-421] dd")&amp;" bulan "&amp;TEXT(K9,"[$-421] mmmm")&amp;" tahun "&amp;YEAR(K9)&amp;", sesuai dengan :"</f>
        <v>Pada hari ini,  Sabtu tanggal  01 bulan  Februari tahun 2025, sesuai dengan :</v>
      </c>
      <c r="B12" s="44"/>
      <c r="C12" s="44"/>
      <c r="D12" s="44"/>
      <c r="E12" s="44"/>
      <c r="F12" s="59"/>
      <c r="G12" s="1"/>
      <c r="H12" s="1"/>
      <c r="J12" s="4" t="s">
        <v>417</v>
      </c>
      <c r="K12" s="233" t="str">
        <f t="array" ref="K12">IFERROR(INDEX(Masteratk2024,SMALL(IF(Kriteriaatk2024=$P$4,ROW(Kriteriaatk2024)),ROW(C1)),7),"")</f>
        <v>01/02/2025</v>
      </c>
      <c r="L12" s="3">
        <f t="array" ref="L12">IFERROR(INDEX(Masteratk2024,SMALL(IF(Kriteriaatk2024=$P$4,ROW(Kriteriaatk2024)),ROW(C1)),1),"")</f>
        <v>45</v>
      </c>
    </row>
    <row r="13" spans="1:17" ht="14">
      <c r="A13" s="46"/>
      <c r="B13" s="1134" t="s">
        <v>19</v>
      </c>
      <c r="C13" s="1134"/>
      <c r="D13" s="45" t="str">
        <f>"421.3/"&amp;L10&amp;"-P/SMANSA-TD/"&amp;M9&amp;"/"&amp;YEAR(K9)&amp;""</f>
        <v>421.3/45-P/SMANSA-TD/II/2025</v>
      </c>
      <c r="J13" s="4"/>
      <c r="K13" s="3"/>
    </row>
    <row r="14" spans="1:17" ht="14">
      <c r="A14" s="46"/>
      <c r="B14" s="1134" t="s">
        <v>20</v>
      </c>
      <c r="C14" s="1134"/>
      <c r="D14" s="47" t="str">
        <f>TEXT(K9, "[$-421] dd mmmm yyyy")</f>
        <v xml:space="preserve"> 01 Februari 2025</v>
      </c>
      <c r="J14" s="4"/>
      <c r="K14" s="3"/>
    </row>
    <row r="15" spans="1:17" ht="14">
      <c r="A15" s="46"/>
      <c r="B15" s="1134" t="s">
        <v>21</v>
      </c>
      <c r="C15" s="1134"/>
      <c r="D15" s="811" t="str">
        <f t="array" ref="D15">"Pengadaan "&amp;IFERROR(INDEX(Masteratk2024,SMALL(IF(Kriteriaatk2024=$P$4,ROW(Kriteriaatk2024)),ROW(C1)),26),"")</f>
        <v>Pengadaan Alat Tulis Kantor (ATK)</v>
      </c>
      <c r="E15" s="811"/>
      <c r="F15" s="811"/>
      <c r="G15" s="811"/>
    </row>
    <row r="16" spans="1:17" ht="14">
      <c r="A16" s="46"/>
      <c r="B16" s="1134" t="s">
        <v>16</v>
      </c>
      <c r="C16" s="1134"/>
      <c r="D16" s="46">
        <f>YEAR(K9)</f>
        <v>2025</v>
      </c>
    </row>
    <row r="17" spans="1:14" ht="14">
      <c r="A17" s="46" t="s">
        <v>22</v>
      </c>
      <c r="B17" s="46"/>
      <c r="C17" s="46"/>
      <c r="D17" s="46"/>
      <c r="E17" s="46"/>
      <c r="F17" s="132"/>
    </row>
    <row r="18" spans="1:14" ht="14">
      <c r="A18" s="48">
        <v>1</v>
      </c>
      <c r="B18" s="1134" t="s">
        <v>23</v>
      </c>
      <c r="C18" s="1134"/>
      <c r="D18" s="46" t="str">
        <f t="array" ref="D18">IFERROR(INDEX(Masteratk2024,SMALL(IF(Kriteriaatk2024=$P$4,ROW(Kriteriaatk2024)),ROW(C1)),22),"")</f>
        <v>Gestiwan Bazikho</v>
      </c>
      <c r="E18" s="46"/>
      <c r="F18" s="132"/>
    </row>
    <row r="19" spans="1:14" ht="14">
      <c r="A19" s="48"/>
      <c r="B19" s="1134" t="s">
        <v>17</v>
      </c>
      <c r="C19" s="1134"/>
      <c r="D19" s="46" t="s">
        <v>4</v>
      </c>
      <c r="E19" s="46"/>
      <c r="F19" s="132"/>
    </row>
    <row r="20" spans="1:14" ht="14" customHeight="1">
      <c r="A20" s="48"/>
      <c r="B20" s="1134" t="s">
        <v>24</v>
      </c>
      <c r="C20" s="1134"/>
      <c r="D20" s="46" t="str">
        <f t="array" ref="D20">IFERROR(INDEX(Masteratk2024,SMALL(IF(Kriteriaatk2024=$P$4,ROW(Kriteriaatk2024)),ROW(C1)),20),"")</f>
        <v>UD. JOSUA</v>
      </c>
      <c r="E20" s="44"/>
      <c r="F20" s="59"/>
    </row>
    <row r="21" spans="1:14" ht="22.5" customHeight="1">
      <c r="A21" s="48"/>
      <c r="B21" s="1139" t="s">
        <v>25</v>
      </c>
      <c r="C21" s="1139"/>
      <c r="D21" s="674" t="str">
        <f t="array" ref="D21">IFERROR(INDEX(Masteratk2024,SMALL(IF(Kriteriaatk2024=$P$4,ROW(Kriteriaatk2024)),ROW(C1)),23),"")</f>
        <v>Jl. Diponegoro Kel. Pasar Telukdalam - Nias Selatan</v>
      </c>
      <c r="E21" s="234"/>
      <c r="F21" s="234"/>
      <c r="G21" s="234"/>
      <c r="H21" s="234"/>
      <c r="L21" s="207"/>
    </row>
    <row r="22" spans="1:14" ht="14">
      <c r="A22" s="48"/>
      <c r="B22" s="1134" t="s">
        <v>26</v>
      </c>
      <c r="C22" s="1134"/>
      <c r="D22" s="46" t="str">
        <f t="array" ref="D22">IFERROR(INDEX(Masteratk2024,SMALL(IF(Kriteriaatk2024=$P$4,ROW(Kriteriaatk2024)),ROW(C1)),34),"")</f>
        <v>081375309828</v>
      </c>
      <c r="E22" s="46"/>
      <c r="F22" s="132"/>
    </row>
    <row r="23" spans="1:14" ht="14" customHeight="1">
      <c r="A23" s="46" t="s">
        <v>210</v>
      </c>
      <c r="B23" s="48"/>
      <c r="C23" s="46"/>
      <c r="D23" s="46"/>
      <c r="E23" s="46"/>
      <c r="F23" s="132"/>
    </row>
    <row r="24" spans="1:14" ht="14" customHeight="1">
      <c r="A24" s="48">
        <v>2</v>
      </c>
      <c r="B24" s="1134" t="s">
        <v>23</v>
      </c>
      <c r="C24" s="1134"/>
      <c r="D24" s="46" t="str">
        <f>'Data Sekolah'!A12</f>
        <v>Estera Nehe, S.Pd.</v>
      </c>
      <c r="E24" s="46"/>
      <c r="F24" s="132"/>
      <c r="N24" s="891"/>
    </row>
    <row r="25" spans="1:14" ht="14">
      <c r="A25" s="46"/>
      <c r="B25" s="1134" t="s">
        <v>17</v>
      </c>
      <c r="C25" s="1134"/>
      <c r="D25" s="46" t="str">
        <f>'Data Sekolah'!A11</f>
        <v>Penerima Barang</v>
      </c>
      <c r="E25" s="46"/>
      <c r="F25" s="132"/>
    </row>
    <row r="26" spans="1:14" ht="14">
      <c r="A26" s="46"/>
      <c r="B26" s="1134" t="s">
        <v>28</v>
      </c>
      <c r="C26" s="1134"/>
      <c r="D26" s="46" t="str">
        <f>'Data Sekolah'!B2</f>
        <v>SMA NEGERI 1 TELUKDALAM</v>
      </c>
      <c r="E26" s="46"/>
      <c r="F26" s="132"/>
    </row>
    <row r="27" spans="1:14" ht="14">
      <c r="A27" s="46"/>
      <c r="B27" s="1134" t="s">
        <v>30</v>
      </c>
      <c r="C27" s="1134"/>
      <c r="D27" s="46" t="str">
        <f>'Data Sekolah'!B4</f>
        <v>Jl. Pendidikan No. 13 Kelurahan Pasar Telukdalam Kecamatan Teluk Dalam</v>
      </c>
      <c r="E27" s="46"/>
      <c r="F27" s="132"/>
    </row>
    <row r="28" spans="1:14" ht="14">
      <c r="A28" s="46"/>
      <c r="B28" s="1134" t="s">
        <v>26</v>
      </c>
      <c r="C28" s="1134"/>
      <c r="D28" s="49" t="str">
        <f>'Data Sekolah'!B12</f>
        <v>0823 8612 4861</v>
      </c>
      <c r="E28" s="46"/>
      <c r="F28" s="132"/>
    </row>
    <row r="29" spans="1:14" ht="14">
      <c r="A29" s="52" t="s">
        <v>211</v>
      </c>
      <c r="B29" s="52"/>
      <c r="C29" s="52"/>
      <c r="D29" s="52"/>
      <c r="E29" s="52"/>
      <c r="F29" s="147"/>
      <c r="G29" s="52"/>
      <c r="H29" s="52"/>
    </row>
    <row r="30" spans="1:14" ht="44.15" customHeight="1">
      <c r="A30" s="1138" t="str">
        <f>"PIHAK  PERTAMA  menyerahkan  hasil  pekerjaan "&amp;D15&amp;" kepada  PIHAK  KEDUA,  dan PIHAK  KEDUA  telah  menerima  hasil  pekerjaan  tersebut  dalam  jumlah  yang  lengkap  dan kondisi yang baik sesuai dengan rincian berikut:"</f>
        <v>PIHAK  PERTAMA  menyerahkan  hasil  pekerjaan Pengadaan Alat Tulis Kantor (ATK) kepada  PIHAK  KEDUA,  dan PIHAK  KEDUA  telah  menerima  hasil  pekerjaan  tersebut  dalam  jumlah  yang  lengkap  dan kondisi yang baik sesuai dengan rincian berikut:</v>
      </c>
      <c r="B30" s="1138"/>
      <c r="C30" s="1138"/>
      <c r="D30" s="1138"/>
      <c r="E30" s="1138"/>
      <c r="F30" s="1138"/>
      <c r="G30" s="1138"/>
      <c r="H30" s="1138"/>
    </row>
    <row r="31" spans="1:14" ht="23.15" customHeight="1">
      <c r="B31" s="41" t="s">
        <v>213</v>
      </c>
      <c r="C31" s="1174" t="s">
        <v>214</v>
      </c>
      <c r="D31" s="1175"/>
      <c r="E31" s="1176"/>
      <c r="F31" s="166" t="s">
        <v>418</v>
      </c>
      <c r="G31" s="166" t="s">
        <v>419</v>
      </c>
      <c r="H31" s="41" t="s">
        <v>215</v>
      </c>
      <c r="I31" s="133"/>
      <c r="J31" s="133"/>
      <c r="K31" s="133"/>
    </row>
    <row r="32" spans="1:14" s="4" customFormat="1" ht="28" customHeight="1">
      <c r="B32" s="124">
        <f>IF(C32&lt;&gt;"",COUNTA($C$32:C32),"")</f>
        <v>1</v>
      </c>
      <c r="C32" s="1129" t="str">
        <f t="array" ref="C32">IFERROR(INDEX(Masteratk2024,SMALL(IF(Kriteriaatk2024=$P$4,ROW(Kriteriaatk2024)),ROW(C1)),11),"")</f>
        <v>Plastik Mika</v>
      </c>
      <c r="D32" s="1130"/>
      <c r="E32" s="1131"/>
      <c r="F32" s="89">
        <f t="array" ref="F32">IFERROR(INDEX(Masteratk2024,SMALL(IF(Kriteriaatk2024=$P$4,ROW(Kriteriaatk2024)),ROW(C1)),12),"")</f>
        <v>5</v>
      </c>
      <c r="G32" s="89">
        <f t="shared" ref="G32" si="0">F32</f>
        <v>5</v>
      </c>
      <c r="H32" s="89" t="str">
        <f t="array" ref="H32">IF(C32&lt;&gt;"","Baik","")</f>
        <v>Baik</v>
      </c>
      <c r="I32" s="235" t="str">
        <f>IF(C32="","0","1")</f>
        <v>1</v>
      </c>
    </row>
    <row r="33" spans="2:9" s="4" customFormat="1" ht="28" customHeight="1">
      <c r="B33" s="124">
        <f>IF(C33&lt;&gt;"",COUNTA($C$32:C33),"")</f>
        <v>2</v>
      </c>
      <c r="C33" s="1129" t="str">
        <f t="array" ref="C33">IFERROR(INDEX(Masteratk2024,SMALL(IF(Kriteriaatk2024=$P$4,ROW(Kriteriaatk2024)),ROW(C2)),11),"")</f>
        <v>Kertas Warna Blank Folio, Ukuran : 8,5 x 14",  70 gram</v>
      </c>
      <c r="D33" s="1130"/>
      <c r="E33" s="1131"/>
      <c r="F33" s="89">
        <f t="array" ref="F33">IFERROR(INDEX(Masteratk2024,SMALL(IF(Kriteriaatk2024=$P$4,ROW(Kriteriaatk2024)),ROW(C2)),12),"")</f>
        <v>2</v>
      </c>
      <c r="G33" s="89">
        <f t="shared" ref="G33:G37" si="1">F33</f>
        <v>2</v>
      </c>
      <c r="H33" s="89" t="str">
        <f t="array" ref="H33">IF(C33&lt;&gt;"","Baik","")</f>
        <v>Baik</v>
      </c>
      <c r="I33" s="235" t="str">
        <f t="shared" ref="I33:I41" si="2">IF(C33="","0","1")</f>
        <v>1</v>
      </c>
    </row>
    <row r="34" spans="2:9" s="4" customFormat="1" ht="28" customHeight="1">
      <c r="B34" s="124">
        <f>IF(C34&lt;&gt;"",COUNTA($C$32:C34),"")</f>
        <v>3</v>
      </c>
      <c r="C34" s="1129" t="str">
        <f t="array" ref="C34">IFERROR(INDEX(Masteratk2024,SMALL(IF(Kriteriaatk2024=$P$4,ROW(Kriteriaatk2024)),ROW(C3)),11),"")</f>
        <v>Kertas Lain-Lain Kertas Buffalo</v>
      </c>
      <c r="D34" s="1130"/>
      <c r="E34" s="1131"/>
      <c r="F34" s="89">
        <f t="array" ref="F34">IFERROR(INDEX(Masteratk2024,SMALL(IF(Kriteriaatk2024=$P$4,ROW(Kriteriaatk2024)),ROW(C3)),12),"")</f>
        <v>5</v>
      </c>
      <c r="G34" s="89">
        <f t="shared" si="1"/>
        <v>5</v>
      </c>
      <c r="H34" s="89" t="str">
        <f t="array" ref="H34">IF(C34&lt;&gt;"","Baik","")</f>
        <v>Baik</v>
      </c>
      <c r="I34" s="235" t="str">
        <f t="shared" si="2"/>
        <v>1</v>
      </c>
    </row>
    <row r="35" spans="2:9" s="4" customFormat="1" ht="28" customHeight="1">
      <c r="B35" s="124">
        <f>IF(C35&lt;&gt;"",COUNTA($C$32:C35),"")</f>
        <v>4</v>
      </c>
      <c r="C35" s="1129" t="str">
        <f t="array" ref="C35">IFERROR(INDEX(Masteratk2024,SMALL(IF(Kriteriaatk2024=$P$4,ROW(Kriteriaatk2024)),ROW(C5)),11),"")</f>
        <v>Kertas HVS 60 gram Merk : Paper One HVS F4 uk. 8.27"x11.69"</v>
      </c>
      <c r="D35" s="1130"/>
      <c r="E35" s="1131"/>
      <c r="F35" s="89">
        <f t="array" ref="F35">IFERROR(INDEX(Masteratk2024,SMALL(IF(Kriteriaatk2024=$P$4,ROW(Kriteriaatk2024)),ROW(C5)),12),"")</f>
        <v>10</v>
      </c>
      <c r="G35" s="89">
        <f t="shared" si="1"/>
        <v>10</v>
      </c>
      <c r="H35" s="89" t="str">
        <f t="array" ref="H35">IF(C35&lt;&gt;"","Baik","")</f>
        <v>Baik</v>
      </c>
      <c r="I35" s="235" t="str">
        <f t="shared" si="2"/>
        <v>1</v>
      </c>
    </row>
    <row r="36" spans="2:9" s="4" customFormat="1" ht="28" customHeight="1">
      <c r="B36" s="124">
        <f>IF(C36&lt;&gt;"",COUNTA($C$32:C36),"")</f>
        <v>5</v>
      </c>
      <c r="C36" s="1129" t="str">
        <f t="array" ref="C36">IFERROR(INDEX(Masteratk2024,SMALL(IF(Kriteriaatk2024=$P$4,ROW(Kriteriaatk2024)),ROW(C6)),11),"")</f>
        <v>Kertas HVS 80 gram Merk : Paper One A4, Ukuran : 8,27" x 11,69", Isi : 500 lembar</v>
      </c>
      <c r="D36" s="1130"/>
      <c r="E36" s="1131"/>
      <c r="F36" s="89">
        <f t="array" ref="F36">IFERROR(INDEX(Masteratk2024,SMALL(IF(Kriteriaatk2024=$P$4,ROW(Kriteriaatk2024)),ROW(C6)),12),"")</f>
        <v>40</v>
      </c>
      <c r="G36" s="89">
        <f t="shared" si="1"/>
        <v>40</v>
      </c>
      <c r="H36" s="89" t="str">
        <f t="array" ref="H36">IF(C36&lt;&gt;"","Baik","")</f>
        <v>Baik</v>
      </c>
      <c r="I36" s="235" t="str">
        <f t="shared" si="2"/>
        <v>1</v>
      </c>
    </row>
    <row r="37" spans="2:9" s="4" customFormat="1" ht="28" customHeight="1">
      <c r="B37" s="124">
        <f>IF(C37&lt;&gt;"",COUNTA($C$32:C37),"")</f>
        <v>6</v>
      </c>
      <c r="C37" s="1129" t="str">
        <f t="array" ref="C37">IFERROR(INDEX(Masteratk2024,SMALL(IF(Kriteriaatk2024=$P$4,ROW(Kriteriaatk2024)),ROW(C7)),11),"")</f>
        <v>Kertas StensiI</v>
      </c>
      <c r="D37" s="1130"/>
      <c r="E37" s="1131"/>
      <c r="F37" s="89">
        <f t="array" ref="F37">IFERROR(INDEX(Masteratk2024,SMALL(IF(Kriteriaatk2024=$P$4,ROW(Kriteriaatk2024)),ROW(C7)),12),"")</f>
        <v>10</v>
      </c>
      <c r="G37" s="89">
        <f t="shared" si="1"/>
        <v>10</v>
      </c>
      <c r="H37" s="89" t="str">
        <f t="array" ref="H37">IF(C37&lt;&gt;"","Baik","")</f>
        <v>Baik</v>
      </c>
      <c r="I37" s="235" t="str">
        <f t="shared" si="2"/>
        <v>1</v>
      </c>
    </row>
    <row r="38" spans="2:9" s="4" customFormat="1" ht="28" customHeight="1">
      <c r="B38" s="124">
        <f>IF(C38&lt;&gt;"",COUNTA($C$32:C38),"")</f>
        <v>7</v>
      </c>
      <c r="C38" s="1129" t="str">
        <f t="array" ref="C38">IFERROR(INDEX(Masteratk2024,SMALL(IF(Kriteriaatk2024=$P$4,ROW(Kriteriaatk2024)),ROW(C8)),11),"")</f>
        <v>Kertas Label</v>
      </c>
      <c r="D38" s="1130"/>
      <c r="E38" s="1131"/>
      <c r="F38" s="89">
        <f t="array" ref="F38">IFERROR(INDEX(Masteratk2024,SMALL(IF(Kriteriaatk2024=$P$4,ROW(Kriteriaatk2024)),ROW(C8)),12),"")</f>
        <v>5</v>
      </c>
      <c r="G38" s="89">
        <f t="shared" ref="G38:G41" si="3">F38</f>
        <v>5</v>
      </c>
      <c r="H38" s="89" t="str">
        <f t="array" ref="H38">IF(C38&lt;&gt;"","Baik","")</f>
        <v>Baik</v>
      </c>
      <c r="I38" s="235" t="str">
        <f t="shared" si="2"/>
        <v>1</v>
      </c>
    </row>
    <row r="39" spans="2:9" s="4" customFormat="1" ht="28" customHeight="1">
      <c r="B39" s="124">
        <f>IF(C39&lt;&gt;"",COUNTA($C$32:C39),"")</f>
        <v>8</v>
      </c>
      <c r="C39" s="1129" t="str">
        <f t="array" ref="C39">IFERROR(INDEX(Masteratk2024,SMALL(IF(Kriteriaatk2024=$P$4,ROW(Kriteriaatk2024)),ROW(C9)),11),"")</f>
        <v>Amplop Coklat Merk : GSU Ukuran : 1/2 folio, bergaris</v>
      </c>
      <c r="D39" s="1130"/>
      <c r="E39" s="1131"/>
      <c r="F39" s="89">
        <f t="array" ref="F39">IFERROR(INDEX(Masteratk2024,SMALL(IF(Kriteriaatk2024=$P$4,ROW(Kriteriaatk2024)),ROW(C9)),12),"")</f>
        <v>1</v>
      </c>
      <c r="G39" s="89">
        <f t="shared" si="3"/>
        <v>1</v>
      </c>
      <c r="H39" s="89" t="str">
        <f t="array" ref="H39">IF(C39&lt;&gt;"","Baik","")</f>
        <v>Baik</v>
      </c>
      <c r="I39" s="235" t="str">
        <f t="shared" si="2"/>
        <v>1</v>
      </c>
    </row>
    <row r="40" spans="2:9" s="4" customFormat="1" ht="28" customHeight="1">
      <c r="B40" s="124">
        <f>IF(C40&lt;&gt;"",COUNTA($C$32:C40),"")</f>
        <v>9</v>
      </c>
      <c r="C40" s="1129" t="str">
        <f t="array" ref="C40">IFERROR(INDEX(Masteratk2024,SMALL(IF(Kriteriaatk2024=$P$4,ROW(Kriteriaatk2024)),ROW(C10)),11),"")</f>
        <v>Amplop Coklat Merk : Garda Ukuran Cabinet</v>
      </c>
      <c r="D40" s="1130"/>
      <c r="E40" s="1131"/>
      <c r="F40" s="89">
        <f t="array" ref="F40">IFERROR(INDEX(Masteratk2024,SMALL(IF(Kriteriaatk2024=$P$4,ROW(Kriteriaatk2024)),ROW(C10)),12),"")</f>
        <v>3</v>
      </c>
      <c r="G40" s="89">
        <f t="shared" si="3"/>
        <v>3</v>
      </c>
      <c r="H40" s="89" t="str">
        <f t="array" ref="H40">IF(C40&lt;&gt;"","Baik","")</f>
        <v>Baik</v>
      </c>
      <c r="I40" s="235" t="str">
        <f t="shared" si="2"/>
        <v>1</v>
      </c>
    </row>
    <row r="41" spans="2:9" s="4" customFormat="1" ht="28" customHeight="1">
      <c r="B41" s="124">
        <f>IF(C41&lt;&gt;"",COUNTA($C$32:C41),"")</f>
        <v>10</v>
      </c>
      <c r="C41" s="1129" t="str">
        <f t="array" ref="C41">IFERROR(INDEX(Masteratk2024,SMALL(IF(Kriteriaatk2024=$P$4,ROW(Kriteriaatk2024)),ROW(C11)),11),"")</f>
        <v>Amplop Coklat Merk : GSU Ukuran Folio polos</v>
      </c>
      <c r="D41" s="1130"/>
      <c r="E41" s="1131"/>
      <c r="F41" s="89">
        <f t="array" ref="F41">IFERROR(INDEX(Masteratk2024,SMALL(IF(Kriteriaatk2024=$P$4,ROW(Kriteriaatk2024)),ROW(C11)),12),"")</f>
        <v>2</v>
      </c>
      <c r="G41" s="89">
        <f t="shared" si="3"/>
        <v>2</v>
      </c>
      <c r="H41" s="89" t="str">
        <f t="array" ref="H41">IF(C41&lt;&gt;"","Baik","")</f>
        <v>Baik</v>
      </c>
      <c r="I41" s="235" t="str">
        <f t="shared" si="2"/>
        <v>1</v>
      </c>
    </row>
    <row r="42" spans="2:9" s="4" customFormat="1" ht="28" customHeight="1">
      <c r="B42" s="124">
        <f>IF(C42&lt;&gt;"",COUNTA($C$32:C42),"")</f>
        <v>11</v>
      </c>
      <c r="C42" s="1129" t="str">
        <f t="array" ref="C42">IFERROR(INDEX(Masteratk2024,SMALL(IF(Kriteriaatk2024=$P$4,ROW(Kriteriaatk2024)),ROW(C12)),11),"")</f>
        <v>Amplop Panjang Putih Polos Merk : Jaya Ukuran : 11 x 23 cm</v>
      </c>
      <c r="D42" s="1130"/>
      <c r="E42" s="1131"/>
      <c r="F42" s="89">
        <f t="array" ref="F42">IFERROR(INDEX(Masteratk2024,SMALL(IF(Kriteriaatk2024=$P$4,ROW(Kriteriaatk2024)),ROW(C12)),12),"")</f>
        <v>1</v>
      </c>
      <c r="G42" s="89">
        <f t="shared" ref="G42:G56" si="4">F42</f>
        <v>1</v>
      </c>
      <c r="H42" s="89" t="str">
        <f t="array" ref="H42">IF(C42&lt;&gt;"","Baik","")</f>
        <v>Baik</v>
      </c>
      <c r="I42" s="235" t="str">
        <f t="shared" ref="I42:I56" si="5">IF(C42="","0","1")</f>
        <v>1</v>
      </c>
    </row>
    <row r="43" spans="2:9" s="4" customFormat="1" ht="28" customHeight="1">
      <c r="B43" s="124">
        <f>IF(C43&lt;&gt;"",COUNTA($C$32:C43),"")</f>
        <v>12</v>
      </c>
      <c r="C43" s="1129" t="str">
        <f t="array" ref="C43">IFERROR(INDEX(Masteratk2024,SMALL(IF(Kriteriaatk2024=$P$4,ROW(Kriteriaatk2024)),ROW(C13)),11),"")</f>
        <v>Ballpoint Drawing Pen 0,1 Snowman</v>
      </c>
      <c r="D43" s="1130"/>
      <c r="E43" s="1131"/>
      <c r="F43" s="89">
        <f t="array" ref="F43">IFERROR(INDEX(Masteratk2024,SMALL(IF(Kriteriaatk2024=$P$4,ROW(Kriteriaatk2024)),ROW(C13)),12),"")</f>
        <v>1</v>
      </c>
      <c r="G43" s="89">
        <f t="shared" si="4"/>
        <v>1</v>
      </c>
      <c r="H43" s="89" t="str">
        <f t="array" ref="H43">IF(C43&lt;&gt;"","Baik","")</f>
        <v>Baik</v>
      </c>
      <c r="I43" s="235" t="str">
        <f t="shared" si="5"/>
        <v>1</v>
      </c>
    </row>
    <row r="44" spans="2:9" s="4" customFormat="1" ht="28" customHeight="1">
      <c r="B44" s="124">
        <f>IF(C44&lt;&gt;"",COUNTA($C$32:C44),"")</f>
        <v>13</v>
      </c>
      <c r="C44" s="1129" t="str">
        <f t="array" ref="C44">IFERROR(INDEX(Masteratk2024,SMALL(IF(Kriteriaatk2024=$P$4,ROW(Kriteriaatk2024)),ROW(C14)),11),"")</f>
        <v>Ballpoint Standard AE7</v>
      </c>
      <c r="D44" s="1130"/>
      <c r="E44" s="1131"/>
      <c r="F44" s="89">
        <f t="array" ref="F44">IFERROR(INDEX(Masteratk2024,SMALL(IF(Kriteriaatk2024=$P$4,ROW(Kriteriaatk2024)),ROW(C14)),12),"")</f>
        <v>2</v>
      </c>
      <c r="G44" s="89">
        <f t="shared" si="4"/>
        <v>2</v>
      </c>
      <c r="H44" s="89" t="str">
        <f t="array" ref="H44">IF(C44&lt;&gt;"","Baik","")</f>
        <v>Baik</v>
      </c>
      <c r="I44" s="235" t="str">
        <f t="shared" si="5"/>
        <v>1</v>
      </c>
    </row>
    <row r="45" spans="2:9" s="4" customFormat="1" ht="28" customHeight="1">
      <c r="B45" s="124">
        <f>IF(C45&lt;&gt;"",COUNTA($C$32:C45),"")</f>
        <v>14</v>
      </c>
      <c r="C45" s="1129" t="str">
        <f t="array" ref="C45">IFERROR(INDEX(Masteratk2024,SMALL(IF(Kriteriaatk2024=$P$4,ROW(Kriteriaatk2024)),ROW(C15)),11),"")</f>
        <v>Ballpoint Pilot G2</v>
      </c>
      <c r="D45" s="1130"/>
      <c r="E45" s="1131"/>
      <c r="F45" s="89">
        <f t="array" ref="F45">IFERROR(INDEX(Masteratk2024,SMALL(IF(Kriteriaatk2024=$P$4,ROW(Kriteriaatk2024)),ROW(C15)),12),"")</f>
        <v>1</v>
      </c>
      <c r="G45" s="89">
        <f t="shared" si="4"/>
        <v>1</v>
      </c>
      <c r="H45" s="89" t="str">
        <f t="array" ref="H45">IF(C45&lt;&gt;"","Baik","")</f>
        <v>Baik</v>
      </c>
      <c r="I45" s="235" t="str">
        <f t="shared" si="5"/>
        <v>1</v>
      </c>
    </row>
    <row r="46" spans="2:9" s="4" customFormat="1" ht="28" customHeight="1">
      <c r="B46" s="124">
        <f>IF(C46&lt;&gt;"",COUNTA($C$32:C46),"")</f>
        <v>15</v>
      </c>
      <c r="C46" s="1129" t="str">
        <f t="array" ref="C46">IFERROR(INDEX(Masteratk2024,SMALL(IF(Kriteriaatk2024=$P$4,ROW(Kriteriaatk2024)),ROW(C16)),11),"")</f>
        <v>Binder Klip  nomor 107</v>
      </c>
      <c r="D46" s="1130"/>
      <c r="E46" s="1131"/>
      <c r="F46" s="89">
        <f t="array" ref="F46">IFERROR(INDEX(Masteratk2024,SMALL(IF(Kriteriaatk2024=$P$4,ROW(Kriteriaatk2024)),ROW(C16)),12),"")</f>
        <v>5</v>
      </c>
      <c r="G46" s="89">
        <f t="shared" si="4"/>
        <v>5</v>
      </c>
      <c r="H46" s="89" t="str">
        <f t="array" ref="H46">IF(C46&lt;&gt;"","Baik","")</f>
        <v>Baik</v>
      </c>
      <c r="I46" s="235" t="str">
        <f t="shared" si="5"/>
        <v>1</v>
      </c>
    </row>
    <row r="47" spans="2:9" s="4" customFormat="1" ht="28" customHeight="1">
      <c r="B47" s="124">
        <f>IF(C47&lt;&gt;"",COUNTA($C$32:C47),"")</f>
        <v>16</v>
      </c>
      <c r="C47" s="1129" t="str">
        <f t="array" ref="C47">IFERROR(INDEX(Masteratk2024,SMALL(IF(Kriteriaatk2024=$P$4,ROW(Kriteriaatk2024)),ROW(C17)),11),"")</f>
        <v>Binder Klip  nomor 111</v>
      </c>
      <c r="D47" s="1130"/>
      <c r="E47" s="1131"/>
      <c r="F47" s="89">
        <f t="array" ref="F47">IFERROR(INDEX(Masteratk2024,SMALL(IF(Kriteriaatk2024=$P$4,ROW(Kriteriaatk2024)),ROW(C17)),12),"")</f>
        <v>5</v>
      </c>
      <c r="G47" s="89">
        <f t="shared" si="4"/>
        <v>5</v>
      </c>
      <c r="H47" s="89" t="str">
        <f t="array" ref="H47">IF(C47&lt;&gt;"","Baik","")</f>
        <v>Baik</v>
      </c>
      <c r="I47" s="235" t="str">
        <f t="shared" si="5"/>
        <v>1</v>
      </c>
    </row>
    <row r="48" spans="2:9" s="4" customFormat="1" ht="28" customHeight="1">
      <c r="B48" s="124">
        <f>IF(C48&lt;&gt;"",COUNTA($C$32:C48),"")</f>
        <v>17</v>
      </c>
      <c r="C48" s="1129" t="str">
        <f t="array" ref="C48">IFERROR(INDEX(Masteratk2024,SMALL(IF(Kriteriaatk2024=$P$4,ROW(Kriteriaatk2024)),ROW(C18)),11),"")</f>
        <v>Binder Klip  nomor 200</v>
      </c>
      <c r="D48" s="1130"/>
      <c r="E48" s="1131"/>
      <c r="F48" s="89">
        <f t="array" ref="F48">IFERROR(INDEX(Masteratk2024,SMALL(IF(Kriteriaatk2024=$P$4,ROW(Kriteriaatk2024)),ROW(C18)),12),"")</f>
        <v>10</v>
      </c>
      <c r="G48" s="89">
        <f t="shared" si="4"/>
        <v>10</v>
      </c>
      <c r="H48" s="89" t="str">
        <f t="array" ref="H48">IF(C48&lt;&gt;"","Baik","")</f>
        <v>Baik</v>
      </c>
      <c r="I48" s="235" t="str">
        <f t="shared" si="5"/>
        <v>1</v>
      </c>
    </row>
    <row r="49" spans="2:9" s="4" customFormat="1" ht="28" customHeight="1">
      <c r="B49" s="124">
        <f>IF(C49&lt;&gt;"",COUNTA($C$32:C49),"")</f>
        <v>18</v>
      </c>
      <c r="C49" s="1129" t="str">
        <f t="array" ref="C49">IFERROR(INDEX(Masteratk2024,SMALL(IF(Kriteriaatk2024=$P$4,ROW(Kriteriaatk2024)),ROW(C19)),11),"")</f>
        <v>Binder Klip  nomor 260</v>
      </c>
      <c r="D49" s="1130"/>
      <c r="E49" s="1131"/>
      <c r="F49" s="89">
        <f t="array" ref="F49">IFERROR(INDEX(Masteratk2024,SMALL(IF(Kriteriaatk2024=$P$4,ROW(Kriteriaatk2024)),ROW(C19)),12),"")</f>
        <v>10</v>
      </c>
      <c r="G49" s="89">
        <f t="shared" si="4"/>
        <v>10</v>
      </c>
      <c r="H49" s="89" t="str">
        <f t="array" ref="H49">IF(C49&lt;&gt;"","Baik","")</f>
        <v>Baik</v>
      </c>
      <c r="I49" s="235" t="str">
        <f t="shared" si="5"/>
        <v>1</v>
      </c>
    </row>
    <row r="50" spans="2:9" s="4" customFormat="1" ht="28" customHeight="1">
      <c r="B50" s="124">
        <f>IF(C50&lt;&gt;"",COUNTA($C$32:C50),"")</f>
        <v>19</v>
      </c>
      <c r="C50" s="1129" t="str">
        <f t="array" ref="C50">IFERROR(INDEX(Masteratk2024,SMALL(IF(Kriteriaatk2024=$P$4,ROW(Kriteriaatk2024)),ROW(C20)),11),"")</f>
        <v>Binder Klip Merk : KENKO nomor 105</v>
      </c>
      <c r="D50" s="1130"/>
      <c r="E50" s="1131"/>
      <c r="F50" s="89">
        <f t="array" ref="F50">IFERROR(INDEX(Masteratk2024,SMALL(IF(Kriteriaatk2024=$P$4,ROW(Kriteriaatk2024)),ROW(C20)),12),"")</f>
        <v>2</v>
      </c>
      <c r="G50" s="89">
        <f t="shared" si="4"/>
        <v>2</v>
      </c>
      <c r="H50" s="89" t="str">
        <f t="array" ref="H50">IF(C50&lt;&gt;"","Baik","")</f>
        <v>Baik</v>
      </c>
      <c r="I50" s="235" t="str">
        <f t="shared" si="5"/>
        <v>1</v>
      </c>
    </row>
    <row r="51" spans="2:9" s="4" customFormat="1" ht="28" customHeight="1">
      <c r="B51" s="124">
        <f>IF(C51&lt;&gt;"",COUNTA($C$32:C51),"")</f>
        <v>20</v>
      </c>
      <c r="C51" s="1129" t="str">
        <f t="array" ref="C51">IFERROR(INDEX(Masteratk2024,SMALL(IF(Kriteriaatk2024=$P$4,ROW(Kriteriaatk2024)),ROW(C21)),11),"")</f>
        <v>Map Binder</v>
      </c>
      <c r="D51" s="1130"/>
      <c r="E51" s="1131"/>
      <c r="F51" s="89">
        <f t="array" ref="F51">IFERROR(INDEX(Masteratk2024,SMALL(IF(Kriteriaatk2024=$P$4,ROW(Kriteriaatk2024)),ROW(C21)),12),"")</f>
        <v>12</v>
      </c>
      <c r="G51" s="89">
        <f t="shared" si="4"/>
        <v>12</v>
      </c>
      <c r="H51" s="89" t="str">
        <f t="array" ref="H51">IF(C51&lt;&gt;"","Baik","")</f>
        <v>Baik</v>
      </c>
      <c r="I51" s="235" t="str">
        <f t="shared" si="5"/>
        <v>1</v>
      </c>
    </row>
    <row r="52" spans="2:9" s="4" customFormat="1" ht="28" customHeight="1">
      <c r="B52" s="124">
        <f>IF(C52&lt;&gt;"",COUNTA($C$32:C52),"")</f>
        <v>21</v>
      </c>
      <c r="C52" s="1129" t="str">
        <f t="array" ref="C52">IFERROR(INDEX(Masteratk2024,SMALL(IF(Kriteriaatk2024=$P$4,ROW(Kriteriaatk2024)),ROW(C22)),11),"")</f>
        <v>Stofmap Kertas</v>
      </c>
      <c r="D52" s="1130"/>
      <c r="E52" s="1131"/>
      <c r="F52" s="89">
        <f t="array" ref="F52">IFERROR(INDEX(Masteratk2024,SMALL(IF(Kriteriaatk2024=$P$4,ROW(Kriteriaatk2024)),ROW(C22)),12),"")</f>
        <v>1</v>
      </c>
      <c r="G52" s="89">
        <f t="shared" si="4"/>
        <v>1</v>
      </c>
      <c r="H52" s="89" t="str">
        <f t="array" ref="H52">IF(C52&lt;&gt;"","Baik","")</f>
        <v>Baik</v>
      </c>
      <c r="I52" s="235" t="str">
        <f t="shared" si="5"/>
        <v>1</v>
      </c>
    </row>
    <row r="53" spans="2:9" s="4" customFormat="1" ht="28" customHeight="1">
      <c r="B53" s="124">
        <f>IF(C53&lt;&gt;"",COUNTA($C$32:C53),"")</f>
        <v>22</v>
      </c>
      <c r="C53" s="1129" t="str">
        <f t="array" ref="C53">IFERROR(INDEX(Masteratk2024,SMALL(IF(Kriteriaatk2024=$P$4,ROW(Kriteriaatk2024)),ROW(C23)),11),"")</f>
        <v>Stofmap Transparan tali</v>
      </c>
      <c r="D53" s="1130"/>
      <c r="E53" s="1131"/>
      <c r="F53" s="89">
        <f t="array" ref="F53">IFERROR(INDEX(Masteratk2024,SMALL(IF(Kriteriaatk2024=$P$4,ROW(Kriteriaatk2024)),ROW(C23)),12),"")</f>
        <v>100</v>
      </c>
      <c r="G53" s="89">
        <f t="shared" si="4"/>
        <v>100</v>
      </c>
      <c r="H53" s="89" t="str">
        <f t="array" ref="H53">IF(C53&lt;&gt;"","Baik","")</f>
        <v>Baik</v>
      </c>
      <c r="I53" s="235" t="str">
        <f t="shared" si="5"/>
        <v>1</v>
      </c>
    </row>
    <row r="54" spans="2:9" s="4" customFormat="1" ht="28" customHeight="1">
      <c r="B54" s="124">
        <f>IF(C54&lt;&gt;"",COUNTA($C$32:C54),"")</f>
        <v>23</v>
      </c>
      <c r="C54" s="1129" t="str">
        <f t="array" ref="C54">IFERROR(INDEX(Masteratk2024,SMALL(IF(Kriteriaatk2024=$P$4,ROW(Kriteriaatk2024)),ROW(C24)),11),"")</f>
        <v>Stofmap Transparan</v>
      </c>
      <c r="D54" s="1130"/>
      <c r="E54" s="1131"/>
      <c r="F54" s="89">
        <f t="array" ref="F54">IFERROR(INDEX(Masteratk2024,SMALL(IF(Kriteriaatk2024=$P$4,ROW(Kriteriaatk2024)),ROW(C24)),12),"")</f>
        <v>100</v>
      </c>
      <c r="G54" s="89">
        <f t="shared" si="4"/>
        <v>100</v>
      </c>
      <c r="H54" s="89" t="str">
        <f t="array" ref="H54">IF(C54&lt;&gt;"","Baik","")</f>
        <v>Baik</v>
      </c>
      <c r="I54" s="235" t="str">
        <f t="shared" si="5"/>
        <v>1</v>
      </c>
    </row>
    <row r="55" spans="2:9" s="4" customFormat="1" ht="28" customHeight="1">
      <c r="B55" s="124">
        <f>IF(C55&lt;&gt;"",COUNTA($C$32:C55),"")</f>
        <v>24</v>
      </c>
      <c r="C55" s="1129" t="str">
        <f t="array" ref="C55">IFERROR(INDEX(Masteratk2024,SMALL(IF(Kriteriaatk2024=$P$4,ROW(Kriteriaatk2024)),ROW(C25)),11),"")</f>
        <v>Binder Klip Ordner</v>
      </c>
      <c r="D55" s="1130"/>
      <c r="E55" s="1131"/>
      <c r="F55" s="89">
        <f t="array" ref="F55">IFERROR(INDEX(Masteratk2024,SMALL(IF(Kriteriaatk2024=$P$4,ROW(Kriteriaatk2024)),ROW(C25)),12),"")</f>
        <v>6</v>
      </c>
      <c r="G55" s="89">
        <f t="shared" si="4"/>
        <v>6</v>
      </c>
      <c r="H55" s="89" t="str">
        <f t="array" ref="H55">IF(C55&lt;&gt;"","Baik","")</f>
        <v>Baik</v>
      </c>
      <c r="I55" s="235" t="str">
        <f t="shared" si="5"/>
        <v>1</v>
      </c>
    </row>
    <row r="56" spans="2:9" s="4" customFormat="1" ht="28" customHeight="1">
      <c r="B56" s="124">
        <f>IF(C56&lt;&gt;"",COUNTA($C$32:C56),"")</f>
        <v>25</v>
      </c>
      <c r="C56" s="1129" t="str">
        <f t="array" ref="C56">IFERROR(INDEX(Masteratk2024,SMALL(IF(Kriteriaatk2024=$P$4,ROW(Kriteriaatk2024)),ROW(C26)),11),"")</f>
        <v>Box File Merk : Bantex Ukuran : 115x270x325 mm</v>
      </c>
      <c r="D56" s="1130"/>
      <c r="E56" s="1131"/>
      <c r="F56" s="89">
        <f t="array" ref="F56">IFERROR(INDEX(Masteratk2024,SMALL(IF(Kriteriaatk2024=$P$4,ROW(Kriteriaatk2024)),ROW(C26)),12),"")</f>
        <v>4</v>
      </c>
      <c r="G56" s="89">
        <f t="shared" si="4"/>
        <v>4</v>
      </c>
      <c r="H56" s="89" t="str">
        <f t="array" ref="H56">IF(C56&lt;&gt;"","Baik","")</f>
        <v>Baik</v>
      </c>
      <c r="I56" s="235" t="str">
        <f t="shared" si="5"/>
        <v>1</v>
      </c>
    </row>
    <row r="57" spans="2:9" s="4" customFormat="1" ht="28" customHeight="1">
      <c r="B57" s="124">
        <f>IF(C57&lt;&gt;"",COUNTA($C$32:C57),"")</f>
        <v>26</v>
      </c>
      <c r="C57" s="1129" t="str">
        <f t="array" ref="C57">IFERROR(INDEX(Masteratk2024,SMALL(IF(Kriteriaatk2024=$P$4,ROW(Kriteriaatk2024)),ROW(C27)),11),"")</f>
        <v>Sampul Plastik</v>
      </c>
      <c r="D57" s="1130"/>
      <c r="E57" s="1131"/>
      <c r="F57" s="89">
        <f t="array" ref="F57">IFERROR(INDEX(Masteratk2024,SMALL(IF(Kriteriaatk2024=$P$4,ROW(Kriteriaatk2024)),ROW(C27)),12),"")</f>
        <v>5</v>
      </c>
      <c r="G57" s="89">
        <f t="shared" ref="G57:G111" si="6">F57</f>
        <v>5</v>
      </c>
      <c r="H57" s="89" t="str">
        <f t="array" ref="H57">IF(C57&lt;&gt;"","Baik","")</f>
        <v>Baik</v>
      </c>
      <c r="I57" s="235" t="str">
        <f t="shared" ref="I57:I111" si="7">IF(C57="","0","1")</f>
        <v>1</v>
      </c>
    </row>
    <row r="58" spans="2:9" s="4" customFormat="1" ht="28" customHeight="1">
      <c r="B58" s="124">
        <f>IF(C58&lt;&gt;"",COUNTA($C$32:C58),"")</f>
        <v>27</v>
      </c>
      <c r="C58" s="1129" t="str">
        <f t="array" ref="C58">IFERROR(INDEX(Masteratk2024,SMALL(IF(Kriteriaatk2024=$P$4,ROW(Kriteriaatk2024)),ROW(C28)),11),"")</f>
        <v>Tinta Printer Canon 740 Hitam-740 Hitam</v>
      </c>
      <c r="D58" s="1130"/>
      <c r="E58" s="1131"/>
      <c r="F58" s="89">
        <f t="array" ref="F58">IFERROR(INDEX(Masteratk2024,SMALL(IF(Kriteriaatk2024=$P$4,ROW(Kriteriaatk2024)),ROW(C28)),12),"")</f>
        <v>8</v>
      </c>
      <c r="G58" s="89">
        <f t="shared" si="6"/>
        <v>8</v>
      </c>
      <c r="H58" s="89" t="str">
        <f t="array" ref="H58">IF(C58&lt;&gt;"","Baik","")</f>
        <v>Baik</v>
      </c>
      <c r="I58" s="235" t="str">
        <f t="shared" si="7"/>
        <v>1</v>
      </c>
    </row>
    <row r="59" spans="2:9" s="4" customFormat="1" ht="28" customHeight="1">
      <c r="B59" s="124">
        <f>IF(C59&lt;&gt;"",COUNTA($C$32:C59),"")</f>
        <v>28</v>
      </c>
      <c r="C59" s="1129" t="str">
        <f t="array" ref="C59">IFERROR(INDEX(Masteratk2024,SMALL(IF(Kriteriaatk2024=$P$4,ROW(Kriteriaatk2024)),ROW(C29)),11),"")</f>
        <v>Tinta Printer Canon 741 Warna-741 Warna</v>
      </c>
      <c r="D59" s="1130"/>
      <c r="E59" s="1131"/>
      <c r="F59" s="89">
        <f t="array" ref="F59">IFERROR(INDEX(Masteratk2024,SMALL(IF(Kriteriaatk2024=$P$4,ROW(Kriteriaatk2024)),ROW(C29)),12),"")</f>
        <v>12</v>
      </c>
      <c r="G59" s="89">
        <f t="shared" si="6"/>
        <v>12</v>
      </c>
      <c r="H59" s="89" t="str">
        <f t="array" ref="H59">IF(C59&lt;&gt;"","Baik","")</f>
        <v>Baik</v>
      </c>
      <c r="I59" s="235" t="str">
        <f t="shared" si="7"/>
        <v>1</v>
      </c>
    </row>
    <row r="60" spans="2:9" s="4" customFormat="1" ht="28" customHeight="1">
      <c r="B60" s="124">
        <f>IF(C60&lt;&gt;"",COUNTA($C$32:C60),"")</f>
        <v>29</v>
      </c>
      <c r="C60" s="1129" t="str">
        <f t="array" ref="C60">IFERROR(INDEX(Masteratk2024,SMALL(IF(Kriteriaatk2024=$P$4,ROW(Kriteriaatk2024)),ROW(C30)),11),"")</f>
        <v>C. Tinta Printer EPSON Toner Epson 664 Black</v>
      </c>
      <c r="D60" s="1130"/>
      <c r="E60" s="1131"/>
      <c r="F60" s="89">
        <f t="array" ref="F60">IFERROR(INDEX(Masteratk2024,SMALL(IF(Kriteriaatk2024=$P$4,ROW(Kriteriaatk2024)),ROW(C30)),12),"")</f>
        <v>6</v>
      </c>
      <c r="G60" s="89">
        <f t="shared" si="6"/>
        <v>6</v>
      </c>
      <c r="H60" s="89" t="str">
        <f t="array" ref="H60">IF(C60&lt;&gt;"","Baik","")</f>
        <v>Baik</v>
      </c>
      <c r="I60" s="235" t="str">
        <f t="shared" si="7"/>
        <v>1</v>
      </c>
    </row>
    <row r="61" spans="2:9" s="4" customFormat="1" ht="28" customHeight="1">
      <c r="B61" s="124">
        <f>IF(C61&lt;&gt;"",COUNTA($C$32:C61),"")</f>
        <v>30</v>
      </c>
      <c r="C61" s="1129" t="str">
        <f t="array" ref="C61">IFERROR(INDEX(Masteratk2024,SMALL(IF(Kriteriaatk2024=$P$4,ROW(Kriteriaatk2024)),ROW(C31)),11),"")</f>
        <v>C. Tinta Printer EPSON Tinta Printer Epson Yellow</v>
      </c>
      <c r="D61" s="1130"/>
      <c r="E61" s="1131"/>
      <c r="F61" s="89">
        <f t="array" ref="F61">IFERROR(INDEX(Masteratk2024,SMALL(IF(Kriteriaatk2024=$P$4,ROW(Kriteriaatk2024)),ROW(C31)),12),"")</f>
        <v>4</v>
      </c>
      <c r="G61" s="89">
        <f t="shared" si="6"/>
        <v>4</v>
      </c>
      <c r="H61" s="89" t="str">
        <f t="array" ref="H61">IF(C61&lt;&gt;"","Baik","")</f>
        <v>Baik</v>
      </c>
      <c r="I61" s="235" t="str">
        <f t="shared" si="7"/>
        <v>1</v>
      </c>
    </row>
    <row r="62" spans="2:9" s="4" customFormat="1" ht="28" customHeight="1">
      <c r="B62" s="124">
        <f>IF(C62&lt;&gt;"",COUNTA($C$32:C62),"")</f>
        <v>31</v>
      </c>
      <c r="C62" s="1129" t="str">
        <f t="array" ref="C62">IFERROR(INDEX(Masteratk2024,SMALL(IF(Kriteriaatk2024=$P$4,ROW(Kriteriaatk2024)),ROW(C32)),11),"")</f>
        <v>C. Tinta Printer EPSON Tinta Printer Epson Blue</v>
      </c>
      <c r="D62" s="1130"/>
      <c r="E62" s="1131"/>
      <c r="F62" s="89">
        <f t="array" ref="F62">IFERROR(INDEX(Masteratk2024,SMALL(IF(Kriteriaatk2024=$P$4,ROW(Kriteriaatk2024)),ROW(C32)),12),"")</f>
        <v>4</v>
      </c>
      <c r="G62" s="89">
        <f t="shared" si="6"/>
        <v>4</v>
      </c>
      <c r="H62" s="89" t="str">
        <f t="array" ref="H62">IF(C62&lt;&gt;"","Baik","")</f>
        <v>Baik</v>
      </c>
      <c r="I62" s="235" t="str">
        <f t="shared" si="7"/>
        <v>1</v>
      </c>
    </row>
    <row r="63" spans="2:9" s="4" customFormat="1" ht="28" customHeight="1">
      <c r="B63" s="124">
        <f>IF(C63&lt;&gt;"",COUNTA($C$32:C63),"")</f>
        <v>32</v>
      </c>
      <c r="C63" s="1129" t="str">
        <f t="array" ref="C63">IFERROR(INDEX(Masteratk2024,SMALL(IF(Kriteriaatk2024=$P$4,ROW(Kriteriaatk2024)),ROW(C33)),11),"")</f>
        <v>C. Tinta Printer EPSON Tinta Printer Epson Read</v>
      </c>
      <c r="D63" s="1130"/>
      <c r="E63" s="1131"/>
      <c r="F63" s="89">
        <f t="array" ref="F63">IFERROR(INDEX(Masteratk2024,SMALL(IF(Kriteriaatk2024=$P$4,ROW(Kriteriaatk2024)),ROW(C33)),12),"")</f>
        <v>4</v>
      </c>
      <c r="G63" s="89">
        <f t="shared" si="6"/>
        <v>4</v>
      </c>
      <c r="H63" s="89" t="str">
        <f t="array" ref="H63">IF(C63&lt;&gt;"","Baik","")</f>
        <v>Baik</v>
      </c>
      <c r="I63" s="235" t="str">
        <f t="shared" si="7"/>
        <v>1</v>
      </c>
    </row>
    <row r="64" spans="2:9" s="4" customFormat="1" ht="28" customHeight="1">
      <c r="B64" s="124">
        <f>IF(C64&lt;&gt;"",COUNTA($C$32:C64),"")</f>
        <v>33</v>
      </c>
      <c r="C64" s="1129" t="str">
        <f t="array" ref="C64">IFERROR(INDEX(Masteratk2024,SMALL(IF(Kriteriaatk2024=$P$4,ROW(Kriteriaatk2024)),ROW(C34)),11),"")</f>
        <v>Lakban Besar</v>
      </c>
      <c r="D64" s="1130"/>
      <c r="E64" s="1131"/>
      <c r="F64" s="89">
        <f t="array" ref="F64">IFERROR(INDEX(Masteratk2024,SMALL(IF(Kriteriaatk2024=$P$4,ROW(Kriteriaatk2024)),ROW(C34)),12),"")</f>
        <v>5</v>
      </c>
      <c r="G64" s="89">
        <f t="shared" si="6"/>
        <v>5</v>
      </c>
      <c r="H64" s="89" t="str">
        <f t="array" ref="H64">IF(C64&lt;&gt;"","Baik","")</f>
        <v>Baik</v>
      </c>
      <c r="I64" s="235" t="str">
        <f t="shared" si="7"/>
        <v>1</v>
      </c>
    </row>
    <row r="65" spans="2:9" s="4" customFormat="1" ht="28" customHeight="1">
      <c r="B65" s="124">
        <f>IF(C65&lt;&gt;"",COUNTA($C$32:C65),"")</f>
        <v>34</v>
      </c>
      <c r="C65" s="1129" t="str">
        <f t="array" ref="C65">IFERROR(INDEX(Masteratk2024,SMALL(IF(Kriteriaatk2024=$P$4,ROW(Kriteriaatk2024)),ROW(C35)),11),"")</f>
        <v>Lakban Bening Sedang</v>
      </c>
      <c r="D65" s="1130"/>
      <c r="E65" s="1131"/>
      <c r="F65" s="89">
        <f t="array" ref="F65">IFERROR(INDEX(Masteratk2024,SMALL(IF(Kriteriaatk2024=$P$4,ROW(Kriteriaatk2024)),ROW(C35)),12),"")</f>
        <v>5</v>
      </c>
      <c r="G65" s="89">
        <f t="shared" si="6"/>
        <v>5</v>
      </c>
      <c r="H65" s="89" t="str">
        <f t="array" ref="H65">IF(C65&lt;&gt;"","Baik","")</f>
        <v>Baik</v>
      </c>
      <c r="I65" s="235" t="str">
        <f t="shared" si="7"/>
        <v>1</v>
      </c>
    </row>
    <row r="66" spans="2:9" s="4" customFormat="1" ht="28" customHeight="1">
      <c r="B66" s="124">
        <f>IF(C66&lt;&gt;"",COUNTA($C$32:C66),"")</f>
        <v>35</v>
      </c>
      <c r="C66" s="1129" t="str">
        <f t="array" ref="C66">IFERROR(INDEX(Masteratk2024,SMALL(IF(Kriteriaatk2024=$P$4,ROW(Kriteriaatk2024)),ROW(C36)),11),"")</f>
        <v>Lakban Bening</v>
      </c>
      <c r="D66" s="1130"/>
      <c r="E66" s="1131"/>
      <c r="F66" s="89">
        <f t="array" ref="F66">IFERROR(INDEX(Masteratk2024,SMALL(IF(Kriteriaatk2024=$P$4,ROW(Kriteriaatk2024)),ROW(C36)),12),"")</f>
        <v>5</v>
      </c>
      <c r="G66" s="89">
        <f t="shared" si="6"/>
        <v>5</v>
      </c>
      <c r="H66" s="89" t="str">
        <f t="array" ref="H66">IF(C66&lt;&gt;"","Baik","")</f>
        <v>Baik</v>
      </c>
      <c r="I66" s="235" t="str">
        <f t="shared" si="7"/>
        <v>1</v>
      </c>
    </row>
    <row r="67" spans="2:9" s="4" customFormat="1" ht="28" customHeight="1">
      <c r="B67" s="124">
        <f>IF(C67&lt;&gt;"",COUNTA($C$32:C67),"")</f>
        <v>36</v>
      </c>
      <c r="C67" s="1129" t="str">
        <f t="array" ref="C67">IFERROR(INDEX(Masteratk2024,SMALL(IF(Kriteriaatk2024=$P$4,ROW(Kriteriaatk2024)),ROW(C37)),11),"")</f>
        <v>Lakban Hitam--</v>
      </c>
      <c r="D67" s="1130"/>
      <c r="E67" s="1131"/>
      <c r="F67" s="89">
        <f t="array" ref="F67">IFERROR(INDEX(Masteratk2024,SMALL(IF(Kriteriaatk2024=$P$4,ROW(Kriteriaatk2024)),ROW(C37)),12),"")</f>
        <v>5</v>
      </c>
      <c r="G67" s="89">
        <f t="shared" si="6"/>
        <v>5</v>
      </c>
      <c r="H67" s="89" t="str">
        <f t="array" ref="H67">IF(C67&lt;&gt;"","Baik","")</f>
        <v>Baik</v>
      </c>
      <c r="I67" s="235" t="str">
        <f t="shared" si="7"/>
        <v>1</v>
      </c>
    </row>
    <row r="68" spans="2:9" s="4" customFormat="1" ht="28" customHeight="1">
      <c r="B68" s="124">
        <f>IF(C68&lt;&gt;"",COUNTA($C$32:C68),"")</f>
        <v>37</v>
      </c>
      <c r="C68" s="1129" t="str">
        <f t="array" ref="C68">IFERROR(INDEX(Masteratk2024,SMALL(IF(Kriteriaatk2024=$P$4,ROW(Kriteriaatk2024)),ROW(C38)),11),"")</f>
        <v>lakban hitam-ukuran : lebar 2 inch, panjang 12m, bahan : kain</v>
      </c>
      <c r="D68" s="1130"/>
      <c r="E68" s="1131"/>
      <c r="F68" s="89">
        <f t="array" ref="F68">IFERROR(INDEX(Masteratk2024,SMALL(IF(Kriteriaatk2024=$P$4,ROW(Kriteriaatk2024)),ROW(C38)),12),"")</f>
        <v>4</v>
      </c>
      <c r="G68" s="89">
        <f t="shared" si="6"/>
        <v>4</v>
      </c>
      <c r="H68" s="89" t="str">
        <f t="array" ref="H68">IF(C68&lt;&gt;"","Baik","")</f>
        <v>Baik</v>
      </c>
      <c r="I68" s="235" t="str">
        <f t="shared" si="7"/>
        <v>1</v>
      </c>
    </row>
    <row r="69" spans="2:9" s="4" customFormat="1" ht="28" customHeight="1">
      <c r="B69" s="124">
        <f>IF(C69&lt;&gt;"",COUNTA($C$32:C69),"")</f>
        <v>38</v>
      </c>
      <c r="C69" s="1129" t="str">
        <f t="array" ref="C69">IFERROR(INDEX(Masteratk2024,SMALL(IF(Kriteriaatk2024=$P$4,ROW(Kriteriaatk2024)),ROW(C39)),11),"")</f>
        <v>Lakban Hitam uk 2 " Warna hitam uk. 2 "</v>
      </c>
      <c r="D69" s="1130"/>
      <c r="E69" s="1131"/>
      <c r="F69" s="89">
        <f t="array" ref="F69">IFERROR(INDEX(Masteratk2024,SMALL(IF(Kriteriaatk2024=$P$4,ROW(Kriteriaatk2024)),ROW(C39)),12),"")</f>
        <v>5</v>
      </c>
      <c r="G69" s="89">
        <f t="shared" si="6"/>
        <v>5</v>
      </c>
      <c r="H69" s="89" t="str">
        <f t="array" ref="H69">IF(C69&lt;&gt;"","Baik","")</f>
        <v>Baik</v>
      </c>
      <c r="I69" s="235" t="str">
        <f t="shared" si="7"/>
        <v>1</v>
      </c>
    </row>
    <row r="70" spans="2:9" s="4" customFormat="1" ht="28" customHeight="1">
      <c r="B70" s="124">
        <f>IF(C70&lt;&gt;"",COUNTA($C$32:C70),"")</f>
        <v>39</v>
      </c>
      <c r="C70" s="1129" t="str">
        <f t="array" ref="C70">IFERROR(INDEX(Masteratk2024,SMALL(IF(Kriteriaatk2024=$P$4,ROW(Kriteriaatk2024)),ROW(C40)),11),"")</f>
        <v>Lakban warna Uk 2" Warna Coklat Cofiie</v>
      </c>
      <c r="D70" s="1130"/>
      <c r="E70" s="1131"/>
      <c r="F70" s="89">
        <f t="array" ref="F70">IFERROR(INDEX(Masteratk2024,SMALL(IF(Kriteriaatk2024=$P$4,ROW(Kriteriaatk2024)),ROW(C40)),12),"")</f>
        <v>3</v>
      </c>
      <c r="G70" s="89">
        <f t="shared" si="6"/>
        <v>3</v>
      </c>
      <c r="H70" s="89" t="str">
        <f t="array" ref="H70">IF(C70&lt;&gt;"","Baik","")</f>
        <v>Baik</v>
      </c>
      <c r="I70" s="235" t="str">
        <f t="shared" si="7"/>
        <v>1</v>
      </c>
    </row>
    <row r="71" spans="2:9" s="4" customFormat="1" ht="28" customHeight="1">
      <c r="B71" s="124">
        <f>IF(C71&lt;&gt;"",COUNTA($C$32:C71),"")</f>
        <v>40</v>
      </c>
      <c r="C71" s="1129" t="str">
        <f t="array" ref="C71">IFERROR(INDEX(Masteratk2024,SMALL(IF(Kriteriaatk2024=$P$4,ROW(Kriteriaatk2024)),ROW(C41)),11),"")</f>
        <v>Spidol Refil Spidol White Board Snowman</v>
      </c>
      <c r="D71" s="1130"/>
      <c r="E71" s="1131"/>
      <c r="F71" s="89">
        <f t="array" ref="F71">IFERROR(INDEX(Masteratk2024,SMALL(IF(Kriteriaatk2024=$P$4,ROW(Kriteriaatk2024)),ROW(C41)),12),"")</f>
        <v>10</v>
      </c>
      <c r="G71" s="89">
        <f t="shared" si="6"/>
        <v>10</v>
      </c>
      <c r="H71" s="89" t="str">
        <f t="array" ref="H71">IF(C71&lt;&gt;"","Baik","")</f>
        <v>Baik</v>
      </c>
      <c r="I71" s="235" t="str">
        <f t="shared" si="7"/>
        <v>1</v>
      </c>
    </row>
    <row r="72" spans="2:9" s="4" customFormat="1" ht="28" customHeight="1">
      <c r="B72" s="124">
        <f>IF(C72&lt;&gt;"",COUNTA($C$32:C72),"")</f>
        <v>41</v>
      </c>
      <c r="C72" s="1129" t="str">
        <f t="array" ref="C72">IFERROR(INDEX(Masteratk2024,SMALL(IF(Kriteriaatk2024=$P$4,ROW(Kriteriaatk2024)),ROW(C42)),11),"")</f>
        <v>Spidol White board</v>
      </c>
      <c r="D72" s="1130"/>
      <c r="E72" s="1131"/>
      <c r="F72" s="89">
        <f t="array" ref="F72">IFERROR(INDEX(Masteratk2024,SMALL(IF(Kriteriaatk2024=$P$4,ROW(Kriteriaatk2024)),ROW(C42)),12),"")</f>
        <v>2</v>
      </c>
      <c r="G72" s="89">
        <f t="shared" si="6"/>
        <v>2</v>
      </c>
      <c r="H72" s="89" t="str">
        <f t="array" ref="H72">IF(C72&lt;&gt;"","Baik","")</f>
        <v>Baik</v>
      </c>
      <c r="I72" s="235" t="str">
        <f t="shared" si="7"/>
        <v>1</v>
      </c>
    </row>
    <row r="73" spans="2:9" s="4" customFormat="1" ht="28" customHeight="1">
      <c r="B73" s="124">
        <f>IF(C73&lt;&gt;"",COUNTA($C$32:C73),"")</f>
        <v>42</v>
      </c>
      <c r="C73" s="1129" t="str">
        <f t="array" ref="C73">IFERROR(INDEX(Masteratk2024,SMALL(IF(Kriteriaatk2024=$P$4,ROW(Kriteriaatk2024)),ROW(C43)),11),"")</f>
        <v>Stapler HD-10--</v>
      </c>
      <c r="D73" s="1130"/>
      <c r="E73" s="1131"/>
      <c r="F73" s="89">
        <f t="array" ref="F73">IFERROR(INDEX(Masteratk2024,SMALL(IF(Kriteriaatk2024=$P$4,ROW(Kriteriaatk2024)),ROW(C43)),12),"")</f>
        <v>2</v>
      </c>
      <c r="G73" s="89">
        <f t="shared" si="6"/>
        <v>2</v>
      </c>
      <c r="H73" s="89" t="str">
        <f t="array" ref="H73">IF(C73&lt;&gt;"","Baik","")</f>
        <v>Baik</v>
      </c>
      <c r="I73" s="235" t="str">
        <f t="shared" si="7"/>
        <v>1</v>
      </c>
    </row>
    <row r="74" spans="2:9" s="4" customFormat="1" ht="28" customHeight="1">
      <c r="B74" s="124">
        <f>IF(C74&lt;&gt;"",COUNTA($C$32:C74),"")</f>
        <v>43</v>
      </c>
      <c r="C74" s="1129" t="str">
        <f t="array" ref="C74">IFERROR(INDEX(Masteratk2024,SMALL(IF(Kriteriaatk2024=$P$4,ROW(Kriteriaatk2024)),ROW(C44)),11),"")</f>
        <v>Stapler Stapler No, 50 MAX</v>
      </c>
      <c r="D74" s="1130"/>
      <c r="E74" s="1131"/>
      <c r="F74" s="89">
        <f t="array" ref="F74">IFERROR(INDEX(Masteratk2024,SMALL(IF(Kriteriaatk2024=$P$4,ROW(Kriteriaatk2024)),ROW(C44)),12),"")</f>
        <v>2</v>
      </c>
      <c r="G74" s="89">
        <f t="shared" si="6"/>
        <v>2</v>
      </c>
      <c r="H74" s="89" t="str">
        <f t="array" ref="H74">IF(C74&lt;&gt;"","Baik","")</f>
        <v>Baik</v>
      </c>
      <c r="I74" s="235" t="str">
        <f t="shared" si="7"/>
        <v>1</v>
      </c>
    </row>
    <row r="75" spans="2:9" s="4" customFormat="1" ht="28" customHeight="1">
      <c r="B75" s="124">
        <f>IF(C75&lt;&gt;"",COUNTA($C$32:C75),"")</f>
        <v>44</v>
      </c>
      <c r="C75" s="1129" t="str">
        <f t="array" ref="C75">IFERROR(INDEX(Masteratk2024,SMALL(IF(Kriteriaatk2024=$P$4,ROW(Kriteriaatk2024)),ROW(C45)),11),"")</f>
        <v>PAPER CLIP  Paper Clip No 1</v>
      </c>
      <c r="D75" s="1130"/>
      <c r="E75" s="1131"/>
      <c r="F75" s="89">
        <f t="array" ref="F75">IFERROR(INDEX(Masteratk2024,SMALL(IF(Kriteriaatk2024=$P$4,ROW(Kriteriaatk2024)),ROW(C45)),12),"")</f>
        <v>5</v>
      </c>
      <c r="G75" s="89">
        <f t="shared" si="6"/>
        <v>5</v>
      </c>
      <c r="H75" s="89" t="str">
        <f t="array" ref="H75">IF(C75&lt;&gt;"","Baik","")</f>
        <v>Baik</v>
      </c>
      <c r="I75" s="235" t="str">
        <f t="shared" si="7"/>
        <v>1</v>
      </c>
    </row>
    <row r="76" spans="2:9" s="4" customFormat="1" ht="28" customHeight="1">
      <c r="B76" s="124">
        <f>IF(C76&lt;&gt;"",COUNTA($C$32:C76),"")</f>
        <v>45</v>
      </c>
      <c r="C76" s="1129" t="str">
        <f t="array" ref="C76">IFERROR(INDEX(Masteratk2024,SMALL(IF(Kriteriaatk2024=$P$4,ROW(Kriteriaatk2024)),ROW(C46)),11),"")</f>
        <v>Paper Clip No 1  Paper Clip No 3</v>
      </c>
      <c r="D76" s="1130"/>
      <c r="E76" s="1131"/>
      <c r="F76" s="89">
        <f t="array" ref="F76">IFERROR(INDEX(Masteratk2024,SMALL(IF(Kriteriaatk2024=$P$4,ROW(Kriteriaatk2024)),ROW(C46)),12),"")</f>
        <v>5</v>
      </c>
      <c r="G76" s="89">
        <f t="shared" si="6"/>
        <v>5</v>
      </c>
      <c r="H76" s="89" t="str">
        <f t="array" ref="H76">IF(C76&lt;&gt;"","Baik","")</f>
        <v>Baik</v>
      </c>
      <c r="I76" s="235" t="str">
        <f t="shared" si="7"/>
        <v>1</v>
      </c>
    </row>
    <row r="77" spans="2:9" s="4" customFormat="1" ht="28" customHeight="1">
      <c r="B77" s="124">
        <f>IF(C77&lt;&gt;"",COUNTA($C$32:C77),"")</f>
        <v>46</v>
      </c>
      <c r="C77" s="1129" t="str">
        <f t="array" ref="C77">IFERROR(INDEX(Masteratk2024,SMALL(IF(Kriteriaatk2024=$P$4,ROW(Kriteriaatk2024)),ROW(C47)),11),"")</f>
        <v>gunting kertas-ukuran : panjang 21cm x lebar 8cm, stainless steel</v>
      </c>
      <c r="D77" s="1130"/>
      <c r="E77" s="1131"/>
      <c r="F77" s="89">
        <f t="array" ref="F77">IFERROR(INDEX(Masteratk2024,SMALL(IF(Kriteriaatk2024=$P$4,ROW(Kriteriaatk2024)),ROW(C47)),12),"")</f>
        <v>2</v>
      </c>
      <c r="G77" s="89">
        <f t="shared" si="6"/>
        <v>2</v>
      </c>
      <c r="H77" s="89" t="str">
        <f t="array" ref="H77">IF(C77&lt;&gt;"","Baik","")</f>
        <v>Baik</v>
      </c>
      <c r="I77" s="235" t="str">
        <f t="shared" si="7"/>
        <v>1</v>
      </c>
    </row>
    <row r="78" spans="2:9" s="4" customFormat="1" ht="28" customHeight="1">
      <c r="B78" s="124">
        <f>IF(C78&lt;&gt;"",COUNTA($C$32:C78),"")</f>
        <v>47</v>
      </c>
      <c r="C78" s="1129" t="str">
        <f t="array" ref="C78">IFERROR(INDEX(Masteratk2024,SMALL(IF(Kriteriaatk2024=$P$4,ROW(Kriteriaatk2024)),ROW(C48)),11),"")</f>
        <v>Pisau Cutter Kenko L-500</v>
      </c>
      <c r="D78" s="1130"/>
      <c r="E78" s="1131"/>
      <c r="F78" s="89">
        <f t="array" ref="F78">IFERROR(INDEX(Masteratk2024,SMALL(IF(Kriteriaatk2024=$P$4,ROW(Kriteriaatk2024)),ROW(C48)),12),"")</f>
        <v>2</v>
      </c>
      <c r="G78" s="89">
        <f t="shared" si="6"/>
        <v>2</v>
      </c>
      <c r="H78" s="89" t="str">
        <f t="array" ref="H78">IF(C78&lt;&gt;"","Baik","")</f>
        <v>Baik</v>
      </c>
      <c r="I78" s="235" t="str">
        <f t="shared" si="7"/>
        <v>1</v>
      </c>
    </row>
    <row r="79" spans="2:9" s="4" customFormat="1" ht="28" customHeight="1">
      <c r="B79" s="124">
        <f>IF(C79&lt;&gt;"",COUNTA($C$32:C79),"")</f>
        <v>48</v>
      </c>
      <c r="C79" s="1129" t="str">
        <f t="array" ref="C79">IFERROR(INDEX(Masteratk2024,SMALL(IF(Kriteriaatk2024=$P$4,ROW(Kriteriaatk2024)),ROW(C49)),11),"")</f>
        <v>Baterey Kecil</v>
      </c>
      <c r="D79" s="1130"/>
      <c r="E79" s="1131"/>
      <c r="F79" s="89">
        <f t="array" ref="F79">IFERROR(INDEX(Masteratk2024,SMALL(IF(Kriteriaatk2024=$P$4,ROW(Kriteriaatk2024)),ROW(C49)),12),"")</f>
        <v>5</v>
      </c>
      <c r="G79" s="89">
        <f t="shared" si="6"/>
        <v>5</v>
      </c>
      <c r="H79" s="89" t="str">
        <f t="array" ref="H79">IF(C79&lt;&gt;"","Baik","")</f>
        <v>Baik</v>
      </c>
      <c r="I79" s="235" t="str">
        <f t="shared" si="7"/>
        <v>1</v>
      </c>
    </row>
    <row r="80" spans="2:9" s="4" customFormat="1" ht="28" hidden="1" customHeight="1">
      <c r="B80" s="124" t="str">
        <f>IF(C80&lt;&gt;"",COUNTA($C$32:C80),"")</f>
        <v/>
      </c>
      <c r="C80" s="1129" t="str">
        <f t="array" ref="C80">IFERROR(INDEX(Masteratk2024,SMALL(IF(Kriteriaatk2024=$P$4,ROW(Kriteriaatk2024)),ROW(C50)),11),"")</f>
        <v/>
      </c>
      <c r="D80" s="1130"/>
      <c r="E80" s="1131"/>
      <c r="F80" s="89" t="str">
        <f t="array" ref="F80">IFERROR(INDEX(Masteratk2024,SMALL(IF(Kriteriaatk2024=$P$4,ROW(Kriteriaatk2024)),ROW(C50)),12),"")</f>
        <v/>
      </c>
      <c r="G80" s="89" t="str">
        <f t="shared" si="6"/>
        <v/>
      </c>
      <c r="H80" s="89" t="str">
        <f t="array" ref="H80">IF(C80&lt;&gt;"","Baik","")</f>
        <v/>
      </c>
      <c r="I80" s="235" t="str">
        <f t="shared" si="7"/>
        <v>0</v>
      </c>
    </row>
    <row r="81" spans="2:9" s="4" customFormat="1" ht="28" hidden="1" customHeight="1">
      <c r="B81" s="124" t="str">
        <f>IF(C81&lt;&gt;"",COUNTA($C$32:C81),"")</f>
        <v/>
      </c>
      <c r="C81" s="1129" t="str">
        <f t="array" ref="C81">IFERROR(INDEX(Masteratk2024,SMALL(IF(Kriteriaatk2024=$P$4,ROW(Kriteriaatk2024)),ROW(C51)),11),"")</f>
        <v/>
      </c>
      <c r="D81" s="1130"/>
      <c r="E81" s="1131"/>
      <c r="F81" s="89" t="str">
        <f t="array" ref="F81">IFERROR(INDEX(Masteratk2024,SMALL(IF(Kriteriaatk2024=$P$4,ROW(Kriteriaatk2024)),ROW(C51)),12),"")</f>
        <v/>
      </c>
      <c r="G81" s="89" t="str">
        <f t="shared" si="6"/>
        <v/>
      </c>
      <c r="H81" s="89" t="str">
        <f t="array" ref="H81">IF(C81&lt;&gt;"","Baik","")</f>
        <v/>
      </c>
      <c r="I81" s="235" t="str">
        <f t="shared" si="7"/>
        <v>0</v>
      </c>
    </row>
    <row r="82" spans="2:9" s="4" customFormat="1" ht="28" hidden="1" customHeight="1">
      <c r="B82" s="124" t="str">
        <f>IF(C82&lt;&gt;"",COUNTA($C$32:C82),"")</f>
        <v/>
      </c>
      <c r="C82" s="1129" t="str">
        <f t="array" ref="C82">IFERROR(INDEX(Masteratk2024,SMALL(IF(Kriteriaatk2024=$P$4,ROW(Kriteriaatk2024)),ROW(C52)),11),"")</f>
        <v/>
      </c>
      <c r="D82" s="1130"/>
      <c r="E82" s="1131"/>
      <c r="F82" s="89" t="str">
        <f t="array" ref="F82">IFERROR(INDEX(Masteratk2024,SMALL(IF(Kriteriaatk2024=$P$4,ROW(Kriteriaatk2024)),ROW(C52)),12),"")</f>
        <v/>
      </c>
      <c r="G82" s="89" t="str">
        <f t="shared" si="6"/>
        <v/>
      </c>
      <c r="H82" s="89" t="str">
        <f t="array" ref="H82">IF(C82&lt;&gt;"","Baik","")</f>
        <v/>
      </c>
      <c r="I82" s="235" t="str">
        <f t="shared" si="7"/>
        <v>0</v>
      </c>
    </row>
    <row r="83" spans="2:9" s="4" customFormat="1" ht="28" hidden="1" customHeight="1">
      <c r="B83" s="124" t="str">
        <f>IF(C83&lt;&gt;"",COUNTA($C$32:C83),"")</f>
        <v/>
      </c>
      <c r="C83" s="1129" t="str">
        <f t="array" ref="C83">IFERROR(INDEX(Masteratk2024,SMALL(IF(Kriteriaatk2024=$P$4,ROW(Kriteriaatk2024)),ROW(C53)),11),"")</f>
        <v/>
      </c>
      <c r="D83" s="1130"/>
      <c r="E83" s="1131"/>
      <c r="F83" s="89" t="str">
        <f t="array" ref="F83">IFERROR(INDEX(Masteratk2024,SMALL(IF(Kriteriaatk2024=$P$4,ROW(Kriteriaatk2024)),ROW(C53)),12),"")</f>
        <v/>
      </c>
      <c r="G83" s="89" t="str">
        <f t="shared" si="6"/>
        <v/>
      </c>
      <c r="H83" s="89" t="str">
        <f t="array" ref="H83">IF(C83&lt;&gt;"","Baik","")</f>
        <v/>
      </c>
      <c r="I83" s="235" t="str">
        <f t="shared" si="7"/>
        <v>0</v>
      </c>
    </row>
    <row r="84" spans="2:9" s="4" customFormat="1" ht="28" hidden="1" customHeight="1">
      <c r="B84" s="124" t="str">
        <f>IF(C84&lt;&gt;"",COUNTA($C$32:C84),"")</f>
        <v/>
      </c>
      <c r="C84" s="1129" t="str">
        <f t="array" ref="C84">IFERROR(INDEX(Masteratk2024,SMALL(IF(Kriteriaatk2024=$P$4,ROW(Kriteriaatk2024)),ROW(C54)),11),"")</f>
        <v/>
      </c>
      <c r="D84" s="1130"/>
      <c r="E84" s="1131"/>
      <c r="F84" s="89" t="str">
        <f t="array" ref="F84">IFERROR(INDEX(Masteratk2024,SMALL(IF(Kriteriaatk2024=$P$4,ROW(Kriteriaatk2024)),ROW(C54)),12),"")</f>
        <v/>
      </c>
      <c r="G84" s="89" t="str">
        <f t="shared" si="6"/>
        <v/>
      </c>
      <c r="H84" s="89" t="str">
        <f t="array" ref="H84">IF(C84&lt;&gt;"","Baik","")</f>
        <v/>
      </c>
      <c r="I84" s="235" t="str">
        <f t="shared" si="7"/>
        <v>0</v>
      </c>
    </row>
    <row r="85" spans="2:9" s="4" customFormat="1" ht="28" hidden="1" customHeight="1">
      <c r="B85" s="124" t="str">
        <f>IF(C85&lt;&gt;"",COUNTA($C$32:C85),"")</f>
        <v/>
      </c>
      <c r="C85" s="1129" t="str">
        <f t="array" ref="C85">IFERROR(INDEX(Masteratk2024,SMALL(IF(Kriteriaatk2024=$P$4,ROW(Kriteriaatk2024)),ROW(C55)),11),"")</f>
        <v/>
      </c>
      <c r="D85" s="1130"/>
      <c r="E85" s="1131"/>
      <c r="F85" s="89" t="str">
        <f t="array" ref="F85">IFERROR(INDEX(Masteratk2024,SMALL(IF(Kriteriaatk2024=$P$4,ROW(Kriteriaatk2024)),ROW(C55)),12),"")</f>
        <v/>
      </c>
      <c r="G85" s="89" t="str">
        <f t="shared" si="6"/>
        <v/>
      </c>
      <c r="H85" s="89" t="str">
        <f t="array" ref="H85">IF(C85&lt;&gt;"","Baik","")</f>
        <v/>
      </c>
      <c r="I85" s="235" t="str">
        <f t="shared" si="7"/>
        <v>0</v>
      </c>
    </row>
    <row r="86" spans="2:9" s="4" customFormat="1" ht="28" hidden="1" customHeight="1">
      <c r="B86" s="124" t="str">
        <f>IF(C86&lt;&gt;"",COUNTA($C$32:C86),"")</f>
        <v/>
      </c>
      <c r="C86" s="1129" t="str">
        <f t="array" ref="C86">IFERROR(INDEX(Masteratk2024,SMALL(IF(Kriteriaatk2024=$P$4,ROW(Kriteriaatk2024)),ROW(C56)),11),"")</f>
        <v/>
      </c>
      <c r="D86" s="1130"/>
      <c r="E86" s="1131"/>
      <c r="F86" s="89" t="str">
        <f t="array" ref="F86">IFERROR(INDEX(Masteratk2024,SMALL(IF(Kriteriaatk2024=$P$4,ROW(Kriteriaatk2024)),ROW(C56)),12),"")</f>
        <v/>
      </c>
      <c r="G86" s="89" t="str">
        <f t="shared" si="6"/>
        <v/>
      </c>
      <c r="H86" s="89" t="str">
        <f t="array" ref="H86">IF(C86&lt;&gt;"","Baik","")</f>
        <v/>
      </c>
      <c r="I86" s="235" t="str">
        <f t="shared" si="7"/>
        <v>0</v>
      </c>
    </row>
    <row r="87" spans="2:9" s="4" customFormat="1" ht="28" hidden="1" customHeight="1">
      <c r="B87" s="124" t="str">
        <f>IF(C87&lt;&gt;"",COUNTA($C$32:C87),"")</f>
        <v/>
      </c>
      <c r="C87" s="1129" t="str">
        <f t="array" ref="C87">IFERROR(INDEX(Masteratk2024,SMALL(IF(Kriteriaatk2024=$P$4,ROW(Kriteriaatk2024)),ROW(C57)),11),"")</f>
        <v/>
      </c>
      <c r="D87" s="1130"/>
      <c r="E87" s="1131"/>
      <c r="F87" s="89" t="str">
        <f t="array" ref="F87">IFERROR(INDEX(Masteratk2024,SMALL(IF(Kriteriaatk2024=$P$4,ROW(Kriteriaatk2024)),ROW(C57)),12),"")</f>
        <v/>
      </c>
      <c r="G87" s="89" t="str">
        <f t="shared" si="6"/>
        <v/>
      </c>
      <c r="H87" s="89" t="str">
        <f t="array" ref="H87">IF(C87&lt;&gt;"","Baik","")</f>
        <v/>
      </c>
      <c r="I87" s="235" t="str">
        <f t="shared" si="7"/>
        <v>0</v>
      </c>
    </row>
    <row r="88" spans="2:9" s="4" customFormat="1" ht="28" hidden="1" customHeight="1">
      <c r="B88" s="124" t="str">
        <f>IF(C88&lt;&gt;"",COUNTA($C$32:C88),"")</f>
        <v/>
      </c>
      <c r="C88" s="1129" t="str">
        <f t="array" ref="C88">IFERROR(INDEX(Masteratk2024,SMALL(IF(Kriteriaatk2024=$P$4,ROW(Kriteriaatk2024)),ROW(C58)),11),"")</f>
        <v/>
      </c>
      <c r="D88" s="1130"/>
      <c r="E88" s="1131"/>
      <c r="F88" s="89" t="str">
        <f t="array" ref="F88">IFERROR(INDEX(Masteratk2024,SMALL(IF(Kriteriaatk2024=$P$4,ROW(Kriteriaatk2024)),ROW(C58)),12),"")</f>
        <v/>
      </c>
      <c r="G88" s="89" t="str">
        <f t="shared" si="6"/>
        <v/>
      </c>
      <c r="H88" s="89" t="str">
        <f t="array" ref="H88">IF(C88&lt;&gt;"","Baik","")</f>
        <v/>
      </c>
      <c r="I88" s="235" t="str">
        <f t="shared" si="7"/>
        <v>0</v>
      </c>
    </row>
    <row r="89" spans="2:9" s="4" customFormat="1" ht="28" hidden="1" customHeight="1">
      <c r="B89" s="124" t="str">
        <f>IF(C89&lt;&gt;"",COUNTA($C$32:C89),"")</f>
        <v/>
      </c>
      <c r="C89" s="1129" t="str">
        <f t="array" ref="C89">IFERROR(INDEX(Masteratk2024,SMALL(IF(Kriteriaatk2024=$P$4,ROW(Kriteriaatk2024)),ROW(C59)),11),"")</f>
        <v/>
      </c>
      <c r="D89" s="1130"/>
      <c r="E89" s="1131"/>
      <c r="F89" s="89" t="str">
        <f t="array" ref="F89">IFERROR(INDEX(Masteratk2024,SMALL(IF(Kriteriaatk2024=$P$4,ROW(Kriteriaatk2024)),ROW(C59)),12),"")</f>
        <v/>
      </c>
      <c r="G89" s="89" t="str">
        <f t="shared" si="6"/>
        <v/>
      </c>
      <c r="H89" s="89" t="str">
        <f t="array" ref="H89">IF(C89&lt;&gt;"","Baik","")</f>
        <v/>
      </c>
      <c r="I89" s="235" t="str">
        <f t="shared" si="7"/>
        <v>0</v>
      </c>
    </row>
    <row r="90" spans="2:9" s="4" customFormat="1" ht="28" hidden="1" customHeight="1">
      <c r="B90" s="124" t="str">
        <f>IF(C90&lt;&gt;"",COUNTA($C$32:C90),"")</f>
        <v/>
      </c>
      <c r="C90" s="1129" t="str">
        <f t="array" ref="C90">IFERROR(INDEX(Masteratk2024,SMALL(IF(Kriteriaatk2024=$P$4,ROW(Kriteriaatk2024)),ROW(C60)),11),"")</f>
        <v/>
      </c>
      <c r="D90" s="1130"/>
      <c r="E90" s="1131"/>
      <c r="F90" s="89" t="str">
        <f t="array" ref="F90">IFERROR(INDEX(Masteratk2024,SMALL(IF(Kriteriaatk2024=$P$4,ROW(Kriteriaatk2024)),ROW(C60)),12),"")</f>
        <v/>
      </c>
      <c r="G90" s="89" t="str">
        <f t="shared" si="6"/>
        <v/>
      </c>
      <c r="H90" s="89" t="str">
        <f t="array" ref="H90">IF(C90&lt;&gt;"","Baik","")</f>
        <v/>
      </c>
      <c r="I90" s="235" t="str">
        <f t="shared" si="7"/>
        <v>0</v>
      </c>
    </row>
    <row r="91" spans="2:9" s="4" customFormat="1" ht="28" hidden="1" customHeight="1">
      <c r="B91" s="124" t="str">
        <f>IF(C91&lt;&gt;"",COUNTA($C$32:C91),"")</f>
        <v/>
      </c>
      <c r="C91" s="1129" t="str">
        <f t="array" ref="C91">IFERROR(INDEX(Masteratk2024,SMALL(IF(Kriteriaatk2024=$P$4,ROW(Kriteriaatk2024)),ROW(C61)),11),"")</f>
        <v/>
      </c>
      <c r="D91" s="1130"/>
      <c r="E91" s="1131"/>
      <c r="F91" s="89" t="str">
        <f t="array" ref="F91">IFERROR(INDEX(Masteratk2024,SMALL(IF(Kriteriaatk2024=$P$4,ROW(Kriteriaatk2024)),ROW(C61)),12),"")</f>
        <v/>
      </c>
      <c r="G91" s="89" t="str">
        <f t="shared" si="6"/>
        <v/>
      </c>
      <c r="H91" s="89" t="str">
        <f t="array" ref="H91">IF(C91&lt;&gt;"","Baik","")</f>
        <v/>
      </c>
      <c r="I91" s="235" t="str">
        <f t="shared" si="7"/>
        <v>0</v>
      </c>
    </row>
    <row r="92" spans="2:9" s="4" customFormat="1" ht="28" hidden="1" customHeight="1">
      <c r="B92" s="124" t="str">
        <f>IF(C92&lt;&gt;"",COUNTA($C$32:C92),"")</f>
        <v/>
      </c>
      <c r="C92" s="1129" t="str">
        <f t="array" ref="C92">IFERROR(INDEX(Masteratk2024,SMALL(IF(Kriteriaatk2024=$P$4,ROW(Kriteriaatk2024)),ROW(C62)),11),"")</f>
        <v/>
      </c>
      <c r="D92" s="1130"/>
      <c r="E92" s="1131"/>
      <c r="F92" s="89" t="str">
        <f t="array" ref="F92">IFERROR(INDEX(Masteratk2024,SMALL(IF(Kriteriaatk2024=$P$4,ROW(Kriteriaatk2024)),ROW(C62)),12),"")</f>
        <v/>
      </c>
      <c r="G92" s="89" t="str">
        <f t="shared" si="6"/>
        <v/>
      </c>
      <c r="H92" s="89" t="str">
        <f t="array" ref="H92">IF(C92&lt;&gt;"","Baik","")</f>
        <v/>
      </c>
      <c r="I92" s="235" t="str">
        <f t="shared" si="7"/>
        <v>0</v>
      </c>
    </row>
    <row r="93" spans="2:9" s="4" customFormat="1" ht="28" hidden="1" customHeight="1">
      <c r="B93" s="124" t="str">
        <f>IF(C93&lt;&gt;"",COUNTA($C$32:C93),"")</f>
        <v/>
      </c>
      <c r="C93" s="1129" t="str">
        <f t="array" ref="C93">IFERROR(INDEX(Masteratk2024,SMALL(IF(Kriteriaatk2024=$P$4,ROW(Kriteriaatk2024)),ROW(C63)),11),"")</f>
        <v/>
      </c>
      <c r="D93" s="1130"/>
      <c r="E93" s="1131"/>
      <c r="F93" s="89" t="str">
        <f t="array" ref="F93">IFERROR(INDEX(Masteratk2024,SMALL(IF(Kriteriaatk2024=$P$4,ROW(Kriteriaatk2024)),ROW(C63)),12),"")</f>
        <v/>
      </c>
      <c r="G93" s="89" t="str">
        <f t="shared" si="6"/>
        <v/>
      </c>
      <c r="H93" s="89" t="str">
        <f t="array" ref="H93">IF(C93&lt;&gt;"","Baik","")</f>
        <v/>
      </c>
      <c r="I93" s="235" t="str">
        <f t="shared" si="7"/>
        <v>0</v>
      </c>
    </row>
    <row r="94" spans="2:9" s="4" customFormat="1" ht="28" hidden="1" customHeight="1">
      <c r="B94" s="124" t="str">
        <f>IF(C94&lt;&gt;"",COUNTA($C$32:C94),"")</f>
        <v/>
      </c>
      <c r="C94" s="1129" t="str">
        <f t="array" ref="C94">IFERROR(INDEX(Masteratk2024,SMALL(IF(Kriteriaatk2024=$P$4,ROW(Kriteriaatk2024)),ROW(C64)),11),"")</f>
        <v/>
      </c>
      <c r="D94" s="1130"/>
      <c r="E94" s="1131"/>
      <c r="F94" s="89" t="str">
        <f t="array" ref="F94">IFERROR(INDEX(Masteratk2024,SMALL(IF(Kriteriaatk2024=$P$4,ROW(Kriteriaatk2024)),ROW(C64)),12),"")</f>
        <v/>
      </c>
      <c r="G94" s="89" t="str">
        <f t="shared" si="6"/>
        <v/>
      </c>
      <c r="H94" s="89" t="str">
        <f t="array" ref="H94">IF(C94&lt;&gt;"","Baik","")</f>
        <v/>
      </c>
      <c r="I94" s="235" t="str">
        <f t="shared" si="7"/>
        <v>0</v>
      </c>
    </row>
    <row r="95" spans="2:9" s="4" customFormat="1" ht="28" hidden="1" customHeight="1">
      <c r="B95" s="124" t="str">
        <f>IF(C95&lt;&gt;"",COUNTA($C$32:C95),"")</f>
        <v/>
      </c>
      <c r="C95" s="1129" t="str">
        <f t="array" ref="C95">IFERROR(INDEX(Masteratk2024,SMALL(IF(Kriteriaatk2024=$P$4,ROW(Kriteriaatk2024)),ROW(C65)),11),"")</f>
        <v/>
      </c>
      <c r="D95" s="1130"/>
      <c r="E95" s="1131"/>
      <c r="F95" s="89" t="str">
        <f t="array" ref="F95">IFERROR(INDEX(Masteratk2024,SMALL(IF(Kriteriaatk2024=$P$4,ROW(Kriteriaatk2024)),ROW(C65)),12),"")</f>
        <v/>
      </c>
      <c r="G95" s="89" t="str">
        <f t="shared" si="6"/>
        <v/>
      </c>
      <c r="H95" s="89" t="str">
        <f t="array" ref="H95">IF(C95&lt;&gt;"","Baik","")</f>
        <v/>
      </c>
      <c r="I95" s="235" t="str">
        <f t="shared" si="7"/>
        <v>0</v>
      </c>
    </row>
    <row r="96" spans="2:9" s="4" customFormat="1" ht="28" hidden="1" customHeight="1">
      <c r="B96" s="124" t="str">
        <f>IF(C96&lt;&gt;"",COUNTA($C$32:C96),"")</f>
        <v/>
      </c>
      <c r="C96" s="1129" t="str">
        <f t="array" ref="C96">IFERROR(INDEX(Masteratk2024,SMALL(IF(Kriteriaatk2024=$P$4,ROW(Kriteriaatk2024)),ROW(C66)),11),"")</f>
        <v/>
      </c>
      <c r="D96" s="1130"/>
      <c r="E96" s="1131"/>
      <c r="F96" s="89" t="str">
        <f t="array" ref="F96">IFERROR(INDEX(Masteratk2024,SMALL(IF(Kriteriaatk2024=$P$4,ROW(Kriteriaatk2024)),ROW(C66)),12),"")</f>
        <v/>
      </c>
      <c r="G96" s="89" t="str">
        <f t="shared" si="6"/>
        <v/>
      </c>
      <c r="H96" s="89" t="str">
        <f t="array" ref="H96">IF(C96&lt;&gt;"","Baik","")</f>
        <v/>
      </c>
      <c r="I96" s="235" t="str">
        <f t="shared" si="7"/>
        <v>0</v>
      </c>
    </row>
    <row r="97" spans="2:9" s="4" customFormat="1" ht="28" hidden="1" customHeight="1">
      <c r="B97" s="124" t="str">
        <f>IF(C97&lt;&gt;"",COUNTA($C$32:C97),"")</f>
        <v/>
      </c>
      <c r="C97" s="1129" t="str">
        <f t="array" ref="C97">IFERROR(INDEX(Masteratk2024,SMALL(IF(Kriteriaatk2024=$P$4,ROW(Kriteriaatk2024)),ROW(C67)),11),"")</f>
        <v/>
      </c>
      <c r="D97" s="1130"/>
      <c r="E97" s="1131"/>
      <c r="F97" s="89" t="str">
        <f t="array" ref="F97">IFERROR(INDEX(Masteratk2024,SMALL(IF(Kriteriaatk2024=$P$4,ROW(Kriteriaatk2024)),ROW(C67)),12),"")</f>
        <v/>
      </c>
      <c r="G97" s="89" t="str">
        <f t="shared" si="6"/>
        <v/>
      </c>
      <c r="H97" s="89" t="str">
        <f t="array" ref="H97">IF(C97&lt;&gt;"","Baik","")</f>
        <v/>
      </c>
      <c r="I97" s="235" t="str">
        <f t="shared" si="7"/>
        <v>0</v>
      </c>
    </row>
    <row r="98" spans="2:9" s="4" customFormat="1" ht="28" hidden="1" customHeight="1">
      <c r="B98" s="124" t="str">
        <f>IF(C98&lt;&gt;"",COUNTA($C$32:C98),"")</f>
        <v/>
      </c>
      <c r="C98" s="1129" t="str">
        <f t="array" ref="C98">IFERROR(INDEX(Masteratk2024,SMALL(IF(Kriteriaatk2024=$P$4,ROW(Kriteriaatk2024)),ROW(C68)),11),"")</f>
        <v/>
      </c>
      <c r="D98" s="1130"/>
      <c r="E98" s="1131"/>
      <c r="F98" s="89" t="str">
        <f t="array" ref="F98">IFERROR(INDEX(Masteratk2024,SMALL(IF(Kriteriaatk2024=$P$4,ROW(Kriteriaatk2024)),ROW(C68)),12),"")</f>
        <v/>
      </c>
      <c r="G98" s="89" t="str">
        <f t="shared" si="6"/>
        <v/>
      </c>
      <c r="H98" s="89" t="str">
        <f t="array" ref="H98">IF(C98&lt;&gt;"","Baik","")</f>
        <v/>
      </c>
      <c r="I98" s="235" t="str">
        <f t="shared" si="7"/>
        <v>0</v>
      </c>
    </row>
    <row r="99" spans="2:9" s="4" customFormat="1" ht="28" hidden="1" customHeight="1">
      <c r="B99" s="124" t="str">
        <f>IF(C99&lt;&gt;"",COUNTA($C$32:C99),"")</f>
        <v/>
      </c>
      <c r="C99" s="1129" t="str">
        <f t="array" ref="C99">IFERROR(INDEX(Masteratk2024,SMALL(IF(Kriteriaatk2024=$P$4,ROW(Kriteriaatk2024)),ROW(C69)),11),"")</f>
        <v/>
      </c>
      <c r="D99" s="1130"/>
      <c r="E99" s="1131"/>
      <c r="F99" s="89" t="str">
        <f t="array" ref="F99">IFERROR(INDEX(Masteratk2024,SMALL(IF(Kriteriaatk2024=$P$4,ROW(Kriteriaatk2024)),ROW(C69)),12),"")</f>
        <v/>
      </c>
      <c r="G99" s="89" t="str">
        <f t="shared" si="6"/>
        <v/>
      </c>
      <c r="H99" s="89" t="str">
        <f t="array" ref="H99">IF(C99&lt;&gt;"","Baik","")</f>
        <v/>
      </c>
      <c r="I99" s="235" t="str">
        <f t="shared" si="7"/>
        <v>0</v>
      </c>
    </row>
    <row r="100" spans="2:9" s="4" customFormat="1" ht="28" hidden="1" customHeight="1">
      <c r="B100" s="124" t="str">
        <f>IF(C100&lt;&gt;"",COUNTA($C$32:C100),"")</f>
        <v/>
      </c>
      <c r="C100" s="1129" t="str">
        <f t="array" ref="C100">IFERROR(INDEX(Masteratk2024,SMALL(IF(Kriteriaatk2024=$P$4,ROW(Kriteriaatk2024)),ROW(C70)),11),"")</f>
        <v/>
      </c>
      <c r="D100" s="1130"/>
      <c r="E100" s="1131"/>
      <c r="F100" s="89" t="str">
        <f t="array" ref="F100">IFERROR(INDEX(Masteratk2024,SMALL(IF(Kriteriaatk2024=$P$4,ROW(Kriteriaatk2024)),ROW(C70)),12),"")</f>
        <v/>
      </c>
      <c r="G100" s="89" t="str">
        <f t="shared" si="6"/>
        <v/>
      </c>
      <c r="H100" s="89" t="str">
        <f t="array" ref="H100">IF(C100&lt;&gt;"","Baik","")</f>
        <v/>
      </c>
      <c r="I100" s="235" t="str">
        <f t="shared" si="7"/>
        <v>0</v>
      </c>
    </row>
    <row r="101" spans="2:9" s="4" customFormat="1" ht="28" hidden="1" customHeight="1">
      <c r="B101" s="124" t="str">
        <f>IF(C101&lt;&gt;"",COUNTA($C$32:C101),"")</f>
        <v/>
      </c>
      <c r="C101" s="1129" t="str">
        <f t="array" ref="C101">IFERROR(INDEX(Masteratk2024,SMALL(IF(Kriteriaatk2024=$P$4,ROW(Kriteriaatk2024)),ROW(C71)),11),"")</f>
        <v/>
      </c>
      <c r="D101" s="1130"/>
      <c r="E101" s="1131"/>
      <c r="F101" s="89" t="str">
        <f t="array" ref="F101">IFERROR(INDEX(Masteratk2024,SMALL(IF(Kriteriaatk2024=$P$4,ROW(Kriteriaatk2024)),ROW(C71)),12),"")</f>
        <v/>
      </c>
      <c r="G101" s="89" t="str">
        <f t="shared" si="6"/>
        <v/>
      </c>
      <c r="H101" s="89" t="str">
        <f t="array" ref="H101">IF(C101&lt;&gt;"","Baik","")</f>
        <v/>
      </c>
      <c r="I101" s="235" t="str">
        <f t="shared" si="7"/>
        <v>0</v>
      </c>
    </row>
    <row r="102" spans="2:9" s="4" customFormat="1" ht="28" hidden="1" customHeight="1">
      <c r="B102" s="124" t="str">
        <f>IF(C102&lt;&gt;"",COUNTA($C$32:C102),"")</f>
        <v/>
      </c>
      <c r="C102" s="1129" t="str">
        <f t="array" ref="C102">IFERROR(INDEX(Masteratk2024,SMALL(IF(Kriteriaatk2024=$P$4,ROW(Kriteriaatk2024)),ROW(C72)),11),"")</f>
        <v/>
      </c>
      <c r="D102" s="1130"/>
      <c r="E102" s="1131"/>
      <c r="F102" s="89" t="str">
        <f t="array" ref="F102">IFERROR(INDEX(Masteratk2024,SMALL(IF(Kriteriaatk2024=$P$4,ROW(Kriteriaatk2024)),ROW(C72)),12),"")</f>
        <v/>
      </c>
      <c r="G102" s="89" t="str">
        <f t="shared" si="6"/>
        <v/>
      </c>
      <c r="H102" s="89" t="str">
        <f t="array" ref="H102">IF(C102&lt;&gt;"","Baik","")</f>
        <v/>
      </c>
      <c r="I102" s="235" t="str">
        <f t="shared" si="7"/>
        <v>0</v>
      </c>
    </row>
    <row r="103" spans="2:9" s="4" customFormat="1" ht="28" hidden="1" customHeight="1">
      <c r="B103" s="124" t="str">
        <f>IF(C103&lt;&gt;"",COUNTA($C$32:C103),"")</f>
        <v/>
      </c>
      <c r="C103" s="1129" t="str">
        <f t="array" ref="C103">IFERROR(INDEX(Masteratk2024,SMALL(IF(Kriteriaatk2024=$P$4,ROW(Kriteriaatk2024)),ROW(C73)),11),"")</f>
        <v/>
      </c>
      <c r="D103" s="1130"/>
      <c r="E103" s="1131"/>
      <c r="F103" s="89" t="str">
        <f t="array" ref="F103">IFERROR(INDEX(Masteratk2024,SMALL(IF(Kriteriaatk2024=$P$4,ROW(Kriteriaatk2024)),ROW(C73)),12),"")</f>
        <v/>
      </c>
      <c r="G103" s="89" t="str">
        <f t="shared" si="6"/>
        <v/>
      </c>
      <c r="H103" s="89" t="str">
        <f t="array" ref="H103">IF(C103&lt;&gt;"","Baik","")</f>
        <v/>
      </c>
      <c r="I103" s="235" t="str">
        <f t="shared" si="7"/>
        <v>0</v>
      </c>
    </row>
    <row r="104" spans="2:9" s="4" customFormat="1" ht="28" hidden="1" customHeight="1">
      <c r="B104" s="124" t="str">
        <f>IF(C104&lt;&gt;"",COUNTA($C$32:C104),"")</f>
        <v/>
      </c>
      <c r="C104" s="1129" t="str">
        <f t="array" ref="C104">IFERROR(INDEX(Masteratk2024,SMALL(IF(Kriteriaatk2024=$P$4,ROW(Kriteriaatk2024)),ROW(C74)),11),"")</f>
        <v/>
      </c>
      <c r="D104" s="1130"/>
      <c r="E104" s="1131"/>
      <c r="F104" s="89" t="str">
        <f t="array" ref="F104">IFERROR(INDEX(Masteratk2024,SMALL(IF(Kriteriaatk2024=$P$4,ROW(Kriteriaatk2024)),ROW(C74)),12),"")</f>
        <v/>
      </c>
      <c r="G104" s="89" t="str">
        <f t="shared" si="6"/>
        <v/>
      </c>
      <c r="H104" s="89" t="str">
        <f t="array" ref="H104">IF(C104&lt;&gt;"","Baik","")</f>
        <v/>
      </c>
      <c r="I104" s="235" t="str">
        <f t="shared" si="7"/>
        <v>0</v>
      </c>
    </row>
    <row r="105" spans="2:9" s="4" customFormat="1" ht="28" hidden="1" customHeight="1">
      <c r="B105" s="124" t="str">
        <f>IF(C105&lt;&gt;"",COUNTA($C$32:C105),"")</f>
        <v/>
      </c>
      <c r="C105" s="1129" t="str">
        <f t="array" ref="C105">IFERROR(INDEX(Masteratk2024,SMALL(IF(Kriteriaatk2024=$P$4,ROW(Kriteriaatk2024)),ROW(C75)),11),"")</f>
        <v/>
      </c>
      <c r="D105" s="1130"/>
      <c r="E105" s="1131"/>
      <c r="F105" s="89" t="str">
        <f t="array" ref="F105">IFERROR(INDEX(Masteratk2024,SMALL(IF(Kriteriaatk2024=$P$4,ROW(Kriteriaatk2024)),ROW(C75)),12),"")</f>
        <v/>
      </c>
      <c r="G105" s="89" t="str">
        <f t="shared" si="6"/>
        <v/>
      </c>
      <c r="H105" s="89" t="str">
        <f t="array" ref="H105">IF(C105&lt;&gt;"","Baik","")</f>
        <v/>
      </c>
      <c r="I105" s="235" t="str">
        <f t="shared" si="7"/>
        <v>0</v>
      </c>
    </row>
    <row r="106" spans="2:9" s="4" customFormat="1" ht="28" hidden="1" customHeight="1">
      <c r="B106" s="124" t="str">
        <f>IF(C106&lt;&gt;"",COUNTA($C$32:C106),"")</f>
        <v/>
      </c>
      <c r="C106" s="1129" t="str">
        <f t="array" ref="C106">IFERROR(INDEX(Masteratk2024,SMALL(IF(Kriteriaatk2024=$P$4,ROW(Kriteriaatk2024)),ROW(C76)),11),"")</f>
        <v/>
      </c>
      <c r="D106" s="1130"/>
      <c r="E106" s="1131"/>
      <c r="F106" s="89" t="str">
        <f t="array" ref="F106">IFERROR(INDEX(Masteratk2024,SMALL(IF(Kriteriaatk2024=$P$4,ROW(Kriteriaatk2024)),ROW(C76)),12),"")</f>
        <v/>
      </c>
      <c r="G106" s="89" t="str">
        <f t="shared" si="6"/>
        <v/>
      </c>
      <c r="H106" s="89" t="str">
        <f t="array" ref="H106">IF(C106&lt;&gt;"","Baik","")</f>
        <v/>
      </c>
      <c r="I106" s="235" t="str">
        <f t="shared" si="7"/>
        <v>0</v>
      </c>
    </row>
    <row r="107" spans="2:9" s="4" customFormat="1" ht="28" hidden="1" customHeight="1">
      <c r="B107" s="124" t="str">
        <f>IF(C107&lt;&gt;"",COUNTA($C$32:C107),"")</f>
        <v/>
      </c>
      <c r="C107" s="1129" t="str">
        <f t="array" ref="C107">IFERROR(INDEX(Masteratk2024,SMALL(IF(Kriteriaatk2024=$P$4,ROW(Kriteriaatk2024)),ROW(C77)),11),"")</f>
        <v/>
      </c>
      <c r="D107" s="1130"/>
      <c r="E107" s="1131"/>
      <c r="F107" s="89" t="str">
        <f t="array" ref="F107">IFERROR(INDEX(Masteratk2024,SMALL(IF(Kriteriaatk2024=$P$4,ROW(Kriteriaatk2024)),ROW(C77)),12),"")</f>
        <v/>
      </c>
      <c r="G107" s="89" t="str">
        <f t="shared" si="6"/>
        <v/>
      </c>
      <c r="H107" s="89" t="str">
        <f t="array" ref="H107">IF(C107&lt;&gt;"","Baik","")</f>
        <v/>
      </c>
      <c r="I107" s="235" t="str">
        <f t="shared" si="7"/>
        <v>0</v>
      </c>
    </row>
    <row r="108" spans="2:9" s="4" customFormat="1" ht="28" hidden="1" customHeight="1">
      <c r="B108" s="124" t="str">
        <f>IF(C108&lt;&gt;"",COUNTA($C$32:C108),"")</f>
        <v/>
      </c>
      <c r="C108" s="1129" t="str">
        <f t="array" ref="C108">IFERROR(INDEX(Masteratk2024,SMALL(IF(Kriteriaatk2024=$P$4,ROW(Kriteriaatk2024)),ROW(C78)),11),"")</f>
        <v/>
      </c>
      <c r="D108" s="1130"/>
      <c r="E108" s="1131"/>
      <c r="F108" s="89" t="str">
        <f t="array" ref="F108">IFERROR(INDEX(Masteratk2024,SMALL(IF(Kriteriaatk2024=$P$4,ROW(Kriteriaatk2024)),ROW(C78)),12),"")</f>
        <v/>
      </c>
      <c r="G108" s="89" t="str">
        <f t="shared" si="6"/>
        <v/>
      </c>
      <c r="H108" s="89" t="str">
        <f t="array" ref="H108">IF(C108&lt;&gt;"","Baik","")</f>
        <v/>
      </c>
      <c r="I108" s="235" t="str">
        <f t="shared" si="7"/>
        <v>0</v>
      </c>
    </row>
    <row r="109" spans="2:9" s="4" customFormat="1" ht="28" hidden="1" customHeight="1">
      <c r="B109" s="124" t="str">
        <f>IF(C109&lt;&gt;"",COUNTA($C$32:C109),"")</f>
        <v/>
      </c>
      <c r="C109" s="1129" t="str">
        <f t="array" ref="C109">IFERROR(INDEX(Masteratk2024,SMALL(IF(Kriteriaatk2024=$P$4,ROW(Kriteriaatk2024)),ROW(C79)),11),"")</f>
        <v/>
      </c>
      <c r="D109" s="1130"/>
      <c r="E109" s="1131"/>
      <c r="F109" s="89" t="str">
        <f t="array" ref="F109">IFERROR(INDEX(Masteratk2024,SMALL(IF(Kriteriaatk2024=$P$4,ROW(Kriteriaatk2024)),ROW(C79)),12),"")</f>
        <v/>
      </c>
      <c r="G109" s="89" t="str">
        <f t="shared" si="6"/>
        <v/>
      </c>
      <c r="H109" s="89" t="str">
        <f t="array" ref="H109">IF(C109&lt;&gt;"","Baik","")</f>
        <v/>
      </c>
      <c r="I109" s="235" t="str">
        <f t="shared" si="7"/>
        <v>0</v>
      </c>
    </row>
    <row r="110" spans="2:9" s="4" customFormat="1" ht="28" hidden="1" customHeight="1">
      <c r="B110" s="124" t="str">
        <f>IF(C110&lt;&gt;"",COUNTA($C$32:C110),"")</f>
        <v/>
      </c>
      <c r="C110" s="1129" t="str">
        <f t="array" ref="C110">IFERROR(INDEX(Masteratk2024,SMALL(IF(Kriteriaatk2024=$P$4,ROW(Kriteriaatk2024)),ROW(C80)),11),"")</f>
        <v/>
      </c>
      <c r="D110" s="1130"/>
      <c r="E110" s="1131"/>
      <c r="F110" s="89" t="str">
        <f t="array" ref="F110">IFERROR(INDEX(Masteratk2024,SMALL(IF(Kriteriaatk2024=$P$4,ROW(Kriteriaatk2024)),ROW(C80)),12),"")</f>
        <v/>
      </c>
      <c r="G110" s="89" t="str">
        <f t="shared" si="6"/>
        <v/>
      </c>
      <c r="H110" s="89" t="str">
        <f t="array" ref="H110">IF(C110&lt;&gt;"","Baik","")</f>
        <v/>
      </c>
      <c r="I110" s="235" t="str">
        <f t="shared" si="7"/>
        <v>0</v>
      </c>
    </row>
    <row r="111" spans="2:9" s="4" customFormat="1" ht="28" hidden="1" customHeight="1">
      <c r="B111" s="124" t="str">
        <f>IF(C111&lt;&gt;"",COUNTA($C$32:C111),"")</f>
        <v/>
      </c>
      <c r="C111" s="1129" t="str">
        <f t="array" ref="C111">IFERROR(INDEX(Masteratk2024,SMALL(IF(Kriteriaatk2024=$P$4,ROW(Kriteriaatk2024)),ROW(C81)),11),"")</f>
        <v/>
      </c>
      <c r="D111" s="1130"/>
      <c r="E111" s="1131"/>
      <c r="F111" s="89" t="str">
        <f t="array" ref="F111">IFERROR(INDEX(Masteratk2024,SMALL(IF(Kriteriaatk2024=$P$4,ROW(Kriteriaatk2024)),ROW(C81)),12),"")</f>
        <v/>
      </c>
      <c r="G111" s="89" t="str">
        <f t="shared" si="6"/>
        <v/>
      </c>
      <c r="H111" s="89" t="str">
        <f t="array" ref="H111">IF(C111&lt;&gt;"","Baik","")</f>
        <v/>
      </c>
      <c r="I111" s="235" t="str">
        <f t="shared" si="7"/>
        <v>0</v>
      </c>
    </row>
    <row r="112" spans="2:9" s="4" customFormat="1" ht="8.5" customHeight="1">
      <c r="B112" s="121"/>
      <c r="C112" s="122"/>
      <c r="D112" s="122"/>
      <c r="E112" s="122"/>
      <c r="F112" s="123"/>
      <c r="G112" s="123"/>
      <c r="H112" s="490"/>
      <c r="I112" s="235"/>
    </row>
    <row r="113" spans="1:10" ht="32.15" customHeight="1">
      <c r="A113" s="1156" t="s">
        <v>31</v>
      </c>
      <c r="B113" s="1156"/>
      <c r="C113" s="1156"/>
      <c r="D113" s="1156"/>
      <c r="E113" s="1156"/>
      <c r="F113" s="1156"/>
      <c r="G113" s="1156"/>
      <c r="H113" s="1156"/>
    </row>
    <row r="114" spans="1:10" ht="16" customHeight="1">
      <c r="A114" s="1156" t="s">
        <v>32</v>
      </c>
      <c r="B114" s="1156"/>
      <c r="C114" s="1156"/>
      <c r="D114" s="1156"/>
      <c r="E114" s="1156"/>
      <c r="F114" s="1156"/>
      <c r="G114" s="1156"/>
      <c r="H114" s="1156"/>
    </row>
    <row r="115" spans="1:10" ht="8" customHeight="1"/>
    <row r="116" spans="1:10" ht="8" customHeight="1"/>
    <row r="117" spans="1:10" ht="14.5" customHeight="1">
      <c r="B117" s="51" t="s">
        <v>33</v>
      </c>
      <c r="C117" s="51"/>
      <c r="E117" s="51"/>
      <c r="G117" s="315" t="s">
        <v>34</v>
      </c>
      <c r="H117" s="51"/>
    </row>
    <row r="118" spans="1:10" ht="11.5" customHeight="1">
      <c r="B118" s="52"/>
      <c r="C118" s="52"/>
      <c r="E118" s="52"/>
      <c r="G118" s="316"/>
      <c r="H118" s="53"/>
    </row>
    <row r="119" spans="1:10" ht="11.25" customHeight="1">
      <c r="B119" s="52"/>
      <c r="C119" s="52"/>
      <c r="E119" s="52"/>
      <c r="G119" s="316"/>
      <c r="H119" s="52"/>
    </row>
    <row r="120" spans="1:10" ht="11.25" customHeight="1">
      <c r="B120" s="52"/>
      <c r="C120" s="52"/>
      <c r="E120" s="52"/>
      <c r="G120" s="316"/>
      <c r="H120" s="52"/>
    </row>
    <row r="121" spans="1:10" ht="11.25" customHeight="1">
      <c r="B121" s="52"/>
      <c r="C121" s="52"/>
      <c r="E121" s="52"/>
      <c r="G121" s="316"/>
      <c r="H121" s="52"/>
    </row>
    <row r="122" spans="1:10" ht="11.25" customHeight="1">
      <c r="B122" s="52"/>
      <c r="E122" s="52"/>
      <c r="G122" s="316"/>
      <c r="H122" s="52"/>
    </row>
    <row r="123" spans="1:10" ht="14.5" customHeight="1">
      <c r="B123" s="55" t="str">
        <f>'Data Sekolah'!A12</f>
        <v>Estera Nehe, S.Pd.</v>
      </c>
      <c r="C123" s="55"/>
      <c r="E123" s="53"/>
      <c r="G123" s="317" t="str">
        <f t="array" ref="G123">IFERROR(INDEX(Masteratk2024,SMALL(IF(Kriteriaatk2024=$P$4,ROW(Kriteriaatk2024)),ROW(C1)),22),"")</f>
        <v>Gestiwan Bazikho</v>
      </c>
      <c r="H123" s="53"/>
    </row>
    <row r="124" spans="1:10" ht="16.5" customHeight="1">
      <c r="B124" s="55" t="str">
        <f>'Data Sekolah'!A11</f>
        <v>Penerima Barang</v>
      </c>
      <c r="C124" s="55"/>
      <c r="E124" s="55"/>
      <c r="G124" s="318" t="s">
        <v>4</v>
      </c>
      <c r="H124" s="55"/>
      <c r="I124" s="27"/>
      <c r="J124" s="27"/>
    </row>
    <row r="125" spans="1:10" ht="12.65" customHeight="1">
      <c r="A125" s="52"/>
      <c r="B125" s="52"/>
      <c r="C125" s="52"/>
      <c r="D125" s="52"/>
      <c r="E125" s="52"/>
      <c r="I125" s="28"/>
      <c r="J125" s="28"/>
    </row>
    <row r="126" spans="1:10" ht="20.149999999999999" customHeight="1">
      <c r="A126" s="1157" t="s">
        <v>35</v>
      </c>
      <c r="B126" s="1157"/>
      <c r="C126" s="1157"/>
      <c r="D126" s="1157"/>
      <c r="E126" s="1157"/>
      <c r="F126" s="1157"/>
      <c r="G126" s="1157"/>
      <c r="H126" s="1157"/>
      <c r="I126" s="29"/>
      <c r="J126" s="29"/>
    </row>
    <row r="127" spans="1:10" ht="11.25" customHeight="1">
      <c r="A127" s="54"/>
      <c r="B127" s="54"/>
      <c r="C127" s="54"/>
      <c r="D127" s="54"/>
      <c r="E127" s="54"/>
      <c r="F127" s="141"/>
      <c r="G127" s="3"/>
      <c r="H127" s="3"/>
      <c r="I127" s="29"/>
      <c r="J127" s="29"/>
    </row>
    <row r="128" spans="1:10" ht="11.25" customHeight="1">
      <c r="A128" s="54"/>
      <c r="B128" s="54"/>
      <c r="C128" s="54"/>
      <c r="D128" s="54"/>
      <c r="E128" s="54"/>
      <c r="F128" s="141"/>
      <c r="G128" s="3"/>
      <c r="H128" s="3"/>
      <c r="I128" s="29"/>
      <c r="J128" s="29"/>
    </row>
    <row r="129" spans="1:10" ht="11.25" customHeight="1">
      <c r="A129" s="54"/>
      <c r="B129" s="54"/>
      <c r="C129" s="54"/>
      <c r="D129" s="54"/>
      <c r="E129" s="54"/>
      <c r="F129" s="141"/>
      <c r="G129" s="3"/>
      <c r="H129" s="3"/>
      <c r="I129" s="29"/>
      <c r="J129" s="29"/>
    </row>
    <row r="130" spans="1:10" ht="11.25" customHeight="1">
      <c r="A130" s="55"/>
      <c r="B130" s="55"/>
      <c r="C130" s="55"/>
      <c r="D130" s="55"/>
      <c r="E130" s="55"/>
      <c r="F130" s="142"/>
      <c r="G130" s="5"/>
      <c r="H130" s="5"/>
    </row>
    <row r="131" spans="1:10" ht="14">
      <c r="A131" s="56"/>
      <c r="B131" s="56"/>
      <c r="C131" s="56"/>
      <c r="D131" s="56"/>
      <c r="E131" s="56"/>
      <c r="F131" s="143"/>
      <c r="G131" s="4"/>
      <c r="H131" s="4"/>
    </row>
    <row r="132" spans="1:10" ht="14">
      <c r="A132" s="1113" t="str">
        <f>'Data Sekolah'!A10</f>
        <v>Radius S. K. Siburian, S.Pd</v>
      </c>
      <c r="B132" s="1113"/>
      <c r="C132" s="1113"/>
      <c r="D132" s="1113"/>
      <c r="E132" s="1113"/>
      <c r="F132" s="1113"/>
      <c r="G132" s="1113"/>
      <c r="H132" s="1113"/>
    </row>
    <row r="133" spans="1:10" ht="14">
      <c r="A133" s="1115" t="str">
        <f>'Data Sekolah'!C10</f>
        <v>Penata Muda</v>
      </c>
      <c r="B133" s="1115"/>
      <c r="C133" s="1115"/>
      <c r="D133" s="1115"/>
      <c r="E133" s="1115"/>
      <c r="F133" s="1115"/>
      <c r="G133" s="1115"/>
      <c r="H133" s="1115"/>
    </row>
    <row r="134" spans="1:10" ht="14">
      <c r="A134" s="1109" t="str">
        <f>"NIP. "&amp;'Data Sekolah'!B10</f>
        <v>NIP. 19861005 201903 1 009</v>
      </c>
      <c r="B134" s="1109"/>
      <c r="C134" s="1109"/>
      <c r="D134" s="1109"/>
      <c r="E134" s="1109"/>
      <c r="F134" s="1109"/>
      <c r="G134" s="1109"/>
      <c r="H134" s="1109"/>
    </row>
    <row r="135" spans="1:10" ht="14">
      <c r="A135" s="58"/>
      <c r="B135" s="58"/>
      <c r="C135" s="58"/>
      <c r="D135" s="58"/>
      <c r="E135" s="58"/>
      <c r="F135" s="144"/>
      <c r="G135" s="29"/>
      <c r="H135" s="29"/>
    </row>
    <row r="136" spans="1:10" ht="14">
      <c r="A136" s="58"/>
      <c r="B136" s="58"/>
      <c r="C136" s="58"/>
      <c r="D136" s="58"/>
      <c r="E136" s="58"/>
      <c r="F136" s="144"/>
      <c r="G136" s="29"/>
      <c r="H136" s="29"/>
    </row>
    <row r="242" spans="1:9" ht="14">
      <c r="A242" s="57"/>
      <c r="B242" s="57"/>
      <c r="C242" s="57"/>
      <c r="D242" s="57"/>
      <c r="E242" s="57"/>
      <c r="F242" s="149"/>
    </row>
    <row r="243" spans="1:9" ht="14">
      <c r="A243" s="57"/>
      <c r="B243" s="57"/>
      <c r="C243" s="57"/>
      <c r="D243" s="57"/>
      <c r="E243" s="57"/>
      <c r="F243" s="149"/>
    </row>
    <row r="244" spans="1:9" ht="13" customHeight="1">
      <c r="B244" s="1158" t="s">
        <v>43</v>
      </c>
      <c r="C244" s="1159"/>
      <c r="D244" s="1160"/>
      <c r="E244" s="1158" t="s">
        <v>57</v>
      </c>
      <c r="F244" s="1159"/>
      <c r="G244" s="1159"/>
      <c r="H244" s="1159"/>
    </row>
    <row r="245" spans="1:9" ht="13" customHeight="1">
      <c r="A245" s="96"/>
      <c r="B245" s="1161"/>
      <c r="C245" s="1162"/>
      <c r="D245" s="1163"/>
      <c r="E245" s="1161"/>
      <c r="F245" s="1162"/>
      <c r="G245" s="1162"/>
      <c r="H245" s="1162"/>
    </row>
    <row r="246" spans="1:9" ht="14.5" customHeight="1">
      <c r="B246" s="1168" t="s">
        <v>179</v>
      </c>
      <c r="C246" s="1169"/>
      <c r="D246" s="1170"/>
      <c r="E246" s="98" t="s">
        <v>44</v>
      </c>
      <c r="F246" s="150" t="str">
        <f>"421.3/"&amp;L9&amp;"-SPK/SMANSA-TD/"&amp;M9&amp;"/"&amp;YEAR(K9)&amp;""</f>
        <v>421.3/45-SPK/SMANSA-TD/II/2025</v>
      </c>
      <c r="G246" s="99"/>
      <c r="H246" s="100"/>
    </row>
    <row r="247" spans="1:9" ht="13" customHeight="1">
      <c r="B247" s="1177" t="str">
        <f t="array" ref="B247">IFERROR(INDEX(MASTERKU,SMALL(IF(KRITERIAKU=$I$31,ROW(KRITERIAKU)),ROW(B9)),11),"")</f>
        <v/>
      </c>
      <c r="C247" s="1178"/>
      <c r="D247" s="1179"/>
      <c r="E247" s="98" t="s">
        <v>45</v>
      </c>
      <c r="F247" s="97" t="str">
        <f>TEXT(K10, " dd mmmm yyyy")</f>
        <v xml:space="preserve"> 01 February 2025</v>
      </c>
      <c r="G247" s="99"/>
      <c r="H247" s="100"/>
    </row>
    <row r="248" spans="1:9" ht="14">
      <c r="A248" s="125"/>
      <c r="B248" s="1180"/>
      <c r="C248" s="1181"/>
      <c r="D248" s="1182"/>
      <c r="E248" s="95" t="s">
        <v>46</v>
      </c>
      <c r="F248" s="85" t="str">
        <f>TEXT(K9+2, "dd mmmm yyyy")</f>
        <v>03 February 2025</v>
      </c>
      <c r="G248" s="99"/>
      <c r="H248" s="100"/>
    </row>
    <row r="249" spans="1:9" ht="40.5" customHeight="1">
      <c r="A249" s="125"/>
      <c r="B249" s="1183"/>
      <c r="C249" s="1184"/>
      <c r="D249" s="1185"/>
      <c r="E249" s="1171" t="s">
        <v>216</v>
      </c>
      <c r="F249" s="1172"/>
      <c r="G249" s="1172"/>
      <c r="H249" s="1173"/>
    </row>
    <row r="250" spans="1:9" ht="18.649999999999999" customHeight="1">
      <c r="B250" s="1168" t="s">
        <v>47</v>
      </c>
      <c r="C250" s="1169"/>
      <c r="D250" s="1170"/>
      <c r="E250" s="93" t="str">
        <f>TEXT(K9, "dd mmmm yyyy")</f>
        <v>01 February 2025</v>
      </c>
      <c r="F250" s="70"/>
      <c r="G250" s="99"/>
      <c r="H250" s="100"/>
    </row>
    <row r="251" spans="1:9" ht="18.649999999999999" customHeight="1">
      <c r="B251" s="1186" t="s">
        <v>48</v>
      </c>
      <c r="C251" s="1187"/>
      <c r="D251" s="1188"/>
      <c r="E251" s="94" t="str">
        <f>TEXT(K9+2, "dddd, dd mmmm yyyy")</f>
        <v>Monday, 03 February 2025</v>
      </c>
      <c r="F251" s="70"/>
      <c r="G251" s="99"/>
      <c r="H251" s="100"/>
    </row>
    <row r="252" spans="1:9" ht="32.5" customHeight="1">
      <c r="A252" s="1166" t="s">
        <v>49</v>
      </c>
      <c r="B252" s="1167"/>
      <c r="C252" s="1167"/>
      <c r="D252" s="1167"/>
      <c r="E252" s="1167"/>
      <c r="F252" s="1167"/>
      <c r="G252" s="1167"/>
      <c r="H252" s="1167"/>
    </row>
    <row r="253" spans="1:9" ht="28.5" customHeight="1">
      <c r="B253" s="67" t="s">
        <v>39</v>
      </c>
      <c r="C253" s="67" t="s">
        <v>176</v>
      </c>
      <c r="D253" s="101"/>
      <c r="E253" s="67" t="s">
        <v>5</v>
      </c>
      <c r="F253" s="68" t="s">
        <v>6</v>
      </c>
      <c r="G253" s="67" t="s">
        <v>14</v>
      </c>
      <c r="H253" s="67" t="s">
        <v>71</v>
      </c>
    </row>
    <row r="254" spans="1:9" ht="21" customHeight="1">
      <c r="A254" s="2" t="str">
        <f>IF(C254&lt;&gt;"0","1","")</f>
        <v>1</v>
      </c>
      <c r="B254" s="102" t="str">
        <f>IF(C254&lt;&gt;"",COUNTA($C$254:C254),"")</f>
        <v/>
      </c>
      <c r="C254" s="103" t="str">
        <f t="array" ref="C254">IFERROR(INDEX(MASTERKU,SMALL(IF(KRITERIAKU=$I$31,ROW(KRITERIAKU)),ROW(C9)),12),"")</f>
        <v/>
      </c>
      <c r="D254" s="104"/>
      <c r="E254" s="103" t="str">
        <f t="array" ref="E254">IFERROR(INDEX(MASTERKU,SMALL(IF(KRITERIAKU=$I$31,ROW(KRITERIAKU)),ROW(C9)),13),"")</f>
        <v/>
      </c>
      <c r="F254" s="103" t="str">
        <f t="array" ref="F254">IFERROR(INDEX(MASTERKU,SMALL(IF(KRITERIAKU=$I$31,ROW(KRITERIAKU)),ROW(C9)),14),"")</f>
        <v/>
      </c>
      <c r="G254" s="105" t="str">
        <f t="array" ref="G254">IFERROR(INDEX(MASTERKU,SMALL(IF(KRITERIAKU=$I$31,ROW(KRITERIAKU)),ROW(C9)),15),"")</f>
        <v/>
      </c>
      <c r="H254" s="106" t="str">
        <f t="array" ref="H254">IFERROR(INDEX(MASTERKU,SMALL(IF(KRITERIAKU=$I$31,ROW(KRITERIAKU)),ROW(C9)),16),"")</f>
        <v/>
      </c>
      <c r="I254" s="128" t="str">
        <f t="shared" ref="I254:I311" si="8">IF(C254&lt;&gt;"0","1","")</f>
        <v>1</v>
      </c>
    </row>
    <row r="255" spans="1:9" ht="21" customHeight="1">
      <c r="A255" s="2" t="str">
        <f t="shared" ref="A255:A311" si="9">IF(C255&lt;&gt;"0","1","")</f>
        <v>1</v>
      </c>
      <c r="B255" s="102" t="str">
        <f>IF(C255&lt;&gt;"",COUNTA($C$254:C255),"")</f>
        <v/>
      </c>
      <c r="C255" s="103" t="str">
        <f t="array" ref="C255">IFERROR(INDEX(MASTERKU,SMALL(IF(KRITERIAKU=$I$31,ROW(KRITERIAKU)),ROW(C10)),12),"")</f>
        <v/>
      </c>
      <c r="D255" s="104"/>
      <c r="E255" s="103" t="str">
        <f t="array" ref="E255">IFERROR(INDEX(MASTERKU,SMALL(IF(KRITERIAKU=$I$31,ROW(KRITERIAKU)),ROW(C10)),13),"")</f>
        <v/>
      </c>
      <c r="F255" s="103" t="str">
        <f t="array" ref="F255">IFERROR(INDEX(MASTERKU,SMALL(IF(KRITERIAKU=$I$31,ROW(KRITERIAKU)),ROW(C10)),14),"")</f>
        <v/>
      </c>
      <c r="G255" s="105" t="str">
        <f t="array" ref="G255">IFERROR(INDEX(MASTERKU,SMALL(IF(KRITERIAKU=$I$31,ROW(KRITERIAKU)),ROW(C10)),15),"")</f>
        <v/>
      </c>
      <c r="H255" s="106" t="str">
        <f t="array" ref="H255">IFERROR(INDEX(MASTERKU,SMALL(IF(KRITERIAKU=$I$31,ROW(KRITERIAKU)),ROW(C10)),16),"")</f>
        <v/>
      </c>
      <c r="I255" s="2" t="str">
        <f t="shared" si="8"/>
        <v>1</v>
      </c>
    </row>
    <row r="256" spans="1:9" ht="21" customHeight="1">
      <c r="A256" s="2" t="str">
        <f t="shared" si="9"/>
        <v>1</v>
      </c>
      <c r="B256" s="102" t="str">
        <f>IF(C256&lt;&gt;"",COUNTA($C$254:C256),"")</f>
        <v/>
      </c>
      <c r="C256" s="103" t="str">
        <f t="array" ref="C256">IFERROR(INDEX(MASTERKU,SMALL(IF(KRITERIAKU=$I$31,ROW(KRITERIAKU)),ROW(C11)),12),"")</f>
        <v/>
      </c>
      <c r="D256" s="104"/>
      <c r="E256" s="103" t="str">
        <f t="array" ref="E256">IFERROR(INDEX(MASTERKU,SMALL(IF(KRITERIAKU=$I$31,ROW(KRITERIAKU)),ROW(C11)),13),"")</f>
        <v/>
      </c>
      <c r="F256" s="103" t="str">
        <f t="array" ref="F256">IFERROR(INDEX(MASTERKU,SMALL(IF(KRITERIAKU=$I$31,ROW(KRITERIAKU)),ROW(C11)),14),"")</f>
        <v/>
      </c>
      <c r="G256" s="105" t="str">
        <f t="array" ref="G256">IFERROR(INDEX(MASTERKU,SMALL(IF(KRITERIAKU=$I$31,ROW(KRITERIAKU)),ROW(C11)),15),"")</f>
        <v/>
      </c>
      <c r="H256" s="106" t="str">
        <f t="array" ref="H256">IFERROR(INDEX(MASTERKU,SMALL(IF(KRITERIAKU=$I$31,ROW(KRITERIAKU)),ROW(C11)),16),"")</f>
        <v/>
      </c>
      <c r="I256" s="2" t="str">
        <f t="shared" si="8"/>
        <v>1</v>
      </c>
    </row>
    <row r="257" spans="1:9" ht="21" customHeight="1">
      <c r="A257" s="2" t="str">
        <f t="shared" si="9"/>
        <v>1</v>
      </c>
      <c r="B257" s="102" t="str">
        <f>IF(C257&lt;&gt;"",COUNTA($C$254:C257),"")</f>
        <v/>
      </c>
      <c r="C257" s="103" t="str">
        <f t="array" ref="C257">IFERROR(INDEX(MASTERKU,SMALL(IF(KRITERIAKU=$I$31,ROW(KRITERIAKU)),ROW(C12)),12),"")</f>
        <v/>
      </c>
      <c r="D257" s="104"/>
      <c r="E257" s="103" t="str">
        <f t="array" ref="E257">IFERROR(INDEX(MASTERKU,SMALL(IF(KRITERIAKU=$I$31,ROW(KRITERIAKU)),ROW(C12)),13),"")</f>
        <v/>
      </c>
      <c r="F257" s="103" t="str">
        <f t="array" ref="F257">IFERROR(INDEX(MASTERKU,SMALL(IF(KRITERIAKU=$I$31,ROW(KRITERIAKU)),ROW(C12)),14),"")</f>
        <v/>
      </c>
      <c r="G257" s="105" t="str">
        <f t="array" ref="G257">IFERROR(INDEX(MASTERKU,SMALL(IF(KRITERIAKU=$I$31,ROW(KRITERIAKU)),ROW(C12)),15),"")</f>
        <v/>
      </c>
      <c r="H257" s="106" t="str">
        <f t="array" ref="H257">IFERROR(INDEX(MASTERKU,SMALL(IF(KRITERIAKU=$I$31,ROW(KRITERIAKU)),ROW(C12)),16),"")</f>
        <v/>
      </c>
      <c r="I257" s="2" t="str">
        <f t="shared" si="8"/>
        <v>1</v>
      </c>
    </row>
    <row r="258" spans="1:9" ht="21" customHeight="1">
      <c r="A258" s="2" t="str">
        <f t="shared" si="9"/>
        <v>1</v>
      </c>
      <c r="B258" s="102" t="str">
        <f>IF(C258&lt;&gt;"",COUNTA($C$254:C258),"")</f>
        <v/>
      </c>
      <c r="C258" s="103" t="str">
        <f t="array" ref="C258">IFERROR(INDEX(MASTERKU,SMALL(IF(KRITERIAKU=$I$31,ROW(KRITERIAKU)),ROW(#REF!)),12),"")</f>
        <v/>
      </c>
      <c r="D258" s="104"/>
      <c r="E258" s="103" t="str">
        <f t="array" ref="E258">IFERROR(INDEX(MASTERKU,SMALL(IF(KRITERIAKU=$I$31,ROW(KRITERIAKU)),ROW(#REF!)),13),"")</f>
        <v/>
      </c>
      <c r="F258" s="103" t="str">
        <f t="array" ref="F258">IFERROR(INDEX(MASTERKU,SMALL(IF(KRITERIAKU=$I$31,ROW(KRITERIAKU)),ROW(#REF!)),14),"")</f>
        <v/>
      </c>
      <c r="G258" s="105" t="str">
        <f t="array" ref="G258">IFERROR(INDEX(MASTERKU,SMALL(IF(KRITERIAKU=$I$31,ROW(KRITERIAKU)),ROW(#REF!)),15),"")</f>
        <v/>
      </c>
      <c r="H258" s="106" t="str">
        <f t="array" ref="H258">IFERROR(INDEX(MASTERKU,SMALL(IF(KRITERIAKU=$I$31,ROW(KRITERIAKU)),ROW(#REF!)),16),"")</f>
        <v/>
      </c>
      <c r="I258" s="2" t="str">
        <f t="shared" si="8"/>
        <v>1</v>
      </c>
    </row>
    <row r="259" spans="1:9" ht="21" customHeight="1">
      <c r="A259" s="2" t="str">
        <f t="shared" si="9"/>
        <v>1</v>
      </c>
      <c r="B259" s="102" t="str">
        <f>IF(C259&lt;&gt;"",COUNTA($C$254:C259),"")</f>
        <v/>
      </c>
      <c r="C259" s="103" t="str">
        <f t="array" ref="C259">IFERROR(INDEX(MASTERKU,SMALL(IF(KRITERIAKU=$I$31,ROW(KRITERIAKU)),ROW(#REF!)),12),"")</f>
        <v/>
      </c>
      <c r="D259" s="104"/>
      <c r="E259" s="103" t="str">
        <f t="array" ref="E259">IFERROR(INDEX(MASTERKU,SMALL(IF(KRITERIAKU=$I$31,ROW(KRITERIAKU)),ROW(#REF!)),13),"")</f>
        <v/>
      </c>
      <c r="F259" s="103" t="str">
        <f t="array" ref="F259">IFERROR(INDEX(MASTERKU,SMALL(IF(KRITERIAKU=$I$31,ROW(KRITERIAKU)),ROW(#REF!)),14),"")</f>
        <v/>
      </c>
      <c r="G259" s="105" t="str">
        <f t="array" ref="G259">IFERROR(INDEX(MASTERKU,SMALL(IF(KRITERIAKU=$I$31,ROW(KRITERIAKU)),ROW(#REF!)),15),"")</f>
        <v/>
      </c>
      <c r="H259" s="106" t="str">
        <f t="array" ref="H259">IFERROR(INDEX(MASTERKU,SMALL(IF(KRITERIAKU=$I$31,ROW(KRITERIAKU)),ROW(#REF!)),16),"")</f>
        <v/>
      </c>
      <c r="I259" s="2" t="str">
        <f t="shared" si="8"/>
        <v>1</v>
      </c>
    </row>
    <row r="260" spans="1:9" ht="21" customHeight="1">
      <c r="A260" s="2" t="str">
        <f t="shared" si="9"/>
        <v>1</v>
      </c>
      <c r="B260" s="102" t="str">
        <f>IF(C260&lt;&gt;"",COUNTA($C$254:C260),"")</f>
        <v/>
      </c>
      <c r="C260" s="103" t="str">
        <f t="array" ref="C260">IFERROR(INDEX(MASTERKU,SMALL(IF(KRITERIAKU=$I$31,ROW(KRITERIAKU)),ROW(#REF!)),12),"")</f>
        <v/>
      </c>
      <c r="D260" s="104"/>
      <c r="E260" s="103" t="str">
        <f t="array" ref="E260">IFERROR(INDEX(MASTERKU,SMALL(IF(KRITERIAKU=$I$31,ROW(KRITERIAKU)),ROW(#REF!)),13),"")</f>
        <v/>
      </c>
      <c r="F260" s="103" t="str">
        <f t="array" ref="F260">IFERROR(INDEX(MASTERKU,SMALL(IF(KRITERIAKU=$I$31,ROW(KRITERIAKU)),ROW(#REF!)),14),"")</f>
        <v/>
      </c>
      <c r="G260" s="105" t="str">
        <f t="array" ref="G260">IFERROR(INDEX(MASTERKU,SMALL(IF(KRITERIAKU=$I$31,ROW(KRITERIAKU)),ROW(#REF!)),15),"")</f>
        <v/>
      </c>
      <c r="H260" s="106" t="str">
        <f t="array" ref="H260">IFERROR(INDEX(MASTERKU,SMALL(IF(KRITERIAKU=$I$31,ROW(KRITERIAKU)),ROW(#REF!)),16),"")</f>
        <v/>
      </c>
      <c r="I260" s="2" t="str">
        <f t="shared" si="8"/>
        <v>1</v>
      </c>
    </row>
    <row r="261" spans="1:9" ht="21" customHeight="1">
      <c r="A261" s="2" t="str">
        <f t="shared" si="9"/>
        <v>1</v>
      </c>
      <c r="B261" s="102" t="str">
        <f>IF(C261&lt;&gt;"",COUNTA($C$254:C261),"")</f>
        <v/>
      </c>
      <c r="C261" s="103" t="str">
        <f t="array" ref="C261">IFERROR(INDEX(MASTERKU,SMALL(IF(KRITERIAKU=$I$31,ROW(KRITERIAKU)),ROW(#REF!)),12),"")</f>
        <v/>
      </c>
      <c r="D261" s="104"/>
      <c r="E261" s="103" t="str">
        <f t="array" ref="E261">IFERROR(INDEX(MASTERKU,SMALL(IF(KRITERIAKU=$I$31,ROW(KRITERIAKU)),ROW(#REF!)),13),"")</f>
        <v/>
      </c>
      <c r="F261" s="103" t="str">
        <f t="array" ref="F261">IFERROR(INDEX(MASTERKU,SMALL(IF(KRITERIAKU=$I$31,ROW(KRITERIAKU)),ROW(#REF!)),14),"")</f>
        <v/>
      </c>
      <c r="G261" s="105" t="str">
        <f t="array" ref="G261">IFERROR(INDEX(MASTERKU,SMALL(IF(KRITERIAKU=$I$31,ROW(KRITERIAKU)),ROW(#REF!)),15),"")</f>
        <v/>
      </c>
      <c r="H261" s="106" t="str">
        <f t="array" ref="H261">IFERROR(INDEX(MASTERKU,SMALL(IF(KRITERIAKU=$I$31,ROW(KRITERIAKU)),ROW(#REF!)),16),"")</f>
        <v/>
      </c>
      <c r="I261" s="2" t="str">
        <f t="shared" si="8"/>
        <v>1</v>
      </c>
    </row>
    <row r="262" spans="1:9" ht="21" customHeight="1">
      <c r="A262" s="2" t="str">
        <f t="shared" si="9"/>
        <v>1</v>
      </c>
      <c r="B262" s="102" t="str">
        <f>IF(C262&lt;&gt;"",COUNTA($C$254:C262),"")</f>
        <v/>
      </c>
      <c r="C262" s="103" t="str">
        <f t="array" ref="C262">IFERROR(INDEX(MASTERKU,SMALL(IF(KRITERIAKU=$I$31,ROW(KRITERIAKU)),ROW(C17)),12),"")</f>
        <v/>
      </c>
      <c r="D262" s="104"/>
      <c r="E262" s="103" t="str">
        <f t="array" ref="E262">IFERROR(INDEX(MASTERKU,SMALL(IF(KRITERIAKU=$I$31,ROW(KRITERIAKU)),ROW(C17)),13),"")</f>
        <v/>
      </c>
      <c r="F262" s="103" t="str">
        <f t="array" ref="F262">IFERROR(INDEX(MASTERKU,SMALL(IF(KRITERIAKU=$I$31,ROW(KRITERIAKU)),ROW(C17)),14),"")</f>
        <v/>
      </c>
      <c r="G262" s="105" t="str">
        <f t="array" ref="G262">IFERROR(INDEX(MASTERKU,SMALL(IF(KRITERIAKU=$I$31,ROW(KRITERIAKU)),ROW(C17)),15),"")</f>
        <v/>
      </c>
      <c r="H262" s="106" t="str">
        <f t="array" ref="H262">IFERROR(INDEX(MASTERKU,SMALL(IF(KRITERIAKU=$I$31,ROW(KRITERIAKU)),ROW(C17)),16),"")</f>
        <v/>
      </c>
      <c r="I262" s="2" t="str">
        <f t="shared" si="8"/>
        <v>1</v>
      </c>
    </row>
    <row r="263" spans="1:9" ht="21" customHeight="1">
      <c r="A263" s="2" t="str">
        <f t="shared" si="9"/>
        <v>1</v>
      </c>
      <c r="B263" s="102" t="str">
        <f>IF(C263&lt;&gt;"",COUNTA($C$254:C263),"")</f>
        <v/>
      </c>
      <c r="C263" s="103" t="str">
        <f t="array" ref="C263">IFERROR(INDEX(MASTERKU,SMALL(IF(KRITERIAKU=$I$31,ROW(KRITERIAKU)),ROW(C18)),12),"")</f>
        <v/>
      </c>
      <c r="D263" s="104"/>
      <c r="E263" s="103" t="str">
        <f t="array" ref="E263">IFERROR(INDEX(MASTERKU,SMALL(IF(KRITERIAKU=$I$31,ROW(KRITERIAKU)),ROW(C18)),13),"")</f>
        <v/>
      </c>
      <c r="F263" s="103" t="str">
        <f t="array" ref="F263">IFERROR(INDEX(MASTERKU,SMALL(IF(KRITERIAKU=$I$31,ROW(KRITERIAKU)),ROW(C18)),14),"")</f>
        <v/>
      </c>
      <c r="G263" s="105" t="str">
        <f t="array" ref="G263">IFERROR(INDEX(MASTERKU,SMALL(IF(KRITERIAKU=$I$31,ROW(KRITERIAKU)),ROW(C18)),15),"")</f>
        <v/>
      </c>
      <c r="H263" s="106" t="str">
        <f t="array" ref="H263">IFERROR(INDEX(MASTERKU,SMALL(IF(KRITERIAKU=$I$31,ROW(KRITERIAKU)),ROW(C18)),16),"")</f>
        <v/>
      </c>
      <c r="I263" s="2" t="str">
        <f t="shared" si="8"/>
        <v>1</v>
      </c>
    </row>
    <row r="264" spans="1:9" ht="21" customHeight="1">
      <c r="A264" s="2" t="str">
        <f t="shared" si="9"/>
        <v>1</v>
      </c>
      <c r="B264" s="102" t="str">
        <f>IF(C264&lt;&gt;"",COUNTA($C$254:C264),"")</f>
        <v/>
      </c>
      <c r="C264" s="103" t="str">
        <f t="array" ref="C264">IFERROR(INDEX(MASTERKU,SMALL(IF(KRITERIAKU=$I$31,ROW(KRITERIAKU)),ROW(C19)),12),"")</f>
        <v/>
      </c>
      <c r="D264" s="104"/>
      <c r="E264" s="103" t="str">
        <f t="array" ref="E264">IFERROR(INDEX(MASTERKU,SMALL(IF(KRITERIAKU=$I$31,ROW(KRITERIAKU)),ROW(C19)),13),"")</f>
        <v/>
      </c>
      <c r="F264" s="103" t="str">
        <f t="array" ref="F264">IFERROR(INDEX(MASTERKU,SMALL(IF(KRITERIAKU=$I$31,ROW(KRITERIAKU)),ROW(C19)),14),"")</f>
        <v/>
      </c>
      <c r="G264" s="105" t="str">
        <f t="array" ref="G264">IFERROR(INDEX(MASTERKU,SMALL(IF(KRITERIAKU=$I$31,ROW(KRITERIAKU)),ROW(C19)),15),"")</f>
        <v/>
      </c>
      <c r="H264" s="106" t="str">
        <f t="array" ref="H264">IFERROR(INDEX(MASTERKU,SMALL(IF(KRITERIAKU=$I$31,ROW(KRITERIAKU)),ROW(C19)),16),"")</f>
        <v/>
      </c>
      <c r="I264" s="2" t="str">
        <f t="shared" si="8"/>
        <v>1</v>
      </c>
    </row>
    <row r="265" spans="1:9" ht="21" customHeight="1">
      <c r="A265" s="2" t="str">
        <f t="shared" si="9"/>
        <v>1</v>
      </c>
      <c r="B265" s="102" t="str">
        <f>IF(C265&lt;&gt;"",COUNTA($C$254:C265),"")</f>
        <v/>
      </c>
      <c r="C265" s="103" t="str">
        <f t="array" ref="C265">IFERROR(INDEX(MASTERKU,SMALL(IF(KRITERIAKU=$I$31,ROW(KRITERIAKU)),ROW(C20)),12),"")</f>
        <v/>
      </c>
      <c r="D265" s="104"/>
      <c r="E265" s="103" t="str">
        <f t="array" ref="E265">IFERROR(INDEX(MASTERKU,SMALL(IF(KRITERIAKU=$I$31,ROW(KRITERIAKU)),ROW(C20)),13),"")</f>
        <v/>
      </c>
      <c r="F265" s="103" t="str">
        <f t="array" ref="F265">IFERROR(INDEX(MASTERKU,SMALL(IF(KRITERIAKU=$I$31,ROW(KRITERIAKU)),ROW(C20)),14),"")</f>
        <v/>
      </c>
      <c r="G265" s="105" t="str">
        <f t="array" ref="G265">IFERROR(INDEX(MASTERKU,SMALL(IF(KRITERIAKU=$I$31,ROW(KRITERIAKU)),ROW(C20)),15),"")</f>
        <v/>
      </c>
      <c r="H265" s="106" t="str">
        <f t="array" ref="H265">IFERROR(INDEX(MASTERKU,SMALL(IF(KRITERIAKU=$I$31,ROW(KRITERIAKU)),ROW(C20)),16),"")</f>
        <v/>
      </c>
      <c r="I265" s="2" t="str">
        <f t="shared" si="8"/>
        <v>1</v>
      </c>
    </row>
    <row r="266" spans="1:9" ht="21" customHeight="1">
      <c r="A266" s="2" t="str">
        <f t="shared" si="9"/>
        <v>1</v>
      </c>
      <c r="B266" s="102" t="str">
        <f>IF(C266&lt;&gt;"",COUNTA($C$254:C266),"")</f>
        <v/>
      </c>
      <c r="C266" s="103" t="str">
        <f t="array" ref="C266">IFERROR(INDEX(MASTERKU,SMALL(IF(KRITERIAKU=$I$31,ROW(KRITERIAKU)),ROW(C21)),12),"")</f>
        <v/>
      </c>
      <c r="D266" s="104"/>
      <c r="E266" s="103" t="str">
        <f t="array" ref="E266">IFERROR(INDEX(MASTERKU,SMALL(IF(KRITERIAKU=$I$31,ROW(KRITERIAKU)),ROW(C21)),13),"")</f>
        <v/>
      </c>
      <c r="F266" s="103" t="str">
        <f t="array" ref="F266">IFERROR(INDEX(MASTERKU,SMALL(IF(KRITERIAKU=$I$31,ROW(KRITERIAKU)),ROW(C21)),14),"")</f>
        <v/>
      </c>
      <c r="G266" s="105" t="str">
        <f t="array" ref="G266">IFERROR(INDEX(MASTERKU,SMALL(IF(KRITERIAKU=$I$31,ROW(KRITERIAKU)),ROW(C21)),15),"")</f>
        <v/>
      </c>
      <c r="H266" s="106" t="str">
        <f t="array" ref="H266">IFERROR(INDEX(MASTERKU,SMALL(IF(KRITERIAKU=$I$31,ROW(KRITERIAKU)),ROW(C21)),16),"")</f>
        <v/>
      </c>
      <c r="I266" s="2" t="str">
        <f t="shared" si="8"/>
        <v>1</v>
      </c>
    </row>
    <row r="267" spans="1:9" ht="21" customHeight="1">
      <c r="A267" s="2" t="str">
        <f t="shared" si="9"/>
        <v>1</v>
      </c>
      <c r="B267" s="102" t="str">
        <f>IF(C267&lt;&gt;"",COUNTA($C$254:C267),"")</f>
        <v/>
      </c>
      <c r="C267" s="103" t="str">
        <f t="array" ref="C267">IFERROR(INDEX(MASTERKU,SMALL(IF(KRITERIAKU=$I$31,ROW(KRITERIAKU)),ROW(C22)),12),"")</f>
        <v/>
      </c>
      <c r="D267" s="104"/>
      <c r="E267" s="103" t="str">
        <f t="array" ref="E267">IFERROR(INDEX(MASTERKU,SMALL(IF(KRITERIAKU=$I$31,ROW(KRITERIAKU)),ROW(C22)),13),"")</f>
        <v/>
      </c>
      <c r="F267" s="103" t="str">
        <f t="array" ref="F267">IFERROR(INDEX(MASTERKU,SMALL(IF(KRITERIAKU=$I$31,ROW(KRITERIAKU)),ROW(C22)),14),"")</f>
        <v/>
      </c>
      <c r="G267" s="105" t="str">
        <f t="array" ref="G267">IFERROR(INDEX(MASTERKU,SMALL(IF(KRITERIAKU=$I$31,ROW(KRITERIAKU)),ROW(C22)),15),"")</f>
        <v/>
      </c>
      <c r="H267" s="106" t="str">
        <f t="array" ref="H267">IFERROR(INDEX(MASTERKU,SMALL(IF(KRITERIAKU=$I$31,ROW(KRITERIAKU)),ROW(C22)),16),"")</f>
        <v/>
      </c>
      <c r="I267" s="2" t="str">
        <f t="shared" si="8"/>
        <v>1</v>
      </c>
    </row>
    <row r="268" spans="1:9" ht="21" customHeight="1">
      <c r="A268" s="2" t="str">
        <f t="shared" si="9"/>
        <v>1</v>
      </c>
      <c r="B268" s="102" t="str">
        <f>IF(C268&lt;&gt;"",COUNTA($C$254:C268),"")</f>
        <v/>
      </c>
      <c r="C268" s="103" t="str">
        <f t="array" ref="C268">IFERROR(INDEX(MASTERKU,SMALL(IF(KRITERIAKU=$I$31,ROW(KRITERIAKU)),ROW(C23)),12),"")</f>
        <v/>
      </c>
      <c r="D268" s="104"/>
      <c r="E268" s="103" t="str">
        <f t="array" ref="E268">IFERROR(INDEX(MASTERKU,SMALL(IF(KRITERIAKU=$I$31,ROW(KRITERIAKU)),ROW(C23)),13),"")</f>
        <v/>
      </c>
      <c r="F268" s="103" t="str">
        <f t="array" ref="F268">IFERROR(INDEX(MASTERKU,SMALL(IF(KRITERIAKU=$I$31,ROW(KRITERIAKU)),ROW(C23)),14),"")</f>
        <v/>
      </c>
      <c r="G268" s="105" t="str">
        <f t="array" ref="G268">IFERROR(INDEX(MASTERKU,SMALL(IF(KRITERIAKU=$I$31,ROW(KRITERIAKU)),ROW(C23)),15),"")</f>
        <v/>
      </c>
      <c r="H268" s="106" t="str">
        <f t="array" ref="H268">IFERROR(INDEX(MASTERKU,SMALL(IF(KRITERIAKU=$I$31,ROW(KRITERIAKU)),ROW(C23)),16),"")</f>
        <v/>
      </c>
      <c r="I268" s="2" t="str">
        <f t="shared" si="8"/>
        <v>1</v>
      </c>
    </row>
    <row r="269" spans="1:9" ht="21" customHeight="1">
      <c r="A269" s="2" t="str">
        <f t="shared" si="9"/>
        <v>1</v>
      </c>
      <c r="B269" s="102" t="str">
        <f>IF(C269&lt;&gt;"",COUNTA($C$254:C269),"")</f>
        <v/>
      </c>
      <c r="C269" s="103" t="str">
        <f t="array" ref="C269">IFERROR(INDEX(MASTERKU,SMALL(IF(KRITERIAKU=$I$31,ROW(KRITERIAKU)),ROW(C24)),12),"")</f>
        <v/>
      </c>
      <c r="D269" s="104"/>
      <c r="E269" s="103" t="str">
        <f t="array" ref="E269">IFERROR(INDEX(MASTERKU,SMALL(IF(KRITERIAKU=$I$31,ROW(KRITERIAKU)),ROW(C24)),13),"")</f>
        <v/>
      </c>
      <c r="F269" s="103" t="str">
        <f t="array" ref="F269">IFERROR(INDEX(MASTERKU,SMALL(IF(KRITERIAKU=$I$31,ROW(KRITERIAKU)),ROW(C24)),14),"")</f>
        <v/>
      </c>
      <c r="G269" s="105" t="str">
        <f t="array" ref="G269">IFERROR(INDEX(MASTERKU,SMALL(IF(KRITERIAKU=$I$31,ROW(KRITERIAKU)),ROW(C24)),15),"")</f>
        <v/>
      </c>
      <c r="H269" s="106" t="str">
        <f t="array" ref="H269">IFERROR(INDEX(MASTERKU,SMALL(IF(KRITERIAKU=$I$31,ROW(KRITERIAKU)),ROW(C24)),16),"")</f>
        <v/>
      </c>
      <c r="I269" s="2" t="str">
        <f t="shared" si="8"/>
        <v>1</v>
      </c>
    </row>
    <row r="270" spans="1:9" ht="21" customHeight="1">
      <c r="A270" s="2" t="str">
        <f t="shared" si="9"/>
        <v>1</v>
      </c>
      <c r="B270" s="102" t="str">
        <f>IF(C270&lt;&gt;"",COUNTA($C$254:C270),"")</f>
        <v/>
      </c>
      <c r="C270" s="103" t="str">
        <f t="array" ref="C270">IFERROR(INDEX(MASTERKU,SMALL(IF(KRITERIAKU=$I$31,ROW(KRITERIAKU)),ROW(C25)),12),"")</f>
        <v/>
      </c>
      <c r="D270" s="104"/>
      <c r="E270" s="103" t="str">
        <f t="array" ref="E270">IFERROR(INDEX(MASTERKU,SMALL(IF(KRITERIAKU=$I$31,ROW(KRITERIAKU)),ROW(C25)),13),"")</f>
        <v/>
      </c>
      <c r="F270" s="103" t="str">
        <f t="array" ref="F270">IFERROR(INDEX(MASTERKU,SMALL(IF(KRITERIAKU=$I$31,ROW(KRITERIAKU)),ROW(C25)),14),"")</f>
        <v/>
      </c>
      <c r="G270" s="105" t="str">
        <f t="array" ref="G270">IFERROR(INDEX(MASTERKU,SMALL(IF(KRITERIAKU=$I$31,ROW(KRITERIAKU)),ROW(C25)),15),"")</f>
        <v/>
      </c>
      <c r="H270" s="106" t="str">
        <f t="array" ref="H270">IFERROR(INDEX(MASTERKU,SMALL(IF(KRITERIAKU=$I$31,ROW(KRITERIAKU)),ROW(C25)),16),"")</f>
        <v/>
      </c>
      <c r="I270" s="2" t="str">
        <f t="shared" si="8"/>
        <v>1</v>
      </c>
    </row>
    <row r="271" spans="1:9" ht="21" customHeight="1">
      <c r="A271" s="2" t="str">
        <f t="shared" si="9"/>
        <v>1</v>
      </c>
      <c r="B271" s="102" t="str">
        <f>IF(C271&lt;&gt;"",COUNTA($C$254:C271),"")</f>
        <v/>
      </c>
      <c r="C271" s="103" t="str">
        <f t="array" ref="C271">IFERROR(INDEX(MASTERKU,SMALL(IF(KRITERIAKU=$I$31,ROW(KRITERIAKU)),ROW(C26)),12),"")</f>
        <v/>
      </c>
      <c r="D271" s="104"/>
      <c r="E271" s="103" t="str">
        <f t="array" ref="E271">IFERROR(INDEX(MASTERKU,SMALL(IF(KRITERIAKU=$I$31,ROW(KRITERIAKU)),ROW(C26)),13),"")</f>
        <v/>
      </c>
      <c r="F271" s="103" t="str">
        <f t="array" ref="F271">IFERROR(INDEX(MASTERKU,SMALL(IF(KRITERIAKU=$I$31,ROW(KRITERIAKU)),ROW(C26)),14),"")</f>
        <v/>
      </c>
      <c r="G271" s="105" t="str">
        <f t="array" ref="G271">IFERROR(INDEX(MASTERKU,SMALL(IF(KRITERIAKU=$I$31,ROW(KRITERIAKU)),ROW(C26)),15),"")</f>
        <v/>
      </c>
      <c r="H271" s="106" t="str">
        <f t="array" ref="H271">IFERROR(INDEX(MASTERKU,SMALL(IF(KRITERIAKU=$I$31,ROW(KRITERIAKU)),ROW(C26)),16),"")</f>
        <v/>
      </c>
      <c r="I271" s="2" t="str">
        <f t="shared" si="8"/>
        <v>1</v>
      </c>
    </row>
    <row r="272" spans="1:9" ht="21" customHeight="1">
      <c r="A272" s="2" t="str">
        <f t="shared" si="9"/>
        <v>1</v>
      </c>
      <c r="B272" s="102" t="str">
        <f>IF(C272&lt;&gt;"",COUNTA($C$254:C272),"")</f>
        <v/>
      </c>
      <c r="C272" s="103" t="str">
        <f t="array" ref="C272">IFERROR(INDEX(MASTERKU,SMALL(IF(KRITERIAKU=$I$31,ROW(KRITERIAKU)),ROW(C27)),12),"")</f>
        <v/>
      </c>
      <c r="D272" s="104"/>
      <c r="E272" s="103" t="str">
        <f t="array" ref="E272">IFERROR(INDEX(MASTERKU,SMALL(IF(KRITERIAKU=$I$31,ROW(KRITERIAKU)),ROW(C27)),13),"")</f>
        <v/>
      </c>
      <c r="F272" s="103" t="str">
        <f t="array" ref="F272">IFERROR(INDEX(MASTERKU,SMALL(IF(KRITERIAKU=$I$31,ROW(KRITERIAKU)),ROW(C27)),14),"")</f>
        <v/>
      </c>
      <c r="G272" s="105" t="str">
        <f t="array" ref="G272">IFERROR(INDEX(MASTERKU,SMALL(IF(KRITERIAKU=$I$31,ROW(KRITERIAKU)),ROW(C27)),15),"")</f>
        <v/>
      </c>
      <c r="H272" s="106" t="str">
        <f t="array" ref="H272">IFERROR(INDEX(MASTERKU,SMALL(IF(KRITERIAKU=$I$31,ROW(KRITERIAKU)),ROW(C27)),16),"")</f>
        <v/>
      </c>
      <c r="I272" s="2" t="str">
        <f t="shared" si="8"/>
        <v>1</v>
      </c>
    </row>
    <row r="273" spans="1:9" ht="21" customHeight="1">
      <c r="A273" s="2" t="str">
        <f t="shared" si="9"/>
        <v>1</v>
      </c>
      <c r="B273" s="102" t="str">
        <f>IF(C273&lt;&gt;"",COUNTA($C$254:C273),"")</f>
        <v/>
      </c>
      <c r="C273" s="103" t="str">
        <f t="array" ref="C273">IFERROR(INDEX(MASTERKU,SMALL(IF(KRITERIAKU=$I$31,ROW(KRITERIAKU)),ROW(C28)),12),"")</f>
        <v/>
      </c>
      <c r="D273" s="104"/>
      <c r="E273" s="103" t="str">
        <f t="array" ref="E273">IFERROR(INDEX(MASTERKU,SMALL(IF(KRITERIAKU=$I$31,ROW(KRITERIAKU)),ROW(C28)),13),"")</f>
        <v/>
      </c>
      <c r="F273" s="103" t="str">
        <f t="array" ref="F273">IFERROR(INDEX(MASTERKU,SMALL(IF(KRITERIAKU=$I$31,ROW(KRITERIAKU)),ROW(C28)),14),"")</f>
        <v/>
      </c>
      <c r="G273" s="105" t="str">
        <f t="array" ref="G273">IFERROR(INDEX(MASTERKU,SMALL(IF(KRITERIAKU=$I$31,ROW(KRITERIAKU)),ROW(C28)),15),"")</f>
        <v/>
      </c>
      <c r="H273" s="106" t="str">
        <f t="array" ref="H273">IFERROR(INDEX(MASTERKU,SMALL(IF(KRITERIAKU=$I$31,ROW(KRITERIAKU)),ROW(C28)),16),"")</f>
        <v/>
      </c>
      <c r="I273" s="2" t="str">
        <f t="shared" si="8"/>
        <v>1</v>
      </c>
    </row>
    <row r="274" spans="1:9" ht="21" customHeight="1">
      <c r="A274" s="2" t="str">
        <f t="shared" si="9"/>
        <v>1</v>
      </c>
      <c r="B274" s="102" t="str">
        <f>IF(C274&lt;&gt;"",COUNTA($C$254:C274),"")</f>
        <v/>
      </c>
      <c r="C274" s="103" t="str">
        <f t="array" ref="C274">IFERROR(INDEX(MASTERKU,SMALL(IF(KRITERIAKU=$I$31,ROW(KRITERIAKU)),ROW(C29)),12),"")</f>
        <v/>
      </c>
      <c r="D274" s="104"/>
      <c r="E274" s="103" t="str">
        <f t="array" ref="E274">IFERROR(INDEX(MASTERKU,SMALL(IF(KRITERIAKU=$I$31,ROW(KRITERIAKU)),ROW(C29)),13),"")</f>
        <v/>
      </c>
      <c r="F274" s="103" t="str">
        <f t="array" ref="F274">IFERROR(INDEX(MASTERKU,SMALL(IF(KRITERIAKU=$I$31,ROW(KRITERIAKU)),ROW(C29)),14),"")</f>
        <v/>
      </c>
      <c r="G274" s="105" t="str">
        <f t="array" ref="G274">IFERROR(INDEX(MASTERKU,SMALL(IF(KRITERIAKU=$I$31,ROW(KRITERIAKU)),ROW(C29)),15),"")</f>
        <v/>
      </c>
      <c r="H274" s="106" t="str">
        <f t="array" ref="H274">IFERROR(INDEX(MASTERKU,SMALL(IF(KRITERIAKU=$I$31,ROW(KRITERIAKU)),ROW(C29)),16),"")</f>
        <v/>
      </c>
      <c r="I274" s="2" t="str">
        <f t="shared" si="8"/>
        <v>1</v>
      </c>
    </row>
    <row r="275" spans="1:9" ht="21" customHeight="1">
      <c r="A275" s="2" t="str">
        <f t="shared" si="9"/>
        <v>1</v>
      </c>
      <c r="B275" s="102" t="str">
        <f>IF(C275&lt;&gt;"",COUNTA($C$254:C275),"")</f>
        <v/>
      </c>
      <c r="C275" s="103" t="str">
        <f t="array" ref="C275">IFERROR(INDEX(MASTERKU,SMALL(IF(KRITERIAKU=$I$31,ROW(KRITERIAKU)),ROW(C30)),12),"")</f>
        <v/>
      </c>
      <c r="D275" s="104"/>
      <c r="E275" s="103" t="str">
        <f t="array" ref="E275">IFERROR(INDEX(MASTERKU,SMALL(IF(KRITERIAKU=$I$31,ROW(KRITERIAKU)),ROW(C30)),13),"")</f>
        <v/>
      </c>
      <c r="F275" s="103" t="str">
        <f t="array" ref="F275">IFERROR(INDEX(MASTERKU,SMALL(IF(KRITERIAKU=$I$31,ROW(KRITERIAKU)),ROW(C30)),14),"")</f>
        <v/>
      </c>
      <c r="G275" s="105" t="str">
        <f t="array" ref="G275">IFERROR(INDEX(MASTERKU,SMALL(IF(KRITERIAKU=$I$31,ROW(KRITERIAKU)),ROW(C30)),15),"")</f>
        <v/>
      </c>
      <c r="H275" s="106" t="str">
        <f t="array" ref="H275">IFERROR(INDEX(MASTERKU,SMALL(IF(KRITERIAKU=$I$31,ROW(KRITERIAKU)),ROW(C30)),16),"")</f>
        <v/>
      </c>
      <c r="I275" s="2" t="str">
        <f t="shared" si="8"/>
        <v>1</v>
      </c>
    </row>
    <row r="276" spans="1:9" ht="21" customHeight="1">
      <c r="A276" s="2" t="str">
        <f t="shared" si="9"/>
        <v>1</v>
      </c>
      <c r="B276" s="102" t="str">
        <f>IF(C276&lt;&gt;"",COUNTA($C$254:C276),"")</f>
        <v/>
      </c>
      <c r="C276" s="103" t="str">
        <f t="array" ref="C276">IFERROR(INDEX(MASTERKU,SMALL(IF(KRITERIAKU=$I$31,ROW(KRITERIAKU)),ROW(C31)),12),"")</f>
        <v/>
      </c>
      <c r="D276" s="104"/>
      <c r="E276" s="103" t="str">
        <f t="array" ref="E276">IFERROR(INDEX(MASTERKU,SMALL(IF(KRITERIAKU=$I$31,ROW(KRITERIAKU)),ROW(C31)),13),"")</f>
        <v/>
      </c>
      <c r="F276" s="103" t="str">
        <f t="array" ref="F276">IFERROR(INDEX(MASTERKU,SMALL(IF(KRITERIAKU=$I$31,ROW(KRITERIAKU)),ROW(C31)),14),"")</f>
        <v/>
      </c>
      <c r="G276" s="105" t="str">
        <f t="array" ref="G276">IFERROR(INDEX(MASTERKU,SMALL(IF(KRITERIAKU=$I$31,ROW(KRITERIAKU)),ROW(C31)),15),"")</f>
        <v/>
      </c>
      <c r="H276" s="106" t="str">
        <f t="array" ref="H276">IFERROR(INDEX(MASTERKU,SMALL(IF(KRITERIAKU=$I$31,ROW(KRITERIAKU)),ROW(C31)),16),"")</f>
        <v/>
      </c>
      <c r="I276" s="2" t="str">
        <f t="shared" si="8"/>
        <v>1</v>
      </c>
    </row>
    <row r="277" spans="1:9" ht="21" customHeight="1">
      <c r="A277" s="2" t="str">
        <f t="shared" si="9"/>
        <v>1</v>
      </c>
      <c r="B277" s="102" t="str">
        <f>IF(C277&lt;&gt;"",COUNTA($C$254:C277),"")</f>
        <v/>
      </c>
      <c r="C277" s="103" t="str">
        <f t="array" ref="C277">IFERROR(INDEX(MASTERKU,SMALL(IF(KRITERIAKU=$I$31,ROW(KRITERIAKU)),ROW(C32)),12),"")</f>
        <v/>
      </c>
      <c r="D277" s="104"/>
      <c r="E277" s="103" t="str">
        <f t="array" ref="E277">IFERROR(INDEX(MASTERKU,SMALL(IF(KRITERIAKU=$I$31,ROW(KRITERIAKU)),ROW(C32)),13),"")</f>
        <v/>
      </c>
      <c r="F277" s="103" t="str">
        <f t="array" ref="F277">IFERROR(INDEX(MASTERKU,SMALL(IF(KRITERIAKU=$I$31,ROW(KRITERIAKU)),ROW(C32)),14),"")</f>
        <v/>
      </c>
      <c r="G277" s="105" t="str">
        <f t="array" ref="G277">IFERROR(INDEX(MASTERKU,SMALL(IF(KRITERIAKU=$I$31,ROW(KRITERIAKU)),ROW(C32)),15),"")</f>
        <v/>
      </c>
      <c r="H277" s="106" t="str">
        <f t="array" ref="H277">IFERROR(INDEX(MASTERKU,SMALL(IF(KRITERIAKU=$I$31,ROW(KRITERIAKU)),ROW(C32)),16),"")</f>
        <v/>
      </c>
      <c r="I277" s="2" t="str">
        <f t="shared" si="8"/>
        <v>1</v>
      </c>
    </row>
    <row r="278" spans="1:9" ht="21" customHeight="1">
      <c r="A278" s="2" t="str">
        <f t="shared" si="9"/>
        <v>1</v>
      </c>
      <c r="B278" s="102" t="str">
        <f>IF(C278&lt;&gt;"",COUNTA($C$254:C278),"")</f>
        <v/>
      </c>
      <c r="C278" s="103" t="str">
        <f t="array" ref="C278">IFERROR(INDEX(MASTERKU,SMALL(IF(KRITERIAKU=$I$31,ROW(KRITERIAKU)),ROW(C33)),12),"")</f>
        <v/>
      </c>
      <c r="D278" s="104"/>
      <c r="E278" s="103" t="str">
        <f t="array" ref="E278">IFERROR(INDEX(MASTERKU,SMALL(IF(KRITERIAKU=$I$31,ROW(KRITERIAKU)),ROW(C33)),13),"")</f>
        <v/>
      </c>
      <c r="F278" s="103" t="str">
        <f t="array" ref="F278">IFERROR(INDEX(MASTERKU,SMALL(IF(KRITERIAKU=$I$31,ROW(KRITERIAKU)),ROW(C33)),14),"")</f>
        <v/>
      </c>
      <c r="G278" s="105" t="str">
        <f t="array" ref="G278">IFERROR(INDEX(MASTERKU,SMALL(IF(KRITERIAKU=$I$31,ROW(KRITERIAKU)),ROW(C33)),15),"")</f>
        <v/>
      </c>
      <c r="H278" s="106" t="str">
        <f t="array" ref="H278">IFERROR(INDEX(MASTERKU,SMALL(IF(KRITERIAKU=$I$31,ROW(KRITERIAKU)),ROW(C33)),16),"")</f>
        <v/>
      </c>
      <c r="I278" s="2" t="str">
        <f t="shared" si="8"/>
        <v>1</v>
      </c>
    </row>
    <row r="279" spans="1:9" ht="21" customHeight="1">
      <c r="A279" s="2" t="str">
        <f t="shared" si="9"/>
        <v>1</v>
      </c>
      <c r="B279" s="102" t="str">
        <f>IF(C279&lt;&gt;"",COUNTA($C$254:C279),"")</f>
        <v/>
      </c>
      <c r="C279" s="103" t="str">
        <f t="array" ref="C279">IFERROR(INDEX(MASTERKU,SMALL(IF(KRITERIAKU=$I$31,ROW(KRITERIAKU)),ROW(C34)),12),"")</f>
        <v/>
      </c>
      <c r="D279" s="104"/>
      <c r="E279" s="103" t="str">
        <f t="array" ref="E279">IFERROR(INDEX(MASTERKU,SMALL(IF(KRITERIAKU=$I$31,ROW(KRITERIAKU)),ROW(C34)),13),"")</f>
        <v/>
      </c>
      <c r="F279" s="103" t="str">
        <f t="array" ref="F279">IFERROR(INDEX(MASTERKU,SMALL(IF(KRITERIAKU=$I$31,ROW(KRITERIAKU)),ROW(C34)),14),"")</f>
        <v/>
      </c>
      <c r="G279" s="105" t="str">
        <f t="array" ref="G279">IFERROR(INDEX(MASTERKU,SMALL(IF(KRITERIAKU=$I$31,ROW(KRITERIAKU)),ROW(C34)),15),"")</f>
        <v/>
      </c>
      <c r="H279" s="106" t="str">
        <f t="array" ref="H279">IFERROR(INDEX(MASTERKU,SMALL(IF(KRITERIAKU=$I$31,ROW(KRITERIAKU)),ROW(C34)),16),"")</f>
        <v/>
      </c>
      <c r="I279" s="2" t="str">
        <f t="shared" si="8"/>
        <v>1</v>
      </c>
    </row>
    <row r="280" spans="1:9" ht="21" customHeight="1">
      <c r="A280" s="2" t="str">
        <f t="shared" si="9"/>
        <v>1</v>
      </c>
      <c r="B280" s="102" t="str">
        <f>IF(C280&lt;&gt;"",COUNTA($C$254:C280),"")</f>
        <v/>
      </c>
      <c r="C280" s="103" t="str">
        <f t="array" ref="C280">IFERROR(INDEX(MASTERKU,SMALL(IF(KRITERIAKU=$I$31,ROW(KRITERIAKU)),ROW(C35)),12),"")</f>
        <v/>
      </c>
      <c r="D280" s="104"/>
      <c r="E280" s="103" t="str">
        <f t="array" ref="E280">IFERROR(INDEX(MASTERKU,SMALL(IF(KRITERIAKU=$I$31,ROW(KRITERIAKU)),ROW(C35)),13),"")</f>
        <v/>
      </c>
      <c r="F280" s="103" t="str">
        <f t="array" ref="F280">IFERROR(INDEX(MASTERKU,SMALL(IF(KRITERIAKU=$I$31,ROW(KRITERIAKU)),ROW(C35)),14),"")</f>
        <v/>
      </c>
      <c r="G280" s="105" t="str">
        <f t="array" ref="G280">IFERROR(INDEX(MASTERKU,SMALL(IF(KRITERIAKU=$I$31,ROW(KRITERIAKU)),ROW(C35)),15),"")</f>
        <v/>
      </c>
      <c r="H280" s="106" t="str">
        <f t="array" ref="H280">IFERROR(INDEX(MASTERKU,SMALL(IF(KRITERIAKU=$I$31,ROW(KRITERIAKU)),ROW(C35)),16),"")</f>
        <v/>
      </c>
      <c r="I280" s="2" t="str">
        <f t="shared" si="8"/>
        <v>1</v>
      </c>
    </row>
    <row r="281" spans="1:9" ht="21" customHeight="1">
      <c r="A281" s="2" t="str">
        <f t="shared" si="9"/>
        <v>1</v>
      </c>
      <c r="B281" s="102" t="str">
        <f>IF(C281&lt;&gt;"",COUNTA($C$254:C281),"")</f>
        <v/>
      </c>
      <c r="C281" s="103" t="str">
        <f t="array" ref="C281">IFERROR(INDEX(MASTERKU,SMALL(IF(KRITERIAKU=$I$31,ROW(KRITERIAKU)),ROW(C36)),12),"")</f>
        <v/>
      </c>
      <c r="D281" s="104"/>
      <c r="E281" s="103" t="str">
        <f t="array" ref="E281">IFERROR(INDEX(MASTERKU,SMALL(IF(KRITERIAKU=$I$31,ROW(KRITERIAKU)),ROW(C36)),13),"")</f>
        <v/>
      </c>
      <c r="F281" s="103" t="str">
        <f t="array" ref="F281">IFERROR(INDEX(MASTERKU,SMALL(IF(KRITERIAKU=$I$31,ROW(KRITERIAKU)),ROW(C36)),14),"")</f>
        <v/>
      </c>
      <c r="G281" s="105" t="str">
        <f t="array" ref="G281">IFERROR(INDEX(MASTERKU,SMALL(IF(KRITERIAKU=$I$31,ROW(KRITERIAKU)),ROW(C36)),15),"")</f>
        <v/>
      </c>
      <c r="H281" s="106" t="str">
        <f t="array" ref="H281">IFERROR(INDEX(MASTERKU,SMALL(IF(KRITERIAKU=$I$31,ROW(KRITERIAKU)),ROW(C36)),16),"")</f>
        <v/>
      </c>
      <c r="I281" s="2" t="str">
        <f t="shared" si="8"/>
        <v>1</v>
      </c>
    </row>
    <row r="282" spans="1:9" ht="21" customHeight="1">
      <c r="A282" s="2" t="str">
        <f t="shared" si="9"/>
        <v>1</v>
      </c>
      <c r="B282" s="102" t="str">
        <f>IF(C282&lt;&gt;"",COUNTA($C$254:C282),"")</f>
        <v/>
      </c>
      <c r="C282" s="103" t="str">
        <f t="array" ref="C282">IFERROR(INDEX(MASTERKU,SMALL(IF(KRITERIAKU=$I$31,ROW(KRITERIAKU)),ROW(C37)),12),"")</f>
        <v/>
      </c>
      <c r="D282" s="104"/>
      <c r="E282" s="103" t="str">
        <f t="array" ref="E282">IFERROR(INDEX(MASTERKU,SMALL(IF(KRITERIAKU=$I$31,ROW(KRITERIAKU)),ROW(C37)),13),"")</f>
        <v/>
      </c>
      <c r="F282" s="103" t="str">
        <f t="array" ref="F282">IFERROR(INDEX(MASTERKU,SMALL(IF(KRITERIAKU=$I$31,ROW(KRITERIAKU)),ROW(C37)),14),"")</f>
        <v/>
      </c>
      <c r="G282" s="105" t="str">
        <f t="array" ref="G282">IFERROR(INDEX(MASTERKU,SMALL(IF(KRITERIAKU=$I$31,ROW(KRITERIAKU)),ROW(C37)),15),"")</f>
        <v/>
      </c>
      <c r="H282" s="106" t="str">
        <f t="array" ref="H282">IFERROR(INDEX(MASTERKU,SMALL(IF(KRITERIAKU=$I$31,ROW(KRITERIAKU)),ROW(C37)),16),"")</f>
        <v/>
      </c>
      <c r="I282" s="2" t="str">
        <f t="shared" si="8"/>
        <v>1</v>
      </c>
    </row>
    <row r="283" spans="1:9" ht="21" customHeight="1">
      <c r="A283" s="2" t="str">
        <f t="shared" si="9"/>
        <v>1</v>
      </c>
      <c r="B283" s="102" t="str">
        <f>IF(C283&lt;&gt;"",COUNTA($C$254:C283),"")</f>
        <v/>
      </c>
      <c r="C283" s="103" t="str">
        <f t="array" ref="C283">IFERROR(INDEX(MASTERKU,SMALL(IF(KRITERIAKU=$I$31,ROW(KRITERIAKU)),ROW(#REF!)),12),"")</f>
        <v/>
      </c>
      <c r="D283" s="104"/>
      <c r="E283" s="103" t="str">
        <f t="array" ref="E283">IFERROR(INDEX(MASTERKU,SMALL(IF(KRITERIAKU=$I$31,ROW(KRITERIAKU)),ROW(#REF!)),13),"")</f>
        <v/>
      </c>
      <c r="F283" s="103" t="str">
        <f t="array" ref="F283">IFERROR(INDEX(MASTERKU,SMALL(IF(KRITERIAKU=$I$31,ROW(KRITERIAKU)),ROW(#REF!)),14),"")</f>
        <v/>
      </c>
      <c r="G283" s="105" t="str">
        <f t="array" ref="G283">IFERROR(INDEX(MASTERKU,SMALL(IF(KRITERIAKU=$I$31,ROW(KRITERIAKU)),ROW(#REF!)),15),"")</f>
        <v/>
      </c>
      <c r="H283" s="106" t="str">
        <f t="array" ref="H283">IFERROR(INDEX(MASTERKU,SMALL(IF(KRITERIAKU=$I$31,ROW(KRITERIAKU)),ROW(#REF!)),16),"")</f>
        <v/>
      </c>
      <c r="I283" s="2" t="str">
        <f t="shared" si="8"/>
        <v>1</v>
      </c>
    </row>
    <row r="284" spans="1:9" ht="21" customHeight="1">
      <c r="A284" s="2" t="str">
        <f t="shared" si="9"/>
        <v>1</v>
      </c>
      <c r="B284" s="102" t="str">
        <f>IF(C284&lt;&gt;"",COUNTA($C$254:C284),"")</f>
        <v/>
      </c>
      <c r="C284" s="103" t="str">
        <f t="array" ref="C284">IFERROR(INDEX(MASTERKU,SMALL(IF(KRITERIAKU=$I$31,ROW(KRITERIAKU)),ROW(#REF!)),12),"")</f>
        <v/>
      </c>
      <c r="D284" s="104"/>
      <c r="E284" s="103" t="str">
        <f t="array" ref="E284">IFERROR(INDEX(MASTERKU,SMALL(IF(KRITERIAKU=$I$31,ROW(KRITERIAKU)),ROW(#REF!)),13),"")</f>
        <v/>
      </c>
      <c r="F284" s="103" t="str">
        <f t="array" ref="F284">IFERROR(INDEX(MASTERKU,SMALL(IF(KRITERIAKU=$I$31,ROW(KRITERIAKU)),ROW(#REF!)),14),"")</f>
        <v/>
      </c>
      <c r="G284" s="105" t="str">
        <f t="array" ref="G284">IFERROR(INDEX(MASTERKU,SMALL(IF(KRITERIAKU=$I$31,ROW(KRITERIAKU)),ROW(#REF!)),15),"")</f>
        <v/>
      </c>
      <c r="H284" s="106" t="str">
        <f t="array" ref="H284">IFERROR(INDEX(MASTERKU,SMALL(IF(KRITERIAKU=$I$31,ROW(KRITERIAKU)),ROW(#REF!)),16),"")</f>
        <v/>
      </c>
      <c r="I284" s="2" t="str">
        <f t="shared" si="8"/>
        <v>1</v>
      </c>
    </row>
    <row r="285" spans="1:9" ht="21" customHeight="1">
      <c r="A285" s="2" t="str">
        <f t="shared" si="9"/>
        <v>1</v>
      </c>
      <c r="B285" s="102" t="str">
        <f>IF(C285&lt;&gt;"",COUNTA($C$254:C285),"")</f>
        <v/>
      </c>
      <c r="C285" s="103" t="str">
        <f t="array" ref="C285">IFERROR(INDEX(MASTERKU,SMALL(IF(KRITERIAKU=$I$31,ROW(KRITERIAKU)),ROW(#REF!)),12),"")</f>
        <v/>
      </c>
      <c r="D285" s="104"/>
      <c r="E285" s="103" t="str">
        <f t="array" ref="E285">IFERROR(INDEX(MASTERKU,SMALL(IF(KRITERIAKU=$I$31,ROW(KRITERIAKU)),ROW(#REF!)),13),"")</f>
        <v/>
      </c>
      <c r="F285" s="103" t="str">
        <f t="array" ref="F285">IFERROR(INDEX(MASTERKU,SMALL(IF(KRITERIAKU=$I$31,ROW(KRITERIAKU)),ROW(#REF!)),14),"")</f>
        <v/>
      </c>
      <c r="G285" s="105" t="str">
        <f t="array" ref="G285">IFERROR(INDEX(MASTERKU,SMALL(IF(KRITERIAKU=$I$31,ROW(KRITERIAKU)),ROW(#REF!)),15),"")</f>
        <v/>
      </c>
      <c r="H285" s="106" t="str">
        <f t="array" ref="H285">IFERROR(INDEX(MASTERKU,SMALL(IF(KRITERIAKU=$I$31,ROW(KRITERIAKU)),ROW(#REF!)),16),"")</f>
        <v/>
      </c>
      <c r="I285" s="2" t="str">
        <f t="shared" si="8"/>
        <v>1</v>
      </c>
    </row>
    <row r="286" spans="1:9" ht="21" customHeight="1">
      <c r="A286" s="2" t="str">
        <f t="shared" si="9"/>
        <v>1</v>
      </c>
      <c r="B286" s="102" t="str">
        <f>IF(C286&lt;&gt;"",COUNTA($C$254:C286),"")</f>
        <v/>
      </c>
      <c r="C286" s="103" t="str">
        <f t="array" ref="C286">IFERROR(INDEX(MASTERKU,SMALL(IF(KRITERIAKU=$I$31,ROW(KRITERIAKU)),ROW(#REF!)),12),"")</f>
        <v/>
      </c>
      <c r="D286" s="104"/>
      <c r="E286" s="103" t="str">
        <f t="array" ref="E286">IFERROR(INDEX(MASTERKU,SMALL(IF(KRITERIAKU=$I$31,ROW(KRITERIAKU)),ROW(#REF!)),13),"")</f>
        <v/>
      </c>
      <c r="F286" s="103" t="str">
        <f t="array" ref="F286">IFERROR(INDEX(MASTERKU,SMALL(IF(KRITERIAKU=$I$31,ROW(KRITERIAKU)),ROW(#REF!)),14),"")</f>
        <v/>
      </c>
      <c r="G286" s="105" t="str">
        <f t="array" ref="G286">IFERROR(INDEX(MASTERKU,SMALL(IF(KRITERIAKU=$I$31,ROW(KRITERIAKU)),ROW(#REF!)),15),"")</f>
        <v/>
      </c>
      <c r="H286" s="106" t="str">
        <f t="array" ref="H286">IFERROR(INDEX(MASTERKU,SMALL(IF(KRITERIAKU=$I$31,ROW(KRITERIAKU)),ROW(#REF!)),16),"")</f>
        <v/>
      </c>
      <c r="I286" s="2" t="str">
        <f t="shared" si="8"/>
        <v>1</v>
      </c>
    </row>
    <row r="287" spans="1:9" ht="21" customHeight="1">
      <c r="A287" s="2" t="str">
        <f t="shared" si="9"/>
        <v>1</v>
      </c>
      <c r="B287" s="102" t="str">
        <f>IF(C287&lt;&gt;"",COUNTA($C$254:C287),"")</f>
        <v/>
      </c>
      <c r="C287" s="103" t="str">
        <f t="array" ref="C287">IFERROR(INDEX(MASTERKU,SMALL(IF(KRITERIAKU=$I$31,ROW(KRITERIAKU)),ROW(#REF!)),12),"")</f>
        <v/>
      </c>
      <c r="D287" s="104"/>
      <c r="E287" s="103" t="str">
        <f t="array" ref="E287">IFERROR(INDEX(MASTERKU,SMALL(IF(KRITERIAKU=$I$31,ROW(KRITERIAKU)),ROW(#REF!)),13),"")</f>
        <v/>
      </c>
      <c r="F287" s="103" t="str">
        <f t="array" ref="F287">IFERROR(INDEX(MASTERKU,SMALL(IF(KRITERIAKU=$I$31,ROW(KRITERIAKU)),ROW(#REF!)),14),"")</f>
        <v/>
      </c>
      <c r="G287" s="105" t="str">
        <f t="array" ref="G287">IFERROR(INDEX(MASTERKU,SMALL(IF(KRITERIAKU=$I$31,ROW(KRITERIAKU)),ROW(#REF!)),15),"")</f>
        <v/>
      </c>
      <c r="H287" s="106" t="str">
        <f t="array" ref="H287">IFERROR(INDEX(MASTERKU,SMALL(IF(KRITERIAKU=$I$31,ROW(KRITERIAKU)),ROW(#REF!)),16),"")</f>
        <v/>
      </c>
      <c r="I287" s="2" t="str">
        <f t="shared" si="8"/>
        <v>1</v>
      </c>
    </row>
    <row r="288" spans="1:9" ht="21" customHeight="1">
      <c r="A288" s="2" t="str">
        <f t="shared" si="9"/>
        <v>1</v>
      </c>
      <c r="B288" s="102" t="str">
        <f>IF(C288&lt;&gt;"",COUNTA($C$254:C288),"")</f>
        <v/>
      </c>
      <c r="C288" s="103" t="str">
        <f t="array" ref="C288">IFERROR(INDEX(MASTERKU,SMALL(IF(KRITERIAKU=$I$31,ROW(KRITERIAKU)),ROW(#REF!)),12),"")</f>
        <v/>
      </c>
      <c r="D288" s="104"/>
      <c r="E288" s="103" t="str">
        <f t="array" ref="E288">IFERROR(INDEX(MASTERKU,SMALL(IF(KRITERIAKU=$I$31,ROW(KRITERIAKU)),ROW(#REF!)),13),"")</f>
        <v/>
      </c>
      <c r="F288" s="103" t="str">
        <f t="array" ref="F288">IFERROR(INDEX(MASTERKU,SMALL(IF(KRITERIAKU=$I$31,ROW(KRITERIAKU)),ROW(#REF!)),14),"")</f>
        <v/>
      </c>
      <c r="G288" s="105" t="str">
        <f t="array" ref="G288">IFERROR(INDEX(MASTERKU,SMALL(IF(KRITERIAKU=$I$31,ROW(KRITERIAKU)),ROW(#REF!)),15),"")</f>
        <v/>
      </c>
      <c r="H288" s="106" t="str">
        <f t="array" ref="H288">IFERROR(INDEX(MASTERKU,SMALL(IF(KRITERIAKU=$I$31,ROW(KRITERIAKU)),ROW(#REF!)),16),"")</f>
        <v/>
      </c>
      <c r="I288" s="2" t="str">
        <f t="shared" si="8"/>
        <v>1</v>
      </c>
    </row>
    <row r="289" spans="1:9" ht="21" customHeight="1">
      <c r="A289" s="2" t="str">
        <f t="shared" si="9"/>
        <v>1</v>
      </c>
      <c r="B289" s="102" t="str">
        <f>IF(C289&lt;&gt;"",COUNTA($C$254:C289),"")</f>
        <v/>
      </c>
      <c r="C289" s="103" t="str">
        <f t="array" ref="C289">IFERROR(INDEX(MASTERKU,SMALL(IF(KRITERIAKU=$I$31,ROW(KRITERIAKU)),ROW(#REF!)),12),"")</f>
        <v/>
      </c>
      <c r="D289" s="104"/>
      <c r="E289" s="103" t="str">
        <f t="array" ref="E289">IFERROR(INDEX(MASTERKU,SMALL(IF(KRITERIAKU=$I$31,ROW(KRITERIAKU)),ROW(#REF!)),13),"")</f>
        <v/>
      </c>
      <c r="F289" s="103" t="str">
        <f t="array" ref="F289">IFERROR(INDEX(MASTERKU,SMALL(IF(KRITERIAKU=$I$31,ROW(KRITERIAKU)),ROW(#REF!)),14),"")</f>
        <v/>
      </c>
      <c r="G289" s="105" t="str">
        <f t="array" ref="G289">IFERROR(INDEX(MASTERKU,SMALL(IF(KRITERIAKU=$I$31,ROW(KRITERIAKU)),ROW(#REF!)),15),"")</f>
        <v/>
      </c>
      <c r="H289" s="106" t="str">
        <f t="array" ref="H289">IFERROR(INDEX(MASTERKU,SMALL(IF(KRITERIAKU=$I$31,ROW(KRITERIAKU)),ROW(#REF!)),16),"")</f>
        <v/>
      </c>
      <c r="I289" s="2" t="str">
        <f t="shared" si="8"/>
        <v>1</v>
      </c>
    </row>
    <row r="290" spans="1:9" ht="21" customHeight="1">
      <c r="A290" s="2" t="str">
        <f t="shared" si="9"/>
        <v>1</v>
      </c>
      <c r="B290" s="102" t="str">
        <f>IF(C290&lt;&gt;"",COUNTA($C$254:C290),"")</f>
        <v/>
      </c>
      <c r="C290" s="103" t="str">
        <f t="array" ref="C290">IFERROR(INDEX(MASTERKU,SMALL(IF(KRITERIAKU=$I$31,ROW(KRITERIAKU)),ROW(#REF!)),12),"")</f>
        <v/>
      </c>
      <c r="D290" s="104"/>
      <c r="E290" s="103" t="str">
        <f t="array" ref="E290">IFERROR(INDEX(MASTERKU,SMALL(IF(KRITERIAKU=$I$31,ROW(KRITERIAKU)),ROW(#REF!)),13),"")</f>
        <v/>
      </c>
      <c r="F290" s="103" t="str">
        <f t="array" ref="F290">IFERROR(INDEX(MASTERKU,SMALL(IF(KRITERIAKU=$I$31,ROW(KRITERIAKU)),ROW(#REF!)),14),"")</f>
        <v/>
      </c>
      <c r="G290" s="105" t="str">
        <f t="array" ref="G290">IFERROR(INDEX(MASTERKU,SMALL(IF(KRITERIAKU=$I$31,ROW(KRITERIAKU)),ROW(#REF!)),15),"")</f>
        <v/>
      </c>
      <c r="H290" s="106" t="str">
        <f t="array" ref="H290">IFERROR(INDEX(MASTERKU,SMALL(IF(KRITERIAKU=$I$31,ROW(KRITERIAKU)),ROW(#REF!)),16),"")</f>
        <v/>
      </c>
      <c r="I290" s="2" t="str">
        <f t="shared" si="8"/>
        <v>1</v>
      </c>
    </row>
    <row r="291" spans="1:9" ht="21" customHeight="1">
      <c r="A291" s="2" t="str">
        <f t="shared" si="9"/>
        <v>1</v>
      </c>
      <c r="B291" s="102" t="str">
        <f>IF(C291&lt;&gt;"",COUNTA($C$254:C291),"")</f>
        <v/>
      </c>
      <c r="C291" s="103" t="str">
        <f t="array" ref="C291">IFERROR(INDEX(MASTERKU,SMALL(IF(KRITERIAKU=$I$31,ROW(KRITERIAKU)),ROW(#REF!)),12),"")</f>
        <v/>
      </c>
      <c r="D291" s="104"/>
      <c r="E291" s="103" t="str">
        <f t="array" ref="E291">IFERROR(INDEX(MASTERKU,SMALL(IF(KRITERIAKU=$I$31,ROW(KRITERIAKU)),ROW(#REF!)),13),"")</f>
        <v/>
      </c>
      <c r="F291" s="103" t="str">
        <f t="array" ref="F291">IFERROR(INDEX(MASTERKU,SMALL(IF(KRITERIAKU=$I$31,ROW(KRITERIAKU)),ROW(#REF!)),14),"")</f>
        <v/>
      </c>
      <c r="G291" s="105" t="str">
        <f t="array" ref="G291">IFERROR(INDEX(MASTERKU,SMALL(IF(KRITERIAKU=$I$31,ROW(KRITERIAKU)),ROW(#REF!)),15),"")</f>
        <v/>
      </c>
      <c r="H291" s="106" t="str">
        <f t="array" ref="H291">IFERROR(INDEX(MASTERKU,SMALL(IF(KRITERIAKU=$I$31,ROW(KRITERIAKU)),ROW(#REF!)),16),"")</f>
        <v/>
      </c>
      <c r="I291" s="2" t="str">
        <f t="shared" si="8"/>
        <v>1</v>
      </c>
    </row>
    <row r="292" spans="1:9" ht="21" customHeight="1">
      <c r="A292" s="2" t="str">
        <f t="shared" si="9"/>
        <v>1</v>
      </c>
      <c r="B292" s="102" t="str">
        <f>IF(C292&lt;&gt;"",COUNTA($C$254:C292),"")</f>
        <v/>
      </c>
      <c r="C292" s="103" t="str">
        <f t="array" ref="C292">IFERROR(INDEX(MASTERKU,SMALL(IF(KRITERIAKU=$I$31,ROW(KRITERIAKU)),ROW(#REF!)),12),"")</f>
        <v/>
      </c>
      <c r="D292" s="104"/>
      <c r="E292" s="103" t="str">
        <f t="array" ref="E292">IFERROR(INDEX(MASTERKU,SMALL(IF(KRITERIAKU=$I$31,ROW(KRITERIAKU)),ROW(#REF!)),13),"")</f>
        <v/>
      </c>
      <c r="F292" s="103" t="str">
        <f t="array" ref="F292">IFERROR(INDEX(MASTERKU,SMALL(IF(KRITERIAKU=$I$31,ROW(KRITERIAKU)),ROW(#REF!)),14),"")</f>
        <v/>
      </c>
      <c r="G292" s="105" t="str">
        <f t="array" ref="G292">IFERROR(INDEX(MASTERKU,SMALL(IF(KRITERIAKU=$I$31,ROW(KRITERIAKU)),ROW(#REF!)),15),"")</f>
        <v/>
      </c>
      <c r="H292" s="106" t="str">
        <f t="array" ref="H292">IFERROR(INDEX(MASTERKU,SMALL(IF(KRITERIAKU=$I$31,ROW(KRITERIAKU)),ROW(#REF!)),16),"")</f>
        <v/>
      </c>
      <c r="I292" s="2" t="str">
        <f t="shared" si="8"/>
        <v>1</v>
      </c>
    </row>
    <row r="293" spans="1:9" ht="21" customHeight="1">
      <c r="A293" s="2" t="str">
        <f t="shared" si="9"/>
        <v>1</v>
      </c>
      <c r="B293" s="102" t="str">
        <f>IF(C293&lt;&gt;"",COUNTA($C$254:C293),"")</f>
        <v/>
      </c>
      <c r="C293" s="103" t="str">
        <f t="array" ref="C293">IFERROR(INDEX(MASTERKU,SMALL(IF(KRITERIAKU=$I$31,ROW(KRITERIAKU)),ROW(#REF!)),12),"")</f>
        <v/>
      </c>
      <c r="D293" s="104"/>
      <c r="E293" s="103" t="str">
        <f t="array" ref="E293">IFERROR(INDEX(MASTERKU,SMALL(IF(KRITERIAKU=$I$31,ROW(KRITERIAKU)),ROW(#REF!)),13),"")</f>
        <v/>
      </c>
      <c r="F293" s="103" t="str">
        <f t="array" ref="F293">IFERROR(INDEX(MASTERKU,SMALL(IF(KRITERIAKU=$I$31,ROW(KRITERIAKU)),ROW(#REF!)),14),"")</f>
        <v/>
      </c>
      <c r="G293" s="105" t="str">
        <f t="array" ref="G293">IFERROR(INDEX(MASTERKU,SMALL(IF(KRITERIAKU=$I$31,ROW(KRITERIAKU)),ROW(#REF!)),15),"")</f>
        <v/>
      </c>
      <c r="H293" s="106" t="str">
        <f t="array" ref="H293">IFERROR(INDEX(MASTERKU,SMALL(IF(KRITERIAKU=$I$31,ROW(KRITERIAKU)),ROW(#REF!)),16),"")</f>
        <v/>
      </c>
      <c r="I293" s="2" t="str">
        <f t="shared" si="8"/>
        <v>1</v>
      </c>
    </row>
    <row r="294" spans="1:9" ht="21" customHeight="1">
      <c r="A294" s="2" t="str">
        <f t="shared" si="9"/>
        <v>1</v>
      </c>
      <c r="B294" s="102" t="str">
        <f>IF(C294&lt;&gt;"",COUNTA($C$254:C294),"")</f>
        <v/>
      </c>
      <c r="C294" s="103" t="str">
        <f t="array" ref="C294">IFERROR(INDEX(MASTERKU,SMALL(IF(KRITERIAKU=$I$31,ROW(KRITERIAKU)),ROW(#REF!)),12),"")</f>
        <v/>
      </c>
      <c r="D294" s="104"/>
      <c r="E294" s="103" t="str">
        <f t="array" ref="E294">IFERROR(INDEX(MASTERKU,SMALL(IF(KRITERIAKU=$I$31,ROW(KRITERIAKU)),ROW(#REF!)),13),"")</f>
        <v/>
      </c>
      <c r="F294" s="103" t="str">
        <f t="array" ref="F294">IFERROR(INDEX(MASTERKU,SMALL(IF(KRITERIAKU=$I$31,ROW(KRITERIAKU)),ROW(#REF!)),14),"")</f>
        <v/>
      </c>
      <c r="G294" s="105" t="str">
        <f t="array" ref="G294">IFERROR(INDEX(MASTERKU,SMALL(IF(KRITERIAKU=$I$31,ROW(KRITERIAKU)),ROW(#REF!)),15),"")</f>
        <v/>
      </c>
      <c r="H294" s="106" t="str">
        <f t="array" ref="H294">IFERROR(INDEX(MASTERKU,SMALL(IF(KRITERIAKU=$I$31,ROW(KRITERIAKU)),ROW(#REF!)),16),"")</f>
        <v/>
      </c>
      <c r="I294" s="2" t="str">
        <f t="shared" si="8"/>
        <v>1</v>
      </c>
    </row>
    <row r="295" spans="1:9" ht="21" customHeight="1">
      <c r="A295" s="2" t="str">
        <f t="shared" si="9"/>
        <v>1</v>
      </c>
      <c r="B295" s="102" t="str">
        <f>IF(C295&lt;&gt;"",COUNTA($C$254:C295),"")</f>
        <v/>
      </c>
      <c r="C295" s="103" t="str">
        <f t="array" ref="C295">IFERROR(INDEX(MASTERKU,SMALL(IF(KRITERIAKU=$I$31,ROW(KRITERIAKU)),ROW(#REF!)),12),"")</f>
        <v/>
      </c>
      <c r="D295" s="104"/>
      <c r="E295" s="103" t="str">
        <f t="array" ref="E295">IFERROR(INDEX(MASTERKU,SMALL(IF(KRITERIAKU=$I$31,ROW(KRITERIAKU)),ROW(#REF!)),13),"")</f>
        <v/>
      </c>
      <c r="F295" s="103" t="str">
        <f t="array" ref="F295">IFERROR(INDEX(MASTERKU,SMALL(IF(KRITERIAKU=$I$31,ROW(KRITERIAKU)),ROW(#REF!)),14),"")</f>
        <v/>
      </c>
      <c r="G295" s="105" t="str">
        <f t="array" ref="G295">IFERROR(INDEX(MASTERKU,SMALL(IF(KRITERIAKU=$I$31,ROW(KRITERIAKU)),ROW(#REF!)),15),"")</f>
        <v/>
      </c>
      <c r="H295" s="106" t="str">
        <f t="array" ref="H295">IFERROR(INDEX(MASTERKU,SMALL(IF(KRITERIAKU=$I$31,ROW(KRITERIAKU)),ROW(#REF!)),16),"")</f>
        <v/>
      </c>
      <c r="I295" s="2" t="str">
        <f t="shared" si="8"/>
        <v>1</v>
      </c>
    </row>
    <row r="296" spans="1:9" ht="21" customHeight="1">
      <c r="A296" s="2" t="str">
        <f t="shared" si="9"/>
        <v>1</v>
      </c>
      <c r="B296" s="102" t="str">
        <f>IF(C296&lt;&gt;"",COUNTA($C$254:C296),"")</f>
        <v/>
      </c>
      <c r="C296" s="103" t="str">
        <f t="array" ref="C296">IFERROR(INDEX(MASTERKU,SMALL(IF(KRITERIAKU=$I$31,ROW(KRITERIAKU)),ROW(#REF!)),12),"")</f>
        <v/>
      </c>
      <c r="D296" s="104"/>
      <c r="E296" s="103" t="str">
        <f t="array" ref="E296">IFERROR(INDEX(MASTERKU,SMALL(IF(KRITERIAKU=$I$31,ROW(KRITERIAKU)),ROW(#REF!)),13),"")</f>
        <v/>
      </c>
      <c r="F296" s="103" t="str">
        <f t="array" ref="F296">IFERROR(INDEX(MASTERKU,SMALL(IF(KRITERIAKU=$I$31,ROW(KRITERIAKU)),ROW(#REF!)),14),"")</f>
        <v/>
      </c>
      <c r="G296" s="105" t="str">
        <f t="array" ref="G296">IFERROR(INDEX(MASTERKU,SMALL(IF(KRITERIAKU=$I$31,ROW(KRITERIAKU)),ROW(#REF!)),15),"")</f>
        <v/>
      </c>
      <c r="H296" s="106" t="str">
        <f t="array" ref="H296">IFERROR(INDEX(MASTERKU,SMALL(IF(KRITERIAKU=$I$31,ROW(KRITERIAKU)),ROW(#REF!)),16),"")</f>
        <v/>
      </c>
      <c r="I296" s="2" t="str">
        <f t="shared" si="8"/>
        <v>1</v>
      </c>
    </row>
    <row r="297" spans="1:9" ht="21" customHeight="1">
      <c r="A297" s="2" t="str">
        <f t="shared" si="9"/>
        <v>1</v>
      </c>
      <c r="B297" s="102" t="str">
        <f>IF(C297&lt;&gt;"",COUNTA($C$254:C297),"")</f>
        <v/>
      </c>
      <c r="C297" s="103" t="str">
        <f t="array" ref="C297">IFERROR(INDEX(MASTERKU,SMALL(IF(KRITERIAKU=$I$31,ROW(KRITERIAKU)),ROW(#REF!)),12),"")</f>
        <v/>
      </c>
      <c r="D297" s="104"/>
      <c r="E297" s="103" t="str">
        <f t="array" ref="E297">IFERROR(INDEX(MASTERKU,SMALL(IF(KRITERIAKU=$I$31,ROW(KRITERIAKU)),ROW(#REF!)),13),"")</f>
        <v/>
      </c>
      <c r="F297" s="103" t="str">
        <f t="array" ref="F297">IFERROR(INDEX(MASTERKU,SMALL(IF(KRITERIAKU=$I$31,ROW(KRITERIAKU)),ROW(#REF!)),14),"")</f>
        <v/>
      </c>
      <c r="G297" s="105" t="str">
        <f t="array" ref="G297">IFERROR(INDEX(MASTERKU,SMALL(IF(KRITERIAKU=$I$31,ROW(KRITERIAKU)),ROW(#REF!)),15),"")</f>
        <v/>
      </c>
      <c r="H297" s="106" t="str">
        <f t="array" ref="H297">IFERROR(INDEX(MASTERKU,SMALL(IF(KRITERIAKU=$I$31,ROW(KRITERIAKU)),ROW(#REF!)),16),"")</f>
        <v/>
      </c>
      <c r="I297" s="2" t="str">
        <f t="shared" si="8"/>
        <v>1</v>
      </c>
    </row>
    <row r="298" spans="1:9" ht="21" customHeight="1">
      <c r="A298" s="2" t="str">
        <f t="shared" si="9"/>
        <v>1</v>
      </c>
      <c r="B298" s="102" t="str">
        <f>IF(C298&lt;&gt;"",COUNTA($C$254:C298),"")</f>
        <v/>
      </c>
      <c r="C298" s="103" t="str">
        <f t="array" ref="C298">IFERROR(INDEX(MASTERKU,SMALL(IF(KRITERIAKU=$I$31,ROW(KRITERIAKU)),ROW(#REF!)),12),"")</f>
        <v/>
      </c>
      <c r="D298" s="104"/>
      <c r="E298" s="103" t="str">
        <f t="array" ref="E298">IFERROR(INDEX(MASTERKU,SMALL(IF(KRITERIAKU=$I$31,ROW(KRITERIAKU)),ROW(#REF!)),13),"")</f>
        <v/>
      </c>
      <c r="F298" s="103" t="str">
        <f t="array" ref="F298">IFERROR(INDEX(MASTERKU,SMALL(IF(KRITERIAKU=$I$31,ROW(KRITERIAKU)),ROW(#REF!)),14),"")</f>
        <v/>
      </c>
      <c r="G298" s="105" t="str">
        <f t="array" ref="G298">IFERROR(INDEX(MASTERKU,SMALL(IF(KRITERIAKU=$I$31,ROW(KRITERIAKU)),ROW(#REF!)),15),"")</f>
        <v/>
      </c>
      <c r="H298" s="106" t="str">
        <f t="array" ref="H298">IFERROR(INDEX(MASTERKU,SMALL(IF(KRITERIAKU=$I$31,ROW(KRITERIAKU)),ROW(#REF!)),16),"")</f>
        <v/>
      </c>
      <c r="I298" s="2" t="str">
        <f t="shared" si="8"/>
        <v>1</v>
      </c>
    </row>
    <row r="299" spans="1:9" ht="21" customHeight="1">
      <c r="A299" s="2" t="str">
        <f t="shared" si="9"/>
        <v>1</v>
      </c>
      <c r="B299" s="102" t="str">
        <f>IF(C299&lt;&gt;"",COUNTA($C$254:C299),"")</f>
        <v/>
      </c>
      <c r="C299" s="103" t="str">
        <f t="array" ref="C299">IFERROR(INDEX(MASTERKU,SMALL(IF(KRITERIAKU=$I$31,ROW(KRITERIAKU)),ROW(#REF!)),12),"")</f>
        <v/>
      </c>
      <c r="D299" s="104"/>
      <c r="E299" s="103" t="str">
        <f t="array" ref="E299">IFERROR(INDEX(MASTERKU,SMALL(IF(KRITERIAKU=$I$31,ROW(KRITERIAKU)),ROW(#REF!)),13),"")</f>
        <v/>
      </c>
      <c r="F299" s="103" t="str">
        <f t="array" ref="F299">IFERROR(INDEX(MASTERKU,SMALL(IF(KRITERIAKU=$I$31,ROW(KRITERIAKU)),ROW(#REF!)),14),"")</f>
        <v/>
      </c>
      <c r="G299" s="105" t="str">
        <f t="array" ref="G299">IFERROR(INDEX(MASTERKU,SMALL(IF(KRITERIAKU=$I$31,ROW(KRITERIAKU)),ROW(#REF!)),15),"")</f>
        <v/>
      </c>
      <c r="H299" s="106" t="str">
        <f t="array" ref="H299">IFERROR(INDEX(MASTERKU,SMALL(IF(KRITERIAKU=$I$31,ROW(KRITERIAKU)),ROW(#REF!)),16),"")</f>
        <v/>
      </c>
      <c r="I299" s="2" t="str">
        <f t="shared" si="8"/>
        <v>1</v>
      </c>
    </row>
    <row r="300" spans="1:9" ht="21" customHeight="1">
      <c r="A300" s="2" t="str">
        <f t="shared" si="9"/>
        <v>1</v>
      </c>
      <c r="B300" s="102" t="str">
        <f>IF(C300&lt;&gt;"",COUNTA($C$254:C300),"")</f>
        <v/>
      </c>
      <c r="C300" s="103" t="str">
        <f t="array" ref="C300">IFERROR(INDEX(MASTERKU,SMALL(IF(KRITERIAKU=$I$31,ROW(KRITERIAKU)),ROW(#REF!)),12),"")</f>
        <v/>
      </c>
      <c r="D300" s="104"/>
      <c r="E300" s="103" t="str">
        <f t="array" ref="E300">IFERROR(INDEX(MASTERKU,SMALL(IF(KRITERIAKU=$I$31,ROW(KRITERIAKU)),ROW(#REF!)),13),"")</f>
        <v/>
      </c>
      <c r="F300" s="103" t="str">
        <f t="array" ref="F300">IFERROR(INDEX(MASTERKU,SMALL(IF(KRITERIAKU=$I$31,ROW(KRITERIAKU)),ROW(#REF!)),14),"")</f>
        <v/>
      </c>
      <c r="G300" s="105" t="str">
        <f t="array" ref="G300">IFERROR(INDEX(MASTERKU,SMALL(IF(KRITERIAKU=$I$31,ROW(KRITERIAKU)),ROW(#REF!)),15),"")</f>
        <v/>
      </c>
      <c r="H300" s="106" t="str">
        <f t="array" ref="H300">IFERROR(INDEX(MASTERKU,SMALL(IF(KRITERIAKU=$I$31,ROW(KRITERIAKU)),ROW(#REF!)),16),"")</f>
        <v/>
      </c>
      <c r="I300" s="2" t="str">
        <f t="shared" si="8"/>
        <v>1</v>
      </c>
    </row>
    <row r="301" spans="1:9" ht="21" customHeight="1">
      <c r="A301" s="2" t="str">
        <f t="shared" si="9"/>
        <v>1</v>
      </c>
      <c r="B301" s="102" t="str">
        <f>IF(C301&lt;&gt;"",COUNTA($C$254:C301),"")</f>
        <v/>
      </c>
      <c r="C301" s="103" t="str">
        <f t="array" ref="C301">IFERROR(INDEX(MASTERKU,SMALL(IF(KRITERIAKU=$I$31,ROW(KRITERIAKU)),ROW(#REF!)),12),"")</f>
        <v/>
      </c>
      <c r="D301" s="104"/>
      <c r="E301" s="103" t="str">
        <f t="array" ref="E301">IFERROR(INDEX(MASTERKU,SMALL(IF(KRITERIAKU=$I$31,ROW(KRITERIAKU)),ROW(#REF!)),13),"")</f>
        <v/>
      </c>
      <c r="F301" s="103" t="str">
        <f t="array" ref="F301">IFERROR(INDEX(MASTERKU,SMALL(IF(KRITERIAKU=$I$31,ROW(KRITERIAKU)),ROW(#REF!)),14),"")</f>
        <v/>
      </c>
      <c r="G301" s="105" t="str">
        <f t="array" ref="G301">IFERROR(INDEX(MASTERKU,SMALL(IF(KRITERIAKU=$I$31,ROW(KRITERIAKU)),ROW(#REF!)),15),"")</f>
        <v/>
      </c>
      <c r="H301" s="106" t="str">
        <f t="array" ref="H301">IFERROR(INDEX(MASTERKU,SMALL(IF(KRITERIAKU=$I$31,ROW(KRITERIAKU)),ROW(#REF!)),16),"")</f>
        <v/>
      </c>
      <c r="I301" s="2" t="str">
        <f t="shared" si="8"/>
        <v>1</v>
      </c>
    </row>
    <row r="302" spans="1:9" ht="21" customHeight="1">
      <c r="A302" s="2" t="str">
        <f t="shared" si="9"/>
        <v>1</v>
      </c>
      <c r="B302" s="102" t="str">
        <f>IF(C302&lt;&gt;"",COUNTA($C$254:C302),"")</f>
        <v/>
      </c>
      <c r="C302" s="103" t="str">
        <f t="array" ref="C302">IFERROR(INDEX(MASTERKU,SMALL(IF(KRITERIAKU=$I$31,ROW(KRITERIAKU)),ROW(#REF!)),12),"")</f>
        <v/>
      </c>
      <c r="D302" s="104"/>
      <c r="E302" s="103" t="str">
        <f t="array" ref="E302">IFERROR(INDEX(MASTERKU,SMALL(IF(KRITERIAKU=$I$31,ROW(KRITERIAKU)),ROW(#REF!)),13),"")</f>
        <v/>
      </c>
      <c r="F302" s="103" t="str">
        <f t="array" ref="F302">IFERROR(INDEX(MASTERKU,SMALL(IF(KRITERIAKU=$I$31,ROW(KRITERIAKU)),ROW(#REF!)),14),"")</f>
        <v/>
      </c>
      <c r="G302" s="105" t="str">
        <f t="array" ref="G302">IFERROR(INDEX(MASTERKU,SMALL(IF(KRITERIAKU=$I$31,ROW(KRITERIAKU)),ROW(#REF!)),15),"")</f>
        <v/>
      </c>
      <c r="H302" s="106" t="str">
        <f t="array" ref="H302">IFERROR(INDEX(MASTERKU,SMALL(IF(KRITERIAKU=$I$31,ROW(KRITERIAKU)),ROW(#REF!)),16),"")</f>
        <v/>
      </c>
      <c r="I302" s="2" t="str">
        <f t="shared" si="8"/>
        <v>1</v>
      </c>
    </row>
    <row r="303" spans="1:9" ht="21" customHeight="1">
      <c r="A303" s="2" t="str">
        <f t="shared" si="9"/>
        <v>1</v>
      </c>
      <c r="B303" s="102" t="str">
        <f>IF(C303&lt;&gt;"",COUNTA($C$254:C303),"")</f>
        <v/>
      </c>
      <c r="C303" s="103" t="str">
        <f t="array" ref="C303">IFERROR(INDEX(MASTERKU,SMALL(IF(KRITERIAKU=$I$31,ROW(KRITERIAKU)),ROW(#REF!)),12),"")</f>
        <v/>
      </c>
      <c r="D303" s="104"/>
      <c r="E303" s="103" t="str">
        <f t="array" ref="E303">IFERROR(INDEX(MASTERKU,SMALL(IF(KRITERIAKU=$I$31,ROW(KRITERIAKU)),ROW(#REF!)),13),"")</f>
        <v/>
      </c>
      <c r="F303" s="103" t="str">
        <f t="array" ref="F303">IFERROR(INDEX(MASTERKU,SMALL(IF(KRITERIAKU=$I$31,ROW(KRITERIAKU)),ROW(#REF!)),14),"")</f>
        <v/>
      </c>
      <c r="G303" s="105" t="str">
        <f t="array" ref="G303">IFERROR(INDEX(MASTERKU,SMALL(IF(KRITERIAKU=$I$31,ROW(KRITERIAKU)),ROW(#REF!)),15),"")</f>
        <v/>
      </c>
      <c r="H303" s="106" t="str">
        <f t="array" ref="H303">IFERROR(INDEX(MASTERKU,SMALL(IF(KRITERIAKU=$I$31,ROW(KRITERIAKU)),ROW(#REF!)),16),"")</f>
        <v/>
      </c>
      <c r="I303" s="2" t="str">
        <f t="shared" si="8"/>
        <v>1</v>
      </c>
    </row>
    <row r="304" spans="1:9">
      <c r="A304" s="2" t="str">
        <f t="shared" si="9"/>
        <v>1</v>
      </c>
      <c r="B304" s="102" t="str">
        <f>IF(C304&lt;&gt;"",COUNTA($C$254:C304),"")</f>
        <v/>
      </c>
      <c r="C304" s="103" t="str">
        <f t="array" ref="C304">IFERROR(INDEX(MASTERKU,SMALL(IF(KRITERIAKU=$I$31,ROW(KRITERIAKU)),ROW(#REF!)),12),"")</f>
        <v/>
      </c>
      <c r="D304" s="104"/>
      <c r="E304" s="103" t="str">
        <f t="array" ref="E304">IFERROR(INDEX(MASTERKU,SMALL(IF(KRITERIAKU=$I$31,ROW(KRITERIAKU)),ROW(#REF!)),13),"")</f>
        <v/>
      </c>
      <c r="F304" s="103" t="str">
        <f t="array" ref="F304">IFERROR(INDEX(MASTERKU,SMALL(IF(KRITERIAKU=$I$31,ROW(KRITERIAKU)),ROW(#REF!)),14),"")</f>
        <v/>
      </c>
      <c r="G304" s="105" t="str">
        <f t="array" ref="G304">IFERROR(INDEX(MASTERKU,SMALL(IF(KRITERIAKU=$I$31,ROW(KRITERIAKU)),ROW(#REF!)),15),"")</f>
        <v/>
      </c>
      <c r="H304" s="106" t="str">
        <f t="array" ref="H304">IFERROR(INDEX(MASTERKU,SMALL(IF(KRITERIAKU=$I$31,ROW(KRITERIAKU)),ROW(#REF!)),16),"")</f>
        <v/>
      </c>
      <c r="I304" s="2" t="str">
        <f t="shared" si="8"/>
        <v>1</v>
      </c>
    </row>
    <row r="305" spans="1:9">
      <c r="A305" s="2" t="str">
        <f t="shared" si="9"/>
        <v>1</v>
      </c>
      <c r="B305" s="102" t="str">
        <f>IF(C305&lt;&gt;"",COUNTA($C$254:C305),"")</f>
        <v/>
      </c>
      <c r="C305" s="103" t="str">
        <f t="array" ref="C305">IFERROR(INDEX(MASTERKU,SMALL(IF(KRITERIAKU=$I$31,ROW(KRITERIAKU)),ROW(#REF!)),12),"")</f>
        <v/>
      </c>
      <c r="D305" s="104"/>
      <c r="E305" s="103" t="str">
        <f t="array" ref="E305">IFERROR(INDEX(MASTERKU,SMALL(IF(KRITERIAKU=$I$31,ROW(KRITERIAKU)),ROW(#REF!)),13),"")</f>
        <v/>
      </c>
      <c r="F305" s="103" t="str">
        <f t="array" ref="F305">IFERROR(INDEX(MASTERKU,SMALL(IF(KRITERIAKU=$I$31,ROW(KRITERIAKU)),ROW(#REF!)),14),"")</f>
        <v/>
      </c>
      <c r="G305" s="105" t="str">
        <f t="array" ref="G305">IFERROR(INDEX(MASTERKU,SMALL(IF(KRITERIAKU=$I$31,ROW(KRITERIAKU)),ROW(#REF!)),15),"")</f>
        <v/>
      </c>
      <c r="H305" s="106" t="str">
        <f t="array" ref="H305">IFERROR(INDEX(MASTERKU,SMALL(IF(KRITERIAKU=$I$31,ROW(KRITERIAKU)),ROW(#REF!)),16),"")</f>
        <v/>
      </c>
      <c r="I305" s="2" t="str">
        <f t="shared" si="8"/>
        <v>1</v>
      </c>
    </row>
    <row r="306" spans="1:9">
      <c r="A306" s="2" t="str">
        <f t="shared" si="9"/>
        <v>1</v>
      </c>
      <c r="B306" s="102" t="str">
        <f>IF(C306&lt;&gt;"",COUNTA($C$254:C306),"")</f>
        <v/>
      </c>
      <c r="C306" s="103" t="str">
        <f t="array" ref="C306">IFERROR(INDEX(MASTERKU,SMALL(IF(KRITERIAKU=$I$31,ROW(KRITERIAKU)),ROW(#REF!)),12),"")</f>
        <v/>
      </c>
      <c r="D306" s="104"/>
      <c r="E306" s="103" t="str">
        <f t="array" ref="E306">IFERROR(INDEX(MASTERKU,SMALL(IF(KRITERIAKU=$I$31,ROW(KRITERIAKU)),ROW(#REF!)),13),"")</f>
        <v/>
      </c>
      <c r="F306" s="103" t="str">
        <f t="array" ref="F306">IFERROR(INDEX(MASTERKU,SMALL(IF(KRITERIAKU=$I$31,ROW(KRITERIAKU)),ROW(#REF!)),14),"")</f>
        <v/>
      </c>
      <c r="G306" s="105" t="str">
        <f t="array" ref="G306">IFERROR(INDEX(MASTERKU,SMALL(IF(KRITERIAKU=$I$31,ROW(KRITERIAKU)),ROW(#REF!)),15),"")</f>
        <v/>
      </c>
      <c r="H306" s="106" t="str">
        <f t="array" ref="H306">IFERROR(INDEX(MASTERKU,SMALL(IF(KRITERIAKU=$I$31,ROW(KRITERIAKU)),ROW(#REF!)),16),"")</f>
        <v/>
      </c>
      <c r="I306" s="2" t="str">
        <f t="shared" si="8"/>
        <v>1</v>
      </c>
    </row>
    <row r="307" spans="1:9">
      <c r="A307" s="2" t="str">
        <f t="shared" si="9"/>
        <v>1</v>
      </c>
      <c r="B307" s="102" t="str">
        <f>IF(C307&lt;&gt;"",COUNTA($C$254:C307),"")</f>
        <v/>
      </c>
      <c r="C307" s="103" t="str">
        <f t="array" ref="C307">IFERROR(INDEX(MASTERKU,SMALL(IF(KRITERIAKU=$I$31,ROW(KRITERIAKU)),ROW(#REF!)),12),"")</f>
        <v/>
      </c>
      <c r="D307" s="104"/>
      <c r="E307" s="103" t="str">
        <f t="array" ref="E307">IFERROR(INDEX(MASTERKU,SMALL(IF(KRITERIAKU=$I$31,ROW(KRITERIAKU)),ROW(#REF!)),13),"")</f>
        <v/>
      </c>
      <c r="F307" s="103" t="str">
        <f t="array" ref="F307">IFERROR(INDEX(MASTERKU,SMALL(IF(KRITERIAKU=$I$31,ROW(KRITERIAKU)),ROW(#REF!)),14),"")</f>
        <v/>
      </c>
      <c r="G307" s="105" t="str">
        <f t="array" ref="G307">IFERROR(INDEX(MASTERKU,SMALL(IF(KRITERIAKU=$I$31,ROW(KRITERIAKU)),ROW(#REF!)),15),"")</f>
        <v/>
      </c>
      <c r="H307" s="106" t="str">
        <f t="array" ref="H307">IFERROR(INDEX(MASTERKU,SMALL(IF(KRITERIAKU=$I$31,ROW(KRITERIAKU)),ROW(#REF!)),16),"")</f>
        <v/>
      </c>
      <c r="I307" s="2" t="str">
        <f t="shared" si="8"/>
        <v>1</v>
      </c>
    </row>
    <row r="308" spans="1:9">
      <c r="A308" s="2" t="str">
        <f t="shared" si="9"/>
        <v>1</v>
      </c>
      <c r="B308" s="102" t="str">
        <f>IF(C308&lt;&gt;"",COUNTA($C$254:C308),"")</f>
        <v/>
      </c>
      <c r="C308" s="103" t="str">
        <f t="array" ref="C308">IFERROR(INDEX(MASTERKU,SMALL(IF(KRITERIAKU=$I$31,ROW(KRITERIAKU)),ROW(#REF!)),12),"")</f>
        <v/>
      </c>
      <c r="D308" s="104"/>
      <c r="E308" s="103" t="str">
        <f t="array" ref="E308">IFERROR(INDEX(MASTERKU,SMALL(IF(KRITERIAKU=$I$31,ROW(KRITERIAKU)),ROW(#REF!)),13),"")</f>
        <v/>
      </c>
      <c r="F308" s="103" t="str">
        <f t="array" ref="F308">IFERROR(INDEX(MASTERKU,SMALL(IF(KRITERIAKU=$I$31,ROW(KRITERIAKU)),ROW(#REF!)),14),"")</f>
        <v/>
      </c>
      <c r="G308" s="105" t="str">
        <f t="array" ref="G308">IFERROR(INDEX(MASTERKU,SMALL(IF(KRITERIAKU=$I$31,ROW(KRITERIAKU)),ROW(#REF!)),15),"")</f>
        <v/>
      </c>
      <c r="H308" s="106" t="str">
        <f t="array" ref="H308">IFERROR(INDEX(MASTERKU,SMALL(IF(KRITERIAKU=$I$31,ROW(KRITERIAKU)),ROW(#REF!)),16),"")</f>
        <v/>
      </c>
      <c r="I308" s="2" t="str">
        <f t="shared" si="8"/>
        <v>1</v>
      </c>
    </row>
    <row r="309" spans="1:9">
      <c r="A309" s="2" t="str">
        <f t="shared" si="9"/>
        <v>1</v>
      </c>
      <c r="B309" s="102" t="str">
        <f>IF(C309&lt;&gt;"",COUNTA($C$254:C309),"")</f>
        <v/>
      </c>
      <c r="C309" s="103" t="str">
        <f t="array" ref="C309">IFERROR(INDEX(MASTERKU,SMALL(IF(KRITERIAKU=$I$31,ROW(KRITERIAKU)),ROW(#REF!)),12),"")</f>
        <v/>
      </c>
      <c r="D309" s="104"/>
      <c r="E309" s="103" t="str">
        <f t="array" ref="E309">IFERROR(INDEX(MASTERKU,SMALL(IF(KRITERIAKU=$I$31,ROW(KRITERIAKU)),ROW(#REF!)),13),"")</f>
        <v/>
      </c>
      <c r="F309" s="103" t="str">
        <f t="array" ref="F309">IFERROR(INDEX(MASTERKU,SMALL(IF(KRITERIAKU=$I$31,ROW(KRITERIAKU)),ROW(#REF!)),14),"")</f>
        <v/>
      </c>
      <c r="G309" s="105" t="str">
        <f t="array" ref="G309">IFERROR(INDEX(MASTERKU,SMALL(IF(KRITERIAKU=$I$31,ROW(KRITERIAKU)),ROW(#REF!)),15),"")</f>
        <v/>
      </c>
      <c r="H309" s="106" t="str">
        <f t="array" ref="H309">IFERROR(INDEX(MASTERKU,SMALL(IF(KRITERIAKU=$I$31,ROW(KRITERIAKU)),ROW(#REF!)),16),"")</f>
        <v/>
      </c>
      <c r="I309" s="2" t="str">
        <f t="shared" si="8"/>
        <v>1</v>
      </c>
    </row>
    <row r="310" spans="1:9">
      <c r="A310" s="2" t="str">
        <f t="shared" si="9"/>
        <v>1</v>
      </c>
      <c r="B310" s="102" t="str">
        <f>IF(C310&lt;&gt;"",COUNTA($C$254:C310),"")</f>
        <v/>
      </c>
      <c r="C310" s="103" t="str">
        <f t="array" ref="C310">IFERROR(INDEX(MASTERKU,SMALL(IF(KRITERIAKU=$I$31,ROW(KRITERIAKU)),ROW(#REF!)),12),"")</f>
        <v/>
      </c>
      <c r="D310" s="104"/>
      <c r="E310" s="103" t="str">
        <f t="array" ref="E310">IFERROR(INDEX(MASTERKU,SMALL(IF(KRITERIAKU=$I$31,ROW(KRITERIAKU)),ROW(#REF!)),13),"")</f>
        <v/>
      </c>
      <c r="F310" s="103" t="str">
        <f t="array" ref="F310">IFERROR(INDEX(MASTERKU,SMALL(IF(KRITERIAKU=$I$31,ROW(KRITERIAKU)),ROW(#REF!)),14),"")</f>
        <v/>
      </c>
      <c r="G310" s="105" t="str">
        <f t="array" ref="G310">IFERROR(INDEX(MASTERKU,SMALL(IF(KRITERIAKU=$I$31,ROW(KRITERIAKU)),ROW(#REF!)),15),"")</f>
        <v/>
      </c>
      <c r="H310" s="106" t="str">
        <f t="array" ref="H310">IFERROR(INDEX(MASTERKU,SMALL(IF(KRITERIAKU=$I$31,ROW(KRITERIAKU)),ROW(#REF!)),16),"")</f>
        <v/>
      </c>
      <c r="I310" s="2" t="str">
        <f t="shared" si="8"/>
        <v>1</v>
      </c>
    </row>
    <row r="311" spans="1:9">
      <c r="A311" s="2" t="str">
        <f t="shared" si="9"/>
        <v>1</v>
      </c>
      <c r="B311" s="102" t="str">
        <f>IF(C311&lt;&gt;"",COUNTA($C$254:C311),"")</f>
        <v/>
      </c>
      <c r="C311" s="103" t="str">
        <f t="array" ref="C311">IFERROR(INDEX(MASTERKU,SMALL(IF(KRITERIAKU=$I$31,ROW(KRITERIAKU)),ROW(#REF!)),12),"")</f>
        <v/>
      </c>
      <c r="D311" s="104"/>
      <c r="E311" s="103" t="str">
        <f t="array" ref="E311">IFERROR(INDEX(MASTERKU,SMALL(IF(KRITERIAKU=$I$31,ROW(KRITERIAKU)),ROW(#REF!)),13),"")</f>
        <v/>
      </c>
      <c r="F311" s="103" t="str">
        <f t="array" ref="F311">IFERROR(INDEX(MASTERKU,SMALL(IF(KRITERIAKU=$I$31,ROW(KRITERIAKU)),ROW(#REF!)),14),"")</f>
        <v/>
      </c>
      <c r="G311" s="105" t="str">
        <f t="array" ref="G311">IFERROR(INDEX(MASTERKU,SMALL(IF(KRITERIAKU=$I$31,ROW(KRITERIAKU)),ROW(#REF!)),15),"")</f>
        <v/>
      </c>
      <c r="H311" s="106" t="str">
        <f t="array" ref="H311">IFERROR(INDEX(MASTERKU,SMALL(IF(KRITERIAKU=$I$31,ROW(KRITERIAKU)),ROW(#REF!)),16),"")</f>
        <v/>
      </c>
      <c r="I311" s="2" t="str">
        <f t="shared" si="8"/>
        <v>1</v>
      </c>
    </row>
    <row r="312" spans="1:9" ht="14.5" customHeight="1">
      <c r="A312" s="86"/>
      <c r="B312" s="61"/>
      <c r="C312" s="61"/>
      <c r="F312" s="151" t="s">
        <v>50</v>
      </c>
      <c r="G312" s="1164" t="str">
        <f t="array" ref="G312">IFERROR(INDEX(MASTERKU,SMALL(IF(KRITERIAKU=I31,ROW(KRITERIAKU)),ROW(B9)),34),"")</f>
        <v/>
      </c>
      <c r="H312" s="1165"/>
    </row>
    <row r="313" spans="1:9" ht="28">
      <c r="A313" s="61"/>
      <c r="B313" s="61"/>
      <c r="C313" s="61"/>
      <c r="F313" s="151" t="s">
        <v>51</v>
      </c>
      <c r="G313" s="1164"/>
      <c r="H313" s="1165"/>
    </row>
    <row r="314" spans="1:9" ht="14">
      <c r="A314" s="61"/>
      <c r="B314" s="61"/>
      <c r="C314" s="61"/>
      <c r="F314" s="151" t="s">
        <v>52</v>
      </c>
      <c r="G314" s="1164"/>
      <c r="H314" s="1165"/>
    </row>
    <row r="315" spans="1:9" ht="14.5" customHeight="1">
      <c r="A315" s="61"/>
      <c r="B315" s="61"/>
      <c r="C315" s="61"/>
      <c r="F315" s="151" t="s">
        <v>53</v>
      </c>
      <c r="G315" s="1153">
        <f>SUM(H254:H311)</f>
        <v>0</v>
      </c>
      <c r="H315" s="1154"/>
    </row>
    <row r="316" spans="1:9" ht="22" customHeight="1">
      <c r="A316" s="1155" t="s">
        <v>177</v>
      </c>
      <c r="B316" s="1155"/>
      <c r="C316" s="1155"/>
      <c r="D316" s="1155"/>
      <c r="E316" s="1141" t="str">
        <f>IF(G315=0,"Nol",IF(G315&lt;0,"minus ","")&amp; SUBSTITUTE(TRIM(SUBSTITUTE(SUBSTITUTE(SUBSTITUTE(SUBSTITUTE(SUBSTITUTE(SUBSTITUTE(SUBSTITUTE(SUBSTITUTE(SUBSTITUTE(SUBSTITUTE(SUBSTITUTE(SUBSTITUTE(SUBSTITUTE(SUBSTITUTE(SUBSTITUTE(SUBSTITUTE(SUBSTITUTE(SUBSTITUTE(SUBSTITUTE(SUBSTITUTE(SUBSTITUTE(SUBSTITUTE(SUBSTITUTE(SUBSTITUTE( IF(--MID(TEXT(ABS(G315),"000000000000000"),1,3)=0,"",MID(TEXT(ABS(G315),"000000000000000"),1,1)&amp;" Ratus "&amp;MID(TEXT(ABS(G315),"000000000000000"),2,1)&amp;" puluh "&amp;MID(TEXT(ABS(G315),"000000000000000"),3,1)&amp;" trilyun ")&amp; IF(--MID(TEXT(ABS(G315),"000000000000000"),4,3)=0,"",MID(TEXT(ABS(G315),"000000000000000"),4,1)&amp;" ratus "&amp;MID(TEXT(ABS(G315),"000000000000000"),5,1)&amp;" Puluh "&amp;MID(TEXT(ABS(G315),"000000000000000"),6,1)&amp;" Milyar ")&amp; IF(--MID(TEXT(ABS(G315),"000000000000000"),7,3)=0,"",MID(TEXT(ABS(G315),"000000000000000"),7,1)&amp;" Ratus "&amp;MID(TEXT(ABS(G315),"000000000000000"),8,1)&amp;" Puluh "&amp;MID(TEXT(ABS(G315),"000000000000000"),9,1)&amp;" Juta ")&amp; IF(--MID(TEXT(ABS(G315),"000000000000000"),10,3)=0,"",IF(--MID(TEXT(ABS(G315),"000000000000000"),10,3)=1,"*",MID(TEXT(ABS(G315),"000000000000000"),10,1)&amp;" Ratus "&amp;MID(TEXT(ABS(G315),"000000000000000"),11,1)&amp;" Puluh ")&amp;MID(TEXT(ABS(G315),"000000000000000"),12,1)&amp;" Ribu ")&amp; IF(--MID(TEXT(ABS(G315),"000000000000000"),13,3)=0,"",MID(TEXT(ABS(G315),"000000000000000"),13,1)&amp;" Ratus "&amp;MID(TEXT(ABS(G315),"000000000000000"),14,1)&amp;" Puluh "&amp;MID(TEXT(ABS(G315),"000000000000000"),15,1)),1,"Satu"),2,"Dua"),3,"Tiga"),4,"Empat"),5,"Lima"),6,"Enam"),7,"Tujuh"),8,"Delapan"),9,"Sembilan"),"0 Ratus",""),"0 Puluh",""),"Satu Puluh 0","Sepuluh"),"Satu Puluh Satu","Sebelas"),"Satu Puluh Dua","Dua Belas"),"Satu Puluh Tiga","Tiga Belas"),"Satu Puluh Empat","Empat Belas"),"Satu Puluh Lima","Lima Belas"),"Satu Puluh Enam","Enam Belas"),"Satu Puluh Tujuh","Tujuh Belas"),"Satu Puluh Delapan","Delapan Belas"),"Satu Puluh Sembilan","Sembilan Belas"),"Satu Ratus","Seratus"),"*Satu Ribu","Seribu"),0,""))," "," "))&amp; " Rupiah"</f>
        <v>Nol Rupiah</v>
      </c>
      <c r="F316" s="1141"/>
      <c r="G316" s="1141"/>
      <c r="H316" s="1141"/>
    </row>
    <row r="317" spans="1:9" ht="13" customHeight="1">
      <c r="A317" s="1155"/>
      <c r="B317" s="1155"/>
      <c r="C317" s="1155"/>
      <c r="D317" s="1155"/>
      <c r="E317" s="1141"/>
      <c r="F317" s="1141"/>
      <c r="G317" s="1141"/>
      <c r="H317" s="1141"/>
    </row>
    <row r="318" spans="1:9" ht="45.65" customHeight="1">
      <c r="A318" s="1147" t="s">
        <v>212</v>
      </c>
      <c r="B318" s="1147"/>
      <c r="C318" s="1147"/>
      <c r="D318" s="1147"/>
      <c r="E318" s="1147"/>
      <c r="F318" s="1147"/>
      <c r="G318" s="1147"/>
      <c r="H318" s="1147"/>
    </row>
    <row r="319" spans="1:9">
      <c r="A319" s="61"/>
      <c r="B319" s="61"/>
      <c r="C319" s="61"/>
      <c r="D319" s="61"/>
      <c r="E319" s="61"/>
      <c r="F319" s="152"/>
    </row>
    <row r="320" spans="1:9">
      <c r="A320" s="61"/>
      <c r="B320" s="60"/>
      <c r="C320" s="42"/>
      <c r="D320" s="42"/>
      <c r="E320" s="60"/>
      <c r="F320" s="152"/>
    </row>
    <row r="321" spans="1:8" ht="13" customHeight="1">
      <c r="A321" s="61"/>
      <c r="B321" s="60"/>
      <c r="C321" s="60"/>
      <c r="E321" s="83"/>
    </row>
    <row r="322" spans="1:8" ht="31">
      <c r="A322" s="61"/>
      <c r="C322" s="92" t="s">
        <v>54</v>
      </c>
      <c r="E322" s="69"/>
      <c r="F322" s="153" t="str">
        <f>"Telukdalam, "&amp;TEXT(K10,"dd mmmm yyyy")&amp;""</f>
        <v>Telukdalam, 01 February 2025</v>
      </c>
    </row>
    <row r="323" spans="1:8" ht="15.5">
      <c r="A323" s="61"/>
      <c r="B323" s="30" t="str">
        <f t="array" ref="B323">IFERROR(INDEX(MASTERKU,SMALL(IF(KRITERIAKU=#REF!,ROW(KRITERIAKU)),ROW(#REF!)),9),"")</f>
        <v/>
      </c>
      <c r="C323" s="60"/>
      <c r="E323" s="60"/>
      <c r="F323" s="154" t="s">
        <v>55</v>
      </c>
    </row>
    <row r="324" spans="1:8" ht="15.5">
      <c r="A324" s="61"/>
      <c r="B324" s="61"/>
      <c r="C324" s="60"/>
      <c r="E324" s="60"/>
      <c r="F324" s="155"/>
    </row>
    <row r="325" spans="1:8" ht="15.5">
      <c r="A325" s="61"/>
      <c r="B325" s="61"/>
      <c r="C325" s="60"/>
      <c r="E325" s="60"/>
      <c r="F325" s="155"/>
    </row>
    <row r="326" spans="1:8" ht="15.5">
      <c r="A326" s="61"/>
      <c r="B326" s="61"/>
      <c r="C326" s="60"/>
      <c r="E326" s="60"/>
      <c r="F326" s="155"/>
    </row>
    <row r="327" spans="1:8" ht="15.5">
      <c r="A327" s="61"/>
      <c r="C327" s="107" t="str">
        <f t="array" ref="C327">IFERROR(INDEX(MASTERKU,SMALL(IF(KRITERIAKU=$H$11,ROW(KRITERIAKU)),ROW(B9)),10),"")</f>
        <v/>
      </c>
      <c r="F327" s="155"/>
    </row>
    <row r="328" spans="1:8" ht="45">
      <c r="A328" s="61"/>
      <c r="B328" s="61"/>
      <c r="C328" s="60"/>
      <c r="F328" s="156" t="s">
        <v>67</v>
      </c>
    </row>
    <row r="329" spans="1:8" ht="15.5">
      <c r="A329" s="69"/>
      <c r="B329" s="69"/>
      <c r="C329" s="60"/>
      <c r="F329" s="154" t="s">
        <v>178</v>
      </c>
    </row>
    <row r="330" spans="1:8" ht="15.5">
      <c r="A330" s="61"/>
      <c r="B330" s="61"/>
      <c r="C330" s="61"/>
      <c r="D330" s="61"/>
      <c r="E330" s="61"/>
      <c r="F330" s="154" t="s">
        <v>221</v>
      </c>
    </row>
    <row r="331" spans="1:8">
      <c r="A331" s="61"/>
      <c r="B331" s="61"/>
      <c r="C331" s="61"/>
      <c r="D331" s="61"/>
      <c r="E331" s="61"/>
      <c r="F331" s="152"/>
    </row>
    <row r="332" spans="1:8">
      <c r="A332" s="61"/>
      <c r="B332" s="61"/>
      <c r="C332" s="61"/>
      <c r="D332" s="61"/>
      <c r="E332" s="61"/>
      <c r="F332" s="152"/>
    </row>
    <row r="333" spans="1:8" ht="14">
      <c r="A333" s="57"/>
      <c r="B333" s="57"/>
      <c r="C333" s="57"/>
      <c r="D333" s="57"/>
      <c r="E333" s="57"/>
      <c r="F333" s="149"/>
    </row>
    <row r="334" spans="1:8">
      <c r="A334" s="113" t="str">
        <f t="array" ref="A334">"Program              : "&amp;IFERROR(INDEX(MASTERKU,SMALL(IF(KRITERIAKU=$I$31,ROW(KRITERIAKU)),ROW(B9)),2),"")</f>
        <v xml:space="preserve">Program              : </v>
      </c>
      <c r="B334" s="112"/>
      <c r="C334" s="112"/>
      <c r="D334" s="99"/>
      <c r="E334" s="99"/>
      <c r="F334" s="157" t="s">
        <v>191</v>
      </c>
      <c r="G334" s="113" t="str">
        <f>TEXT(K10,"dd mmmm yyyy")</f>
        <v>01 February 2025</v>
      </c>
      <c r="H334" s="100"/>
    </row>
    <row r="335" spans="1:8">
      <c r="A335" s="116" t="str">
        <f t="array" ref="A335">"Kegiatan              : "&amp;IFERROR(INDEX(MASTERKU,SMALL(IF(KRITERIAKU=$I$31,ROW(KRITERIAKU)),ROW(B9)),3),"")</f>
        <v xml:space="preserve">Kegiatan              : </v>
      </c>
      <c r="B335" s="113"/>
      <c r="C335" s="112"/>
      <c r="D335" s="99"/>
      <c r="E335" s="99"/>
      <c r="F335" s="158" t="s">
        <v>192</v>
      </c>
      <c r="G335" s="112" t="str">
        <f t="array" ref="G335">IFERROR(INDEX(MASTERKU,SMALL(IF(KRITERIAKU=$I$31,ROW(KRITERIAKU)),ROW(B9)),1),"")</f>
        <v/>
      </c>
      <c r="H335" s="100"/>
    </row>
    <row r="336" spans="1:8" ht="14">
      <c r="A336" s="131"/>
      <c r="B336" s="114"/>
      <c r="C336" s="114"/>
      <c r="D336" s="108"/>
      <c r="E336" s="115"/>
      <c r="F336" s="158" t="s">
        <v>193</v>
      </c>
      <c r="G336" s="112" t="str">
        <f t="array" ref="G336">IFERROR(INDEX(MASTERKU,SMALL(IF(KRITERIAKU=$I$31,ROW(KRITERIAKU)),ROW(B9)),4),"")</f>
        <v/>
      </c>
      <c r="H336" s="100"/>
    </row>
    <row r="337" spans="1:8" ht="14">
      <c r="A337" s="37"/>
      <c r="B337" s="37"/>
      <c r="C337" s="37"/>
      <c r="D337" s="37"/>
      <c r="E337" s="38"/>
      <c r="F337" s="159"/>
      <c r="G337" s="38"/>
    </row>
    <row r="338" spans="1:8" ht="13" customHeight="1">
      <c r="A338" s="37"/>
      <c r="B338" s="37"/>
      <c r="C338" s="37"/>
      <c r="D338" s="37"/>
      <c r="E338" s="37"/>
      <c r="F338" s="160"/>
      <c r="G338" s="37"/>
    </row>
    <row r="339" spans="1:8" ht="20">
      <c r="A339" s="963" t="s">
        <v>194</v>
      </c>
      <c r="B339" s="963"/>
      <c r="C339" s="963"/>
      <c r="D339" s="963"/>
      <c r="E339" s="963"/>
      <c r="F339" s="963"/>
      <c r="G339" s="963"/>
      <c r="H339" s="963"/>
    </row>
    <row r="340" spans="1:8" ht="14">
      <c r="A340" s="39"/>
      <c r="B340" s="39"/>
      <c r="C340" s="39"/>
      <c r="D340" s="39"/>
      <c r="E340" s="39"/>
      <c r="F340" s="161"/>
      <c r="G340" s="39"/>
    </row>
    <row r="341" spans="1:8" s="4" customFormat="1" ht="26.15" customHeight="1">
      <c r="C341" s="1140" t="s">
        <v>195</v>
      </c>
      <c r="D341" s="1140"/>
      <c r="E341" s="91" t="s">
        <v>223</v>
      </c>
      <c r="F341" s="162"/>
      <c r="G341" s="117"/>
    </row>
    <row r="342" spans="1:8" s="4" customFormat="1" ht="14.15" customHeight="1">
      <c r="C342" s="1140" t="s">
        <v>196</v>
      </c>
      <c r="D342" s="1140"/>
      <c r="E342" s="109">
        <f>G315</f>
        <v>0</v>
      </c>
      <c r="F342" s="162"/>
      <c r="G342" s="118"/>
    </row>
    <row r="343" spans="1:8" s="4" customFormat="1" ht="14.15" customHeight="1">
      <c r="C343" s="1140" t="s">
        <v>173</v>
      </c>
      <c r="D343" s="1140"/>
      <c r="E343" s="110" t="str">
        <f>E316</f>
        <v>Nol Rupiah</v>
      </c>
      <c r="F343" s="162"/>
      <c r="G343" s="119"/>
    </row>
    <row r="344" spans="1:8" s="4" customFormat="1" ht="14">
      <c r="C344" s="1146" t="s">
        <v>224</v>
      </c>
      <c r="D344" s="1146"/>
      <c r="E344" s="91"/>
      <c r="F344" s="162"/>
      <c r="G344" s="117"/>
    </row>
    <row r="345" spans="1:8" s="4" customFormat="1" ht="14.15" customHeight="1">
      <c r="A345" s="91"/>
      <c r="C345" s="1140" t="s">
        <v>222</v>
      </c>
      <c r="D345" s="1140"/>
      <c r="E345" s="111" t="str">
        <f>D13</f>
        <v>421.3/45-P/SMANSA-TD/II/2025</v>
      </c>
      <c r="F345" s="162"/>
      <c r="G345" s="117"/>
    </row>
    <row r="346" spans="1:8" s="4" customFormat="1" ht="14.15" customHeight="1">
      <c r="C346" s="1140" t="s">
        <v>197</v>
      </c>
      <c r="D346" s="1140"/>
      <c r="E346" s="91" t="str">
        <f>"Kegiatan "&amp;D15&amp;" "</f>
        <v xml:space="preserve">Kegiatan Pengadaan Alat Tulis Kantor (ATK) </v>
      </c>
      <c r="F346" s="162"/>
      <c r="G346" s="117"/>
    </row>
    <row r="347" spans="1:8" ht="14" hidden="1">
      <c r="A347" s="37"/>
      <c r="B347" s="37"/>
      <c r="C347" s="37"/>
      <c r="D347" s="37"/>
      <c r="G347" s="37"/>
    </row>
    <row r="348" spans="1:8" ht="14" hidden="1">
      <c r="A348" s="37"/>
      <c r="B348" s="37"/>
      <c r="C348" s="37"/>
      <c r="D348" s="37"/>
      <c r="G348" s="37"/>
    </row>
    <row r="349" spans="1:8" ht="14" hidden="1">
      <c r="A349" s="37"/>
      <c r="B349" s="37"/>
      <c r="C349" s="37"/>
      <c r="D349" s="37"/>
      <c r="E349" s="37"/>
      <c r="F349" s="160"/>
      <c r="G349" s="37"/>
    </row>
    <row r="350" spans="1:8" ht="15.5">
      <c r="B350" s="62"/>
      <c r="C350" s="62" t="s">
        <v>198</v>
      </c>
      <c r="E350" s="120" t="s">
        <v>199</v>
      </c>
      <c r="G350" s="62" t="s">
        <v>206</v>
      </c>
      <c r="H350" s="62"/>
    </row>
    <row r="351" spans="1:8" ht="15.5">
      <c r="B351" s="62"/>
      <c r="C351" s="62" t="s">
        <v>200</v>
      </c>
      <c r="E351" s="62" t="s">
        <v>201</v>
      </c>
      <c r="G351" s="62" t="s">
        <v>207</v>
      </c>
      <c r="H351" s="62"/>
    </row>
    <row r="352" spans="1:8" ht="15.5" hidden="1">
      <c r="A352" s="62"/>
      <c r="B352" s="62"/>
      <c r="C352" s="63"/>
      <c r="D352" s="62"/>
      <c r="F352" s="163"/>
    </row>
    <row r="353" spans="1:8" ht="15.5" hidden="1">
      <c r="A353" s="62"/>
      <c r="B353" s="62"/>
      <c r="C353" s="62"/>
      <c r="D353" s="62"/>
      <c r="E353" s="62"/>
      <c r="F353" s="163"/>
      <c r="G353" s="37"/>
    </row>
    <row r="354" spans="1:8" ht="15.5" hidden="1">
      <c r="A354" s="62"/>
      <c r="B354" s="62"/>
      <c r="C354" s="62"/>
      <c r="D354" s="62"/>
      <c r="E354" s="62"/>
      <c r="F354" s="163"/>
      <c r="G354" s="37"/>
    </row>
    <row r="355" spans="1:8" ht="15.5" hidden="1">
      <c r="A355" s="62"/>
      <c r="B355" s="62"/>
      <c r="C355" s="62"/>
      <c r="D355" s="62"/>
      <c r="E355" s="62"/>
      <c r="F355" s="164"/>
      <c r="G355" s="37"/>
    </row>
    <row r="356" spans="1:8" ht="15.5" hidden="1">
      <c r="A356" s="62"/>
      <c r="B356" s="62"/>
      <c r="C356" s="62"/>
      <c r="D356" s="62"/>
      <c r="E356" s="62"/>
      <c r="F356" s="164"/>
      <c r="G356" s="37"/>
    </row>
    <row r="357" spans="1:8" ht="15.5" hidden="1">
      <c r="A357" s="62"/>
      <c r="B357" s="62"/>
      <c r="C357" s="62"/>
      <c r="D357" s="62"/>
      <c r="E357" s="62"/>
      <c r="F357" s="164"/>
      <c r="G357" s="37"/>
    </row>
    <row r="358" spans="1:8" ht="15.5" hidden="1">
      <c r="A358" s="62"/>
      <c r="B358" s="62"/>
      <c r="C358" s="62"/>
      <c r="D358" s="62"/>
      <c r="E358" s="62"/>
      <c r="F358" s="164"/>
      <c r="G358" s="37"/>
    </row>
    <row r="359" spans="1:8" s="4" customFormat="1" ht="15">
      <c r="B359" s="126"/>
      <c r="C359" s="126" t="str">
        <f>'04SHP'!A124</f>
        <v>Radius S. K. Siburian, S.Pd</v>
      </c>
      <c r="E359" s="90" t="s">
        <v>202</v>
      </c>
      <c r="F359" s="143"/>
      <c r="G359" s="90" t="s">
        <v>208</v>
      </c>
      <c r="H359" s="90"/>
    </row>
    <row r="360" spans="1:8" ht="15.5">
      <c r="B360" s="64"/>
      <c r="C360" s="62" t="str">
        <f>'04SHP'!A125</f>
        <v>Penata Muda</v>
      </c>
      <c r="E360" s="62" t="s">
        <v>203</v>
      </c>
      <c r="G360" s="62" t="s">
        <v>12</v>
      </c>
      <c r="H360" s="62"/>
    </row>
    <row r="361" spans="1:8" ht="15.5">
      <c r="B361" s="62"/>
      <c r="C361" s="62" t="str">
        <f>'04SHP'!A126</f>
        <v>NIP. 19861005 201903 1 009</v>
      </c>
      <c r="E361" s="62" t="s">
        <v>204</v>
      </c>
      <c r="F361" s="163"/>
      <c r="G361" s="37"/>
    </row>
    <row r="362" spans="1:8" ht="15.5">
      <c r="A362" s="62"/>
      <c r="B362" s="62"/>
      <c r="C362" s="62"/>
      <c r="D362" s="62"/>
      <c r="E362" s="62"/>
      <c r="F362" s="163"/>
      <c r="G362" s="37"/>
    </row>
    <row r="363" spans="1:8" ht="15.5">
      <c r="A363" s="62"/>
      <c r="B363" s="62"/>
      <c r="C363" s="62"/>
      <c r="D363" s="62"/>
      <c r="E363" s="62"/>
      <c r="F363" s="163"/>
      <c r="G363" s="37"/>
    </row>
    <row r="364" spans="1:8" ht="15.5">
      <c r="A364" s="1142" t="s">
        <v>205</v>
      </c>
      <c r="B364" s="1142"/>
      <c r="C364" s="1142"/>
      <c r="D364" s="1142"/>
      <c r="E364" s="1142"/>
      <c r="F364" s="1142"/>
      <c r="G364" s="1142"/>
      <c r="H364" s="1142"/>
    </row>
    <row r="365" spans="1:8" ht="15.5">
      <c r="A365" s="1143" t="s">
        <v>209</v>
      </c>
      <c r="B365" s="1143"/>
      <c r="C365" s="1143"/>
      <c r="D365" s="1143"/>
      <c r="E365" s="1143"/>
      <c r="F365" s="1143"/>
      <c r="G365" s="1143"/>
      <c r="H365" s="1143"/>
    </row>
    <row r="366" spans="1:8" ht="15.5">
      <c r="A366" s="62"/>
      <c r="B366" s="62"/>
      <c r="C366" s="65"/>
      <c r="D366" s="62"/>
      <c r="E366" s="62"/>
      <c r="F366" s="163"/>
      <c r="G366" s="37"/>
    </row>
    <row r="367" spans="1:8" ht="15.5">
      <c r="A367" s="62"/>
      <c r="B367" s="62"/>
      <c r="C367" s="65"/>
      <c r="D367" s="62"/>
      <c r="E367" s="62"/>
      <c r="F367" s="163"/>
      <c r="G367" s="37"/>
    </row>
    <row r="368" spans="1:8" ht="15.5">
      <c r="A368" s="62"/>
      <c r="B368" s="62"/>
      <c r="C368" s="65"/>
      <c r="D368" s="62"/>
      <c r="E368" s="62"/>
      <c r="F368" s="163"/>
      <c r="G368" s="37"/>
    </row>
    <row r="369" spans="1:8" ht="15.5">
      <c r="A369" s="62"/>
      <c r="B369" s="62"/>
      <c r="C369" s="65"/>
      <c r="D369" s="62"/>
      <c r="E369" s="62"/>
      <c r="F369" s="163"/>
      <c r="G369" s="37"/>
    </row>
    <row r="370" spans="1:8" ht="15">
      <c r="A370" s="66"/>
      <c r="B370" s="66"/>
      <c r="C370" s="66"/>
      <c r="D370" s="66"/>
      <c r="E370" s="66"/>
      <c r="F370" s="165"/>
      <c r="G370" s="40"/>
    </row>
    <row r="371" spans="1:8" ht="15">
      <c r="A371" s="1144" t="s">
        <v>67</v>
      </c>
      <c r="B371" s="1144"/>
      <c r="C371" s="1144"/>
      <c r="D371" s="1144"/>
      <c r="E371" s="1144"/>
      <c r="F371" s="1144"/>
      <c r="G371" s="1144"/>
      <c r="H371" s="1144"/>
    </row>
    <row r="372" spans="1:8" ht="15.5">
      <c r="A372" s="1145" t="s">
        <v>178</v>
      </c>
      <c r="B372" s="1145"/>
      <c r="C372" s="1145"/>
      <c r="D372" s="1145"/>
      <c r="E372" s="1145"/>
      <c r="F372" s="1145"/>
      <c r="G372" s="1145"/>
      <c r="H372" s="1145"/>
    </row>
    <row r="373" spans="1:8">
      <c r="A373" s="961"/>
      <c r="B373" s="961"/>
      <c r="C373" s="961"/>
      <c r="D373" s="961"/>
      <c r="E373" s="961"/>
      <c r="F373" s="961"/>
      <c r="G373" s="961"/>
      <c r="H373" s="961"/>
    </row>
  </sheetData>
  <mergeCells count="140">
    <mergeCell ref="Q3:Q4"/>
    <mergeCell ref="Q5:Q7"/>
    <mergeCell ref="P4:P6"/>
    <mergeCell ref="G315:H315"/>
    <mergeCell ref="A316:D317"/>
    <mergeCell ref="A113:H113"/>
    <mergeCell ref="A114:H114"/>
    <mergeCell ref="A126:H126"/>
    <mergeCell ref="A132:H132"/>
    <mergeCell ref="A133:H133"/>
    <mergeCell ref="A134:H134"/>
    <mergeCell ref="B244:D245"/>
    <mergeCell ref="E244:H245"/>
    <mergeCell ref="G312:H312"/>
    <mergeCell ref="G313:H313"/>
    <mergeCell ref="G314:H314"/>
    <mergeCell ref="A252:H252"/>
    <mergeCell ref="B250:D250"/>
    <mergeCell ref="E249:H249"/>
    <mergeCell ref="C31:E31"/>
    <mergeCell ref="B247:D249"/>
    <mergeCell ref="B246:D246"/>
    <mergeCell ref="B251:D251"/>
    <mergeCell ref="C39:E39"/>
    <mergeCell ref="C341:D341"/>
    <mergeCell ref="C342:D342"/>
    <mergeCell ref="E316:H317"/>
    <mergeCell ref="C343:D343"/>
    <mergeCell ref="A373:H373"/>
    <mergeCell ref="C345:D345"/>
    <mergeCell ref="C346:D346"/>
    <mergeCell ref="A364:H364"/>
    <mergeCell ref="A365:H365"/>
    <mergeCell ref="A371:H371"/>
    <mergeCell ref="A372:H372"/>
    <mergeCell ref="C344:D344"/>
    <mergeCell ref="A318:H318"/>
    <mergeCell ref="A339:H339"/>
    <mergeCell ref="C40:E40"/>
    <mergeCell ref="C41:E41"/>
    <mergeCell ref="C42:E42"/>
    <mergeCell ref="C43:E43"/>
    <mergeCell ref="C44:E44"/>
    <mergeCell ref="C45:E45"/>
    <mergeCell ref="C46:E46"/>
    <mergeCell ref="C47:E47"/>
    <mergeCell ref="A10:H10"/>
    <mergeCell ref="B13:C13"/>
    <mergeCell ref="A30:H30"/>
    <mergeCell ref="B26:C26"/>
    <mergeCell ref="B28:C28"/>
    <mergeCell ref="B20:C20"/>
    <mergeCell ref="B21:C21"/>
    <mergeCell ref="B27:C27"/>
    <mergeCell ref="B22:C22"/>
    <mergeCell ref="B24:C24"/>
    <mergeCell ref="B25:C25"/>
    <mergeCell ref="C48:E48"/>
    <mergeCell ref="C49:E49"/>
    <mergeCell ref="C50:E50"/>
    <mergeCell ref="C51:E51"/>
    <mergeCell ref="C52:E52"/>
    <mergeCell ref="A1:H1"/>
    <mergeCell ref="A2:H2"/>
    <mergeCell ref="A3:H3"/>
    <mergeCell ref="A4:H4"/>
    <mergeCell ref="C38:E38"/>
    <mergeCell ref="C37:E37"/>
    <mergeCell ref="C32:E32"/>
    <mergeCell ref="C33:E33"/>
    <mergeCell ref="C34:E34"/>
    <mergeCell ref="C35:E35"/>
    <mergeCell ref="C36:E36"/>
    <mergeCell ref="B14:C14"/>
    <mergeCell ref="B15:C15"/>
    <mergeCell ref="B16:C16"/>
    <mergeCell ref="B18:C18"/>
    <mergeCell ref="B19:C19"/>
    <mergeCell ref="A5:H5"/>
    <mergeCell ref="A6:H7"/>
    <mergeCell ref="A9:H9"/>
    <mergeCell ref="C57:E57"/>
    <mergeCell ref="C58:E58"/>
    <mergeCell ref="C59:E59"/>
    <mergeCell ref="C60:E60"/>
    <mergeCell ref="C61:E61"/>
    <mergeCell ref="C53:E53"/>
    <mergeCell ref="C54:E54"/>
    <mergeCell ref="C55:E55"/>
    <mergeCell ref="C56:E56"/>
    <mergeCell ref="C67:E67"/>
    <mergeCell ref="C68:E68"/>
    <mergeCell ref="C69:E69"/>
    <mergeCell ref="C70:E70"/>
    <mergeCell ref="C71:E71"/>
    <mergeCell ref="C62:E62"/>
    <mergeCell ref="C63:E63"/>
    <mergeCell ref="C64:E64"/>
    <mergeCell ref="C65:E65"/>
    <mergeCell ref="C66:E66"/>
    <mergeCell ref="C77:E77"/>
    <mergeCell ref="C78:E78"/>
    <mergeCell ref="C79:E79"/>
    <mergeCell ref="C80:E80"/>
    <mergeCell ref="C81:E81"/>
    <mergeCell ref="C72:E72"/>
    <mergeCell ref="C73:E73"/>
    <mergeCell ref="C74:E74"/>
    <mergeCell ref="C75:E75"/>
    <mergeCell ref="C76:E76"/>
    <mergeCell ref="C87:E87"/>
    <mergeCell ref="C88:E88"/>
    <mergeCell ref="C89:E89"/>
    <mergeCell ref="C90:E90"/>
    <mergeCell ref="C91:E91"/>
    <mergeCell ref="C82:E82"/>
    <mergeCell ref="C83:E83"/>
    <mergeCell ref="C84:E84"/>
    <mergeCell ref="C85:E85"/>
    <mergeCell ref="C86:E86"/>
    <mergeCell ref="C97:E97"/>
    <mergeCell ref="C98:E98"/>
    <mergeCell ref="C99:E99"/>
    <mergeCell ref="C100:E100"/>
    <mergeCell ref="C101:E101"/>
    <mergeCell ref="C92:E92"/>
    <mergeCell ref="C93:E93"/>
    <mergeCell ref="C94:E94"/>
    <mergeCell ref="C95:E95"/>
    <mergeCell ref="C96:E96"/>
    <mergeCell ref="C107:E107"/>
    <mergeCell ref="C108:E108"/>
    <mergeCell ref="C109:E109"/>
    <mergeCell ref="C110:E110"/>
    <mergeCell ref="C111:E111"/>
    <mergeCell ref="C102:E102"/>
    <mergeCell ref="C103:E103"/>
    <mergeCell ref="C104:E104"/>
    <mergeCell ref="C105:E105"/>
    <mergeCell ref="C106:E106"/>
  </mergeCells>
  <printOptions horizontalCentered="1"/>
  <pageMargins left="0.31496062992125984" right="0.31496062992125984" top="0.59055118110236227" bottom="0.31496062992125984" header="0.31496062992125984" footer="0.31496062992125984"/>
  <pageSetup paperSize="9" scale="86" fitToWidth="0" fitToHeight="0" orientation="portrait" horizontalDpi="360" verticalDpi="360" r:id="rId1"/>
  <rowBreaks count="7" manualBreakCount="7">
    <brk id="75" max="7" man="1"/>
    <brk id="136" max="16383" man="1"/>
    <brk id="241" max="7" man="1"/>
    <brk id="331" max="16383" man="1"/>
    <brk id="381" max="5" man="1"/>
    <brk id="446" max="5" man="1"/>
    <brk id="510" max="5" man="1"/>
  </rowBreaks>
  <colBreaks count="1" manualBreakCount="1">
    <brk id="18" min="8" max="306"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'NO BPU'!$E$2:$E$653</xm:f>
          </x14:formula1>
          <xm:sqref>P4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theme="4"/>
  </sheetPr>
  <dimension ref="A1:N141"/>
  <sheetViews>
    <sheetView view="pageBreakPreview" zoomScale="85" zoomScaleNormal="100" zoomScaleSheetLayoutView="85" zoomScalePageLayoutView="70" workbookViewId="0">
      <selection activeCell="M4" sqref="M4"/>
    </sheetView>
  </sheetViews>
  <sheetFormatPr defaultColWidth="8.7265625" defaultRowHeight="14.5"/>
  <cols>
    <col min="1" max="1" width="3.54296875" style="8" customWidth="1"/>
    <col min="2" max="2" width="8.7265625" style="8"/>
    <col min="3" max="3" width="15" style="8" customWidth="1"/>
    <col min="4" max="4" width="39.54296875" style="8" customWidth="1"/>
    <col min="5" max="5" width="9.81640625" style="8" customWidth="1"/>
    <col min="6" max="6" width="35.81640625" style="8" customWidth="1"/>
    <col min="7" max="7" width="13.81640625" style="8" customWidth="1"/>
    <col min="8" max="9" width="7.54296875" style="8" customWidth="1"/>
    <col min="10" max="10" width="6.453125" style="8" customWidth="1"/>
    <col min="11" max="11" width="8.453125" style="217" customWidth="1"/>
    <col min="12" max="12" width="4.26953125" style="8" customWidth="1"/>
    <col min="13" max="16384" width="8.7265625" style="8"/>
  </cols>
  <sheetData>
    <row r="1" spans="1:14" ht="29.15" customHeight="1" thickTop="1">
      <c r="A1" s="1195" t="s">
        <v>72</v>
      </c>
      <c r="B1" s="1196"/>
      <c r="C1" s="1196"/>
      <c r="D1" s="1196"/>
      <c r="E1" s="1196"/>
      <c r="F1" s="1196"/>
      <c r="G1" s="1196"/>
      <c r="H1" s="1196"/>
      <c r="I1" s="1197"/>
      <c r="J1" s="177"/>
      <c r="K1" s="214"/>
    </row>
    <row r="2" spans="1:14" ht="15.5">
      <c r="A2" s="215"/>
      <c r="B2" s="1202" t="s">
        <v>1568</v>
      </c>
      <c r="C2" s="1202"/>
      <c r="D2" s="236" t="s">
        <v>29</v>
      </c>
      <c r="F2" s="9"/>
      <c r="I2" s="216"/>
      <c r="K2" s="218">
        <f t="array" ref="K2">IFERROR(INDEX(Masteratk2024,SMALL(IF(Kriteriaatk2024=$M$3,ROW(Kriteriaatk2024)),ROW(D1)),5),"")</f>
        <v>45661</v>
      </c>
    </row>
    <row r="3" spans="1:14" ht="18.5">
      <c r="A3" s="215"/>
      <c r="B3" s="1202" t="s">
        <v>74</v>
      </c>
      <c r="C3" s="1202"/>
      <c r="D3" s="236" t="str">
        <f t="array" ref="D3">"Tercapai kesepakatan pembelian dengan "&amp;IFERROR(INDEX(Masteratk2024,SMALL(IF(Kriteriaatk2024=$M$3,ROW(Kriteriaatk2024)),ROW(D1)),20),"")</f>
        <v>Tercapai kesepakatan pembelian dengan UD. JOSUA</v>
      </c>
      <c r="F3" s="9"/>
      <c r="I3" s="216"/>
      <c r="M3" s="1205" t="s">
        <v>1547</v>
      </c>
      <c r="N3" s="1205"/>
    </row>
    <row r="4" spans="1:14" ht="15.5">
      <c r="A4" s="10"/>
      <c r="B4" s="9"/>
      <c r="C4" s="9"/>
      <c r="D4" s="9"/>
      <c r="E4" s="9"/>
      <c r="F4" s="9"/>
      <c r="I4" s="216"/>
    </row>
    <row r="5" spans="1:14">
      <c r="A5" s="1198" t="s">
        <v>39</v>
      </c>
      <c r="B5" s="1199"/>
      <c r="C5" s="1199"/>
      <c r="D5" s="1193" t="s">
        <v>75</v>
      </c>
      <c r="E5" s="1193"/>
      <c r="F5" s="1193" t="s">
        <v>76</v>
      </c>
      <c r="G5" s="1193"/>
      <c r="H5" s="1193" t="s">
        <v>77</v>
      </c>
      <c r="I5" s="1194"/>
    </row>
    <row r="6" spans="1:14">
      <c r="A6" s="1198"/>
      <c r="B6" s="1190" t="s">
        <v>78</v>
      </c>
      <c r="C6" s="1190"/>
      <c r="D6" s="1200" t="str">
        <f t="array" ref="D6">IFERROR(INDEX(Masteratk2024,SMALL(IF(Kriteriaatk2024=$M$3,ROW(Kriteriaatk2024)),ROW(D1)),20),"")</f>
        <v>UD. JOSUA</v>
      </c>
      <c r="E6" s="1201"/>
      <c r="F6" s="1200" t="str">
        <f t="array" ref="F6">IFERROR(INDEX(Masteratk2024,SMALL(IF(Kriteriaatk2024=$M$3,ROW(Kriteriaatk2024)),ROW(D1)),21),"")</f>
        <v>UD. JESSLYN</v>
      </c>
      <c r="G6" s="1201"/>
      <c r="H6" s="1193"/>
      <c r="I6" s="1194"/>
    </row>
    <row r="7" spans="1:14">
      <c r="A7" s="333">
        <v>1</v>
      </c>
      <c r="B7" s="1190" t="s">
        <v>79</v>
      </c>
      <c r="C7" s="1190"/>
      <c r="D7" s="1191" t="str">
        <f t="array" ref="D7">IFERROR(INDEX(Masteratk2024,SMALL(IF(Kriteriaatk2024=$M$3,ROW(Kriteriaatk2024)),ROW(D1)),11),"")</f>
        <v>Plastik Mika</v>
      </c>
      <c r="E7" s="1192"/>
      <c r="F7" s="1191" t="str">
        <f>D7</f>
        <v>Plastik Mika</v>
      </c>
      <c r="G7" s="1192"/>
      <c r="H7" s="1193"/>
      <c r="I7" s="1194"/>
      <c r="K7" s="217" t="str">
        <f>IF(D7="","0","1")</f>
        <v>1</v>
      </c>
    </row>
    <row r="8" spans="1:14" ht="15.65" hidden="1" customHeight="1">
      <c r="A8" s="333"/>
      <c r="B8" s="1190" t="s">
        <v>225</v>
      </c>
      <c r="C8" s="1190"/>
      <c r="D8" s="1191"/>
      <c r="E8" s="1192"/>
      <c r="F8" s="1191" t="str">
        <f t="array" ref="F8">IFERROR(INDEX(MASTERKU,SMALL(IF(KRITERIAKU=$G$8,ROW(KRITERIAKU)),ROW(D1)),41),"")</f>
        <v/>
      </c>
      <c r="G8" s="1192"/>
      <c r="H8" s="1193"/>
      <c r="I8" s="1194"/>
      <c r="K8" s="217" t="str">
        <f t="shared" ref="K8:K71" si="0">IF(D8="","0","1")</f>
        <v>0</v>
      </c>
      <c r="M8" s="8" t="s">
        <v>443</v>
      </c>
    </row>
    <row r="9" spans="1:14">
      <c r="A9" s="333"/>
      <c r="B9" s="1190" t="s">
        <v>80</v>
      </c>
      <c r="C9" s="1190"/>
      <c r="D9" s="1191">
        <f t="array" ref="D9">IFERROR(INDEX(Masteratk2024,SMALL(IF(Kriteriaatk2024=$M$3,ROW(Kriteriaatk2024)),ROW(D1)),14),"")</f>
        <v>60000</v>
      </c>
      <c r="E9" s="1192"/>
      <c r="F9" s="1191">
        <f>D9+2000</f>
        <v>62000</v>
      </c>
      <c r="G9" s="1192"/>
      <c r="H9" s="1193"/>
      <c r="I9" s="1194"/>
      <c r="K9" s="217" t="str">
        <f t="shared" si="0"/>
        <v>1</v>
      </c>
    </row>
    <row r="10" spans="1:14" ht="29" customHeight="1">
      <c r="A10" s="333"/>
      <c r="B10" s="1190" t="s">
        <v>15</v>
      </c>
      <c r="C10" s="1190"/>
      <c r="D10" s="1191" t="str">
        <f t="array" ref="D10">IFERROR(INDEX(Masteratk2024,SMALL(IF(Kriteriaatk2024=$M$3,ROW(Kriteriaatk2024)),ROW(D1)),17),"")</f>
        <v>Plastik Mika Jilid F4 (Length 21.0Cm, Width 33.0Cm, Height 7.0Cm, Weight 548Gr)</v>
      </c>
      <c r="E10" s="1192"/>
      <c r="F10" s="1191" t="str">
        <f>D10</f>
        <v>Plastik Mika Jilid F4 (Length 21.0Cm, Width 33.0Cm, Height 7.0Cm, Weight 548Gr)</v>
      </c>
      <c r="G10" s="1192"/>
      <c r="H10" s="1193"/>
      <c r="I10" s="1194"/>
      <c r="K10" s="217" t="str">
        <f t="shared" si="0"/>
        <v>1</v>
      </c>
    </row>
    <row r="11" spans="1:14">
      <c r="A11" s="333"/>
      <c r="B11" s="1190" t="s">
        <v>82</v>
      </c>
      <c r="C11" s="1190"/>
      <c r="D11" s="1191">
        <f>D9</f>
        <v>60000</v>
      </c>
      <c r="E11" s="1192"/>
      <c r="F11" s="1191">
        <f>D11+2000</f>
        <v>62000</v>
      </c>
      <c r="G11" s="1192"/>
      <c r="H11" s="1193"/>
      <c r="I11" s="1194"/>
      <c r="K11" s="217" t="str">
        <f t="shared" si="0"/>
        <v>1</v>
      </c>
    </row>
    <row r="12" spans="1:14" hidden="1">
      <c r="A12" s="333">
        <v>2</v>
      </c>
      <c r="B12" s="1190" t="s">
        <v>79</v>
      </c>
      <c r="C12" s="1190"/>
      <c r="D12" s="1191" t="str">
        <f t="array" ref="D12">IFERROR(INDEX(Masteratk2024,SMALL(IF(Kriteriaatk2024=$M$3,ROW(Kriteriaatk2024)),ROW(D2)),11),"")</f>
        <v>Kertas Warna Blank Folio, Ukuran : 8,5 x 14",  70 gram</v>
      </c>
      <c r="E12" s="1192"/>
      <c r="F12" s="1191" t="str">
        <f>D12</f>
        <v>Kertas Warna Blank Folio, Ukuran : 8,5 x 14",  70 gram</v>
      </c>
      <c r="G12" s="1192"/>
      <c r="H12" s="1193"/>
      <c r="I12" s="1194"/>
      <c r="K12" s="217" t="str">
        <f t="shared" si="0"/>
        <v>1</v>
      </c>
    </row>
    <row r="13" spans="1:14" ht="15.65" hidden="1" customHeight="1">
      <c r="A13" s="333"/>
      <c r="B13" s="1190" t="s">
        <v>225</v>
      </c>
      <c r="C13" s="1190"/>
      <c r="D13" s="1191"/>
      <c r="E13" s="1192"/>
      <c r="F13" s="1191" t="str">
        <f t="array" ref="F13">IFERROR(INDEX(MASTERKU,SMALL(IF(KRITERIAKU=$G$8,ROW(KRITERIAKU)),ROW(D6)),41),"")</f>
        <v/>
      </c>
      <c r="G13" s="1192"/>
      <c r="H13" s="1193"/>
      <c r="I13" s="1194"/>
      <c r="K13" s="217" t="str">
        <f t="shared" si="0"/>
        <v>0</v>
      </c>
      <c r="M13" s="8" t="s">
        <v>444</v>
      </c>
    </row>
    <row r="14" spans="1:14" hidden="1">
      <c r="A14" s="333"/>
      <c r="B14" s="1190" t="s">
        <v>80</v>
      </c>
      <c r="C14" s="1190"/>
      <c r="D14" s="1191">
        <f t="array" ref="D14">IFERROR(INDEX(Masteratk2024,SMALL(IF(Kriteriaatk2024=$M$3,ROW(Kriteriaatk2024)),ROW(D2)),14),"")</f>
        <v>90000</v>
      </c>
      <c r="E14" s="1192"/>
      <c r="F14" s="1191">
        <f>D14+2000</f>
        <v>92000</v>
      </c>
      <c r="G14" s="1192"/>
      <c r="H14" s="1193"/>
      <c r="I14" s="1194"/>
      <c r="K14" s="217" t="str">
        <f t="shared" si="0"/>
        <v>1</v>
      </c>
    </row>
    <row r="15" spans="1:14" ht="36" hidden="1" customHeight="1">
      <c r="A15" s="333"/>
      <c r="B15" s="1190" t="s">
        <v>15</v>
      </c>
      <c r="C15" s="1190"/>
      <c r="D15" s="1191" t="str">
        <f t="array" ref="D15">IFERROR(INDEX(Masteratk2024,SMALL(IF(Kriteriaatk2024=$M$3,ROW(Kriteriaatk2024)),ROW(D2)),17),"")</f>
        <v>Kertas Hvs Warna 70 Gsm (Length 21.0Cm, Width 33.0Cm, Height 7.0Cm, Weight 2400Gr)</v>
      </c>
      <c r="E15" s="1192"/>
      <c r="F15" s="1191" t="str">
        <f>D15</f>
        <v>Kertas Hvs Warna 70 Gsm (Length 21.0Cm, Width 33.0Cm, Height 7.0Cm, Weight 2400Gr)</v>
      </c>
      <c r="G15" s="1192"/>
      <c r="H15" s="1193"/>
      <c r="I15" s="1194"/>
      <c r="K15" s="217" t="str">
        <f t="shared" si="0"/>
        <v>1</v>
      </c>
    </row>
    <row r="16" spans="1:14" hidden="1">
      <c r="A16" s="333"/>
      <c r="B16" s="1190" t="s">
        <v>82</v>
      </c>
      <c r="C16" s="1190"/>
      <c r="D16" s="1191">
        <f>D14</f>
        <v>90000</v>
      </c>
      <c r="E16" s="1192"/>
      <c r="F16" s="1191">
        <f>D16+2000</f>
        <v>92000</v>
      </c>
      <c r="G16" s="1192"/>
      <c r="H16" s="1193"/>
      <c r="I16" s="1194"/>
      <c r="K16" s="217" t="str">
        <f t="shared" si="0"/>
        <v>1</v>
      </c>
    </row>
    <row r="17" spans="1:11" ht="22.5" hidden="1" customHeight="1">
      <c r="A17" s="333">
        <v>3</v>
      </c>
      <c r="B17" s="1190" t="s">
        <v>79</v>
      </c>
      <c r="C17" s="1190"/>
      <c r="D17" s="1191" t="str">
        <f t="array" ref="D17">IFERROR(INDEX(Masteratk2024,SMALL(IF(Kriteriaatk2024=$M$3,ROW(Kriteriaatk2024)),ROW(D3)),11),"")</f>
        <v>Kertas Lain-Lain Kertas Buffalo</v>
      </c>
      <c r="E17" s="1192"/>
      <c r="F17" s="1191" t="str">
        <f>D17</f>
        <v>Kertas Lain-Lain Kertas Buffalo</v>
      </c>
      <c r="G17" s="1192"/>
      <c r="H17" s="1193"/>
      <c r="I17" s="1194"/>
      <c r="K17" s="217" t="str">
        <f t="shared" si="0"/>
        <v>1</v>
      </c>
    </row>
    <row r="18" spans="1:11" ht="15.65" hidden="1" customHeight="1">
      <c r="A18" s="333"/>
      <c r="B18" s="1190" t="s">
        <v>225</v>
      </c>
      <c r="C18" s="1190"/>
      <c r="D18" s="1191"/>
      <c r="E18" s="1192"/>
      <c r="F18" s="1191" t="str">
        <f t="array" ref="F18">IFERROR(INDEX(MASTERKU,SMALL(IF(KRITERIAKU=$G$8,ROW(KRITERIAKU)),ROW(D11)),41),"")</f>
        <v/>
      </c>
      <c r="G18" s="1192"/>
      <c r="H18" s="1193"/>
      <c r="I18" s="1194"/>
      <c r="K18" s="217" t="str">
        <f t="shared" si="0"/>
        <v>0</v>
      </c>
    </row>
    <row r="19" spans="1:11" hidden="1">
      <c r="A19" s="333"/>
      <c r="B19" s="1190" t="s">
        <v>80</v>
      </c>
      <c r="C19" s="1190"/>
      <c r="D19" s="1191">
        <f t="array" ref="D19">IFERROR(INDEX(Masteratk2024,SMALL(IF(Kriteriaatk2024=$M$3,ROW(Kriteriaatk2024)),ROW(D3)),14),"")</f>
        <v>31000</v>
      </c>
      <c r="E19" s="1192"/>
      <c r="F19" s="1191">
        <f>D19+2000</f>
        <v>33000</v>
      </c>
      <c r="G19" s="1192"/>
      <c r="H19" s="1193"/>
      <c r="I19" s="1194"/>
      <c r="K19" s="217" t="str">
        <f t="shared" si="0"/>
        <v>1</v>
      </c>
    </row>
    <row r="20" spans="1:11" ht="47.5" hidden="1" customHeight="1">
      <c r="A20" s="333"/>
      <c r="B20" s="1190" t="s">
        <v>15</v>
      </c>
      <c r="C20" s="1190"/>
      <c r="D20" s="1203" t="str">
        <f t="array" ref="D20">IFERROR(INDEX(Masteratk2024,SMALL(IF(Kriteriaatk2024=$M$3,ROW(Kriteriaatk2024)),ROW(D3)),17),"")</f>
        <v>Kertas Buffalo F4 (Length 21.0Cm, Width 33.0Cm, Height 7.0Cm, Weight 1006Gr)</v>
      </c>
      <c r="E20" s="1204"/>
      <c r="F20" s="1191" t="str">
        <f>D20</f>
        <v>Kertas Buffalo F4 (Length 21.0Cm, Width 33.0Cm, Height 7.0Cm, Weight 1006Gr)</v>
      </c>
      <c r="G20" s="1192"/>
      <c r="H20" s="1193"/>
      <c r="I20" s="1194"/>
      <c r="K20" s="217" t="str">
        <f t="shared" si="0"/>
        <v>1</v>
      </c>
    </row>
    <row r="21" spans="1:11" hidden="1">
      <c r="A21" s="333"/>
      <c r="B21" s="1190" t="s">
        <v>82</v>
      </c>
      <c r="C21" s="1190"/>
      <c r="D21" s="1191">
        <f>D19</f>
        <v>31000</v>
      </c>
      <c r="E21" s="1192"/>
      <c r="F21" s="1191">
        <f>D21+2000</f>
        <v>33000</v>
      </c>
      <c r="G21" s="1192"/>
      <c r="H21" s="1193"/>
      <c r="I21" s="1194"/>
      <c r="K21" s="217" t="str">
        <f t="shared" si="0"/>
        <v>1</v>
      </c>
    </row>
    <row r="22" spans="1:11" hidden="1">
      <c r="A22" s="333">
        <v>4</v>
      </c>
      <c r="B22" s="1190" t="s">
        <v>79</v>
      </c>
      <c r="C22" s="1190"/>
      <c r="D22" s="1191" t="str">
        <f t="array" ref="D22">IFERROR(INDEX(Masteratk2024,SMALL(IF(Kriteriaatk2024=$M$3,ROW(Kriteriaatk2024)),ROW(D4)),11),"")</f>
        <v>Kertas Post-It Warna Warni  Sign Here</v>
      </c>
      <c r="E22" s="1192"/>
      <c r="F22" s="1191" t="str">
        <f>D22</f>
        <v>Kertas Post-It Warna Warni  Sign Here</v>
      </c>
      <c r="G22" s="1192"/>
      <c r="H22" s="1193"/>
      <c r="I22" s="1194"/>
      <c r="K22" s="217" t="str">
        <f t="shared" si="0"/>
        <v>1</v>
      </c>
    </row>
    <row r="23" spans="1:11" ht="15.65" hidden="1" customHeight="1">
      <c r="A23" s="333"/>
      <c r="B23" s="1190" t="s">
        <v>225</v>
      </c>
      <c r="C23" s="1190"/>
      <c r="D23" s="1191"/>
      <c r="E23" s="1192"/>
      <c r="F23" s="1191" t="str">
        <f t="array" ref="F23">IFERROR(INDEX(MASTERKU,SMALL(IF(KRITERIAKU=$G$8,ROW(KRITERIAKU)),ROW(D16)),41),"")</f>
        <v/>
      </c>
      <c r="G23" s="1192"/>
      <c r="H23" s="1193"/>
      <c r="I23" s="1194"/>
      <c r="K23" s="217" t="str">
        <f t="shared" si="0"/>
        <v>0</v>
      </c>
    </row>
    <row r="24" spans="1:11" hidden="1">
      <c r="A24" s="333"/>
      <c r="B24" s="1190" t="s">
        <v>80</v>
      </c>
      <c r="C24" s="1190"/>
      <c r="D24" s="1191">
        <f t="array" ref="D24">IFERROR(INDEX(Masteratk2024,SMALL(IF(Kriteriaatk2024=$M$3,ROW(Kriteriaatk2024)),ROW(D4)),14),"")</f>
        <v>22800</v>
      </c>
      <c r="E24" s="1192"/>
      <c r="F24" s="1191">
        <f>D24+2000</f>
        <v>24800</v>
      </c>
      <c r="G24" s="1192"/>
      <c r="H24" s="1193"/>
      <c r="I24" s="1194"/>
      <c r="K24" s="217" t="str">
        <f t="shared" si="0"/>
        <v>1</v>
      </c>
    </row>
    <row r="25" spans="1:11" ht="45.5" hidden="1" customHeight="1">
      <c r="A25" s="333"/>
      <c r="B25" s="1190" t="s">
        <v>15</v>
      </c>
      <c r="C25" s="1190"/>
      <c r="D25" s="1191" t="str">
        <f t="array" ref="D25">IFERROR(INDEX(Masteratk2024,SMALL(IF(Kriteriaatk2024=$M$3,ROW(Kriteriaatk2024)),ROW(D4)),17),"")</f>
        <v>Post It Warna Warni (Length 7.0Cm, Width 7.0Cm, Height 7.0Cm, Weight 44Gr)</v>
      </c>
      <c r="E25" s="1192"/>
      <c r="F25" s="1191" t="str">
        <f>D25</f>
        <v>Post It Warna Warni (Length 7.0Cm, Width 7.0Cm, Height 7.0Cm, Weight 44Gr)</v>
      </c>
      <c r="G25" s="1192"/>
      <c r="H25" s="1193"/>
      <c r="I25" s="1194"/>
      <c r="K25" s="217" t="str">
        <f t="shared" si="0"/>
        <v>1</v>
      </c>
    </row>
    <row r="26" spans="1:11" hidden="1">
      <c r="A26" s="333"/>
      <c r="B26" s="1190" t="s">
        <v>82</v>
      </c>
      <c r="C26" s="1190"/>
      <c r="D26" s="1191">
        <f>D24</f>
        <v>22800</v>
      </c>
      <c r="E26" s="1192"/>
      <c r="F26" s="1191">
        <f>D26+2000</f>
        <v>24800</v>
      </c>
      <c r="G26" s="1192"/>
      <c r="H26" s="1193"/>
      <c r="I26" s="1194"/>
      <c r="K26" s="217" t="str">
        <f t="shared" si="0"/>
        <v>1</v>
      </c>
    </row>
    <row r="27" spans="1:11" hidden="1">
      <c r="A27" s="333">
        <v>5</v>
      </c>
      <c r="B27" s="1190" t="s">
        <v>79</v>
      </c>
      <c r="C27" s="1190"/>
      <c r="D27" s="1191" t="str">
        <f t="array" ref="D27">IFERROR(INDEX(Masteratk2024,SMALL(IF(Kriteriaatk2024=$M$3,ROW(Kriteriaatk2024)),ROW(D5)),11),"")</f>
        <v>Kertas HVS 60 gram Merk : Paper One HVS F4 uk. 8.27"x11.69"</v>
      </c>
      <c r="E27" s="1192"/>
      <c r="F27" s="1191" t="str">
        <f>D27</f>
        <v>Kertas HVS 60 gram Merk : Paper One HVS F4 uk. 8.27"x11.69"</v>
      </c>
      <c r="G27" s="1192"/>
      <c r="H27" s="1193"/>
      <c r="I27" s="1194"/>
      <c r="K27" s="217" t="str">
        <f t="shared" si="0"/>
        <v>1</v>
      </c>
    </row>
    <row r="28" spans="1:11" ht="15.65" hidden="1" customHeight="1">
      <c r="A28" s="333"/>
      <c r="B28" s="1190" t="s">
        <v>225</v>
      </c>
      <c r="C28" s="1190"/>
      <c r="D28" s="1191"/>
      <c r="E28" s="1192"/>
      <c r="F28" s="1191" t="str">
        <f t="array" ref="F28">IFERROR(INDEX(MASTERKU,SMALL(IF(KRITERIAKU=$G$8,ROW(KRITERIAKU)),ROW(D21)),41),"")</f>
        <v/>
      </c>
      <c r="G28" s="1192"/>
      <c r="H28" s="1193"/>
      <c r="I28" s="1194"/>
      <c r="K28" s="217" t="str">
        <f t="shared" si="0"/>
        <v>0</v>
      </c>
    </row>
    <row r="29" spans="1:11" hidden="1">
      <c r="A29" s="333"/>
      <c r="B29" s="1190" t="s">
        <v>80</v>
      </c>
      <c r="C29" s="1190"/>
      <c r="D29" s="1191">
        <f t="array" ref="D29">IFERROR(INDEX(Masteratk2024,SMALL(IF(Kriteriaatk2024=$M$3,ROW(Kriteriaatk2024)),ROW(D5)),14),"")</f>
        <v>48500</v>
      </c>
      <c r="E29" s="1192"/>
      <c r="F29" s="1191">
        <f>D29+2000</f>
        <v>50500</v>
      </c>
      <c r="G29" s="1192"/>
      <c r="H29" s="1193"/>
      <c r="I29" s="1194"/>
      <c r="K29" s="217" t="str">
        <f t="shared" si="0"/>
        <v>1</v>
      </c>
    </row>
    <row r="30" spans="1:11" ht="48" hidden="1" customHeight="1">
      <c r="A30" s="333"/>
      <c r="B30" s="1190" t="s">
        <v>15</v>
      </c>
      <c r="C30" s="1190"/>
      <c r="D30" s="1191" t="str">
        <f t="array" ref="D30">IFERROR(INDEX(Masteratk2024,SMALL(IF(Kriteriaatk2024=$M$3,ROW(Kriteriaatk2024)),ROW(D5)),17),"")</f>
        <v>Kertas Hvs 60Gsm Paper One F4 (Length 33.0Cm, Width 21.0Cm, Height 7.0Cm, Weight 1400Gr)</v>
      </c>
      <c r="E30" s="1192"/>
      <c r="F30" s="1191" t="str">
        <f>D30</f>
        <v>Kertas Hvs 60Gsm Paper One F4 (Length 33.0Cm, Width 21.0Cm, Height 7.0Cm, Weight 1400Gr)</v>
      </c>
      <c r="G30" s="1192"/>
      <c r="H30" s="1193"/>
      <c r="I30" s="1194"/>
      <c r="K30" s="217" t="str">
        <f t="shared" si="0"/>
        <v>1</v>
      </c>
    </row>
    <row r="31" spans="1:11" hidden="1">
      <c r="A31" s="333"/>
      <c r="B31" s="1190" t="s">
        <v>82</v>
      </c>
      <c r="C31" s="1190"/>
      <c r="D31" s="1191">
        <f>D29</f>
        <v>48500</v>
      </c>
      <c r="E31" s="1192"/>
      <c r="F31" s="1191">
        <f>D31+2000</f>
        <v>50500</v>
      </c>
      <c r="G31" s="1192"/>
      <c r="H31" s="1193"/>
      <c r="I31" s="1194"/>
      <c r="K31" s="217" t="str">
        <f t="shared" si="0"/>
        <v>1</v>
      </c>
    </row>
    <row r="32" spans="1:11" hidden="1">
      <c r="A32" s="333">
        <v>6</v>
      </c>
      <c r="B32" s="1190" t="s">
        <v>79</v>
      </c>
      <c r="C32" s="1190"/>
      <c r="D32" s="1191" t="str">
        <f t="array" ref="D32">IFERROR(INDEX(Masteratk2024,SMALL(IF(Kriteriaatk2024=$M$3,ROW(Kriteriaatk2024)),ROW(D6)),11),"")</f>
        <v>Kertas HVS 80 gram Merk : Paper One A4, Ukuran : 8,27" x 11,69", Isi : 500 lembar</v>
      </c>
      <c r="E32" s="1192"/>
      <c r="F32" s="1191" t="str">
        <f>D32</f>
        <v>Kertas HVS 80 gram Merk : Paper One A4, Ukuran : 8,27" x 11,69", Isi : 500 lembar</v>
      </c>
      <c r="G32" s="1192"/>
      <c r="H32" s="1193"/>
      <c r="I32" s="1194"/>
      <c r="K32" s="217" t="str">
        <f t="shared" si="0"/>
        <v>1</v>
      </c>
    </row>
    <row r="33" spans="1:11" ht="15.65" hidden="1" customHeight="1">
      <c r="A33" s="333"/>
      <c r="B33" s="1190" t="s">
        <v>225</v>
      </c>
      <c r="C33" s="1190"/>
      <c r="D33" s="1191"/>
      <c r="E33" s="1192"/>
      <c r="F33" s="1191" t="str">
        <f t="array" ref="F33">IFERROR(INDEX(MASTERKU,SMALL(IF(KRITERIAKU=$G$8,ROW(KRITERIAKU)),ROW(D26)),41),"")</f>
        <v/>
      </c>
      <c r="G33" s="1192"/>
      <c r="H33" s="1193"/>
      <c r="I33" s="1194"/>
      <c r="K33" s="217" t="str">
        <f t="shared" si="0"/>
        <v>0</v>
      </c>
    </row>
    <row r="34" spans="1:11" hidden="1">
      <c r="A34" s="333"/>
      <c r="B34" s="1190" t="s">
        <v>80</v>
      </c>
      <c r="C34" s="1190"/>
      <c r="D34" s="1191">
        <f t="array" ref="D34">IFERROR(INDEX(Masteratk2024,SMALL(IF(Kriteriaatk2024=$M$3,ROW(Kriteriaatk2024)),ROW(D6)),14),"")</f>
        <v>50000</v>
      </c>
      <c r="E34" s="1192"/>
      <c r="F34" s="1191">
        <f>D34+2000</f>
        <v>52000</v>
      </c>
      <c r="G34" s="1192"/>
      <c r="H34" s="1193"/>
      <c r="I34" s="1194"/>
      <c r="K34" s="217" t="str">
        <f t="shared" si="0"/>
        <v>1</v>
      </c>
    </row>
    <row r="35" spans="1:11" ht="30.65" hidden="1" customHeight="1">
      <c r="A35" s="333"/>
      <c r="B35" s="1190" t="s">
        <v>15</v>
      </c>
      <c r="C35" s="1190"/>
      <c r="D35" s="1191" t="str">
        <f t="array" ref="D35">IFERROR(INDEX(Masteratk2024,SMALL(IF(Kriteriaatk2024=$M$3,ROW(Kriteriaatk2024)),ROW(D6)),17),"")</f>
        <v>Kertas Hvs 80 Gram Merk : Paper One A4, Ukuran : 8,27" X 11,69", Isi : 500 Lembar</v>
      </c>
      <c r="E35" s="1192"/>
      <c r="F35" s="1191" t="str">
        <f>D35</f>
        <v>Kertas Hvs 80 Gram Merk : Paper One A4, Ukuran : 8,27" X 11,69", Isi : 500 Lembar</v>
      </c>
      <c r="G35" s="1192"/>
      <c r="H35" s="1193"/>
      <c r="I35" s="1194"/>
      <c r="K35" s="217" t="str">
        <f t="shared" si="0"/>
        <v>1</v>
      </c>
    </row>
    <row r="36" spans="1:11" hidden="1">
      <c r="A36" s="333"/>
      <c r="B36" s="1190" t="s">
        <v>82</v>
      </c>
      <c r="C36" s="1190"/>
      <c r="D36" s="1191">
        <f>D34</f>
        <v>50000</v>
      </c>
      <c r="E36" s="1192"/>
      <c r="F36" s="1191">
        <f>D36+2000</f>
        <v>52000</v>
      </c>
      <c r="G36" s="1192"/>
      <c r="H36" s="1193"/>
      <c r="I36" s="1194"/>
      <c r="K36" s="217" t="str">
        <f t="shared" si="0"/>
        <v>1</v>
      </c>
    </row>
    <row r="37" spans="1:11" ht="28.5" hidden="1" customHeight="1">
      <c r="A37" s="333">
        <v>7</v>
      </c>
      <c r="B37" s="1190" t="s">
        <v>79</v>
      </c>
      <c r="C37" s="1190"/>
      <c r="D37" s="1191" t="str">
        <f t="array" ref="D37">IFERROR(INDEX(Masteratk2024,SMALL(IF(Kriteriaatk2024=$M$3,ROW(Kriteriaatk2024)),ROW(D7)),11),"")</f>
        <v>Kertas StensiI</v>
      </c>
      <c r="E37" s="1192"/>
      <c r="F37" s="1191" t="str">
        <f>D37</f>
        <v>Kertas StensiI</v>
      </c>
      <c r="G37" s="1192"/>
      <c r="H37" s="1193"/>
      <c r="I37" s="1194"/>
      <c r="K37" s="217" t="str">
        <f t="shared" si="0"/>
        <v>1</v>
      </c>
    </row>
    <row r="38" spans="1:11" ht="15.65" hidden="1" customHeight="1">
      <c r="A38" s="333"/>
      <c r="B38" s="1190" t="s">
        <v>225</v>
      </c>
      <c r="C38" s="1190"/>
      <c r="D38" s="1191"/>
      <c r="E38" s="1192"/>
      <c r="F38" s="1191" t="str">
        <f t="array" ref="F38">IFERROR(INDEX(MASTERKU,SMALL(IF(KRITERIAKU=$G$8,ROW(KRITERIAKU)),ROW(D31)),41),"")</f>
        <v/>
      </c>
      <c r="G38" s="1192"/>
      <c r="H38" s="1193"/>
      <c r="I38" s="1194"/>
      <c r="K38" s="217" t="str">
        <f t="shared" si="0"/>
        <v>0</v>
      </c>
    </row>
    <row r="39" spans="1:11" hidden="1">
      <c r="A39" s="333"/>
      <c r="B39" s="1190" t="s">
        <v>80</v>
      </c>
      <c r="C39" s="1190"/>
      <c r="D39" s="1191">
        <f t="array" ref="D39">IFERROR(INDEX(Masteratk2024,SMALL(IF(Kriteriaatk2024=$M$3,ROW(Kriteriaatk2024)),ROW(D7)),14),"")</f>
        <v>50000</v>
      </c>
      <c r="E39" s="1192"/>
      <c r="F39" s="1191">
        <f>D39+2000</f>
        <v>52000</v>
      </c>
      <c r="G39" s="1192"/>
      <c r="H39" s="1193"/>
      <c r="I39" s="1194"/>
      <c r="K39" s="217" t="str">
        <f t="shared" si="0"/>
        <v>1</v>
      </c>
    </row>
    <row r="40" spans="1:11" ht="30.65" hidden="1" customHeight="1">
      <c r="A40" s="333"/>
      <c r="B40" s="1190" t="s">
        <v>15</v>
      </c>
      <c r="C40" s="1190"/>
      <c r="D40" s="1191" t="str">
        <f t="array" ref="D40">IFERROR(INDEX(Masteratk2024,SMALL(IF(Kriteriaatk2024=$M$3,ROW(Kriteriaatk2024)),ROW(D7)),17),"")</f>
        <v>Kertas Stencil Folio (Length 33.0Cm, Width 21.0Cm, Height 5.0Cm, Weight 1400Gr)</v>
      </c>
      <c r="E40" s="1192"/>
      <c r="F40" s="1191" t="str">
        <f>D40</f>
        <v>Kertas Stencil Folio (Length 33.0Cm, Width 21.0Cm, Height 5.0Cm, Weight 1400Gr)</v>
      </c>
      <c r="G40" s="1192"/>
      <c r="H40" s="1193"/>
      <c r="I40" s="1194"/>
      <c r="K40" s="217" t="str">
        <f t="shared" si="0"/>
        <v>1</v>
      </c>
    </row>
    <row r="41" spans="1:11" hidden="1">
      <c r="A41" s="333"/>
      <c r="B41" s="1190" t="s">
        <v>82</v>
      </c>
      <c r="C41" s="1190"/>
      <c r="D41" s="1191">
        <f>D39</f>
        <v>50000</v>
      </c>
      <c r="E41" s="1192"/>
      <c r="F41" s="1191">
        <f>D41+2000</f>
        <v>52000</v>
      </c>
      <c r="G41" s="1192"/>
      <c r="H41" s="1193"/>
      <c r="I41" s="1194"/>
      <c r="K41" s="217" t="str">
        <f t="shared" si="0"/>
        <v>1</v>
      </c>
    </row>
    <row r="42" spans="1:11" hidden="1">
      <c r="A42" s="333">
        <v>8</v>
      </c>
      <c r="B42" s="1190" t="s">
        <v>79</v>
      </c>
      <c r="C42" s="1190"/>
      <c r="D42" s="1191" t="str">
        <f t="array" ref="D42">IFERROR(INDEX(Masteratk2024,SMALL(IF(Kriteriaatk2024=$M$3,ROW(Kriteriaatk2024)),ROW(D8)),11),"")</f>
        <v>Kertas Label</v>
      </c>
      <c r="E42" s="1192"/>
      <c r="F42" s="1191" t="str">
        <f>D42</f>
        <v>Kertas Label</v>
      </c>
      <c r="G42" s="1192"/>
      <c r="H42" s="1193"/>
      <c r="I42" s="1194"/>
      <c r="K42" s="217" t="str">
        <f t="shared" si="0"/>
        <v>1</v>
      </c>
    </row>
    <row r="43" spans="1:11" ht="15.65" hidden="1" customHeight="1">
      <c r="A43" s="333"/>
      <c r="B43" s="1190" t="s">
        <v>225</v>
      </c>
      <c r="C43" s="1190"/>
      <c r="D43" s="1191"/>
      <c r="E43" s="1192"/>
      <c r="F43" s="1191" t="str">
        <f t="array" ref="F43">IFERROR(INDEX(MASTERKU,SMALL(IF(KRITERIAKU=$G$8,ROW(KRITERIAKU)),ROW(D36)),41),"")</f>
        <v/>
      </c>
      <c r="G43" s="1192"/>
      <c r="H43" s="1193"/>
      <c r="I43" s="1194"/>
      <c r="K43" s="217" t="str">
        <f t="shared" si="0"/>
        <v>0</v>
      </c>
    </row>
    <row r="44" spans="1:11" hidden="1">
      <c r="A44" s="333"/>
      <c r="B44" s="1190" t="s">
        <v>80</v>
      </c>
      <c r="C44" s="1190"/>
      <c r="D44" s="1191">
        <f t="array" ref="D44">IFERROR(INDEX(Masteratk2024,SMALL(IF(Kriteriaatk2024=$M$3,ROW(Kriteriaatk2024)),ROW(D8)),14),"")</f>
        <v>25000</v>
      </c>
      <c r="E44" s="1192"/>
      <c r="F44" s="1191">
        <f>D44+2000</f>
        <v>27000</v>
      </c>
      <c r="G44" s="1192"/>
      <c r="H44" s="1193"/>
      <c r="I44" s="1194"/>
      <c r="K44" s="217" t="str">
        <f t="shared" si="0"/>
        <v>1</v>
      </c>
    </row>
    <row r="45" spans="1:11" ht="28.5" hidden="1" customHeight="1">
      <c r="A45" s="333"/>
      <c r="B45" s="1190" t="s">
        <v>15</v>
      </c>
      <c r="C45" s="1190"/>
      <c r="D45" s="1191" t="str">
        <f t="array" ref="D45">IFERROR(INDEX(Masteratk2024,SMALL(IF(Kriteriaatk2024=$M$3,ROW(Kriteriaatk2024)),ROW(D8)),17),"")</f>
        <v>KERTAS LEBEL KOTAK (Length 5.0cm, Width 5.0cm, Height 7.0cm, Weight 5gr)</v>
      </c>
      <c r="E45" s="1192"/>
      <c r="F45" s="1191" t="str">
        <f>D45</f>
        <v>KERTAS LEBEL KOTAK (Length 5.0cm, Width 5.0cm, Height 7.0cm, Weight 5gr)</v>
      </c>
      <c r="G45" s="1192"/>
      <c r="H45" s="1193"/>
      <c r="I45" s="1194"/>
      <c r="K45" s="217" t="str">
        <f t="shared" si="0"/>
        <v>1</v>
      </c>
    </row>
    <row r="46" spans="1:11" hidden="1">
      <c r="A46" s="333"/>
      <c r="B46" s="1190" t="s">
        <v>82</v>
      </c>
      <c r="C46" s="1190"/>
      <c r="D46" s="1191">
        <f>D44</f>
        <v>25000</v>
      </c>
      <c r="E46" s="1192"/>
      <c r="F46" s="1191">
        <f>D46+2000</f>
        <v>27000</v>
      </c>
      <c r="G46" s="1192"/>
      <c r="H46" s="1193"/>
      <c r="I46" s="1194"/>
      <c r="K46" s="217" t="str">
        <f t="shared" si="0"/>
        <v>1</v>
      </c>
    </row>
    <row r="47" spans="1:11" hidden="1">
      <c r="A47" s="333">
        <v>9</v>
      </c>
      <c r="B47" s="1190" t="s">
        <v>79</v>
      </c>
      <c r="C47" s="1190"/>
      <c r="D47" s="1191" t="str">
        <f t="array" ref="D47">IFERROR(INDEX(Masteratk2024,SMALL(IF(Kriteriaatk2024=$M$3,ROW(Kriteriaatk2024)),ROW(D9)),11),"")</f>
        <v>Amplop Coklat Merk : GSU Ukuran : 1/2 folio, bergaris</v>
      </c>
      <c r="E47" s="1192"/>
      <c r="F47" s="1191" t="str">
        <f>D47</f>
        <v>Amplop Coklat Merk : GSU Ukuran : 1/2 folio, bergaris</v>
      </c>
      <c r="G47" s="1192"/>
      <c r="H47" s="1193"/>
      <c r="I47" s="1194"/>
      <c r="K47" s="217" t="str">
        <f t="shared" si="0"/>
        <v>1</v>
      </c>
    </row>
    <row r="48" spans="1:11" ht="15.65" hidden="1" customHeight="1">
      <c r="A48" s="333"/>
      <c r="B48" s="1190" t="s">
        <v>225</v>
      </c>
      <c r="C48" s="1190"/>
      <c r="D48" s="1191"/>
      <c r="E48" s="1192"/>
      <c r="F48" s="1191" t="str">
        <f t="array" ref="F48">IFERROR(INDEX(MASTERKU,SMALL(IF(KRITERIAKU=$G$8,ROW(KRITERIAKU)),ROW(D41)),41),"")</f>
        <v/>
      </c>
      <c r="G48" s="1192"/>
      <c r="H48" s="1193"/>
      <c r="I48" s="1194"/>
      <c r="K48" s="217" t="str">
        <f t="shared" si="0"/>
        <v>0</v>
      </c>
    </row>
    <row r="49" spans="1:11" hidden="1">
      <c r="A49" s="333"/>
      <c r="B49" s="1190" t="s">
        <v>80</v>
      </c>
      <c r="C49" s="1190"/>
      <c r="D49" s="1191">
        <f t="array" ref="D49">IFERROR(INDEX(Masteratk2024,SMALL(IF(Kriteriaatk2024=$M$3,ROW(Kriteriaatk2024)),ROW(D9)),14),"")</f>
        <v>45000</v>
      </c>
      <c r="E49" s="1192"/>
      <c r="F49" s="1191">
        <f>D49+2000</f>
        <v>47000</v>
      </c>
      <c r="G49" s="1192"/>
      <c r="H49" s="1193"/>
      <c r="I49" s="1194"/>
      <c r="K49" s="217" t="str">
        <f t="shared" si="0"/>
        <v>1</v>
      </c>
    </row>
    <row r="50" spans="1:11" ht="32.5" hidden="1" customHeight="1">
      <c r="A50" s="333"/>
      <c r="B50" s="1190" t="s">
        <v>15</v>
      </c>
      <c r="C50" s="1190"/>
      <c r="D50" s="1191" t="str">
        <f t="array" ref="D50">IFERROR(INDEX(Masteratk2024,SMALL(IF(Kriteriaatk2024=$M$3,ROW(Kriteriaatk2024)),ROW(D9)),17),"")</f>
        <v>Amplop Coklat (Merk : GSU Ukuran : 1/2 folio, bergaris)</v>
      </c>
      <c r="E50" s="1192"/>
      <c r="F50" s="1191" t="str">
        <f>D50</f>
        <v>Amplop Coklat (Merk : GSU Ukuran : 1/2 folio, bergaris)</v>
      </c>
      <c r="G50" s="1192"/>
      <c r="H50" s="1193"/>
      <c r="I50" s="1194"/>
      <c r="K50" s="217" t="str">
        <f t="shared" si="0"/>
        <v>1</v>
      </c>
    </row>
    <row r="51" spans="1:11" hidden="1">
      <c r="A51" s="333"/>
      <c r="B51" s="1190" t="s">
        <v>82</v>
      </c>
      <c r="C51" s="1190"/>
      <c r="D51" s="1191">
        <f>D49</f>
        <v>45000</v>
      </c>
      <c r="E51" s="1192"/>
      <c r="F51" s="1191">
        <f>D51+2000</f>
        <v>47000</v>
      </c>
      <c r="G51" s="1192"/>
      <c r="H51" s="1193"/>
      <c r="I51" s="1194"/>
      <c r="K51" s="217" t="str">
        <f t="shared" si="0"/>
        <v>1</v>
      </c>
    </row>
    <row r="52" spans="1:11" ht="31.5" hidden="1" customHeight="1">
      <c r="A52" s="333">
        <v>10</v>
      </c>
      <c r="B52" s="1190" t="s">
        <v>79</v>
      </c>
      <c r="C52" s="1190"/>
      <c r="D52" s="1191" t="str">
        <f t="array" ref="D52">IFERROR(INDEX(Masteratk2024,SMALL(IF(Kriteriaatk2024=$M$3,ROW(Kriteriaatk2024)),ROW(D10)),11),"")</f>
        <v>Amplop Coklat Merk : Garda Ukuran Cabinet</v>
      </c>
      <c r="E52" s="1192"/>
      <c r="F52" s="1191" t="str">
        <f>D52</f>
        <v>Amplop Coklat Merk : Garda Ukuran Cabinet</v>
      </c>
      <c r="G52" s="1192"/>
      <c r="H52" s="1193"/>
      <c r="I52" s="1194"/>
      <c r="K52" s="217" t="str">
        <f t="shared" si="0"/>
        <v>1</v>
      </c>
    </row>
    <row r="53" spans="1:11" ht="15.65" hidden="1" customHeight="1">
      <c r="A53" s="333"/>
      <c r="B53" s="1190" t="s">
        <v>225</v>
      </c>
      <c r="C53" s="1190"/>
      <c r="D53" s="1191"/>
      <c r="E53" s="1192"/>
      <c r="F53" s="1191" t="str">
        <f t="array" ref="F53">IFERROR(INDEX(MASTERKU,SMALL(IF(KRITERIAKU=$G$8,ROW(KRITERIAKU)),ROW(D46)),41),"")</f>
        <v/>
      </c>
      <c r="G53" s="1192"/>
      <c r="H53" s="1193"/>
      <c r="I53" s="1194"/>
      <c r="K53" s="217" t="str">
        <f t="shared" si="0"/>
        <v>0</v>
      </c>
    </row>
    <row r="54" spans="1:11" hidden="1">
      <c r="A54" s="333"/>
      <c r="B54" s="1190" t="s">
        <v>80</v>
      </c>
      <c r="C54" s="1190"/>
      <c r="D54" s="1191">
        <f t="array" ref="D54">IFERROR(INDEX(Masteratk2024,SMALL(IF(Kriteriaatk2024=$M$3,ROW(Kriteriaatk2024)),ROW(D10)),14),"")</f>
        <v>23000</v>
      </c>
      <c r="E54" s="1192"/>
      <c r="F54" s="1191">
        <f>D54+2000</f>
        <v>25000</v>
      </c>
      <c r="G54" s="1192"/>
      <c r="H54" s="1193"/>
      <c r="I54" s="1194"/>
      <c r="K54" s="217" t="str">
        <f t="shared" si="0"/>
        <v>1</v>
      </c>
    </row>
    <row r="55" spans="1:11" ht="31.5" hidden="1" customHeight="1">
      <c r="A55" s="333"/>
      <c r="B55" s="1190" t="s">
        <v>15</v>
      </c>
      <c r="C55" s="1190"/>
      <c r="D55" s="1191" t="str">
        <f t="array" ref="D55">IFERROR(INDEX(Masteratk2024,SMALL(IF(Kriteriaatk2024=$M$3,ROW(Kriteriaatk2024)),ROW(D10)),17),"")</f>
        <v>Amplop (Merk : Amplop Garda Ukuran : Super Kabinet Warna : Coklat polos Isi / Pack :100 pcs Ukuran : 14 cm x 27 cm)</v>
      </c>
      <c r="E55" s="1192"/>
      <c r="F55" s="1191" t="str">
        <f>D55</f>
        <v>Amplop (Merk : Amplop Garda Ukuran : Super Kabinet Warna : Coklat polos Isi / Pack :100 pcs Ukuran : 14 cm x 27 cm)</v>
      </c>
      <c r="G55" s="1192"/>
      <c r="H55" s="1193"/>
      <c r="I55" s="1194"/>
      <c r="K55" s="217" t="str">
        <f t="shared" si="0"/>
        <v>1</v>
      </c>
    </row>
    <row r="56" spans="1:11" hidden="1">
      <c r="A56" s="333"/>
      <c r="B56" s="1190" t="s">
        <v>82</v>
      </c>
      <c r="C56" s="1190"/>
      <c r="D56" s="1191">
        <f>D54</f>
        <v>23000</v>
      </c>
      <c r="E56" s="1192"/>
      <c r="F56" s="1191">
        <f>D56+2000</f>
        <v>25000</v>
      </c>
      <c r="G56" s="1192"/>
      <c r="H56" s="1193"/>
      <c r="I56" s="1194"/>
      <c r="K56" s="217" t="str">
        <f t="shared" si="0"/>
        <v>1</v>
      </c>
    </row>
    <row r="57" spans="1:11" hidden="1">
      <c r="A57" s="333">
        <v>11</v>
      </c>
      <c r="B57" s="1190" t="s">
        <v>79</v>
      </c>
      <c r="C57" s="1190"/>
      <c r="D57" s="1191" t="str">
        <f t="array" ref="D57">IFERROR(INDEX(Masteratk2024,SMALL(IF(Kriteriaatk2024=$M$3,ROW(Kriteriaatk2024)),ROW(D11)),11),"")</f>
        <v>Amplop Coklat Merk : GSU Ukuran Folio polos</v>
      </c>
      <c r="E57" s="1192"/>
      <c r="F57" s="1191" t="str">
        <f>D57</f>
        <v>Amplop Coklat Merk : GSU Ukuran Folio polos</v>
      </c>
      <c r="G57" s="1192"/>
      <c r="H57" s="1193"/>
      <c r="I57" s="1194"/>
      <c r="K57" s="217" t="str">
        <f t="shared" si="0"/>
        <v>1</v>
      </c>
    </row>
    <row r="58" spans="1:11" ht="15.65" hidden="1" customHeight="1">
      <c r="A58" s="333"/>
      <c r="B58" s="1190" t="s">
        <v>225</v>
      </c>
      <c r="C58" s="1190"/>
      <c r="D58" s="1191"/>
      <c r="E58" s="1192"/>
      <c r="F58" s="1191" t="str">
        <f t="array" ref="F58">IFERROR(INDEX(MASTERKU,SMALL(IF(KRITERIAKU=$G$8,ROW(KRITERIAKU)),ROW(D51)),41),"")</f>
        <v/>
      </c>
      <c r="G58" s="1192"/>
      <c r="H58" s="1193"/>
      <c r="I58" s="1194"/>
      <c r="K58" s="217" t="str">
        <f t="shared" si="0"/>
        <v>0</v>
      </c>
    </row>
    <row r="59" spans="1:11" hidden="1">
      <c r="A59" s="333"/>
      <c r="B59" s="1190" t="s">
        <v>80</v>
      </c>
      <c r="C59" s="1190"/>
      <c r="D59" s="1191">
        <f t="array" ref="D59">IFERROR(INDEX(Masteratk2024,SMALL(IF(Kriteriaatk2024=$M$3,ROW(Kriteriaatk2024)),ROW(D11)),14),"")</f>
        <v>60000</v>
      </c>
      <c r="E59" s="1192"/>
      <c r="F59" s="1191">
        <f>D59+2000</f>
        <v>62000</v>
      </c>
      <c r="G59" s="1192"/>
      <c r="H59" s="1193"/>
      <c r="I59" s="1194"/>
      <c r="K59" s="217" t="str">
        <f t="shared" si="0"/>
        <v>1</v>
      </c>
    </row>
    <row r="60" spans="1:11" ht="30.65" hidden="1" customHeight="1">
      <c r="A60" s="333"/>
      <c r="B60" s="1190" t="s">
        <v>15</v>
      </c>
      <c r="C60" s="1190"/>
      <c r="D60" s="1191" t="str">
        <f t="array" ref="D60">IFERROR(INDEX(Masteratk2024,SMALL(IF(Kriteriaatk2024=$M$3,ROW(Kriteriaatk2024)),ROW(D11)),17),"")</f>
        <v>Amplop Coklat Folio (Berat: 1000 gram. Panjang: 25 cm. Lebar: 5 cm. Tinggi: 35 cm)</v>
      </c>
      <c r="E60" s="1192"/>
      <c r="F60" s="1191" t="str">
        <f>D60</f>
        <v>Amplop Coklat Folio (Berat: 1000 gram. Panjang: 25 cm. Lebar: 5 cm. Tinggi: 35 cm)</v>
      </c>
      <c r="G60" s="1192"/>
      <c r="H60" s="1193"/>
      <c r="I60" s="1194"/>
      <c r="K60" s="217" t="str">
        <f t="shared" si="0"/>
        <v>1</v>
      </c>
    </row>
    <row r="61" spans="1:11" hidden="1">
      <c r="A61" s="333"/>
      <c r="B61" s="1190" t="s">
        <v>82</v>
      </c>
      <c r="C61" s="1190"/>
      <c r="D61" s="1191">
        <f>D59</f>
        <v>60000</v>
      </c>
      <c r="E61" s="1192"/>
      <c r="F61" s="1191">
        <f>D61+2000</f>
        <v>62000</v>
      </c>
      <c r="G61" s="1192"/>
      <c r="H61" s="1193"/>
      <c r="I61" s="1194"/>
      <c r="K61" s="217" t="str">
        <f t="shared" si="0"/>
        <v>1</v>
      </c>
    </row>
    <row r="62" spans="1:11" hidden="1">
      <c r="A62" s="333">
        <v>12</v>
      </c>
      <c r="B62" s="1190" t="s">
        <v>79</v>
      </c>
      <c r="C62" s="1190"/>
      <c r="D62" s="1191" t="str">
        <f t="array" ref="D62">IFERROR(INDEX(Masteratk2024,SMALL(IF(Kriteriaatk2024=$M$3,ROW(Kriteriaatk2024)),ROW(D12)),11),"")</f>
        <v>Amplop Panjang Putih Polos Merk : Jaya Ukuran : 11 x 23 cm</v>
      </c>
      <c r="E62" s="1192"/>
      <c r="F62" s="1191" t="str">
        <f>D62</f>
        <v>Amplop Panjang Putih Polos Merk : Jaya Ukuran : 11 x 23 cm</v>
      </c>
      <c r="G62" s="1192"/>
      <c r="H62" s="1193"/>
      <c r="I62" s="1194"/>
      <c r="K62" s="217" t="str">
        <f t="shared" si="0"/>
        <v>1</v>
      </c>
    </row>
    <row r="63" spans="1:11" ht="15.65" hidden="1" customHeight="1">
      <c r="A63" s="333"/>
      <c r="B63" s="1190" t="s">
        <v>225</v>
      </c>
      <c r="C63" s="1190"/>
      <c r="D63" s="1191"/>
      <c r="E63" s="1192"/>
      <c r="F63" s="1191" t="str">
        <f t="array" ref="F63">IFERROR(INDEX(MASTERKU,SMALL(IF(KRITERIAKU=$G$8,ROW(KRITERIAKU)),ROW(D56)),41),"")</f>
        <v/>
      </c>
      <c r="G63" s="1192"/>
      <c r="H63" s="1193"/>
      <c r="I63" s="1194"/>
      <c r="K63" s="217" t="str">
        <f t="shared" si="0"/>
        <v>0</v>
      </c>
    </row>
    <row r="64" spans="1:11" hidden="1">
      <c r="A64" s="333"/>
      <c r="B64" s="1190" t="s">
        <v>80</v>
      </c>
      <c r="C64" s="1190"/>
      <c r="D64" s="1191">
        <f t="array" ref="D64">IFERROR(INDEX(Masteratk2024,SMALL(IF(Kriteriaatk2024=$M$3,ROW(Kriteriaatk2024)),ROW(D12)),14),"")</f>
        <v>48000</v>
      </c>
      <c r="E64" s="1192"/>
      <c r="F64" s="1191">
        <f>D64+2000</f>
        <v>50000</v>
      </c>
      <c r="G64" s="1192"/>
      <c r="H64" s="1193"/>
      <c r="I64" s="1194"/>
      <c r="K64" s="217" t="str">
        <f t="shared" si="0"/>
        <v>1</v>
      </c>
    </row>
    <row r="65" spans="1:11" ht="29.15" hidden="1" customHeight="1">
      <c r="A65" s="333"/>
      <c r="B65" s="1190" t="s">
        <v>15</v>
      </c>
      <c r="C65" s="1190"/>
      <c r="D65" s="1191" t="str">
        <f t="array" ref="D65">IFERROR(INDEX(Masteratk2024,SMALL(IF(Kriteriaatk2024=$M$3,ROW(Kriteriaatk2024)),ROW(D12)),17),"")</f>
        <v xml:space="preserve"> Amplop Panjang Putih Polos (Merk : Jaya Ukuran : 11 x 23 cm)</v>
      </c>
      <c r="E65" s="1192"/>
      <c r="F65" s="1191" t="str">
        <f>D65</f>
        <v xml:space="preserve"> Amplop Panjang Putih Polos (Merk : Jaya Ukuran : 11 x 23 cm)</v>
      </c>
      <c r="G65" s="1192"/>
      <c r="H65" s="1193"/>
      <c r="I65" s="1194"/>
      <c r="K65" s="217" t="str">
        <f t="shared" si="0"/>
        <v>1</v>
      </c>
    </row>
    <row r="66" spans="1:11" hidden="1">
      <c r="A66" s="333"/>
      <c r="B66" s="1190" t="s">
        <v>82</v>
      </c>
      <c r="C66" s="1190"/>
      <c r="D66" s="1191">
        <f>D64</f>
        <v>48000</v>
      </c>
      <c r="E66" s="1192"/>
      <c r="F66" s="1191">
        <f>D66+2000</f>
        <v>50000</v>
      </c>
      <c r="G66" s="1192"/>
      <c r="H66" s="1193"/>
      <c r="I66" s="1194"/>
      <c r="K66" s="217" t="str">
        <f t="shared" si="0"/>
        <v>1</v>
      </c>
    </row>
    <row r="67" spans="1:11" hidden="1">
      <c r="A67" s="333">
        <v>13</v>
      </c>
      <c r="B67" s="1190" t="s">
        <v>79</v>
      </c>
      <c r="C67" s="1190"/>
      <c r="D67" s="1191" t="str">
        <f t="array" ref="D67">IFERROR(INDEX(Masteratk2024,SMALL(IF(Kriteriaatk2024=$M$3,ROW(Kriteriaatk2024)),ROW(D13)),11),"")</f>
        <v>Ballpoint Boldiner Standar</v>
      </c>
      <c r="E67" s="1192"/>
      <c r="F67" s="1191" t="str">
        <f>D67</f>
        <v>Ballpoint Boldiner Standar</v>
      </c>
      <c r="G67" s="1192"/>
      <c r="H67" s="1193"/>
      <c r="I67" s="1194"/>
      <c r="K67" s="217" t="str">
        <f t="shared" si="0"/>
        <v>1</v>
      </c>
    </row>
    <row r="68" spans="1:11" ht="15.65" hidden="1" customHeight="1">
      <c r="A68" s="333"/>
      <c r="B68" s="1190" t="s">
        <v>225</v>
      </c>
      <c r="C68" s="1190"/>
      <c r="D68" s="1191"/>
      <c r="E68" s="1192"/>
      <c r="F68" s="1191" t="str">
        <f t="array" ref="F68">IFERROR(INDEX(MASTERKU,SMALL(IF(KRITERIAKU=$G$8,ROW(KRITERIAKU)),ROW(D61)),41),"")</f>
        <v/>
      </c>
      <c r="G68" s="1192"/>
      <c r="H68" s="1193"/>
      <c r="I68" s="1194"/>
      <c r="K68" s="217" t="str">
        <f t="shared" si="0"/>
        <v>0</v>
      </c>
    </row>
    <row r="69" spans="1:11" hidden="1">
      <c r="A69" s="333"/>
      <c r="B69" s="1190" t="s">
        <v>80</v>
      </c>
      <c r="C69" s="1190"/>
      <c r="D69" s="1191">
        <f t="array" ref="D69">IFERROR(INDEX(Masteratk2024,SMALL(IF(Kriteriaatk2024=$M$3,ROW(Kriteriaatk2024)),ROW(D13)),14),"")</f>
        <v>225000</v>
      </c>
      <c r="E69" s="1192"/>
      <c r="F69" s="1191">
        <f>D69+2000</f>
        <v>227000</v>
      </c>
      <c r="G69" s="1192"/>
      <c r="H69" s="1193"/>
      <c r="I69" s="1194"/>
      <c r="K69" s="217" t="str">
        <f t="shared" si="0"/>
        <v>1</v>
      </c>
    </row>
    <row r="70" spans="1:11" ht="31.5" hidden="1" customHeight="1">
      <c r="A70" s="333"/>
      <c r="B70" s="1190" t="s">
        <v>15</v>
      </c>
      <c r="C70" s="1190"/>
      <c r="D70" s="1191" t="str">
        <f t="array" ref="D70">IFERROR(INDEX(Masteratk2024,SMALL(IF(Kriteriaatk2024=$M$3,ROW(Kriteriaatk2024)),ROW(D13)),17),"")</f>
        <v xml:space="preserve">Ballpoint Boldiner Standar  (Satuan. 300 Gram ; Dimensi Ukuran. 15X5X7.5Cm. (Berat Volume: 0.09Kg) </v>
      </c>
      <c r="E70" s="1192"/>
      <c r="F70" s="1191" t="str">
        <f>D70</f>
        <v xml:space="preserve">Ballpoint Boldiner Standar  (Satuan. 300 Gram ; Dimensi Ukuran. 15X5X7.5Cm. (Berat Volume: 0.09Kg) </v>
      </c>
      <c r="G70" s="1192"/>
      <c r="H70" s="1193"/>
      <c r="I70" s="1194"/>
      <c r="K70" s="217" t="str">
        <f t="shared" si="0"/>
        <v>1</v>
      </c>
    </row>
    <row r="71" spans="1:11" hidden="1">
      <c r="A71" s="333"/>
      <c r="B71" s="1190" t="s">
        <v>82</v>
      </c>
      <c r="C71" s="1190"/>
      <c r="D71" s="1191">
        <f>D69</f>
        <v>225000</v>
      </c>
      <c r="E71" s="1192"/>
      <c r="F71" s="1191">
        <f>D71+2000</f>
        <v>227000</v>
      </c>
      <c r="G71" s="1192"/>
      <c r="H71" s="1193"/>
      <c r="I71" s="1194"/>
      <c r="K71" s="217" t="str">
        <f t="shared" si="0"/>
        <v>1</v>
      </c>
    </row>
    <row r="72" spans="1:11" hidden="1">
      <c r="A72" s="333">
        <v>14</v>
      </c>
      <c r="B72" s="1190" t="s">
        <v>79</v>
      </c>
      <c r="C72" s="1190"/>
      <c r="D72" s="1191" t="str">
        <f t="array" ref="D72">IFERROR(INDEX(Masteratk2024,SMALL(IF(Kriteriaatk2024=$M$3,ROW(Kriteriaatk2024)),ROW(D14)),11),"")</f>
        <v>Ballpoint Drawing Pen 0,1 Snowman</v>
      </c>
      <c r="E72" s="1192"/>
      <c r="F72" s="1191" t="str">
        <f>D72</f>
        <v>Ballpoint Drawing Pen 0,1 Snowman</v>
      </c>
      <c r="G72" s="1192"/>
      <c r="H72" s="1193"/>
      <c r="I72" s="1194"/>
      <c r="K72" s="217" t="str">
        <f t="shared" ref="K72:K126" si="1">IF(D72="","0","1")</f>
        <v>1</v>
      </c>
    </row>
    <row r="73" spans="1:11" ht="15.65" hidden="1" customHeight="1">
      <c r="A73" s="333"/>
      <c r="B73" s="1190" t="s">
        <v>225</v>
      </c>
      <c r="C73" s="1190"/>
      <c r="D73" s="1191"/>
      <c r="E73" s="1192"/>
      <c r="F73" s="1191" t="str">
        <f t="array" ref="F73">IFERROR(INDEX(MASTERKU,SMALL(IF(KRITERIAKU=$G$8,ROW(KRITERIAKU)),ROW(D66)),41),"")</f>
        <v/>
      </c>
      <c r="G73" s="1192"/>
      <c r="H73" s="1193"/>
      <c r="I73" s="1194"/>
      <c r="K73" s="217" t="str">
        <f t="shared" si="1"/>
        <v>0</v>
      </c>
    </row>
    <row r="74" spans="1:11" hidden="1">
      <c r="A74" s="333"/>
      <c r="B74" s="1190" t="s">
        <v>80</v>
      </c>
      <c r="C74" s="1190"/>
      <c r="D74" s="1191">
        <f t="array" ref="D74">IFERROR(INDEX(Masteratk2024,SMALL(IF(Kriteriaatk2024=$M$3,ROW(Kriteriaatk2024)),ROW(D14)),14),"")</f>
        <v>95000</v>
      </c>
      <c r="E74" s="1192"/>
      <c r="F74" s="1191">
        <f>D74+2000</f>
        <v>97000</v>
      </c>
      <c r="G74" s="1192"/>
      <c r="H74" s="1193"/>
      <c r="I74" s="1194"/>
      <c r="K74" s="217" t="str">
        <f t="shared" si="1"/>
        <v>1</v>
      </c>
    </row>
    <row r="75" spans="1:11" ht="32.5" hidden="1" customHeight="1">
      <c r="A75" s="333"/>
      <c r="B75" s="1190" t="s">
        <v>15</v>
      </c>
      <c r="C75" s="1190"/>
      <c r="D75" s="1191" t="str">
        <f t="array" ref="D75">IFERROR(INDEX(Masteratk2024,SMALL(IF(Kriteriaatk2024=$M$3,ROW(Kriteriaatk2024)),ROW(D14)),17),"")</f>
        <v>Ballpoint Drawing Pen 0,5 Snowman (Length 5.0Cm, Width 5.0Cm, Height 5.0Cm, Weight 5Gr)</v>
      </c>
      <c r="E75" s="1192"/>
      <c r="F75" s="1191" t="str">
        <f>D75</f>
        <v>Ballpoint Drawing Pen 0,5 Snowman (Length 5.0Cm, Width 5.0Cm, Height 5.0Cm, Weight 5Gr)</v>
      </c>
      <c r="G75" s="1192"/>
      <c r="H75" s="1193"/>
      <c r="I75" s="1194"/>
      <c r="K75" s="217" t="str">
        <f t="shared" si="1"/>
        <v>1</v>
      </c>
    </row>
    <row r="76" spans="1:11" hidden="1">
      <c r="A76" s="333"/>
      <c r="B76" s="1190" t="s">
        <v>82</v>
      </c>
      <c r="C76" s="1190"/>
      <c r="D76" s="1191">
        <f>D74</f>
        <v>95000</v>
      </c>
      <c r="E76" s="1192"/>
      <c r="F76" s="1191">
        <f>D76+2000</f>
        <v>97000</v>
      </c>
      <c r="G76" s="1192"/>
      <c r="H76" s="1193"/>
      <c r="I76" s="1194"/>
      <c r="K76" s="217" t="str">
        <f t="shared" si="1"/>
        <v>1</v>
      </c>
    </row>
    <row r="77" spans="1:11" hidden="1">
      <c r="A77" s="333">
        <v>15</v>
      </c>
      <c r="B77" s="1190" t="s">
        <v>79</v>
      </c>
      <c r="C77" s="1190"/>
      <c r="D77" s="1191" t="str">
        <f t="array" ref="D77">IFERROR(INDEX(Masteratk2024,SMALL(IF(Kriteriaatk2024=$M$3,ROW(Kriteriaatk2024)),ROW(D15)),11),"")</f>
        <v>Ballpoint Standard AE7</v>
      </c>
      <c r="E77" s="1192"/>
      <c r="F77" s="1191" t="str">
        <f>D77</f>
        <v>Ballpoint Standard AE7</v>
      </c>
      <c r="G77" s="1192"/>
      <c r="H77" s="1193"/>
      <c r="I77" s="1194"/>
      <c r="K77" s="217" t="str">
        <f t="shared" si="1"/>
        <v>1</v>
      </c>
    </row>
    <row r="78" spans="1:11" ht="15.65" hidden="1" customHeight="1">
      <c r="A78" s="333"/>
      <c r="B78" s="1190" t="s">
        <v>225</v>
      </c>
      <c r="C78" s="1190"/>
      <c r="D78" s="1191"/>
      <c r="E78" s="1192"/>
      <c r="F78" s="1191" t="str">
        <f t="array" ref="F78">IFERROR(INDEX(MASTERKU,SMALL(IF(KRITERIAKU=$G$8,ROW(KRITERIAKU)),ROW(D71)),41),"")</f>
        <v/>
      </c>
      <c r="G78" s="1192"/>
      <c r="H78" s="1193"/>
      <c r="I78" s="1194"/>
      <c r="K78" s="217" t="str">
        <f t="shared" si="1"/>
        <v>0</v>
      </c>
    </row>
    <row r="79" spans="1:11" hidden="1">
      <c r="A79" s="333"/>
      <c r="B79" s="1190" t="s">
        <v>80</v>
      </c>
      <c r="C79" s="1190"/>
      <c r="D79" s="1191">
        <f t="array" ref="D79">IFERROR(INDEX(Masteratk2024,SMALL(IF(Kriteriaatk2024=$M$3,ROW(Kriteriaatk2024)),ROW(D15)),14),"")</f>
        <v>20000</v>
      </c>
      <c r="E79" s="1192"/>
      <c r="F79" s="1191">
        <f>D79+2000</f>
        <v>22000</v>
      </c>
      <c r="G79" s="1192"/>
      <c r="H79" s="1193"/>
      <c r="I79" s="1194"/>
      <c r="K79" s="217" t="str">
        <f t="shared" si="1"/>
        <v>1</v>
      </c>
    </row>
    <row r="80" spans="1:11" ht="33.65" hidden="1" customHeight="1">
      <c r="A80" s="333"/>
      <c r="B80" s="1190" t="s">
        <v>15</v>
      </c>
      <c r="C80" s="1190"/>
      <c r="D80" s="1191" t="str">
        <f t="array" ref="D80">IFERROR(INDEX(Masteratk2024,SMALL(IF(Kriteriaatk2024=$M$3,ROW(Kriteriaatk2024)),ROW(D15)),17),"")</f>
        <v>Ballpoint Standard AE7 (Jenis Barang: Pulpen Merk: Standard Tipe: AE-7 Ukuran: 0.5 mm; Warna Tinta, hitam)</v>
      </c>
      <c r="E80" s="1192"/>
      <c r="F80" s="1191" t="str">
        <f>D80</f>
        <v>Ballpoint Standard AE7 (Jenis Barang: Pulpen Merk: Standard Tipe: AE-7 Ukuran: 0.5 mm; Warna Tinta, hitam)</v>
      </c>
      <c r="G80" s="1192"/>
      <c r="H80" s="1193"/>
      <c r="I80" s="1194"/>
      <c r="K80" s="217" t="str">
        <f t="shared" si="1"/>
        <v>1</v>
      </c>
    </row>
    <row r="81" spans="1:11" hidden="1">
      <c r="A81" s="333"/>
      <c r="B81" s="1190" t="s">
        <v>82</v>
      </c>
      <c r="C81" s="1190"/>
      <c r="D81" s="1191">
        <f>D79</f>
        <v>20000</v>
      </c>
      <c r="E81" s="1192"/>
      <c r="F81" s="1191">
        <f>D81+2000</f>
        <v>22000</v>
      </c>
      <c r="G81" s="1192"/>
      <c r="H81" s="1193"/>
      <c r="I81" s="1194"/>
      <c r="K81" s="217" t="str">
        <f t="shared" si="1"/>
        <v>1</v>
      </c>
    </row>
    <row r="82" spans="1:11" hidden="1">
      <c r="A82" s="333">
        <v>16</v>
      </c>
      <c r="B82" s="1190" t="s">
        <v>79</v>
      </c>
      <c r="C82" s="1190"/>
      <c r="D82" s="1191" t="str">
        <f t="array" ref="D82">IFERROR(INDEX(Masteratk2024,SMALL(IF(Kriteriaatk2024=$M$3,ROW(Kriteriaatk2024)),ROW(D16)),11),"")</f>
        <v>Ballpoint Pilot G2</v>
      </c>
      <c r="E82" s="1192"/>
      <c r="F82" s="1191" t="str">
        <f>D82</f>
        <v>Ballpoint Pilot G2</v>
      </c>
      <c r="G82" s="1192"/>
      <c r="H82" s="1193"/>
      <c r="I82" s="1194"/>
      <c r="K82" s="217" t="str">
        <f t="shared" si="1"/>
        <v>1</v>
      </c>
    </row>
    <row r="83" spans="1:11" ht="15.65" hidden="1" customHeight="1">
      <c r="A83" s="333"/>
      <c r="B83" s="1190" t="s">
        <v>225</v>
      </c>
      <c r="C83" s="1190"/>
      <c r="D83" s="1191"/>
      <c r="E83" s="1192"/>
      <c r="F83" s="1191" t="str">
        <f t="array" ref="F83">IFERROR(INDEX(MASTERKU,SMALL(IF(KRITERIAKU=$G$8,ROW(KRITERIAKU)),ROW(D76)),41),"")</f>
        <v/>
      </c>
      <c r="G83" s="1192"/>
      <c r="H83" s="1193"/>
      <c r="I83" s="1194"/>
      <c r="K83" s="217" t="str">
        <f t="shared" si="1"/>
        <v>0</v>
      </c>
    </row>
    <row r="84" spans="1:11" hidden="1">
      <c r="A84" s="333"/>
      <c r="B84" s="1190" t="s">
        <v>80</v>
      </c>
      <c r="C84" s="1190"/>
      <c r="D84" s="1191">
        <f t="array" ref="D84">IFERROR(INDEX(Masteratk2024,SMALL(IF(Kriteriaatk2024=$M$3,ROW(Kriteriaatk2024)),ROW(D16)),14),"")</f>
        <v>235000</v>
      </c>
      <c r="E84" s="1192"/>
      <c r="F84" s="1191">
        <f>D84+2000</f>
        <v>237000</v>
      </c>
      <c r="G84" s="1192"/>
      <c r="H84" s="1193"/>
      <c r="I84" s="1194"/>
      <c r="K84" s="217" t="str">
        <f t="shared" si="1"/>
        <v>1</v>
      </c>
    </row>
    <row r="85" spans="1:11" ht="30.65" hidden="1" customHeight="1">
      <c r="A85" s="333"/>
      <c r="B85" s="1190" t="s">
        <v>15</v>
      </c>
      <c r="C85" s="1190"/>
      <c r="D85" s="1191" t="str">
        <f t="array" ref="D85">IFERROR(INDEX(Masteratk2024,SMALL(IF(Kriteriaatk2024=$M$3,ROW(Kriteriaatk2024)),ROW(D16)),17),"")</f>
        <v>Ballpoint Pilot G2 (Length 5.0Cm, Width 5.0Cm, Height 5.0Cm, Weight 5Gr)</v>
      </c>
      <c r="E85" s="1192"/>
      <c r="F85" s="1191" t="str">
        <f>D85</f>
        <v>Ballpoint Pilot G2 (Length 5.0Cm, Width 5.0Cm, Height 5.0Cm, Weight 5Gr)</v>
      </c>
      <c r="G85" s="1192"/>
      <c r="H85" s="1193"/>
      <c r="I85" s="1194"/>
      <c r="K85" s="217" t="str">
        <f t="shared" si="1"/>
        <v>1</v>
      </c>
    </row>
    <row r="86" spans="1:11" hidden="1">
      <c r="A86" s="333"/>
      <c r="B86" s="1190" t="s">
        <v>82</v>
      </c>
      <c r="C86" s="1190"/>
      <c r="D86" s="1191">
        <f>D84</f>
        <v>235000</v>
      </c>
      <c r="E86" s="1192"/>
      <c r="F86" s="1191">
        <f>D86+2000</f>
        <v>237000</v>
      </c>
      <c r="G86" s="1192"/>
      <c r="H86" s="1193"/>
      <c r="I86" s="1194"/>
      <c r="K86" s="217" t="str">
        <f t="shared" si="1"/>
        <v>1</v>
      </c>
    </row>
    <row r="87" spans="1:11" hidden="1">
      <c r="A87" s="333">
        <v>17</v>
      </c>
      <c r="B87" s="1190" t="s">
        <v>79</v>
      </c>
      <c r="C87" s="1190"/>
      <c r="D87" s="1191" t="str">
        <f t="array" ref="D87">IFERROR(INDEX(Masteratk2024,SMALL(IF(Kriteriaatk2024=$M$3,ROW(Kriteriaatk2024)),ROW(D17)),11),"")</f>
        <v>Binder Klip  nomor 107</v>
      </c>
      <c r="E87" s="1192"/>
      <c r="F87" s="1191" t="str">
        <f>D87</f>
        <v>Binder Klip  nomor 107</v>
      </c>
      <c r="G87" s="1192"/>
      <c r="H87" s="1193"/>
      <c r="I87" s="1194"/>
      <c r="K87" s="217" t="str">
        <f t="shared" si="1"/>
        <v>1</v>
      </c>
    </row>
    <row r="88" spans="1:11" ht="15.65" hidden="1" customHeight="1">
      <c r="A88" s="333"/>
      <c r="B88" s="1190" t="s">
        <v>225</v>
      </c>
      <c r="C88" s="1190"/>
      <c r="D88" s="1191"/>
      <c r="E88" s="1192"/>
      <c r="F88" s="1191" t="str">
        <f t="array" ref="F88">IFERROR(INDEX(MASTERKU,SMALL(IF(KRITERIAKU=$G$8,ROW(KRITERIAKU)),ROW(D81)),41),"")</f>
        <v/>
      </c>
      <c r="G88" s="1192"/>
      <c r="H88" s="1193"/>
      <c r="I88" s="1194"/>
      <c r="K88" s="217" t="str">
        <f t="shared" si="1"/>
        <v>0</v>
      </c>
    </row>
    <row r="89" spans="1:11" hidden="1">
      <c r="A89" s="333"/>
      <c r="B89" s="1190" t="s">
        <v>80</v>
      </c>
      <c r="C89" s="1190"/>
      <c r="D89" s="1191">
        <f t="array" ref="D89">IFERROR(INDEX(Masteratk2024,SMALL(IF(Kriteriaatk2024=$M$3,ROW(Kriteriaatk2024)),ROW(D17)),14),"")</f>
        <v>7800</v>
      </c>
      <c r="E89" s="1192"/>
      <c r="F89" s="1191">
        <f>D89+2000</f>
        <v>9800</v>
      </c>
      <c r="G89" s="1192"/>
      <c r="H89" s="1193"/>
      <c r="I89" s="1194"/>
      <c r="K89" s="217" t="str">
        <f t="shared" si="1"/>
        <v>1</v>
      </c>
    </row>
    <row r="90" spans="1:11" ht="42" hidden="1" customHeight="1">
      <c r="A90" s="333"/>
      <c r="B90" s="1190" t="s">
        <v>15</v>
      </c>
      <c r="C90" s="1190"/>
      <c r="D90" s="1191" t="str">
        <f t="array" ref="D90">IFERROR(INDEX(Masteratk2024,SMALL(IF(Kriteriaatk2024=$M$3,ROW(Kriteriaatk2024)),ROW(D17)),17),"")</f>
        <v>Binder Clip N0 107 (Length 5.0Cm, Width 5.0Cm, Height 5.0Cm, Weight 5Gr)</v>
      </c>
      <c r="E90" s="1192"/>
      <c r="F90" s="1191" t="str">
        <f>D90</f>
        <v>Binder Clip N0 107 (Length 5.0Cm, Width 5.0Cm, Height 5.0Cm, Weight 5Gr)</v>
      </c>
      <c r="G90" s="1192"/>
      <c r="H90" s="1193"/>
      <c r="I90" s="1194"/>
      <c r="K90" s="217" t="str">
        <f t="shared" si="1"/>
        <v>1</v>
      </c>
    </row>
    <row r="91" spans="1:11" hidden="1">
      <c r="A91" s="333"/>
      <c r="B91" s="1190" t="s">
        <v>82</v>
      </c>
      <c r="C91" s="1190"/>
      <c r="D91" s="1191">
        <f>D89</f>
        <v>7800</v>
      </c>
      <c r="E91" s="1192"/>
      <c r="F91" s="1191">
        <f>D91+2000</f>
        <v>9800</v>
      </c>
      <c r="G91" s="1192"/>
      <c r="H91" s="1193"/>
      <c r="I91" s="1194"/>
      <c r="K91" s="217" t="str">
        <f t="shared" si="1"/>
        <v>1</v>
      </c>
    </row>
    <row r="92" spans="1:11" hidden="1">
      <c r="A92" s="333">
        <v>18</v>
      </c>
      <c r="B92" s="1190" t="s">
        <v>79</v>
      </c>
      <c r="C92" s="1190"/>
      <c r="D92" s="1191" t="str">
        <f t="array" ref="D92">IFERROR(INDEX(Masteratk2024,SMALL(IF(Kriteriaatk2024=$M$3,ROW(Kriteriaatk2024)),ROW(D18)),11),"")</f>
        <v>Binder Klip  nomor 111</v>
      </c>
      <c r="E92" s="1192"/>
      <c r="F92" s="1191" t="str">
        <f>D92</f>
        <v>Binder Klip  nomor 111</v>
      </c>
      <c r="G92" s="1192"/>
      <c r="H92" s="1193"/>
      <c r="I92" s="1194"/>
      <c r="K92" s="217" t="str">
        <f t="shared" si="1"/>
        <v>1</v>
      </c>
    </row>
    <row r="93" spans="1:11" ht="15.65" hidden="1" customHeight="1">
      <c r="A93" s="333"/>
      <c r="B93" s="1190" t="s">
        <v>225</v>
      </c>
      <c r="C93" s="1190"/>
      <c r="D93" s="1191"/>
      <c r="E93" s="1192"/>
      <c r="F93" s="1191" t="str">
        <f t="array" ref="F93">IFERROR(INDEX(MASTERKU,SMALL(IF(KRITERIAKU=$G$8,ROW(KRITERIAKU)),ROW(D86)),41),"")</f>
        <v/>
      </c>
      <c r="G93" s="1192"/>
      <c r="H93" s="1193"/>
      <c r="I93" s="1194"/>
      <c r="K93" s="217" t="str">
        <f t="shared" si="1"/>
        <v>0</v>
      </c>
    </row>
    <row r="94" spans="1:11" hidden="1">
      <c r="A94" s="333"/>
      <c r="B94" s="1190" t="s">
        <v>80</v>
      </c>
      <c r="C94" s="1190"/>
      <c r="D94" s="1191">
        <f t="array" ref="D94">IFERROR(INDEX(Masteratk2024,SMALL(IF(Kriteriaatk2024=$M$3,ROW(Kriteriaatk2024)),ROW(D18)),14),"")</f>
        <v>11000</v>
      </c>
      <c r="E94" s="1192"/>
      <c r="F94" s="1191">
        <f>D94+2000</f>
        <v>13000</v>
      </c>
      <c r="G94" s="1192"/>
      <c r="H94" s="1193"/>
      <c r="I94" s="1194"/>
      <c r="K94" s="217" t="str">
        <f t="shared" si="1"/>
        <v>1</v>
      </c>
    </row>
    <row r="95" spans="1:11" ht="31.5" hidden="1" customHeight="1">
      <c r="A95" s="333"/>
      <c r="B95" s="1190" t="s">
        <v>15</v>
      </c>
      <c r="C95" s="1190"/>
      <c r="D95" s="1191" t="str">
        <f t="array" ref="D95">IFERROR(INDEX(Masteratk2024,SMALL(IF(Kriteriaatk2024=$M$3,ROW(Kriteriaatk2024)),ROW(D18)),17),"")</f>
        <v>Binder Clip No 111 (Length 5.0Cm, Width 5.0Cm, Height 5.0Cm, Weight 5Gr)</v>
      </c>
      <c r="E95" s="1192"/>
      <c r="F95" s="1191" t="str">
        <f>D95</f>
        <v>Binder Clip No 111 (Length 5.0Cm, Width 5.0Cm, Height 5.0Cm, Weight 5Gr)</v>
      </c>
      <c r="G95" s="1192"/>
      <c r="H95" s="1193"/>
      <c r="I95" s="1194"/>
      <c r="K95" s="217" t="str">
        <f t="shared" si="1"/>
        <v>1</v>
      </c>
    </row>
    <row r="96" spans="1:11" hidden="1">
      <c r="A96" s="333"/>
      <c r="B96" s="1190" t="s">
        <v>82</v>
      </c>
      <c r="C96" s="1190"/>
      <c r="D96" s="1191">
        <f>D94</f>
        <v>11000</v>
      </c>
      <c r="E96" s="1192"/>
      <c r="F96" s="1191">
        <f>D96+2000</f>
        <v>13000</v>
      </c>
      <c r="G96" s="1192"/>
      <c r="H96" s="1193"/>
      <c r="I96" s="1194"/>
      <c r="K96" s="217" t="str">
        <f t="shared" si="1"/>
        <v>1</v>
      </c>
    </row>
    <row r="97" spans="1:11" hidden="1">
      <c r="A97" s="333">
        <v>19</v>
      </c>
      <c r="B97" s="1190" t="s">
        <v>79</v>
      </c>
      <c r="C97" s="1190"/>
      <c r="D97" s="1191" t="str">
        <f t="array" ref="D97">IFERROR(INDEX(Masteratk2024,SMALL(IF(Kriteriaatk2024=$M$3,ROW(Kriteriaatk2024)),ROW(D19)),11),"")</f>
        <v>Binder Klip  nomor 200</v>
      </c>
      <c r="E97" s="1192"/>
      <c r="F97" s="1191" t="str">
        <f>D97</f>
        <v>Binder Klip  nomor 200</v>
      </c>
      <c r="G97" s="1192"/>
      <c r="H97" s="1193"/>
      <c r="I97" s="1194"/>
      <c r="K97" s="217" t="str">
        <f t="shared" si="1"/>
        <v>1</v>
      </c>
    </row>
    <row r="98" spans="1:11" ht="15.65" hidden="1" customHeight="1">
      <c r="A98" s="333"/>
      <c r="B98" s="1190" t="s">
        <v>225</v>
      </c>
      <c r="C98" s="1190"/>
      <c r="D98" s="1191"/>
      <c r="E98" s="1192"/>
      <c r="F98" s="1191" t="str">
        <f t="array" ref="F98">IFERROR(INDEX(MASTERKU,SMALL(IF(KRITERIAKU=$G$8,ROW(KRITERIAKU)),ROW(D91)),41),"")</f>
        <v/>
      </c>
      <c r="G98" s="1192"/>
      <c r="H98" s="1193"/>
      <c r="I98" s="1194"/>
      <c r="K98" s="217" t="str">
        <f t="shared" si="1"/>
        <v>0</v>
      </c>
    </row>
    <row r="99" spans="1:11" hidden="1">
      <c r="A99" s="333"/>
      <c r="B99" s="1190" t="s">
        <v>80</v>
      </c>
      <c r="C99" s="1190"/>
      <c r="D99" s="1191">
        <f t="array" ref="D99">IFERROR(INDEX(Masteratk2024,SMALL(IF(Kriteriaatk2024=$M$3,ROW(Kriteriaatk2024)),ROW(D19)),14),"")</f>
        <v>16500</v>
      </c>
      <c r="E99" s="1192"/>
      <c r="F99" s="1191">
        <f>D99+2000</f>
        <v>18500</v>
      </c>
      <c r="G99" s="1192"/>
      <c r="H99" s="1193"/>
      <c r="I99" s="1194"/>
      <c r="K99" s="217" t="str">
        <f t="shared" si="1"/>
        <v>1</v>
      </c>
    </row>
    <row r="100" spans="1:11" ht="27" hidden="1" customHeight="1">
      <c r="A100" s="333"/>
      <c r="B100" s="1190" t="s">
        <v>15</v>
      </c>
      <c r="C100" s="1190"/>
      <c r="D100" s="1191" t="str">
        <f t="array" ref="D100">IFERROR(INDEX(Masteratk2024,SMALL(IF(Kriteriaatk2024=$M$3,ROW(Kriteriaatk2024)),ROW(D19)),17),"")</f>
        <v>Binder Clip Nomor 200 (Length 5.0Cm, Width 5.0Cm, Height 5.0Cm, Weight 5Gr)</v>
      </c>
      <c r="E100" s="1192"/>
      <c r="F100" s="1191" t="str">
        <f>D100</f>
        <v>Binder Clip Nomor 200 (Length 5.0Cm, Width 5.0Cm, Height 5.0Cm, Weight 5Gr)</v>
      </c>
      <c r="G100" s="1192"/>
      <c r="H100" s="1193"/>
      <c r="I100" s="1194"/>
      <c r="K100" s="217" t="str">
        <f t="shared" si="1"/>
        <v>1</v>
      </c>
    </row>
    <row r="101" spans="1:11" hidden="1">
      <c r="A101" s="333"/>
      <c r="B101" s="1190" t="s">
        <v>82</v>
      </c>
      <c r="C101" s="1190"/>
      <c r="D101" s="1191">
        <f>D99</f>
        <v>16500</v>
      </c>
      <c r="E101" s="1192"/>
      <c r="F101" s="1191">
        <f>D101+2000</f>
        <v>18500</v>
      </c>
      <c r="G101" s="1192"/>
      <c r="H101" s="1193"/>
      <c r="I101" s="1194"/>
      <c r="K101" s="217" t="str">
        <f t="shared" si="1"/>
        <v>1</v>
      </c>
    </row>
    <row r="102" spans="1:11" hidden="1">
      <c r="A102" s="333">
        <v>20</v>
      </c>
      <c r="B102" s="1190" t="s">
        <v>79</v>
      </c>
      <c r="C102" s="1190"/>
      <c r="D102" s="1191" t="str">
        <f t="array" ref="D102">IFERROR(INDEX(Masteratk2024,SMALL(IF(Kriteriaatk2024=$M$3,ROW(Kriteriaatk2024)),ROW(D20)),11),"")</f>
        <v>Binder Klip  nomor 260</v>
      </c>
      <c r="E102" s="1192"/>
      <c r="F102" s="1191" t="str">
        <f>D102</f>
        <v>Binder Klip  nomor 260</v>
      </c>
      <c r="G102" s="1192"/>
      <c r="H102" s="1193"/>
      <c r="I102" s="1194"/>
      <c r="K102" s="217" t="str">
        <f t="shared" si="1"/>
        <v>1</v>
      </c>
    </row>
    <row r="103" spans="1:11" ht="15.65" hidden="1" customHeight="1">
      <c r="A103" s="333"/>
      <c r="B103" s="1190" t="s">
        <v>225</v>
      </c>
      <c r="C103" s="1190"/>
      <c r="D103" s="1191"/>
      <c r="E103" s="1192"/>
      <c r="F103" s="1191" t="str">
        <f t="array" ref="F103">IFERROR(INDEX(MASTERKU,SMALL(IF(KRITERIAKU=$G$8,ROW(KRITERIAKU)),ROW(D96)),41),"")</f>
        <v/>
      </c>
      <c r="G103" s="1192"/>
      <c r="H103" s="1193"/>
      <c r="I103" s="1194"/>
      <c r="K103" s="217" t="str">
        <f t="shared" si="1"/>
        <v>0</v>
      </c>
    </row>
    <row r="104" spans="1:11" hidden="1">
      <c r="A104" s="333"/>
      <c r="B104" s="1190" t="s">
        <v>80</v>
      </c>
      <c r="C104" s="1190"/>
      <c r="D104" s="1191">
        <f t="array" ref="D104">IFERROR(INDEX(Masteratk2024,SMALL(IF(Kriteriaatk2024=$M$3,ROW(Kriteriaatk2024)),ROW(D20)),14),"")</f>
        <v>20000</v>
      </c>
      <c r="E104" s="1192"/>
      <c r="F104" s="1191">
        <f>D104+2000</f>
        <v>22000</v>
      </c>
      <c r="G104" s="1192"/>
      <c r="H104" s="1193"/>
      <c r="I104" s="1194"/>
      <c r="K104" s="217" t="str">
        <f t="shared" si="1"/>
        <v>1</v>
      </c>
    </row>
    <row r="105" spans="1:11" ht="32.15" hidden="1" customHeight="1">
      <c r="A105" s="333"/>
      <c r="B105" s="1190" t="s">
        <v>15</v>
      </c>
      <c r="C105" s="1190"/>
      <c r="D105" s="1191" t="str">
        <f t="array" ref="D105">IFERROR(INDEX(Masteratk2024,SMALL(IF(Kriteriaatk2024=$M$3,ROW(Kriteriaatk2024)),ROW(D20)),17),"")</f>
        <v>Binder Clip No 260 (Length 5.0Cm, Width 5.0Cm, Height 5.0Cm, Weight 5Gr)</v>
      </c>
      <c r="E105" s="1192"/>
      <c r="F105" s="1191" t="str">
        <f>D105</f>
        <v>Binder Clip No 260 (Length 5.0Cm, Width 5.0Cm, Height 5.0Cm, Weight 5Gr)</v>
      </c>
      <c r="G105" s="1192"/>
      <c r="H105" s="1193"/>
      <c r="I105" s="1194"/>
      <c r="K105" s="217" t="str">
        <f t="shared" si="1"/>
        <v>1</v>
      </c>
    </row>
    <row r="106" spans="1:11" hidden="1">
      <c r="A106" s="333"/>
      <c r="B106" s="1190" t="s">
        <v>82</v>
      </c>
      <c r="C106" s="1190"/>
      <c r="D106" s="1191">
        <f>D104</f>
        <v>20000</v>
      </c>
      <c r="E106" s="1192"/>
      <c r="F106" s="1191">
        <f>D106+2000</f>
        <v>22000</v>
      </c>
      <c r="G106" s="1192"/>
      <c r="H106" s="1193"/>
      <c r="I106" s="1194"/>
      <c r="K106" s="217" t="str">
        <f t="shared" si="1"/>
        <v>1</v>
      </c>
    </row>
    <row r="107" spans="1:11" hidden="1">
      <c r="A107" s="333">
        <v>21</v>
      </c>
      <c r="B107" s="1190" t="s">
        <v>79</v>
      </c>
      <c r="C107" s="1190"/>
      <c r="D107" s="1191" t="str">
        <f t="array" ref="D107">IFERROR(INDEX(Masteratk2024,SMALL(IF(Kriteriaatk2024=$M$3,ROW(Kriteriaatk2024)),ROW(D21)),11),"")</f>
        <v>Binder Klip Merk : KENKO nomor 105</v>
      </c>
      <c r="E107" s="1192"/>
      <c r="F107" s="1191" t="str">
        <f>D107</f>
        <v>Binder Klip Merk : KENKO nomor 105</v>
      </c>
      <c r="G107" s="1192"/>
      <c r="H107" s="1193"/>
      <c r="I107" s="1194"/>
      <c r="K107" s="217" t="str">
        <f t="shared" si="1"/>
        <v>1</v>
      </c>
    </row>
    <row r="108" spans="1:11" ht="15.65" hidden="1" customHeight="1">
      <c r="A108" s="333"/>
      <c r="B108" s="1190" t="s">
        <v>225</v>
      </c>
      <c r="C108" s="1190"/>
      <c r="D108" s="1191"/>
      <c r="E108" s="1192"/>
      <c r="F108" s="1191" t="str">
        <f t="array" ref="F108">IFERROR(INDEX(MASTERKU,SMALL(IF(KRITERIAKU=$G$8,ROW(KRITERIAKU)),ROW(D101)),41),"")</f>
        <v/>
      </c>
      <c r="G108" s="1192"/>
      <c r="H108" s="1193"/>
      <c r="I108" s="1194"/>
      <c r="K108" s="217" t="str">
        <f t="shared" si="1"/>
        <v>0</v>
      </c>
    </row>
    <row r="109" spans="1:11" hidden="1">
      <c r="A109" s="333"/>
      <c r="B109" s="1190" t="s">
        <v>80</v>
      </c>
      <c r="C109" s="1190"/>
      <c r="D109" s="1191">
        <f t="array" ref="D109">IFERROR(INDEX(Masteratk2024,SMALL(IF(Kriteriaatk2024=$M$3,ROW(Kriteriaatk2024)),ROW(D21)),14),"")</f>
        <v>5000</v>
      </c>
      <c r="E109" s="1192"/>
      <c r="F109" s="1191">
        <f>D109+2000</f>
        <v>7000</v>
      </c>
      <c r="G109" s="1192"/>
      <c r="H109" s="1193"/>
      <c r="I109" s="1194"/>
      <c r="K109" s="217" t="str">
        <f t="shared" si="1"/>
        <v>1</v>
      </c>
    </row>
    <row r="110" spans="1:11" ht="34" hidden="1" customHeight="1">
      <c r="A110" s="333"/>
      <c r="B110" s="1190" t="s">
        <v>15</v>
      </c>
      <c r="C110" s="1190"/>
      <c r="D110" s="1191" t="str">
        <f t="array" ref="D110">IFERROR(INDEX(Masteratk2024,SMALL(IF(Kriteriaatk2024=$M$3,ROW(Kriteriaatk2024)),ROW(D21)),17),"")</f>
        <v xml:space="preserve">Binder Clip merk kenko NO 105 (Length 5.0cm, Width 5.0cm, Height 5.0cm, Weight 5gr)  </v>
      </c>
      <c r="E110" s="1192"/>
      <c r="F110" s="1191" t="str">
        <f>D110</f>
        <v xml:space="preserve">Binder Clip merk kenko NO 105 (Length 5.0cm, Width 5.0cm, Height 5.0cm, Weight 5gr)  </v>
      </c>
      <c r="G110" s="1192"/>
      <c r="H110" s="1193"/>
      <c r="I110" s="1194"/>
      <c r="K110" s="217" t="str">
        <f t="shared" si="1"/>
        <v>1</v>
      </c>
    </row>
    <row r="111" spans="1:11" hidden="1">
      <c r="A111" s="333"/>
      <c r="B111" s="1190" t="s">
        <v>82</v>
      </c>
      <c r="C111" s="1190"/>
      <c r="D111" s="1191">
        <f>D109</f>
        <v>5000</v>
      </c>
      <c r="E111" s="1192"/>
      <c r="F111" s="1191">
        <f>D111+2000</f>
        <v>7000</v>
      </c>
      <c r="G111" s="1192"/>
      <c r="H111" s="1193"/>
      <c r="I111" s="1194"/>
      <c r="K111" s="217" t="str">
        <f t="shared" si="1"/>
        <v>1</v>
      </c>
    </row>
    <row r="112" spans="1:11" hidden="1">
      <c r="A112" s="333">
        <v>21</v>
      </c>
      <c r="B112" s="1190" t="s">
        <v>79</v>
      </c>
      <c r="C112" s="1190"/>
      <c r="D112" s="1191" t="str">
        <f t="array" ref="D112">IFERROR(INDEX(Masteratk2024,SMALL(IF(Kriteriaatk2024=$M$3,ROW(Kriteriaatk2024)),ROW(D21)),11),"")</f>
        <v>Binder Klip Merk : KENKO nomor 105</v>
      </c>
      <c r="E112" s="1192"/>
      <c r="F112" s="1191" t="str">
        <f>D112</f>
        <v>Binder Klip Merk : KENKO nomor 105</v>
      </c>
      <c r="G112" s="1192"/>
      <c r="H112" s="1193"/>
      <c r="I112" s="1194"/>
      <c r="K112" s="217" t="str">
        <f t="shared" si="1"/>
        <v>1</v>
      </c>
    </row>
    <row r="113" spans="1:11" ht="15.65" hidden="1" customHeight="1">
      <c r="A113" s="333"/>
      <c r="B113" s="1190" t="s">
        <v>225</v>
      </c>
      <c r="C113" s="1190"/>
      <c r="D113" s="1191"/>
      <c r="E113" s="1192"/>
      <c r="F113" s="1191" t="str">
        <f t="array" ref="F113">IFERROR(INDEX(MASTERKU,SMALL(IF(KRITERIAKU=$G$8,ROW(KRITERIAKU)),ROW(D106)),41),"")</f>
        <v/>
      </c>
      <c r="G113" s="1192"/>
      <c r="H113" s="1193"/>
      <c r="I113" s="1194"/>
      <c r="K113" s="217" t="str">
        <f t="shared" si="1"/>
        <v>0</v>
      </c>
    </row>
    <row r="114" spans="1:11" hidden="1">
      <c r="A114" s="333"/>
      <c r="B114" s="1190" t="s">
        <v>80</v>
      </c>
      <c r="C114" s="1190"/>
      <c r="D114" s="1191">
        <f t="array" ref="D114">IFERROR(INDEX(Masteratk2024,SMALL(IF(Kriteriaatk2024=$M$3,ROW(Kriteriaatk2024)),ROW(D22)),14),"")</f>
        <v>35500</v>
      </c>
      <c r="E114" s="1192"/>
      <c r="F114" s="1191">
        <f>D114+2000</f>
        <v>37500</v>
      </c>
      <c r="G114" s="1192"/>
      <c r="H114" s="1193"/>
      <c r="I114" s="1194"/>
      <c r="K114" s="217" t="str">
        <f t="shared" si="1"/>
        <v>1</v>
      </c>
    </row>
    <row r="115" spans="1:11" ht="37" hidden="1" customHeight="1">
      <c r="A115" s="333"/>
      <c r="B115" s="1190" t="s">
        <v>15</v>
      </c>
      <c r="C115" s="1190"/>
      <c r="D115" s="1191" t="str">
        <f t="array" ref="D115">IFERROR(INDEX(Masteratk2024,SMALL(IF(Kriteriaatk2024=$M$3,ROW(Kriteriaatk2024)),ROW(D22)),17),"")</f>
        <v>Map Binder (Length 5.0Cm, Width 5.0Cm, Height 5.0Cm, Weight 5Gr)</v>
      </c>
      <c r="E115" s="1192"/>
      <c r="F115" s="1191" t="str">
        <f>D115</f>
        <v>Map Binder (Length 5.0Cm, Width 5.0Cm, Height 5.0Cm, Weight 5Gr)</v>
      </c>
      <c r="G115" s="1192"/>
      <c r="H115" s="1193"/>
      <c r="I115" s="1194"/>
      <c r="K115" s="217" t="str">
        <f t="shared" si="1"/>
        <v>1</v>
      </c>
    </row>
    <row r="116" spans="1:11" hidden="1">
      <c r="A116" s="333"/>
      <c r="B116" s="1190" t="s">
        <v>82</v>
      </c>
      <c r="C116" s="1190"/>
      <c r="D116" s="1191">
        <f>D114</f>
        <v>35500</v>
      </c>
      <c r="E116" s="1192"/>
      <c r="F116" s="1191">
        <f>D116+2000</f>
        <v>37500</v>
      </c>
      <c r="G116" s="1192"/>
      <c r="H116" s="1193"/>
      <c r="I116" s="1194"/>
      <c r="K116" s="217" t="str">
        <f t="shared" si="1"/>
        <v>1</v>
      </c>
    </row>
    <row r="117" spans="1:11" hidden="1">
      <c r="A117" s="333">
        <v>22</v>
      </c>
      <c r="B117" s="1190" t="s">
        <v>79</v>
      </c>
      <c r="C117" s="1190"/>
      <c r="D117" s="1191" t="str">
        <f t="array" ref="D117">IFERROR(INDEX(Masteratk2024,SMALL(IF(Kriteriaatk2024=$M$3,ROW(Kriteriaatk2024)),ROW(D23)),11),"")</f>
        <v>Stofmap Kertas</v>
      </c>
      <c r="E117" s="1192"/>
      <c r="F117" s="1191" t="str">
        <f>D117</f>
        <v>Stofmap Kertas</v>
      </c>
      <c r="G117" s="1192"/>
      <c r="H117" s="1193"/>
      <c r="I117" s="1194"/>
      <c r="K117" s="217" t="str">
        <f t="shared" si="1"/>
        <v>1</v>
      </c>
    </row>
    <row r="118" spans="1:11" ht="15.65" hidden="1" customHeight="1">
      <c r="A118" s="333"/>
      <c r="B118" s="1190" t="s">
        <v>225</v>
      </c>
      <c r="C118" s="1190"/>
      <c r="D118" s="1191"/>
      <c r="E118" s="1192"/>
      <c r="F118" s="1191" t="str">
        <f t="array" ref="F118">IFERROR(INDEX(MASTERKU,SMALL(IF(KRITERIAKU=$G$8,ROW(KRITERIAKU)),ROW(D111)),41),"")</f>
        <v/>
      </c>
      <c r="G118" s="1192"/>
      <c r="H118" s="1193"/>
      <c r="I118" s="1194"/>
      <c r="K118" s="217" t="str">
        <f t="shared" si="1"/>
        <v>0</v>
      </c>
    </row>
    <row r="119" spans="1:11" hidden="1">
      <c r="A119" s="333"/>
      <c r="B119" s="1190" t="s">
        <v>80</v>
      </c>
      <c r="C119" s="1190"/>
      <c r="D119" s="1191">
        <f t="array" ref="D119">IFERROR(INDEX(Masteratk2024,SMALL(IF(Kriteriaatk2024=$M$3,ROW(Kriteriaatk2024)),ROW(D23)),14),"")</f>
        <v>88000</v>
      </c>
      <c r="E119" s="1192"/>
      <c r="F119" s="1191">
        <f>D119+2000</f>
        <v>90000</v>
      </c>
      <c r="G119" s="1192"/>
      <c r="H119" s="1193"/>
      <c r="I119" s="1194"/>
      <c r="K119" s="217" t="str">
        <f t="shared" si="1"/>
        <v>1</v>
      </c>
    </row>
    <row r="120" spans="1:11" ht="30" hidden="1" customHeight="1">
      <c r="A120" s="333"/>
      <c r="B120" s="1190" t="s">
        <v>15</v>
      </c>
      <c r="C120" s="1190"/>
      <c r="D120" s="1191" t="str">
        <f t="array" ref="D120">IFERROR(INDEX(Masteratk2024,SMALL(IF(Kriteriaatk2024=$M$3,ROW(Kriteriaatk2024)),ROW(D23)),17),"")</f>
        <v>Stofmap Kertas (Length 5.0Cm, Width 5.0Cm, Height 5.0Cm, Weight 5Gr)</v>
      </c>
      <c r="E120" s="1192"/>
      <c r="F120" s="1191" t="str">
        <f>D120</f>
        <v>Stofmap Kertas (Length 5.0Cm, Width 5.0Cm, Height 5.0Cm, Weight 5Gr)</v>
      </c>
      <c r="G120" s="1192"/>
      <c r="H120" s="1193"/>
      <c r="I120" s="1194"/>
      <c r="K120" s="217" t="str">
        <f t="shared" si="1"/>
        <v>1</v>
      </c>
    </row>
    <row r="121" spans="1:11" hidden="1">
      <c r="A121" s="333"/>
      <c r="B121" s="1190" t="s">
        <v>82</v>
      </c>
      <c r="C121" s="1190"/>
      <c r="D121" s="1191">
        <f>D119</f>
        <v>88000</v>
      </c>
      <c r="E121" s="1192"/>
      <c r="F121" s="1191">
        <f>D121+2000</f>
        <v>90000</v>
      </c>
      <c r="G121" s="1192"/>
      <c r="H121" s="1193"/>
      <c r="I121" s="1194"/>
      <c r="K121" s="217" t="str">
        <f t="shared" si="1"/>
        <v>1</v>
      </c>
    </row>
    <row r="122" spans="1:11" hidden="1">
      <c r="A122" s="333">
        <v>23</v>
      </c>
      <c r="B122" s="1190" t="s">
        <v>79</v>
      </c>
      <c r="C122" s="1190"/>
      <c r="D122" s="1191" t="str">
        <f t="array" ref="D122">IFERROR(INDEX(Masteratk2024,SMALL(IF(Kriteriaatk2024=$M$3,ROW(Kriteriaatk2024)),ROW(D24)),11),"")</f>
        <v>Stofmap Transparan tali</v>
      </c>
      <c r="E122" s="1192"/>
      <c r="F122" s="1191" t="str">
        <f>D122</f>
        <v>Stofmap Transparan tali</v>
      </c>
      <c r="G122" s="1192"/>
      <c r="H122" s="1193"/>
      <c r="I122" s="1194"/>
      <c r="K122" s="217" t="str">
        <f t="shared" si="1"/>
        <v>1</v>
      </c>
    </row>
    <row r="123" spans="1:11" ht="15.65" hidden="1" customHeight="1">
      <c r="A123" s="333"/>
      <c r="B123" s="1190" t="s">
        <v>225</v>
      </c>
      <c r="C123" s="1190"/>
      <c r="D123" s="1191"/>
      <c r="E123" s="1192"/>
      <c r="F123" s="1191" t="str">
        <f t="array" ref="F123">IFERROR(INDEX(MASTERKU,SMALL(IF(KRITERIAKU=$G$8,ROW(KRITERIAKU)),ROW(D116)),41),"")</f>
        <v/>
      </c>
      <c r="G123" s="1192"/>
      <c r="H123" s="1193"/>
      <c r="I123" s="1194"/>
      <c r="K123" s="217" t="str">
        <f t="shared" si="1"/>
        <v>0</v>
      </c>
    </row>
    <row r="124" spans="1:11" hidden="1">
      <c r="A124" s="333"/>
      <c r="B124" s="1190" t="s">
        <v>80</v>
      </c>
      <c r="C124" s="1190"/>
      <c r="D124" s="1191">
        <f t="array" ref="D124">IFERROR(INDEX(Masteratk2024,SMALL(IF(Kriteriaatk2024=$M$3,ROW(Kriteriaatk2024)),ROW(D24)),14),"")</f>
        <v>5500</v>
      </c>
      <c r="E124" s="1192"/>
      <c r="F124" s="1191">
        <f>D124+2000</f>
        <v>7500</v>
      </c>
      <c r="G124" s="1192"/>
      <c r="H124" s="1193"/>
      <c r="I124" s="1194"/>
      <c r="K124" s="217" t="str">
        <f t="shared" si="1"/>
        <v>1</v>
      </c>
    </row>
    <row r="125" spans="1:11" ht="32.15" hidden="1" customHeight="1">
      <c r="A125" s="333"/>
      <c r="B125" s="1190" t="s">
        <v>15</v>
      </c>
      <c r="C125" s="1190"/>
      <c r="D125" s="1191" t="str">
        <f t="array" ref="D125">IFERROR(INDEX(Masteratk2024,SMALL(IF(Kriteriaatk2024=$M$3,ROW(Kriteriaatk2024)),ROW(D24)),17),"")</f>
        <v>Stofmap Transparan tali (Merk : Jenia Tipe : 2 Kancing + Tali Ukuran : 255 x 375 mm Bahan : Plastik PP 0,14 Micron)</v>
      </c>
      <c r="E125" s="1192"/>
      <c r="F125" s="1191" t="str">
        <f>D125</f>
        <v>Stofmap Transparan tali (Merk : Jenia Tipe : 2 Kancing + Tali Ukuran : 255 x 375 mm Bahan : Plastik PP 0,14 Micron)</v>
      </c>
      <c r="G125" s="1192"/>
      <c r="H125" s="1193"/>
      <c r="I125" s="1194"/>
      <c r="K125" s="217" t="str">
        <f t="shared" si="1"/>
        <v>1</v>
      </c>
    </row>
    <row r="126" spans="1:11" hidden="1">
      <c r="A126" s="333"/>
      <c r="B126" s="1190" t="s">
        <v>82</v>
      </c>
      <c r="C126" s="1190"/>
      <c r="D126" s="1191">
        <f>D124</f>
        <v>5500</v>
      </c>
      <c r="E126" s="1192"/>
      <c r="F126" s="1191">
        <f>D126+2000</f>
        <v>7500</v>
      </c>
      <c r="G126" s="1192"/>
      <c r="H126" s="1193"/>
      <c r="I126" s="1194"/>
      <c r="K126" s="217" t="str">
        <f t="shared" si="1"/>
        <v>1</v>
      </c>
    </row>
    <row r="127" spans="1:11" ht="39.65" customHeight="1">
      <c r="A127" s="1206" t="s">
        <v>83</v>
      </c>
      <c r="B127" s="1190"/>
      <c r="C127" s="1190"/>
      <c r="D127" s="1209" t="str">
        <f t="array" ref="D127">IFERROR(INDEX(Masteratk2024,SMALL(IF(Kriteriaatk2024=$M$3,ROW(Kriteriaatk2024)),ROW(D1)),23),"")</f>
        <v>Jl. Diponegoro Kel. Pasar Telukdalam - Nias Selatan</v>
      </c>
      <c r="E127" s="1210"/>
      <c r="F127" s="1209" t="str">
        <f t="array" ref="F127">IFERROR(INDEX(Masteratk2024,SMALL(IF(Kriteriaatk2024=$M$3,ROW(Kriteriaatk2024)),ROW(D1)),24),"")</f>
        <v>Jl. Pasir Putih Pasar Telukdalam, Telukdalam Kab. Nias Selatan</v>
      </c>
      <c r="G127" s="1210"/>
      <c r="H127" s="1207"/>
      <c r="I127" s="1208"/>
    </row>
    <row r="128" spans="1:11" ht="15.5">
      <c r="A128" s="334"/>
      <c r="B128" s="335"/>
      <c r="C128" s="335"/>
      <c r="D128" s="336"/>
      <c r="E128" s="336"/>
      <c r="F128" s="337"/>
      <c r="G128" s="338"/>
      <c r="H128" s="338"/>
      <c r="I128" s="339"/>
    </row>
    <row r="129" spans="1:9" ht="15.5">
      <c r="A129" s="334"/>
      <c r="B129" s="335"/>
      <c r="C129" s="335"/>
      <c r="D129" s="336"/>
      <c r="E129" s="336"/>
      <c r="F129" s="338"/>
      <c r="G129" s="338"/>
      <c r="H129" s="338"/>
      <c r="I129" s="339"/>
    </row>
    <row r="130" spans="1:9" ht="15.5">
      <c r="A130" s="340"/>
      <c r="B130" s="341"/>
      <c r="C130" s="341"/>
      <c r="D130" s="341"/>
      <c r="E130" s="338"/>
      <c r="F130" s="338"/>
      <c r="G130" s="338"/>
      <c r="H130" s="338"/>
      <c r="I130" s="339"/>
    </row>
    <row r="131" spans="1:9" ht="15.5">
      <c r="A131" s="340"/>
      <c r="B131" s="341"/>
      <c r="C131" s="341"/>
      <c r="D131" s="341"/>
      <c r="E131" s="338"/>
      <c r="F131" s="341" t="str">
        <f>"Telukdalam, "&amp;TEXT(K2-1, " [$-421] dd mmmm yyyy")</f>
        <v>Telukdalam,   03 Januari 2025</v>
      </c>
      <c r="G131" s="341"/>
      <c r="H131" s="338"/>
      <c r="I131" s="339"/>
    </row>
    <row r="132" spans="1:9" ht="15.5">
      <c r="A132" s="340"/>
      <c r="B132" s="341"/>
      <c r="C132" s="341"/>
      <c r="D132" s="341"/>
      <c r="E132" s="338"/>
      <c r="F132" s="341" t="s">
        <v>55</v>
      </c>
      <c r="G132" s="341"/>
      <c r="H132" s="338"/>
      <c r="I132" s="339"/>
    </row>
    <row r="133" spans="1:9" ht="15.5">
      <c r="A133" s="340"/>
      <c r="B133" s="341"/>
      <c r="C133" s="341"/>
      <c r="D133" s="341"/>
      <c r="E133" s="338"/>
      <c r="F133" s="341"/>
      <c r="G133" s="341"/>
      <c r="H133" s="338"/>
      <c r="I133" s="339"/>
    </row>
    <row r="134" spans="1:9" ht="15.5">
      <c r="A134" s="340"/>
      <c r="B134" s="341"/>
      <c r="C134" s="341"/>
      <c r="D134" s="341"/>
      <c r="E134" s="341"/>
      <c r="F134" s="341"/>
      <c r="G134" s="341"/>
      <c r="H134" s="338"/>
      <c r="I134" s="339"/>
    </row>
    <row r="135" spans="1:9" ht="15.5">
      <c r="A135" s="340"/>
      <c r="B135" s="341"/>
      <c r="C135" s="341"/>
      <c r="D135" s="341"/>
      <c r="E135" s="338"/>
      <c r="F135" s="341"/>
      <c r="G135" s="341"/>
      <c r="H135" s="338"/>
      <c r="I135" s="339"/>
    </row>
    <row r="136" spans="1:9" ht="15.5">
      <c r="A136" s="340"/>
      <c r="B136" s="341"/>
      <c r="C136" s="341"/>
      <c r="D136" s="341"/>
      <c r="E136" s="338"/>
      <c r="F136" s="341"/>
      <c r="G136" s="341"/>
      <c r="H136" s="338"/>
      <c r="I136" s="339"/>
    </row>
    <row r="137" spans="1:9" ht="17.149999999999999" customHeight="1">
      <c r="A137" s="342"/>
      <c r="B137" s="343"/>
      <c r="C137" s="343"/>
      <c r="D137" s="343"/>
      <c r="E137" s="338"/>
      <c r="F137" s="341"/>
      <c r="G137" s="341"/>
      <c r="H137" s="338"/>
      <c r="I137" s="339"/>
    </row>
    <row r="138" spans="1:9" ht="15.5">
      <c r="A138" s="344"/>
      <c r="B138" s="338"/>
      <c r="C138" s="338"/>
      <c r="D138" s="338"/>
      <c r="E138" s="338"/>
      <c r="F138" s="1189" t="s">
        <v>67</v>
      </c>
      <c r="G138" s="1189"/>
      <c r="H138" s="338"/>
      <c r="I138" s="339"/>
    </row>
    <row r="139" spans="1:9" ht="15.5">
      <c r="A139" s="344"/>
      <c r="B139" s="338"/>
      <c r="C139" s="338"/>
      <c r="D139" s="338"/>
      <c r="E139" s="338"/>
      <c r="F139" s="341" t="s">
        <v>68</v>
      </c>
      <c r="G139" s="341"/>
      <c r="H139" s="338"/>
      <c r="I139" s="339"/>
    </row>
    <row r="140" spans="1:9" ht="15" thickBot="1">
      <c r="A140" s="345"/>
      <c r="B140" s="346"/>
      <c r="C140" s="346"/>
      <c r="D140" s="346"/>
      <c r="E140" s="346"/>
      <c r="F140" s="346"/>
      <c r="G140" s="346"/>
      <c r="H140" s="346"/>
      <c r="I140" s="347"/>
    </row>
    <row r="141" spans="1:9" ht="15" thickTop="1"/>
  </sheetData>
  <mergeCells count="498">
    <mergeCell ref="M3:N3"/>
    <mergeCell ref="A127:C127"/>
    <mergeCell ref="H127:I127"/>
    <mergeCell ref="D127:E127"/>
    <mergeCell ref="F127:G127"/>
    <mergeCell ref="B126:C126"/>
    <mergeCell ref="D126:E126"/>
    <mergeCell ref="F126:G126"/>
    <mergeCell ref="H126:I126"/>
    <mergeCell ref="B124:C124"/>
    <mergeCell ref="D124:E124"/>
    <mergeCell ref="F124:G124"/>
    <mergeCell ref="H124:I124"/>
    <mergeCell ref="B125:C125"/>
    <mergeCell ref="D125:E125"/>
    <mergeCell ref="F125:G125"/>
    <mergeCell ref="H125:I125"/>
    <mergeCell ref="B123:C123"/>
    <mergeCell ref="D123:E123"/>
    <mergeCell ref="F123:G123"/>
    <mergeCell ref="H123:I123"/>
    <mergeCell ref="B120:C120"/>
    <mergeCell ref="D120:E120"/>
    <mergeCell ref="F120:G120"/>
    <mergeCell ref="B116:C116"/>
    <mergeCell ref="D116:E116"/>
    <mergeCell ref="F116:G116"/>
    <mergeCell ref="H116:I116"/>
    <mergeCell ref="B117:C117"/>
    <mergeCell ref="D117:E117"/>
    <mergeCell ref="F117:G117"/>
    <mergeCell ref="H117:I117"/>
    <mergeCell ref="B114:C114"/>
    <mergeCell ref="D114:E114"/>
    <mergeCell ref="F114:G114"/>
    <mergeCell ref="H114:I114"/>
    <mergeCell ref="B115:C115"/>
    <mergeCell ref="D115:E115"/>
    <mergeCell ref="F115:G115"/>
    <mergeCell ref="H115:I115"/>
    <mergeCell ref="B122:C122"/>
    <mergeCell ref="D122:E122"/>
    <mergeCell ref="F122:G122"/>
    <mergeCell ref="H122:I122"/>
    <mergeCell ref="B118:C118"/>
    <mergeCell ref="D118:E118"/>
    <mergeCell ref="F118:G118"/>
    <mergeCell ref="H118:I118"/>
    <mergeCell ref="B119:C119"/>
    <mergeCell ref="D119:E119"/>
    <mergeCell ref="F119:G119"/>
    <mergeCell ref="H119:I119"/>
    <mergeCell ref="H120:I120"/>
    <mergeCell ref="B121:C121"/>
    <mergeCell ref="D121:E121"/>
    <mergeCell ref="F121:G121"/>
    <mergeCell ref="H121:I121"/>
    <mergeCell ref="B111:C111"/>
    <mergeCell ref="D111:E111"/>
    <mergeCell ref="F111:G111"/>
    <mergeCell ref="H111:I111"/>
    <mergeCell ref="B112:C112"/>
    <mergeCell ref="D112:E112"/>
    <mergeCell ref="F112:G112"/>
    <mergeCell ref="H112:I112"/>
    <mergeCell ref="B113:C113"/>
    <mergeCell ref="D113:E113"/>
    <mergeCell ref="F113:G113"/>
    <mergeCell ref="H113:I113"/>
    <mergeCell ref="B109:C109"/>
    <mergeCell ref="D109:E109"/>
    <mergeCell ref="F109:G109"/>
    <mergeCell ref="H109:I109"/>
    <mergeCell ref="B101:C101"/>
    <mergeCell ref="D101:E101"/>
    <mergeCell ref="F101:G101"/>
    <mergeCell ref="H101:I101"/>
    <mergeCell ref="B104:C104"/>
    <mergeCell ref="D104:E104"/>
    <mergeCell ref="F104:G104"/>
    <mergeCell ref="H104:I104"/>
    <mergeCell ref="B105:C105"/>
    <mergeCell ref="D105:E105"/>
    <mergeCell ref="F105:G105"/>
    <mergeCell ref="H105:I105"/>
    <mergeCell ref="B103:C103"/>
    <mergeCell ref="D103:E103"/>
    <mergeCell ref="F103:G103"/>
    <mergeCell ref="H103:I103"/>
    <mergeCell ref="B102:C102"/>
    <mergeCell ref="D102:E102"/>
    <mergeCell ref="F102:G102"/>
    <mergeCell ref="H102:I102"/>
    <mergeCell ref="B94:C94"/>
    <mergeCell ref="D94:E94"/>
    <mergeCell ref="F94:G94"/>
    <mergeCell ref="H94:I94"/>
    <mergeCell ref="B95:C95"/>
    <mergeCell ref="D95:E95"/>
    <mergeCell ref="F95:G95"/>
    <mergeCell ref="H95:I95"/>
    <mergeCell ref="B110:C110"/>
    <mergeCell ref="D110:E110"/>
    <mergeCell ref="F110:G110"/>
    <mergeCell ref="H110:I110"/>
    <mergeCell ref="B106:C106"/>
    <mergeCell ref="D106:E106"/>
    <mergeCell ref="F106:G106"/>
    <mergeCell ref="H106:I106"/>
    <mergeCell ref="B107:C107"/>
    <mergeCell ref="D107:E107"/>
    <mergeCell ref="F107:G107"/>
    <mergeCell ref="H107:I107"/>
    <mergeCell ref="B108:C108"/>
    <mergeCell ref="D108:E108"/>
    <mergeCell ref="F108:G108"/>
    <mergeCell ref="H108:I108"/>
    <mergeCell ref="B92:C92"/>
    <mergeCell ref="D92:E92"/>
    <mergeCell ref="F92:G92"/>
    <mergeCell ref="H92:I92"/>
    <mergeCell ref="B99:C99"/>
    <mergeCell ref="D99:E99"/>
    <mergeCell ref="F99:G99"/>
    <mergeCell ref="H99:I99"/>
    <mergeCell ref="B100:C100"/>
    <mergeCell ref="D100:E100"/>
    <mergeCell ref="F100:G100"/>
    <mergeCell ref="H100:I100"/>
    <mergeCell ref="B96:C96"/>
    <mergeCell ref="D96:E96"/>
    <mergeCell ref="F96:G96"/>
    <mergeCell ref="H96:I96"/>
    <mergeCell ref="B97:C97"/>
    <mergeCell ref="D97:E97"/>
    <mergeCell ref="F97:G97"/>
    <mergeCell ref="H97:I97"/>
    <mergeCell ref="B98:C98"/>
    <mergeCell ref="D98:E98"/>
    <mergeCell ref="F98:G98"/>
    <mergeCell ref="H98:I98"/>
    <mergeCell ref="B93:C93"/>
    <mergeCell ref="D93:E93"/>
    <mergeCell ref="F93:G93"/>
    <mergeCell ref="H93:I93"/>
    <mergeCell ref="B87:C87"/>
    <mergeCell ref="D87:E87"/>
    <mergeCell ref="F87:G87"/>
    <mergeCell ref="H87:I87"/>
    <mergeCell ref="B88:C88"/>
    <mergeCell ref="D88:E88"/>
    <mergeCell ref="F88:G88"/>
    <mergeCell ref="H88:I88"/>
    <mergeCell ref="B89:C89"/>
    <mergeCell ref="D89:E89"/>
    <mergeCell ref="F89:G89"/>
    <mergeCell ref="H89:I89"/>
    <mergeCell ref="B90:C90"/>
    <mergeCell ref="D90:E90"/>
    <mergeCell ref="F90:G90"/>
    <mergeCell ref="H90:I90"/>
    <mergeCell ref="B91:C91"/>
    <mergeCell ref="D91:E91"/>
    <mergeCell ref="F91:G91"/>
    <mergeCell ref="H91:I91"/>
    <mergeCell ref="B85:C85"/>
    <mergeCell ref="D85:E85"/>
    <mergeCell ref="F85:G85"/>
    <mergeCell ref="H85:I85"/>
    <mergeCell ref="B77:C77"/>
    <mergeCell ref="D77:E77"/>
    <mergeCell ref="F77:G77"/>
    <mergeCell ref="H77:I77"/>
    <mergeCell ref="B80:C80"/>
    <mergeCell ref="D80:E80"/>
    <mergeCell ref="F80:G80"/>
    <mergeCell ref="H80:I80"/>
    <mergeCell ref="B81:C81"/>
    <mergeCell ref="D81:E81"/>
    <mergeCell ref="F81:G81"/>
    <mergeCell ref="H81:I81"/>
    <mergeCell ref="B79:C79"/>
    <mergeCell ref="D79:E79"/>
    <mergeCell ref="F79:G79"/>
    <mergeCell ref="H79:I79"/>
    <mergeCell ref="B78:C78"/>
    <mergeCell ref="D78:E78"/>
    <mergeCell ref="F78:G78"/>
    <mergeCell ref="H78:I78"/>
    <mergeCell ref="B70:C70"/>
    <mergeCell ref="D70:E70"/>
    <mergeCell ref="F70:G70"/>
    <mergeCell ref="H70:I70"/>
    <mergeCell ref="B71:C71"/>
    <mergeCell ref="D71:E71"/>
    <mergeCell ref="F71:G71"/>
    <mergeCell ref="H71:I71"/>
    <mergeCell ref="B86:C86"/>
    <mergeCell ref="D86:E86"/>
    <mergeCell ref="F86:G86"/>
    <mergeCell ref="H86:I86"/>
    <mergeCell ref="B82:C82"/>
    <mergeCell ref="D82:E82"/>
    <mergeCell ref="F82:G82"/>
    <mergeCell ref="H82:I82"/>
    <mergeCell ref="B83:C83"/>
    <mergeCell ref="D83:E83"/>
    <mergeCell ref="F83:G83"/>
    <mergeCell ref="H83:I83"/>
    <mergeCell ref="B84:C84"/>
    <mergeCell ref="D84:E84"/>
    <mergeCell ref="F84:G84"/>
    <mergeCell ref="H84:I84"/>
    <mergeCell ref="B68:C68"/>
    <mergeCell ref="D68:E68"/>
    <mergeCell ref="F68:G68"/>
    <mergeCell ref="H68:I68"/>
    <mergeCell ref="B75:C75"/>
    <mergeCell ref="D75:E75"/>
    <mergeCell ref="F75:G75"/>
    <mergeCell ref="H75:I75"/>
    <mergeCell ref="B76:C76"/>
    <mergeCell ref="D76:E76"/>
    <mergeCell ref="F76:G76"/>
    <mergeCell ref="H76:I76"/>
    <mergeCell ref="B72:C72"/>
    <mergeCell ref="D72:E72"/>
    <mergeCell ref="F72:G72"/>
    <mergeCell ref="H72:I72"/>
    <mergeCell ref="B73:C73"/>
    <mergeCell ref="D73:E73"/>
    <mergeCell ref="F73:G73"/>
    <mergeCell ref="H73:I73"/>
    <mergeCell ref="B74:C74"/>
    <mergeCell ref="D74:E74"/>
    <mergeCell ref="F74:G74"/>
    <mergeCell ref="H74:I74"/>
    <mergeCell ref="B69:C69"/>
    <mergeCell ref="D69:E69"/>
    <mergeCell ref="F69:G69"/>
    <mergeCell ref="H69:I69"/>
    <mergeCell ref="B63:C63"/>
    <mergeCell ref="D63:E63"/>
    <mergeCell ref="F63:G63"/>
    <mergeCell ref="H63:I63"/>
    <mergeCell ref="B64:C64"/>
    <mergeCell ref="D64:E64"/>
    <mergeCell ref="F64:G64"/>
    <mergeCell ref="H64:I64"/>
    <mergeCell ref="B65:C65"/>
    <mergeCell ref="D65:E65"/>
    <mergeCell ref="F65:G65"/>
    <mergeCell ref="H65:I65"/>
    <mergeCell ref="B66:C66"/>
    <mergeCell ref="D66:E66"/>
    <mergeCell ref="F66:G66"/>
    <mergeCell ref="H66:I66"/>
    <mergeCell ref="B67:C67"/>
    <mergeCell ref="D67:E67"/>
    <mergeCell ref="F67:G67"/>
    <mergeCell ref="H67:I67"/>
    <mergeCell ref="B61:C61"/>
    <mergeCell ref="D61:E61"/>
    <mergeCell ref="F61:G61"/>
    <mergeCell ref="H61:I61"/>
    <mergeCell ref="B53:C53"/>
    <mergeCell ref="D53:E53"/>
    <mergeCell ref="F53:G53"/>
    <mergeCell ref="H53:I53"/>
    <mergeCell ref="B56:C56"/>
    <mergeCell ref="D56:E56"/>
    <mergeCell ref="F56:G56"/>
    <mergeCell ref="H56:I56"/>
    <mergeCell ref="B57:C57"/>
    <mergeCell ref="D57:E57"/>
    <mergeCell ref="F57:G57"/>
    <mergeCell ref="H57:I57"/>
    <mergeCell ref="B55:C55"/>
    <mergeCell ref="D55:E55"/>
    <mergeCell ref="F55:G55"/>
    <mergeCell ref="H55:I55"/>
    <mergeCell ref="B54:C54"/>
    <mergeCell ref="D54:E54"/>
    <mergeCell ref="F54:G54"/>
    <mergeCell ref="H54:I54"/>
    <mergeCell ref="B46:C46"/>
    <mergeCell ref="D46:E46"/>
    <mergeCell ref="F46:G46"/>
    <mergeCell ref="H46:I46"/>
    <mergeCell ref="B47:C47"/>
    <mergeCell ref="D47:E47"/>
    <mergeCell ref="F47:G47"/>
    <mergeCell ref="H47:I47"/>
    <mergeCell ref="B62:C62"/>
    <mergeCell ref="D62:E62"/>
    <mergeCell ref="F62:G62"/>
    <mergeCell ref="H62:I62"/>
    <mergeCell ref="B58:C58"/>
    <mergeCell ref="D58:E58"/>
    <mergeCell ref="F58:G58"/>
    <mergeCell ref="H58:I58"/>
    <mergeCell ref="B59:C59"/>
    <mergeCell ref="D59:E59"/>
    <mergeCell ref="F59:G59"/>
    <mergeCell ref="H59:I59"/>
    <mergeCell ref="B60:C60"/>
    <mergeCell ref="D60:E60"/>
    <mergeCell ref="F60:G60"/>
    <mergeCell ref="H60:I60"/>
    <mergeCell ref="B44:C44"/>
    <mergeCell ref="D44:E44"/>
    <mergeCell ref="F44:G44"/>
    <mergeCell ref="H44:I44"/>
    <mergeCell ref="B51:C51"/>
    <mergeCell ref="D51:E51"/>
    <mergeCell ref="F51:G51"/>
    <mergeCell ref="H51:I51"/>
    <mergeCell ref="B52:C52"/>
    <mergeCell ref="D52:E52"/>
    <mergeCell ref="F52:G52"/>
    <mergeCell ref="H52:I52"/>
    <mergeCell ref="B48:C48"/>
    <mergeCell ref="D48:E48"/>
    <mergeCell ref="F48:G48"/>
    <mergeCell ref="H48:I48"/>
    <mergeCell ref="B49:C49"/>
    <mergeCell ref="D49:E49"/>
    <mergeCell ref="F49:G49"/>
    <mergeCell ref="H49:I49"/>
    <mergeCell ref="B50:C50"/>
    <mergeCell ref="D50:E50"/>
    <mergeCell ref="F50:G50"/>
    <mergeCell ref="H50:I50"/>
    <mergeCell ref="B45:C45"/>
    <mergeCell ref="D45:E45"/>
    <mergeCell ref="F45:G45"/>
    <mergeCell ref="H45:I45"/>
    <mergeCell ref="B39:C39"/>
    <mergeCell ref="D39:E39"/>
    <mergeCell ref="F39:G39"/>
    <mergeCell ref="H39:I39"/>
    <mergeCell ref="B40:C40"/>
    <mergeCell ref="D40:E40"/>
    <mergeCell ref="F40:G40"/>
    <mergeCell ref="H40:I40"/>
    <mergeCell ref="B41:C41"/>
    <mergeCell ref="D41:E41"/>
    <mergeCell ref="F41:G41"/>
    <mergeCell ref="H41:I41"/>
    <mergeCell ref="B42:C42"/>
    <mergeCell ref="D42:E42"/>
    <mergeCell ref="F42:G42"/>
    <mergeCell ref="H42:I42"/>
    <mergeCell ref="B43:C43"/>
    <mergeCell ref="D43:E43"/>
    <mergeCell ref="F43:G43"/>
    <mergeCell ref="H43:I43"/>
    <mergeCell ref="H37:I37"/>
    <mergeCell ref="B29:C29"/>
    <mergeCell ref="D29:E29"/>
    <mergeCell ref="F29:G29"/>
    <mergeCell ref="H29:I29"/>
    <mergeCell ref="B32:C32"/>
    <mergeCell ref="D32:E32"/>
    <mergeCell ref="F32:G32"/>
    <mergeCell ref="H32:I32"/>
    <mergeCell ref="B33:C33"/>
    <mergeCell ref="D33:E33"/>
    <mergeCell ref="F33:G33"/>
    <mergeCell ref="H33:I33"/>
    <mergeCell ref="B31:C31"/>
    <mergeCell ref="D31:E31"/>
    <mergeCell ref="F31:G31"/>
    <mergeCell ref="H31:I31"/>
    <mergeCell ref="B30:C30"/>
    <mergeCell ref="D30:E30"/>
    <mergeCell ref="F30:G30"/>
    <mergeCell ref="H30:I30"/>
    <mergeCell ref="H22:I22"/>
    <mergeCell ref="B23:C23"/>
    <mergeCell ref="D23:E23"/>
    <mergeCell ref="F23:G23"/>
    <mergeCell ref="H23:I23"/>
    <mergeCell ref="B38:C38"/>
    <mergeCell ref="D38:E38"/>
    <mergeCell ref="F38:G38"/>
    <mergeCell ref="H38:I38"/>
    <mergeCell ref="B34:C34"/>
    <mergeCell ref="D34:E34"/>
    <mergeCell ref="F34:G34"/>
    <mergeCell ref="H34:I34"/>
    <mergeCell ref="B35:C35"/>
    <mergeCell ref="D35:E35"/>
    <mergeCell ref="F35:G35"/>
    <mergeCell ref="H35:I35"/>
    <mergeCell ref="B36:C36"/>
    <mergeCell ref="D36:E36"/>
    <mergeCell ref="F36:G36"/>
    <mergeCell ref="H36:I36"/>
    <mergeCell ref="B37:C37"/>
    <mergeCell ref="D37:E37"/>
    <mergeCell ref="F37:G37"/>
    <mergeCell ref="H20:I20"/>
    <mergeCell ref="B27:C27"/>
    <mergeCell ref="D27:E27"/>
    <mergeCell ref="F27:G27"/>
    <mergeCell ref="H27:I27"/>
    <mergeCell ref="B28:C28"/>
    <mergeCell ref="D28:E28"/>
    <mergeCell ref="F28:G28"/>
    <mergeCell ref="H28:I28"/>
    <mergeCell ref="B24:C24"/>
    <mergeCell ref="D24:E24"/>
    <mergeCell ref="F24:G24"/>
    <mergeCell ref="H24:I24"/>
    <mergeCell ref="B25:C25"/>
    <mergeCell ref="D25:E25"/>
    <mergeCell ref="F25:G25"/>
    <mergeCell ref="H25:I25"/>
    <mergeCell ref="B26:C26"/>
    <mergeCell ref="D26:E26"/>
    <mergeCell ref="F26:G26"/>
    <mergeCell ref="H26:I26"/>
    <mergeCell ref="B22:C22"/>
    <mergeCell ref="D22:E22"/>
    <mergeCell ref="F22:G22"/>
    <mergeCell ref="B21:C21"/>
    <mergeCell ref="D21:E21"/>
    <mergeCell ref="F21:G21"/>
    <mergeCell ref="H21:I21"/>
    <mergeCell ref="H13:I13"/>
    <mergeCell ref="B16:C16"/>
    <mergeCell ref="D16:E16"/>
    <mergeCell ref="F16:G16"/>
    <mergeCell ref="H16:I16"/>
    <mergeCell ref="B17:C17"/>
    <mergeCell ref="D17:E17"/>
    <mergeCell ref="F17:G17"/>
    <mergeCell ref="H17:I17"/>
    <mergeCell ref="B18:C18"/>
    <mergeCell ref="D18:E18"/>
    <mergeCell ref="F18:G18"/>
    <mergeCell ref="H18:I18"/>
    <mergeCell ref="B19:C19"/>
    <mergeCell ref="D19:E19"/>
    <mergeCell ref="F19:G19"/>
    <mergeCell ref="H19:I19"/>
    <mergeCell ref="B20:C20"/>
    <mergeCell ref="D20:E20"/>
    <mergeCell ref="F20:G20"/>
    <mergeCell ref="B10:C10"/>
    <mergeCell ref="D10:E10"/>
    <mergeCell ref="F10:G10"/>
    <mergeCell ref="H10:I10"/>
    <mergeCell ref="B11:C11"/>
    <mergeCell ref="D11:E11"/>
    <mergeCell ref="F11:G11"/>
    <mergeCell ref="H11:I11"/>
    <mergeCell ref="F6:G6"/>
    <mergeCell ref="H6:I6"/>
    <mergeCell ref="B7:C7"/>
    <mergeCell ref="D7:E7"/>
    <mergeCell ref="F7:G7"/>
    <mergeCell ref="H7:I7"/>
    <mergeCell ref="A1:I1"/>
    <mergeCell ref="A5:A6"/>
    <mergeCell ref="B5:C5"/>
    <mergeCell ref="D5:E5"/>
    <mergeCell ref="F5:G5"/>
    <mergeCell ref="H5:I5"/>
    <mergeCell ref="B6:C6"/>
    <mergeCell ref="D6:E6"/>
    <mergeCell ref="B2:C2"/>
    <mergeCell ref="B3:C3"/>
    <mergeCell ref="F138:G138"/>
    <mergeCell ref="B8:C8"/>
    <mergeCell ref="D8:E8"/>
    <mergeCell ref="F8:G8"/>
    <mergeCell ref="H8:I8"/>
    <mergeCell ref="B9:C9"/>
    <mergeCell ref="D9:E9"/>
    <mergeCell ref="F9:G9"/>
    <mergeCell ref="H9:I9"/>
    <mergeCell ref="B14:C14"/>
    <mergeCell ref="D14:E14"/>
    <mergeCell ref="F14:G14"/>
    <mergeCell ref="H14:I14"/>
    <mergeCell ref="B15:C15"/>
    <mergeCell ref="D15:E15"/>
    <mergeCell ref="F15:G15"/>
    <mergeCell ref="H15:I15"/>
    <mergeCell ref="B12:C12"/>
    <mergeCell ref="D12:E12"/>
    <mergeCell ref="F12:G12"/>
    <mergeCell ref="H12:I12"/>
    <mergeCell ref="B13:C13"/>
    <mergeCell ref="D13:E13"/>
    <mergeCell ref="F13:G13"/>
  </mergeCells>
  <printOptions horizontalCentered="1"/>
  <pageMargins left="0.31496062992125984" right="0.31496062992125984" top="0.59055118110236227" bottom="0.31496062992125984" header="0.31496062992125984" footer="0.31496062992125984"/>
  <pageSetup paperSize="9" scale="90" fitToWidth="4" fitToHeight="4" orientation="landscape" horizontalDpi="360" verticalDpi="36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'NO BPU'!$E$2:$E$653</xm:f>
          </x14:formula1>
          <xm:sqref>M3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tabColor rgb="FFFF0000"/>
  </sheetPr>
  <dimension ref="A1:AL1581"/>
  <sheetViews>
    <sheetView tabSelected="1" zoomScale="80" zoomScaleNormal="80" workbookViewId="0">
      <pane ySplit="3" topLeftCell="A179" activePane="bottomLeft" state="frozen"/>
      <selection pane="bottomLeft" activeCell="J183" sqref="J183"/>
    </sheetView>
  </sheetViews>
  <sheetFormatPr defaultColWidth="8.7265625" defaultRowHeight="14.5"/>
  <cols>
    <col min="1" max="1" width="10.7265625" style="61" customWidth="1"/>
    <col min="2" max="2" width="11.26953125" style="290" customWidth="1"/>
    <col min="3" max="3" width="11.54296875" style="290" customWidth="1"/>
    <col min="4" max="4" width="15.6328125" style="61" customWidth="1"/>
    <col min="5" max="5" width="17.7265625" style="297" customWidth="1"/>
    <col min="6" max="7" width="12.7265625" style="297" customWidth="1"/>
    <col min="8" max="8" width="13.54296875" style="297" customWidth="1"/>
    <col min="9" max="9" width="13.54296875" style="298" customWidth="1"/>
    <col min="10" max="10" width="48.81640625" style="152" customWidth="1"/>
    <col min="11" max="11" width="31" style="294" customWidth="1"/>
    <col min="12" max="13" width="8.54296875" style="290" customWidth="1"/>
    <col min="14" max="14" width="14.26953125" style="296" customWidth="1"/>
    <col min="15" max="15" width="12.1796875" style="296" customWidth="1"/>
    <col min="16" max="16" width="22.54296875" style="290" bestFit="1" customWidth="1"/>
    <col min="17" max="17" width="62.453125" style="61" customWidth="1"/>
    <col min="18" max="19" width="14.7265625" style="61" customWidth="1"/>
    <col min="20" max="21" width="16.54296875" style="61" customWidth="1"/>
    <col min="22" max="22" width="14.81640625" style="61" customWidth="1"/>
    <col min="23" max="23" width="38.453125" style="61" customWidth="1"/>
    <col min="24" max="24" width="42.453125" style="61" customWidth="1"/>
    <col min="25" max="25" width="32.81640625" style="61" customWidth="1"/>
    <col min="26" max="26" width="23.453125" style="293" customWidth="1"/>
    <col min="27" max="27" width="12.54296875" style="135" customWidth="1"/>
    <col min="28" max="28" width="14.81640625" style="220" customWidth="1"/>
    <col min="29" max="29" width="17" style="220" customWidth="1"/>
    <col min="30" max="30" width="16.54296875" style="294" customWidth="1"/>
    <col min="31" max="32" width="18.54296875" style="221" customWidth="1"/>
    <col min="33" max="33" width="12.1796875" style="296" customWidth="1"/>
    <col min="34" max="34" width="17.1796875" style="279" customWidth="1"/>
    <col min="35" max="35" width="15.1796875" style="61" customWidth="1"/>
    <col min="36" max="36" width="12.81640625" style="61" customWidth="1"/>
    <col min="37" max="37" width="11" style="61" bestFit="1" customWidth="1"/>
    <col min="38" max="16384" width="8.7265625" style="61"/>
  </cols>
  <sheetData>
    <row r="1" spans="1:38" ht="44.5" customHeight="1" thickBot="1">
      <c r="A1" s="920" t="s">
        <v>2105</v>
      </c>
      <c r="B1" s="920"/>
      <c r="C1" s="920"/>
      <c r="D1" s="920"/>
      <c r="E1" s="920"/>
      <c r="F1" s="920"/>
      <c r="G1" s="920"/>
      <c r="H1" s="920"/>
      <c r="I1" s="920"/>
      <c r="J1" s="920"/>
      <c r="K1" s="920"/>
      <c r="L1" s="920"/>
      <c r="M1" s="920"/>
      <c r="N1" s="920"/>
      <c r="O1" s="920"/>
      <c r="P1" s="920"/>
      <c r="Q1" s="920"/>
      <c r="R1" s="920"/>
      <c r="S1" s="920"/>
      <c r="T1" s="920"/>
      <c r="U1" s="920"/>
      <c r="V1" s="920"/>
      <c r="W1" s="920"/>
      <c r="X1" s="920"/>
      <c r="Y1" s="920"/>
      <c r="Z1" s="920"/>
      <c r="AA1" s="920"/>
      <c r="AB1" s="920"/>
      <c r="AC1" s="920"/>
      <c r="AD1" s="920"/>
      <c r="AE1" s="920"/>
      <c r="AF1" s="920"/>
      <c r="AG1" s="920"/>
      <c r="AH1" s="920"/>
    </row>
    <row r="2" spans="1:38" s="260" customFormat="1" ht="57.65" customHeight="1" thickTop="1" thickBot="1">
      <c r="A2" s="302" t="s">
        <v>445</v>
      </c>
      <c r="B2" s="302" t="s">
        <v>446</v>
      </c>
      <c r="C2" s="303" t="s">
        <v>0</v>
      </c>
      <c r="D2" s="303" t="s">
        <v>1</v>
      </c>
      <c r="E2" s="304" t="s">
        <v>447</v>
      </c>
      <c r="F2" s="304" t="s">
        <v>2</v>
      </c>
      <c r="G2" s="304" t="s">
        <v>448</v>
      </c>
      <c r="H2" s="304" t="s">
        <v>449</v>
      </c>
      <c r="I2" s="304" t="s">
        <v>3</v>
      </c>
      <c r="J2" s="302" t="s">
        <v>3902</v>
      </c>
      <c r="K2" s="302" t="s">
        <v>451</v>
      </c>
      <c r="L2" s="302" t="s">
        <v>452</v>
      </c>
      <c r="M2" s="302" t="s">
        <v>6</v>
      </c>
      <c r="N2" s="302" t="s">
        <v>14</v>
      </c>
      <c r="O2" s="302" t="s">
        <v>5</v>
      </c>
      <c r="P2" s="302" t="s">
        <v>3865</v>
      </c>
      <c r="Q2" s="303" t="s">
        <v>453</v>
      </c>
      <c r="R2" s="303" t="s">
        <v>454</v>
      </c>
      <c r="S2" s="303" t="s">
        <v>455</v>
      </c>
      <c r="T2" s="303" t="s">
        <v>456</v>
      </c>
      <c r="U2" s="303" t="s">
        <v>457</v>
      </c>
      <c r="V2" s="303" t="s">
        <v>458</v>
      </c>
      <c r="W2" s="302" t="s">
        <v>459</v>
      </c>
      <c r="X2" s="302" t="s">
        <v>460</v>
      </c>
      <c r="Y2" s="303" t="s">
        <v>461</v>
      </c>
      <c r="Z2" s="305" t="s">
        <v>1535</v>
      </c>
      <c r="AA2" s="306" t="s">
        <v>6</v>
      </c>
      <c r="AB2" s="307" t="s">
        <v>1536</v>
      </c>
      <c r="AC2" s="307" t="s">
        <v>1537</v>
      </c>
      <c r="AD2" s="303" t="s">
        <v>1538</v>
      </c>
      <c r="AE2" s="308" t="s">
        <v>1539</v>
      </c>
      <c r="AF2" s="308" t="s">
        <v>1540</v>
      </c>
      <c r="AG2" s="302" t="s">
        <v>3882</v>
      </c>
      <c r="AH2" s="302" t="s">
        <v>2097</v>
      </c>
    </row>
    <row r="3" spans="1:38" s="261" customFormat="1" ht="13" customHeight="1" thickTop="1" thickBot="1">
      <c r="A3" s="309">
        <v>1</v>
      </c>
      <c r="B3" s="310">
        <v>2</v>
      </c>
      <c r="C3" s="309">
        <v>3</v>
      </c>
      <c r="D3" s="310">
        <v>4</v>
      </c>
      <c r="E3" s="309">
        <v>5</v>
      </c>
      <c r="F3" s="310">
        <v>6</v>
      </c>
      <c r="G3" s="309">
        <v>7</v>
      </c>
      <c r="H3" s="310">
        <v>8</v>
      </c>
      <c r="I3" s="309">
        <v>9</v>
      </c>
      <c r="J3" s="309">
        <v>10</v>
      </c>
      <c r="K3" s="309">
        <v>11</v>
      </c>
      <c r="L3" s="310">
        <v>12</v>
      </c>
      <c r="M3" s="309">
        <v>13</v>
      </c>
      <c r="N3" s="310">
        <v>14</v>
      </c>
      <c r="O3" s="309">
        <v>15</v>
      </c>
      <c r="P3" s="310">
        <v>16</v>
      </c>
      <c r="Q3" s="309">
        <v>17</v>
      </c>
      <c r="R3" s="310">
        <v>18</v>
      </c>
      <c r="S3" s="309">
        <v>19</v>
      </c>
      <c r="T3" s="310">
        <v>20</v>
      </c>
      <c r="U3" s="309">
        <v>21</v>
      </c>
      <c r="V3" s="310">
        <v>22</v>
      </c>
      <c r="W3" s="309">
        <v>23</v>
      </c>
      <c r="X3" s="310">
        <v>24</v>
      </c>
      <c r="Y3" s="309">
        <v>25</v>
      </c>
      <c r="Z3" s="310">
        <v>26</v>
      </c>
      <c r="AA3" s="309">
        <v>27</v>
      </c>
      <c r="AB3" s="310">
        <v>28</v>
      </c>
      <c r="AC3" s="309">
        <v>29</v>
      </c>
      <c r="AD3" s="310">
        <v>30</v>
      </c>
      <c r="AE3" s="309">
        <v>31</v>
      </c>
      <c r="AF3" s="310">
        <v>32</v>
      </c>
      <c r="AG3" s="309">
        <v>33</v>
      </c>
      <c r="AH3" s="311">
        <v>34</v>
      </c>
      <c r="AI3" s="301"/>
      <c r="AJ3" s="300"/>
      <c r="AK3" s="299"/>
      <c r="AL3" s="300"/>
    </row>
    <row r="4" spans="1:38" s="871" customFormat="1" ht="26" thickTop="1" thickBot="1">
      <c r="A4" s="848" t="str">
        <f>Data2025!G3</f>
        <v>01</v>
      </c>
      <c r="B4" s="849" t="str">
        <f>Data2025!K3</f>
        <v>BPU01</v>
      </c>
      <c r="C4" s="850" t="str">
        <f>Data2025!D3</f>
        <v>05.05.02.</v>
      </c>
      <c r="D4" s="851" t="str">
        <f>Data2025!C3</f>
        <v>5.1.02.01.01.0052</v>
      </c>
      <c r="E4" s="852">
        <f>Data2025!E3</f>
        <v>45661</v>
      </c>
      <c r="F4" s="853" t="str">
        <f>Data2025!F3</f>
        <v>06/01/2025</v>
      </c>
      <c r="G4" s="852" t="str">
        <f>Data2025!H3</f>
        <v>06/01/2025</v>
      </c>
      <c r="H4" s="852" t="str">
        <f>G4</f>
        <v>06/01/2025</v>
      </c>
      <c r="I4" s="854" t="str">
        <f>Data2025!J3</f>
        <v>23/01/2025</v>
      </c>
      <c r="J4" s="855" t="str">
        <f>Data2025!L3</f>
        <v>Air Mineral pada pelaksanaan kegiatan bulanan Gerakan Bersih Lingkungan Sekolah</v>
      </c>
      <c r="K4" s="855" t="str">
        <f>Data2025!M3</f>
        <v>Aqua Cup</v>
      </c>
      <c r="L4" s="856">
        <f>Data2025!N3</f>
        <v>25</v>
      </c>
      <c r="M4" s="856" t="str">
        <f>Data2025!O3</f>
        <v>dus</v>
      </c>
      <c r="N4" s="857">
        <f>Data2025!P3</f>
        <v>50000</v>
      </c>
      <c r="O4" s="858">
        <f>Data2025!Q3</f>
        <v>1250000</v>
      </c>
      <c r="P4" s="859" t="s">
        <v>1545</v>
      </c>
      <c r="Q4" s="860" t="str">
        <f>VLOOKUP(K4,Sheet1!$C$1:$D$101,2,)</f>
        <v>Aqua Cup (Diameter: 6.3cm. Tinggi: 9.5cm)</v>
      </c>
      <c r="R4" s="861">
        <v>55000</v>
      </c>
      <c r="S4" s="862">
        <v>65000</v>
      </c>
      <c r="T4" s="863" t="str">
        <f>Data2025!T3</f>
        <v>Rumah Roti Helena</v>
      </c>
      <c r="U4" s="864" t="s">
        <v>538</v>
      </c>
      <c r="V4" s="863" t="str">
        <f>Data2025!V3</f>
        <v>Fudi Supiyanto</v>
      </c>
      <c r="W4" s="863" t="str">
        <f>Data2025!X3</f>
        <v>Jln Ahmad Yani No.89 Kel. Pasar Telukdalam, Nias Selatan</v>
      </c>
      <c r="X4" s="864" t="s">
        <v>541</v>
      </c>
      <c r="Y4" s="864" t="str">
        <f>P4</f>
        <v>Air Mineral</v>
      </c>
      <c r="Z4" s="865" t="str">
        <f>Y4</f>
        <v>Air Mineral</v>
      </c>
      <c r="AA4" s="866" t="s">
        <v>3362</v>
      </c>
      <c r="AB4" s="867">
        <v>11000</v>
      </c>
      <c r="AC4" s="867">
        <v>55000</v>
      </c>
      <c r="AD4" s="861">
        <v>55000</v>
      </c>
      <c r="AE4" s="868">
        <v>49549.549549549549</v>
      </c>
      <c r="AF4" s="868">
        <v>55000</v>
      </c>
      <c r="AG4" s="869" t="s">
        <v>3883</v>
      </c>
      <c r="AH4" s="870" t="str">
        <f>Data2025!W3</f>
        <v>082164895397</v>
      </c>
    </row>
    <row r="5" spans="1:38" ht="16.5" thickTop="1" thickBot="1">
      <c r="A5" s="636" t="str">
        <f>Data2025!G4</f>
        <v>02</v>
      </c>
      <c r="B5" s="637" t="str">
        <f>Data2025!K4</f>
        <v>BPU02</v>
      </c>
      <c r="C5" s="638" t="str">
        <f>Data2025!D4</f>
        <v>05. 08. 01.</v>
      </c>
      <c r="D5" s="639" t="str">
        <f>Data2025!C4</f>
        <v>5.1.02.01.01.0012</v>
      </c>
      <c r="E5" s="265">
        <f>Data2025!E4</f>
        <v>45661</v>
      </c>
      <c r="F5" s="640" t="str">
        <f>Data2025!F4</f>
        <v>06/01/2025</v>
      </c>
      <c r="G5" s="265" t="str">
        <f>Data2025!H4</f>
        <v>07/01/2025</v>
      </c>
      <c r="H5" s="265" t="str">
        <f t="shared" ref="H5:H68" si="0">G5</f>
        <v>07/01/2025</v>
      </c>
      <c r="I5" s="641" t="str">
        <f>Data2025!J4</f>
        <v>23/01/2025</v>
      </c>
      <c r="J5" s="381" t="str">
        <f>Data2025!L4</f>
        <v>Perbaikan dan Pengaspalan Jalan Sekolah</v>
      </c>
      <c r="K5" s="381" t="str">
        <f>Data2025!M4</f>
        <v>Bayar Jasa Perbaikan</v>
      </c>
      <c r="L5" s="642">
        <f>Data2025!N4</f>
        <v>1</v>
      </c>
      <c r="M5" s="642" t="str">
        <f>Data2025!O4</f>
        <v>kegiatan</v>
      </c>
      <c r="N5" s="643">
        <f>Data2025!P4</f>
        <v>37080000</v>
      </c>
      <c r="O5" s="644">
        <f>Data2025!Q4</f>
        <v>37080000</v>
      </c>
      <c r="P5" s="645" t="s">
        <v>3094</v>
      </c>
      <c r="Q5" s="646" t="e">
        <f>VLOOKUP(K5,Sheet1!$C$1:$D$101,2,)</f>
        <v>#N/A</v>
      </c>
      <c r="R5" s="267">
        <v>95000</v>
      </c>
      <c r="S5" s="647">
        <v>97000</v>
      </c>
      <c r="T5" s="648" t="str">
        <f>Data2025!T4</f>
        <v>CV. GORIYAKU WIRATRADE</v>
      </c>
      <c r="U5" s="268" t="s">
        <v>538</v>
      </c>
      <c r="V5" s="648" t="str">
        <f>Data2025!V4</f>
        <v>Wirawan Bazikho</v>
      </c>
      <c r="W5" s="648" t="str">
        <f>Data2025!X4</f>
        <v>Jl. Diponegoro No. 87, Kel Pasar Telukdalam - Nias Selatan</v>
      </c>
      <c r="X5" s="268" t="s">
        <v>541</v>
      </c>
      <c r="Y5" s="268" t="str">
        <f t="shared" ref="Y5:Y68" si="1">P5</f>
        <v>Pemeliharaan</v>
      </c>
      <c r="Z5" s="649" t="str">
        <f t="shared" ref="Z5:Z68" si="2">Y5</f>
        <v>Pemeliharaan</v>
      </c>
      <c r="AA5" s="650" t="s">
        <v>3364</v>
      </c>
      <c r="AB5" s="269">
        <v>95000</v>
      </c>
      <c r="AC5" s="269">
        <v>95000</v>
      </c>
      <c r="AD5" s="267">
        <v>95000</v>
      </c>
      <c r="AE5" s="270">
        <v>85585.585585585592</v>
      </c>
      <c r="AF5" s="270">
        <v>95000</v>
      </c>
      <c r="AG5" s="805" t="s">
        <v>3883</v>
      </c>
      <c r="AH5" s="651" t="str">
        <f>Data2025!W4</f>
        <v>082166714290</v>
      </c>
    </row>
    <row r="6" spans="1:38" ht="16.5" thickTop="1" thickBot="1">
      <c r="A6" s="636" t="str">
        <f>Data2025!G5</f>
        <v>03</v>
      </c>
      <c r="B6" s="637" t="str">
        <f>Data2025!K5</f>
        <v>BPU03</v>
      </c>
      <c r="C6" s="638" t="str">
        <f>Data2025!D5</f>
        <v>05. 08. 10.</v>
      </c>
      <c r="D6" s="639" t="str">
        <f>Data2025!C5</f>
        <v>5.1.02.01.01.0031</v>
      </c>
      <c r="E6" s="265">
        <f>Data2025!E5</f>
        <v>45661</v>
      </c>
      <c r="F6" s="640" t="str">
        <f>Data2025!F5</f>
        <v>06/01/2025</v>
      </c>
      <c r="G6" s="265" t="str">
        <f>Data2025!H5</f>
        <v>06/01/2025</v>
      </c>
      <c r="H6" s="265" t="str">
        <f t="shared" si="0"/>
        <v>06/01/2025</v>
      </c>
      <c r="I6" s="641" t="str">
        <f>Data2025!J5</f>
        <v>23/01/2025</v>
      </c>
      <c r="J6" s="381" t="str">
        <f>Data2025!L5</f>
        <v>bola lampu hannock-45 watt</v>
      </c>
      <c r="K6" s="381" t="str">
        <f>Data2025!M5</f>
        <v>Bola Lampu</v>
      </c>
      <c r="L6" s="642">
        <f>Data2025!N5</f>
        <v>23</v>
      </c>
      <c r="M6" s="642" t="str">
        <f>Data2025!O5</f>
        <v>buah</v>
      </c>
      <c r="N6" s="643">
        <f>Data2025!P5</f>
        <v>77800</v>
      </c>
      <c r="O6" s="644">
        <f>Data2025!Q5</f>
        <v>1789400</v>
      </c>
      <c r="P6" s="645" t="s">
        <v>799</v>
      </c>
      <c r="Q6" s="646" t="e">
        <f>VLOOKUP(K6,Sheet1!$C$1:$D$101,2,)</f>
        <v>#N/A</v>
      </c>
      <c r="R6" s="267">
        <v>2200000</v>
      </c>
      <c r="S6" s="647">
        <v>2202000</v>
      </c>
      <c r="T6" s="648" t="str">
        <f>Data2025!T5</f>
        <v>CV. GORIYAKU WIRATRADE</v>
      </c>
      <c r="U6" s="268" t="s">
        <v>538</v>
      </c>
      <c r="V6" s="648" t="str">
        <f>Data2025!V5</f>
        <v>Wirawan Bazikho</v>
      </c>
      <c r="W6" s="648" t="str">
        <f>Data2025!X5</f>
        <v>Jl. Diponegoro No. 87, Kel Pasar Telukdalam - Nias Selatan</v>
      </c>
      <c r="X6" s="268" t="s">
        <v>541</v>
      </c>
      <c r="Y6" s="268" t="str">
        <f t="shared" si="1"/>
        <v>Peralatan Listrik</v>
      </c>
      <c r="Z6" s="649" t="str">
        <f t="shared" si="2"/>
        <v>Peralatan Listrik</v>
      </c>
      <c r="AA6" s="650" t="s">
        <v>3363</v>
      </c>
      <c r="AB6" s="269">
        <v>2200000</v>
      </c>
      <c r="AC6" s="269">
        <v>2200000</v>
      </c>
      <c r="AD6" s="267">
        <v>2200000</v>
      </c>
      <c r="AE6" s="270">
        <v>1981981.981981982</v>
      </c>
      <c r="AF6" s="270">
        <v>2200000</v>
      </c>
      <c r="AG6" s="805" t="s">
        <v>3883</v>
      </c>
      <c r="AH6" s="651" t="str">
        <f>Data2025!W5</f>
        <v>082166714290</v>
      </c>
    </row>
    <row r="7" spans="1:38" s="501" customFormat="1" ht="16.5" thickTop="1" thickBot="1">
      <c r="A7" s="901" t="str">
        <f>Data2025!G6</f>
        <v>04</v>
      </c>
      <c r="B7" s="902" t="str">
        <f>Data2025!K6</f>
        <v>BPU04</v>
      </c>
      <c r="C7" s="903" t="str">
        <f>Data2025!D6</f>
        <v>06. 05. 08.</v>
      </c>
      <c r="D7" s="904" t="str">
        <f>Data2025!C6</f>
        <v>5.1.02.01.01.0024</v>
      </c>
      <c r="E7" s="905">
        <f>Data2025!E6</f>
        <v>45661</v>
      </c>
      <c r="F7" s="906" t="str">
        <f>Data2025!F6</f>
        <v>06/01/2025</v>
      </c>
      <c r="G7" s="905" t="str">
        <f>Data2025!H6</f>
        <v>06/01/2025</v>
      </c>
      <c r="H7" s="905" t="str">
        <f t="shared" si="0"/>
        <v>06/01/2025</v>
      </c>
      <c r="I7" s="907" t="str">
        <f>Data2025!J6</f>
        <v>23/01/2025</v>
      </c>
      <c r="J7" s="908" t="str">
        <f>Data2025!L6</f>
        <v>Plastik Mika</v>
      </c>
      <c r="K7" s="908" t="str">
        <f>Data2025!M6</f>
        <v>Plastik Mika</v>
      </c>
      <c r="L7" s="909">
        <f>Data2025!N6</f>
        <v>5</v>
      </c>
      <c r="M7" s="909" t="str">
        <f>Data2025!O6</f>
        <v>bungkus</v>
      </c>
      <c r="N7" s="910">
        <f>Data2025!P6</f>
        <v>60000</v>
      </c>
      <c r="O7" s="911">
        <f>Data2025!Q6</f>
        <v>300000</v>
      </c>
      <c r="P7" s="912" t="s">
        <v>710</v>
      </c>
      <c r="Q7" s="913" t="str">
        <f>VLOOKUP(K7,Sheet1!$C$1:$D$101,2,)</f>
        <v>Plastik Mika Jilid F4 (Length 21.0Cm, Width 33.0Cm, Height 7.0Cm, Weight 548Gr)</v>
      </c>
      <c r="R7" s="496">
        <v>360000</v>
      </c>
      <c r="S7" s="504">
        <v>366000</v>
      </c>
      <c r="T7" s="914" t="str">
        <f>Data2025!T6</f>
        <v>UD. JOSUA</v>
      </c>
      <c r="U7" s="497" t="s">
        <v>538</v>
      </c>
      <c r="V7" s="914" t="str">
        <f>Data2025!V6</f>
        <v>Gestiwan Bazikho</v>
      </c>
      <c r="W7" s="914" t="str">
        <f>Data2025!X6</f>
        <v>Jl. Diponegoro Kel. Pasar Telukdalam - Nias Selatan</v>
      </c>
      <c r="X7" s="497" t="s">
        <v>541</v>
      </c>
      <c r="Y7" s="497" t="str">
        <f t="shared" si="1"/>
        <v>Alat Tulis Kantor (ATK)</v>
      </c>
      <c r="Z7" s="915" t="str">
        <f t="shared" si="2"/>
        <v>Alat Tulis Kantor (ATK)</v>
      </c>
      <c r="AA7" s="498" t="s">
        <v>3363</v>
      </c>
      <c r="AB7" s="499">
        <v>120000</v>
      </c>
      <c r="AC7" s="499">
        <v>360000</v>
      </c>
      <c r="AD7" s="496">
        <v>360000</v>
      </c>
      <c r="AE7" s="500">
        <v>324324.32432432432</v>
      </c>
      <c r="AF7" s="500">
        <v>360000</v>
      </c>
      <c r="AG7" s="916" t="s">
        <v>3883</v>
      </c>
      <c r="AH7" s="917" t="str">
        <f>Data2025!W6</f>
        <v>081375309828</v>
      </c>
      <c r="AI7" s="502"/>
      <c r="AJ7" s="502"/>
    </row>
    <row r="8" spans="1:38" s="501" customFormat="1" ht="26" thickTop="1" thickBot="1">
      <c r="A8" s="901" t="str">
        <f>Data2025!G7</f>
        <v>04</v>
      </c>
      <c r="B8" s="902" t="str">
        <f>Data2025!K7</f>
        <v>BPU04</v>
      </c>
      <c r="C8" s="903" t="str">
        <f>Data2025!D7</f>
        <v>06. 05. 08.</v>
      </c>
      <c r="D8" s="904" t="str">
        <f>Data2025!C7</f>
        <v>5.1.02.01.01.0024</v>
      </c>
      <c r="E8" s="905">
        <f>Data2025!E7</f>
        <v>45661</v>
      </c>
      <c r="F8" s="906" t="str">
        <f>Data2025!F7</f>
        <v>06/01/2025</v>
      </c>
      <c r="G8" s="905" t="str">
        <f>Data2025!H7</f>
        <v>06/01/2025</v>
      </c>
      <c r="H8" s="905" t="str">
        <f t="shared" si="0"/>
        <v>06/01/2025</v>
      </c>
      <c r="I8" s="907" t="str">
        <f>Data2025!J7</f>
        <v>23/01/2025</v>
      </c>
      <c r="J8" s="908" t="str">
        <f>Data2025!L7</f>
        <v>Kertas Warna Blank Folio, Ukuran : 8,5 x 14",  70 gram</v>
      </c>
      <c r="K8" s="908" t="str">
        <f>Data2025!M7</f>
        <v>Kertas Warna Blank Folio, Ukuran : 8,5 x 14",  70 gram</v>
      </c>
      <c r="L8" s="909">
        <f>Data2025!N7</f>
        <v>2</v>
      </c>
      <c r="M8" s="909" t="str">
        <f>Data2025!O7</f>
        <v>rim</v>
      </c>
      <c r="N8" s="910">
        <f>Data2025!P7</f>
        <v>90000</v>
      </c>
      <c r="O8" s="911">
        <f>Data2025!Q7</f>
        <v>180000</v>
      </c>
      <c r="P8" s="912" t="s">
        <v>710</v>
      </c>
      <c r="Q8" s="913" t="str">
        <f>VLOOKUP(K8,Sheet1!$C$1:$D$101,2,)</f>
        <v>Kertas Hvs Warna 70 Gsm (Length 21.0Cm, Width 33.0Cm, Height 7.0Cm, Weight 2400Gr)</v>
      </c>
      <c r="R8" s="496">
        <v>550000</v>
      </c>
      <c r="S8" s="504">
        <v>750000</v>
      </c>
      <c r="T8" s="914" t="str">
        <f>Data2025!T7</f>
        <v>UD. JOSUA</v>
      </c>
      <c r="U8" s="497" t="s">
        <v>538</v>
      </c>
      <c r="V8" s="914" t="str">
        <f>Data2025!V7</f>
        <v>Gestiwan Bazikho</v>
      </c>
      <c r="W8" s="914" t="str">
        <f>Data2025!X7</f>
        <v>Jl. Diponegoro Kel. Pasar Telukdalam - Nias Selatan</v>
      </c>
      <c r="X8" s="497" t="s">
        <v>541</v>
      </c>
      <c r="Y8" s="497" t="str">
        <f t="shared" si="1"/>
        <v>Alat Tulis Kantor (ATK)</v>
      </c>
      <c r="Z8" s="915" t="str">
        <f t="shared" si="2"/>
        <v>Alat Tulis Kantor (ATK)</v>
      </c>
      <c r="AA8" s="498" t="s">
        <v>3363</v>
      </c>
      <c r="AB8" s="499">
        <v>5500</v>
      </c>
      <c r="AC8" s="499">
        <v>550000</v>
      </c>
      <c r="AD8" s="496">
        <v>550000</v>
      </c>
      <c r="AE8" s="500">
        <v>495495.4954954955</v>
      </c>
      <c r="AF8" s="500">
        <v>550000</v>
      </c>
      <c r="AG8" s="916" t="s">
        <v>3883</v>
      </c>
      <c r="AH8" s="917" t="str">
        <f>Data2025!W7</f>
        <v>081375309828</v>
      </c>
    </row>
    <row r="9" spans="1:38" s="501" customFormat="1" ht="16.5" thickTop="1" thickBot="1">
      <c r="A9" s="901" t="str">
        <f>Data2025!G8</f>
        <v>04</v>
      </c>
      <c r="B9" s="902" t="str">
        <f>Data2025!K8</f>
        <v>BPU04</v>
      </c>
      <c r="C9" s="903" t="str">
        <f>Data2025!D8</f>
        <v>06. 05. 08.</v>
      </c>
      <c r="D9" s="904" t="str">
        <f>Data2025!C8</f>
        <v>5.1.02.01.01.0024</v>
      </c>
      <c r="E9" s="905">
        <f>Data2025!E8</f>
        <v>45661</v>
      </c>
      <c r="F9" s="906" t="str">
        <f>Data2025!F8</f>
        <v>06/01/2025</v>
      </c>
      <c r="G9" s="905" t="str">
        <f>Data2025!H8</f>
        <v>06/01/2025</v>
      </c>
      <c r="H9" s="905" t="str">
        <f t="shared" si="0"/>
        <v>06/01/2025</v>
      </c>
      <c r="I9" s="907" t="str">
        <f>Data2025!J8</f>
        <v>23/01/2025</v>
      </c>
      <c r="J9" s="908" t="str">
        <f>Data2025!L8</f>
        <v>Kertas Lain-Lain Kertas Buffalo</v>
      </c>
      <c r="K9" s="908" t="str">
        <f>Data2025!M8</f>
        <v>Kertas Lain-Lain Kertas Buffalo</v>
      </c>
      <c r="L9" s="909">
        <f>Data2025!N8</f>
        <v>5</v>
      </c>
      <c r="M9" s="909" t="str">
        <f>Data2025!O8</f>
        <v>bungkus</v>
      </c>
      <c r="N9" s="910">
        <f>Data2025!P8</f>
        <v>31000</v>
      </c>
      <c r="O9" s="911">
        <f>Data2025!Q8</f>
        <v>155000</v>
      </c>
      <c r="P9" s="912" t="s">
        <v>710</v>
      </c>
      <c r="Q9" s="913" t="str">
        <f>VLOOKUP(K9,Sheet1!$C$1:$D$101,2,)</f>
        <v>Kertas Buffalo F4 (Length 21.0Cm, Width 33.0Cm, Height 7.0Cm, Weight 1006Gr)</v>
      </c>
      <c r="R9" s="496">
        <v>120000</v>
      </c>
      <c r="S9" s="504">
        <v>124000</v>
      </c>
      <c r="T9" s="914" t="str">
        <f>Data2025!T8</f>
        <v>UD. JOSUA</v>
      </c>
      <c r="U9" s="497" t="s">
        <v>538</v>
      </c>
      <c r="V9" s="914" t="str">
        <f>Data2025!V8</f>
        <v>Gestiwan Bazikho</v>
      </c>
      <c r="W9" s="914" t="str">
        <f>Data2025!X8</f>
        <v>Jl. Diponegoro Kel. Pasar Telukdalam - Nias Selatan</v>
      </c>
      <c r="X9" s="497" t="s">
        <v>541</v>
      </c>
      <c r="Y9" s="497" t="str">
        <f t="shared" si="1"/>
        <v>Alat Tulis Kantor (ATK)</v>
      </c>
      <c r="Z9" s="915" t="str">
        <f t="shared" si="2"/>
        <v>Alat Tulis Kantor (ATK)</v>
      </c>
      <c r="AA9" s="498" t="s">
        <v>3365</v>
      </c>
      <c r="AB9" s="499">
        <v>60000</v>
      </c>
      <c r="AC9" s="499">
        <v>120000</v>
      </c>
      <c r="AD9" s="496">
        <v>120000</v>
      </c>
      <c r="AE9" s="500">
        <v>108108.10810810811</v>
      </c>
      <c r="AF9" s="500">
        <v>120000</v>
      </c>
      <c r="AG9" s="916" t="s">
        <v>3883</v>
      </c>
      <c r="AH9" s="917" t="str">
        <f>Data2025!W8</f>
        <v>081375309828</v>
      </c>
    </row>
    <row r="10" spans="1:38" s="501" customFormat="1" ht="26" thickTop="1" thickBot="1">
      <c r="A10" s="901" t="str">
        <f>Data2025!G9</f>
        <v>04</v>
      </c>
      <c r="B10" s="902" t="str">
        <f>Data2025!K9</f>
        <v>BPU04</v>
      </c>
      <c r="C10" s="903" t="str">
        <f>Data2025!D9</f>
        <v>06. 05. 08.</v>
      </c>
      <c r="D10" s="904" t="str">
        <f>Data2025!C9</f>
        <v>5.1.02.01.01.0024</v>
      </c>
      <c r="E10" s="905">
        <f>Data2025!E9</f>
        <v>45661</v>
      </c>
      <c r="F10" s="906" t="str">
        <f>Data2025!F9</f>
        <v>06/01/2025</v>
      </c>
      <c r="G10" s="905" t="str">
        <f>Data2025!H9</f>
        <v>06/01/2025</v>
      </c>
      <c r="H10" s="905" t="str">
        <f t="shared" si="0"/>
        <v>06/01/2025</v>
      </c>
      <c r="I10" s="907" t="str">
        <f>Data2025!J9</f>
        <v>23/01/2025</v>
      </c>
      <c r="J10" s="908" t="str">
        <f>Data2025!L9</f>
        <v>Kertas Post-It Warna Warni  Sign Here</v>
      </c>
      <c r="K10" s="908" t="str">
        <f>Data2025!M9</f>
        <v>Kertas Post-It Warna Warni  Sign Here</v>
      </c>
      <c r="L10" s="909">
        <f>Data2025!N9</f>
        <v>5</v>
      </c>
      <c r="M10" s="909" t="str">
        <f>Data2025!O9</f>
        <v>buah</v>
      </c>
      <c r="N10" s="910">
        <f>Data2025!P9</f>
        <v>22800</v>
      </c>
      <c r="O10" s="911">
        <f>Data2025!Q9</f>
        <v>114000</v>
      </c>
      <c r="P10" s="912" t="s">
        <v>710</v>
      </c>
      <c r="Q10" s="913" t="str">
        <f>VLOOKUP(K10,Sheet1!$C$1:$D$101,2,)</f>
        <v>Post It Warna Warni (Length 7.0Cm, Width 7.0Cm, Height 7.0Cm, Weight 44Gr)</v>
      </c>
      <c r="R10" s="496">
        <v>40000</v>
      </c>
      <c r="S10" s="504">
        <v>44000</v>
      </c>
      <c r="T10" s="914" t="str">
        <f>Data2025!T9</f>
        <v>UD. JOSUA</v>
      </c>
      <c r="U10" s="497" t="s">
        <v>538</v>
      </c>
      <c r="V10" s="914" t="str">
        <f>Data2025!V9</f>
        <v>Gestiwan Bazikho</v>
      </c>
      <c r="W10" s="914" t="str">
        <f>Data2025!X9</f>
        <v>Jl. Diponegoro Kel. Pasar Telukdalam - Nias Selatan</v>
      </c>
      <c r="X10" s="497" t="s">
        <v>541</v>
      </c>
      <c r="Y10" s="497" t="str">
        <f t="shared" si="1"/>
        <v>Alat Tulis Kantor (ATK)</v>
      </c>
      <c r="Z10" s="915" t="str">
        <f t="shared" si="2"/>
        <v>Alat Tulis Kantor (ATK)</v>
      </c>
      <c r="AA10" s="498" t="s">
        <v>3363</v>
      </c>
      <c r="AB10" s="499">
        <v>20000</v>
      </c>
      <c r="AC10" s="499">
        <v>40000</v>
      </c>
      <c r="AD10" s="496">
        <v>40000</v>
      </c>
      <c r="AE10" s="500">
        <v>36036.036036036036</v>
      </c>
      <c r="AF10" s="500">
        <v>40000</v>
      </c>
      <c r="AG10" s="916" t="s">
        <v>3883</v>
      </c>
      <c r="AH10" s="917" t="str">
        <f>Data2025!W9</f>
        <v>081375309828</v>
      </c>
      <c r="AK10" s="918" t="s">
        <v>2091</v>
      </c>
    </row>
    <row r="11" spans="1:38" s="501" customFormat="1" ht="26" thickTop="1" thickBot="1">
      <c r="A11" s="901" t="str">
        <f>Data2025!G10</f>
        <v>04</v>
      </c>
      <c r="B11" s="902" t="str">
        <f>Data2025!K10</f>
        <v>BPU04</v>
      </c>
      <c r="C11" s="903" t="str">
        <f>Data2025!D10</f>
        <v>06. 05. 08.</v>
      </c>
      <c r="D11" s="904" t="str">
        <f>Data2025!C10</f>
        <v>5.1.02.01.01.0024</v>
      </c>
      <c r="E11" s="905">
        <f>Data2025!E10</f>
        <v>45661</v>
      </c>
      <c r="F11" s="906" t="str">
        <f>Data2025!F10</f>
        <v>06/01/2025</v>
      </c>
      <c r="G11" s="905" t="str">
        <f>Data2025!H10</f>
        <v>06/01/2025</v>
      </c>
      <c r="H11" s="905" t="str">
        <f t="shared" si="0"/>
        <v>06/01/2025</v>
      </c>
      <c r="I11" s="907" t="str">
        <f>Data2025!J10</f>
        <v>23/01/2025</v>
      </c>
      <c r="J11" s="908" t="str">
        <f>Data2025!L10</f>
        <v>Kertas HVS 60 gram Merk : Paper One HVS F4 uk. 8.27"x11.69"</v>
      </c>
      <c r="K11" s="908" t="str">
        <f>Data2025!M10</f>
        <v>Kertas HVS 60 gram Merk : Paper One HVS F4 uk. 8.27"x11.69"</v>
      </c>
      <c r="L11" s="909">
        <f>Data2025!N10</f>
        <v>10</v>
      </c>
      <c r="M11" s="909" t="str">
        <f>Data2025!O10</f>
        <v>rim</v>
      </c>
      <c r="N11" s="910">
        <f>Data2025!P10</f>
        <v>48500</v>
      </c>
      <c r="O11" s="911">
        <f>Data2025!Q10</f>
        <v>485000</v>
      </c>
      <c r="P11" s="912" t="s">
        <v>710</v>
      </c>
      <c r="Q11" s="913" t="str">
        <f>VLOOKUP(K11,Sheet1!$C$1:$D$101,2,)</f>
        <v>Kertas Hvs 60Gsm Paper One F4 (Length 33.0Cm, Width 21.0Cm, Height 7.0Cm, Weight 1400Gr)</v>
      </c>
      <c r="R11" s="496">
        <v>155000</v>
      </c>
      <c r="S11" s="504">
        <v>165000</v>
      </c>
      <c r="T11" s="914" t="str">
        <f>Data2025!T10</f>
        <v>UD. JOSUA</v>
      </c>
      <c r="U11" s="497" t="s">
        <v>538</v>
      </c>
      <c r="V11" s="914" t="str">
        <f>Data2025!V10</f>
        <v>Gestiwan Bazikho</v>
      </c>
      <c r="W11" s="914" t="str">
        <f>Data2025!X10</f>
        <v>Jl. Diponegoro Kel. Pasar Telukdalam - Nias Selatan</v>
      </c>
      <c r="X11" s="497" t="s">
        <v>541</v>
      </c>
      <c r="Y11" s="497" t="str">
        <f t="shared" si="1"/>
        <v>Alat Tulis Kantor (ATK)</v>
      </c>
      <c r="Z11" s="915" t="str">
        <f t="shared" si="2"/>
        <v>Alat Tulis Kantor (ATK)</v>
      </c>
      <c r="AA11" s="498" t="s">
        <v>3365</v>
      </c>
      <c r="AB11" s="499">
        <v>31000</v>
      </c>
      <c r="AC11" s="499">
        <v>155000</v>
      </c>
      <c r="AD11" s="496">
        <v>155000</v>
      </c>
      <c r="AE11" s="500">
        <v>139639.63963963964</v>
      </c>
      <c r="AF11" s="500">
        <v>155000</v>
      </c>
      <c r="AG11" s="916" t="s">
        <v>3883</v>
      </c>
      <c r="AH11" s="917" t="str">
        <f>Data2025!W10</f>
        <v>081375309828</v>
      </c>
      <c r="AK11" s="918" t="s">
        <v>2092</v>
      </c>
    </row>
    <row r="12" spans="1:38" s="501" customFormat="1" ht="38.5" thickTop="1" thickBot="1">
      <c r="A12" s="901" t="str">
        <f>Data2025!G11</f>
        <v>04</v>
      </c>
      <c r="B12" s="902" t="str">
        <f>Data2025!K11</f>
        <v>BPU04</v>
      </c>
      <c r="C12" s="903" t="str">
        <f>Data2025!D11</f>
        <v>06. 05. 08.</v>
      </c>
      <c r="D12" s="904" t="str">
        <f>Data2025!C11</f>
        <v>5.1.02.01.01.0024</v>
      </c>
      <c r="E12" s="905">
        <f>Data2025!E11</f>
        <v>45661</v>
      </c>
      <c r="F12" s="906" t="str">
        <f>Data2025!F11</f>
        <v>06/01/2025</v>
      </c>
      <c r="G12" s="905" t="str">
        <f>Data2025!H11</f>
        <v>06/01/2025</v>
      </c>
      <c r="H12" s="905" t="str">
        <f t="shared" si="0"/>
        <v>06/01/2025</v>
      </c>
      <c r="I12" s="907" t="str">
        <f>Data2025!J11</f>
        <v>23/01/2025</v>
      </c>
      <c r="J12" s="908" t="str">
        <f>Data2025!L11</f>
        <v>Kertas HVS 80 gram Merk : Paper One A4, Ukuran : 8,27" x 11,69", Isi : 500 lembar</v>
      </c>
      <c r="K12" s="908" t="str">
        <f>Data2025!M11</f>
        <v>Kertas HVS 80 gram Merk : Paper One A4, Ukuran : 8,27" x 11,69", Isi : 500 lembar</v>
      </c>
      <c r="L12" s="909">
        <f>Data2025!N11</f>
        <v>40</v>
      </c>
      <c r="M12" s="909" t="str">
        <f>Data2025!O11</f>
        <v>rim</v>
      </c>
      <c r="N12" s="910">
        <f>Data2025!P11</f>
        <v>50000</v>
      </c>
      <c r="O12" s="911">
        <f>Data2025!Q11</f>
        <v>2000000</v>
      </c>
      <c r="P12" s="912" t="s">
        <v>710</v>
      </c>
      <c r="Q12" s="913" t="str">
        <f>VLOOKUP(K12,Sheet1!$C$1:$D$101,2,)</f>
        <v>Kertas Hvs 80 Gram Merk : Paper One A4, Ukuran : 8,27" X 11,69", Isi : 500 Lembar</v>
      </c>
      <c r="R12" s="496">
        <v>50000</v>
      </c>
      <c r="S12" s="504">
        <v>60000</v>
      </c>
      <c r="T12" s="914" t="str">
        <f>Data2025!T11</f>
        <v>UD. JOSUA</v>
      </c>
      <c r="U12" s="497" t="s">
        <v>538</v>
      </c>
      <c r="V12" s="914" t="str">
        <f>Data2025!V11</f>
        <v>Gestiwan Bazikho</v>
      </c>
      <c r="W12" s="914" t="str">
        <f>Data2025!X11</f>
        <v>Jl. Diponegoro Kel. Pasar Telukdalam - Nias Selatan</v>
      </c>
      <c r="X12" s="497" t="s">
        <v>541</v>
      </c>
      <c r="Y12" s="497" t="str">
        <f t="shared" si="1"/>
        <v>Alat Tulis Kantor (ATK)</v>
      </c>
      <c r="Z12" s="915" t="str">
        <f t="shared" si="2"/>
        <v>Alat Tulis Kantor (ATK)</v>
      </c>
      <c r="AA12" s="498" t="s">
        <v>3363</v>
      </c>
      <c r="AB12" s="499">
        <v>10000</v>
      </c>
      <c r="AC12" s="499">
        <v>50000</v>
      </c>
      <c r="AD12" s="496">
        <v>50000</v>
      </c>
      <c r="AE12" s="500">
        <v>45045.045045045044</v>
      </c>
      <c r="AF12" s="500">
        <v>50000</v>
      </c>
      <c r="AG12" s="916" t="s">
        <v>3883</v>
      </c>
      <c r="AH12" s="917" t="str">
        <f>Data2025!W11</f>
        <v>081375309828</v>
      </c>
    </row>
    <row r="13" spans="1:38" s="501" customFormat="1" ht="16.5" thickTop="1" thickBot="1">
      <c r="A13" s="901" t="str">
        <f>Data2025!G12</f>
        <v>04</v>
      </c>
      <c r="B13" s="902" t="str">
        <f>Data2025!K12</f>
        <v>BPU04</v>
      </c>
      <c r="C13" s="903" t="str">
        <f>Data2025!D12</f>
        <v>06. 05. 08.</v>
      </c>
      <c r="D13" s="904" t="str">
        <f>Data2025!C12</f>
        <v>5.1.02.01.01.0024</v>
      </c>
      <c r="E13" s="905">
        <f>Data2025!E12</f>
        <v>45661</v>
      </c>
      <c r="F13" s="906" t="str">
        <f>Data2025!F12</f>
        <v>06/01/2025</v>
      </c>
      <c r="G13" s="905" t="str">
        <f>Data2025!H12</f>
        <v>06/01/2025</v>
      </c>
      <c r="H13" s="905" t="str">
        <f t="shared" si="0"/>
        <v>06/01/2025</v>
      </c>
      <c r="I13" s="907" t="str">
        <f>Data2025!J12</f>
        <v>23/01/2025</v>
      </c>
      <c r="J13" s="908" t="str">
        <f>Data2025!L12</f>
        <v>Kertas StensiI</v>
      </c>
      <c r="K13" s="908" t="str">
        <f>Data2025!M12</f>
        <v>Kertas StensiI</v>
      </c>
      <c r="L13" s="909">
        <f>Data2025!N12</f>
        <v>10</v>
      </c>
      <c r="M13" s="909" t="str">
        <f>Data2025!O12</f>
        <v>bungkus</v>
      </c>
      <c r="N13" s="910">
        <f>Data2025!P12</f>
        <v>50000</v>
      </c>
      <c r="O13" s="911">
        <f>Data2025!Q12</f>
        <v>500000</v>
      </c>
      <c r="P13" s="912" t="s">
        <v>710</v>
      </c>
      <c r="Q13" s="913" t="str">
        <f>VLOOKUP(K13,Sheet1!$C$1:$D$101,2,)</f>
        <v>Kertas Stencil Folio (Length 33.0Cm, Width 21.0Cm, Height 5.0Cm, Weight 1400Gr)</v>
      </c>
      <c r="R13" s="496">
        <v>40000</v>
      </c>
      <c r="S13" s="504">
        <v>44000</v>
      </c>
      <c r="T13" s="914" t="str">
        <f>Data2025!T12</f>
        <v>UD. JOSUA</v>
      </c>
      <c r="U13" s="497" t="s">
        <v>538</v>
      </c>
      <c r="V13" s="914" t="str">
        <f>Data2025!V12</f>
        <v>Gestiwan Bazikho</v>
      </c>
      <c r="W13" s="914" t="str">
        <f>Data2025!X12</f>
        <v>Jl. Diponegoro Kel. Pasar Telukdalam - Nias Selatan</v>
      </c>
      <c r="X13" s="497" t="s">
        <v>541</v>
      </c>
      <c r="Y13" s="497" t="str">
        <f t="shared" si="1"/>
        <v>Alat Tulis Kantor (ATK)</v>
      </c>
      <c r="Z13" s="915" t="str">
        <f t="shared" si="2"/>
        <v>Alat Tulis Kantor (ATK)</v>
      </c>
      <c r="AA13" s="498" t="s">
        <v>3366</v>
      </c>
      <c r="AB13" s="499">
        <v>20000</v>
      </c>
      <c r="AC13" s="499">
        <v>40000</v>
      </c>
      <c r="AD13" s="496">
        <v>40000</v>
      </c>
      <c r="AE13" s="500">
        <v>36036.036036036036</v>
      </c>
      <c r="AF13" s="500">
        <v>40000</v>
      </c>
      <c r="AG13" s="916" t="s">
        <v>3883</v>
      </c>
      <c r="AH13" s="917" t="str">
        <f>Data2025!W12</f>
        <v>081375309828</v>
      </c>
    </row>
    <row r="14" spans="1:38" s="501" customFormat="1" ht="16.5" thickTop="1" thickBot="1">
      <c r="A14" s="901" t="str">
        <f>Data2025!G13</f>
        <v>04</v>
      </c>
      <c r="B14" s="902" t="str">
        <f>Data2025!K13</f>
        <v>BPU04</v>
      </c>
      <c r="C14" s="903" t="str">
        <f>Data2025!D13</f>
        <v>06. 05. 08.</v>
      </c>
      <c r="D14" s="904" t="str">
        <f>Data2025!C13</f>
        <v>5.1.02.01.01.0024</v>
      </c>
      <c r="E14" s="905">
        <f>Data2025!E13</f>
        <v>45661</v>
      </c>
      <c r="F14" s="906" t="str">
        <f>Data2025!F13</f>
        <v>06/01/2025</v>
      </c>
      <c r="G14" s="905" t="str">
        <f>Data2025!H13</f>
        <v>06/01/2025</v>
      </c>
      <c r="H14" s="905" t="str">
        <f t="shared" si="0"/>
        <v>06/01/2025</v>
      </c>
      <c r="I14" s="907" t="str">
        <f>Data2025!J13</f>
        <v>23/01/2025</v>
      </c>
      <c r="J14" s="908" t="str">
        <f>Data2025!L13</f>
        <v>Kertas Label</v>
      </c>
      <c r="K14" s="908" t="str">
        <f>Data2025!M13</f>
        <v>Kertas Label</v>
      </c>
      <c r="L14" s="909">
        <f>Data2025!N13</f>
        <v>5</v>
      </c>
      <c r="M14" s="909" t="str">
        <f>Data2025!O13</f>
        <v>lembar</v>
      </c>
      <c r="N14" s="910">
        <f>Data2025!P13</f>
        <v>25000</v>
      </c>
      <c r="O14" s="911">
        <f>Data2025!Q13</f>
        <v>125000</v>
      </c>
      <c r="P14" s="912" t="s">
        <v>710</v>
      </c>
      <c r="Q14" s="913" t="str">
        <f>VLOOKUP(K14,Sheet1!$C$1:$D$101,2,)</f>
        <v>KERTAS LEBEL KOTAK (Length 5.0cm, Width 5.0cm, Height 7.0cm, Weight 5gr)</v>
      </c>
      <c r="R14" s="496">
        <v>396000</v>
      </c>
      <c r="S14" s="504">
        <v>420000</v>
      </c>
      <c r="T14" s="914" t="str">
        <f>Data2025!T13</f>
        <v>UD. JOSUA</v>
      </c>
      <c r="U14" s="497" t="s">
        <v>538</v>
      </c>
      <c r="V14" s="914" t="str">
        <f>Data2025!V13</f>
        <v>Gestiwan Bazikho</v>
      </c>
      <c r="W14" s="914" t="str">
        <f>Data2025!X13</f>
        <v>Jl. Diponegoro Kel. Pasar Telukdalam - Nias Selatan</v>
      </c>
      <c r="X14" s="497" t="s">
        <v>541</v>
      </c>
      <c r="Y14" s="497" t="str">
        <f t="shared" si="1"/>
        <v>Alat Tulis Kantor (ATK)</v>
      </c>
      <c r="Z14" s="915" t="str">
        <f t="shared" si="2"/>
        <v>Alat Tulis Kantor (ATK)</v>
      </c>
      <c r="AA14" s="498" t="s">
        <v>3367</v>
      </c>
      <c r="AB14" s="499">
        <v>33000</v>
      </c>
      <c r="AC14" s="499">
        <v>396000</v>
      </c>
      <c r="AD14" s="496">
        <v>396000</v>
      </c>
      <c r="AE14" s="500">
        <v>356756.75675675675</v>
      </c>
      <c r="AF14" s="500">
        <v>396000</v>
      </c>
      <c r="AG14" s="916" t="s">
        <v>3883</v>
      </c>
      <c r="AH14" s="917" t="str">
        <f>Data2025!W13</f>
        <v>081375309828</v>
      </c>
      <c r="AK14" s="918" t="s">
        <v>2091</v>
      </c>
    </row>
    <row r="15" spans="1:38" s="501" customFormat="1" ht="26" thickTop="1" thickBot="1">
      <c r="A15" s="901" t="str">
        <f>Data2025!G14</f>
        <v>04</v>
      </c>
      <c r="B15" s="902" t="str">
        <f>Data2025!K14</f>
        <v>BPU04</v>
      </c>
      <c r="C15" s="903" t="str">
        <f>Data2025!D14</f>
        <v>06. 05. 08.</v>
      </c>
      <c r="D15" s="904" t="str">
        <f>Data2025!C14</f>
        <v>5.1.02.01.01.0024</v>
      </c>
      <c r="E15" s="905">
        <f>Data2025!E14</f>
        <v>45661</v>
      </c>
      <c r="F15" s="906" t="str">
        <f>Data2025!F14</f>
        <v>06/01/2025</v>
      </c>
      <c r="G15" s="905" t="str">
        <f>Data2025!H14</f>
        <v>06/01/2025</v>
      </c>
      <c r="H15" s="905" t="str">
        <f t="shared" si="0"/>
        <v>06/01/2025</v>
      </c>
      <c r="I15" s="907" t="str">
        <f>Data2025!J14</f>
        <v>23/01/2025</v>
      </c>
      <c r="J15" s="908" t="str">
        <f>Data2025!L14</f>
        <v>Amplop Coklat Merk : GSU Ukuran : 1/2 folio, bergaris</v>
      </c>
      <c r="K15" s="908" t="str">
        <f>Data2025!M14</f>
        <v>Amplop Coklat Merk : GSU Ukuran : 1/2 folio, bergaris</v>
      </c>
      <c r="L15" s="909">
        <f>Data2025!N14</f>
        <v>1</v>
      </c>
      <c r="M15" s="909" t="str">
        <f>Data2025!O14</f>
        <v>bungkus</v>
      </c>
      <c r="N15" s="910">
        <f>Data2025!P14</f>
        <v>45000</v>
      </c>
      <c r="O15" s="911">
        <f>Data2025!Q14</f>
        <v>45000</v>
      </c>
      <c r="P15" s="912" t="s">
        <v>710</v>
      </c>
      <c r="Q15" s="913" t="str">
        <f>VLOOKUP(K15,Sheet1!$C$1:$D$101,2,)</f>
        <v>Amplop Coklat (Merk : GSU Ukuran : 1/2 folio, bergaris)</v>
      </c>
      <c r="R15" s="496">
        <v>75000</v>
      </c>
      <c r="S15" s="504">
        <v>85000</v>
      </c>
      <c r="T15" s="914" t="str">
        <f>Data2025!T14</f>
        <v>UD. JOSUA</v>
      </c>
      <c r="U15" s="497" t="s">
        <v>538</v>
      </c>
      <c r="V15" s="914" t="str">
        <f>Data2025!V14</f>
        <v>Gestiwan Bazikho</v>
      </c>
      <c r="W15" s="914" t="str">
        <f>Data2025!X14</f>
        <v>Jl. Diponegoro Kel. Pasar Telukdalam - Nias Selatan</v>
      </c>
      <c r="X15" s="497" t="s">
        <v>541</v>
      </c>
      <c r="Y15" s="497" t="str">
        <f t="shared" si="1"/>
        <v>Alat Tulis Kantor (ATK)</v>
      </c>
      <c r="Z15" s="915" t="str">
        <f t="shared" si="2"/>
        <v>Alat Tulis Kantor (ATK)</v>
      </c>
      <c r="AA15" s="498" t="s">
        <v>3363</v>
      </c>
      <c r="AB15" s="499">
        <v>15000</v>
      </c>
      <c r="AC15" s="499">
        <v>75000</v>
      </c>
      <c r="AD15" s="496">
        <v>75000</v>
      </c>
      <c r="AE15" s="500">
        <v>67567.567567567574</v>
      </c>
      <c r="AF15" s="500">
        <v>75000</v>
      </c>
      <c r="AG15" s="916" t="s">
        <v>3883</v>
      </c>
      <c r="AH15" s="917" t="str">
        <f>Data2025!W14</f>
        <v>081375309828</v>
      </c>
    </row>
    <row r="16" spans="1:38" s="501" customFormat="1" ht="26" thickTop="1" thickBot="1">
      <c r="A16" s="901" t="str">
        <f>Data2025!G15</f>
        <v>04</v>
      </c>
      <c r="B16" s="902" t="str">
        <f>Data2025!K15</f>
        <v>BPU04</v>
      </c>
      <c r="C16" s="903" t="str">
        <f>Data2025!D15</f>
        <v>06. 05. 08.</v>
      </c>
      <c r="D16" s="904" t="str">
        <f>Data2025!C15</f>
        <v>5.1.02.01.01.0024</v>
      </c>
      <c r="E16" s="905">
        <f>Data2025!E15</f>
        <v>45661</v>
      </c>
      <c r="F16" s="906" t="str">
        <f>Data2025!F15</f>
        <v>06/01/2025</v>
      </c>
      <c r="G16" s="905" t="str">
        <f>Data2025!H15</f>
        <v>06/01/2025</v>
      </c>
      <c r="H16" s="905" t="str">
        <f t="shared" si="0"/>
        <v>06/01/2025</v>
      </c>
      <c r="I16" s="907" t="str">
        <f>Data2025!J15</f>
        <v>23/01/2025</v>
      </c>
      <c r="J16" s="908" t="str">
        <f>Data2025!L15</f>
        <v>Amplop Coklat Merk : Garda Ukuran Cabinet</v>
      </c>
      <c r="K16" s="908" t="str">
        <f>Data2025!M15</f>
        <v>Amplop Coklat Merk : Garda Ukuran Cabinet</v>
      </c>
      <c r="L16" s="909">
        <f>Data2025!N15</f>
        <v>3</v>
      </c>
      <c r="M16" s="909" t="str">
        <f>Data2025!O15</f>
        <v>bungkus</v>
      </c>
      <c r="N16" s="910">
        <f>Data2025!P15</f>
        <v>23000</v>
      </c>
      <c r="O16" s="911">
        <f>Data2025!Q15</f>
        <v>69000</v>
      </c>
      <c r="P16" s="912" t="s">
        <v>710</v>
      </c>
      <c r="Q16" s="913" t="str">
        <f>VLOOKUP(K16,Sheet1!$C$1:$D$101,2,)</f>
        <v>Amplop (Merk : Amplop Garda Ukuran : Super Kabinet Warna : Coklat polos Isi / Pack :100 pcs Ukuran : 14 cm x 27 cm)</v>
      </c>
      <c r="R16" s="496">
        <v>300000</v>
      </c>
      <c r="S16" s="504">
        <v>60000</v>
      </c>
      <c r="T16" s="914" t="str">
        <f>Data2025!T15</f>
        <v>UD. JOSUA</v>
      </c>
      <c r="U16" s="497" t="s">
        <v>538</v>
      </c>
      <c r="V16" s="914" t="str">
        <f>Data2025!V15</f>
        <v>Gestiwan Bazikho</v>
      </c>
      <c r="W16" s="914" t="str">
        <f>Data2025!X15</f>
        <v>Jl. Diponegoro Kel. Pasar Telukdalam - Nias Selatan</v>
      </c>
      <c r="X16" s="497" t="s">
        <v>541</v>
      </c>
      <c r="Y16" s="497" t="str">
        <f t="shared" si="1"/>
        <v>Alat Tulis Kantor (ATK)</v>
      </c>
      <c r="Z16" s="915" t="str">
        <f t="shared" si="2"/>
        <v>Alat Tulis Kantor (ATK)</v>
      </c>
      <c r="AA16" s="498" t="s">
        <v>3363</v>
      </c>
      <c r="AB16" s="499">
        <v>10000</v>
      </c>
      <c r="AC16" s="499">
        <v>50000</v>
      </c>
      <c r="AD16" s="496">
        <v>300000</v>
      </c>
      <c r="AE16" s="500">
        <v>270270.2702702703</v>
      </c>
      <c r="AF16" s="500">
        <v>300000</v>
      </c>
      <c r="AG16" s="916" t="s">
        <v>3883</v>
      </c>
      <c r="AH16" s="917" t="str">
        <f>Data2025!W15</f>
        <v>081375309828</v>
      </c>
    </row>
    <row r="17" spans="1:37" s="501" customFormat="1" ht="26" thickTop="1" thickBot="1">
      <c r="A17" s="901" t="str">
        <f>Data2025!G16</f>
        <v>04</v>
      </c>
      <c r="B17" s="902" t="str">
        <f>Data2025!K16</f>
        <v>BPU04</v>
      </c>
      <c r="C17" s="903" t="str">
        <f>Data2025!D16</f>
        <v>06. 05. 08.</v>
      </c>
      <c r="D17" s="904" t="str">
        <f>Data2025!C16</f>
        <v>5.1.02.01.01.0024</v>
      </c>
      <c r="E17" s="905">
        <f>Data2025!E16</f>
        <v>45661</v>
      </c>
      <c r="F17" s="906" t="str">
        <f>Data2025!F16</f>
        <v>06/01/2025</v>
      </c>
      <c r="G17" s="905" t="str">
        <f>Data2025!H16</f>
        <v>06/01/2025</v>
      </c>
      <c r="H17" s="905" t="str">
        <f t="shared" si="0"/>
        <v>06/01/2025</v>
      </c>
      <c r="I17" s="907" t="str">
        <f>Data2025!J16</f>
        <v>23/01/2025</v>
      </c>
      <c r="J17" s="908" t="str">
        <f>Data2025!L16</f>
        <v>Amplop Coklat Merk : GSU Ukuran Folio polos</v>
      </c>
      <c r="K17" s="908" t="str">
        <f>Data2025!M16</f>
        <v>Amplop Coklat Merk : GSU Ukuran Folio polos</v>
      </c>
      <c r="L17" s="909">
        <f>Data2025!N16</f>
        <v>2</v>
      </c>
      <c r="M17" s="909" t="str">
        <f>Data2025!O16</f>
        <v>bungkus</v>
      </c>
      <c r="N17" s="910">
        <f>Data2025!P16</f>
        <v>60000</v>
      </c>
      <c r="O17" s="911">
        <f>Data2025!Q16</f>
        <v>120000</v>
      </c>
      <c r="P17" s="912" t="s">
        <v>710</v>
      </c>
      <c r="Q17" s="913" t="str">
        <f>VLOOKUP(K17,Sheet1!$C$1:$D$101,2,)</f>
        <v>Amplop Coklat Folio (Berat: 1000 gram. Panjang: 25 cm. Lebar: 5 cm. Tinggi: 35 cm)</v>
      </c>
      <c r="R17" s="496">
        <v>75000</v>
      </c>
      <c r="S17" s="504">
        <v>85000</v>
      </c>
      <c r="T17" s="914" t="str">
        <f>Data2025!T16</f>
        <v>UD. JOSUA</v>
      </c>
      <c r="U17" s="497" t="s">
        <v>538</v>
      </c>
      <c r="V17" s="914" t="str">
        <f>Data2025!V16</f>
        <v>Gestiwan Bazikho</v>
      </c>
      <c r="W17" s="914" t="str">
        <f>Data2025!X16</f>
        <v>Jl. Diponegoro Kel. Pasar Telukdalam - Nias Selatan</v>
      </c>
      <c r="X17" s="497" t="s">
        <v>541</v>
      </c>
      <c r="Y17" s="497" t="str">
        <f t="shared" si="1"/>
        <v>Alat Tulis Kantor (ATK)</v>
      </c>
      <c r="Z17" s="915" t="str">
        <f t="shared" si="2"/>
        <v>Alat Tulis Kantor (ATK)</v>
      </c>
      <c r="AA17" s="498" t="s">
        <v>3363</v>
      </c>
      <c r="AB17" s="499">
        <v>15000</v>
      </c>
      <c r="AC17" s="499">
        <v>75000</v>
      </c>
      <c r="AD17" s="496">
        <v>75000</v>
      </c>
      <c r="AE17" s="500">
        <v>67567.567567567574</v>
      </c>
      <c r="AF17" s="500">
        <v>75000</v>
      </c>
      <c r="AG17" s="916" t="s">
        <v>3883</v>
      </c>
      <c r="AH17" s="917" t="str">
        <f>Data2025!W16</f>
        <v>081375309828</v>
      </c>
      <c r="AK17" s="918" t="s">
        <v>2092</v>
      </c>
    </row>
    <row r="18" spans="1:37" s="501" customFormat="1" ht="26" thickTop="1" thickBot="1">
      <c r="A18" s="901" t="str">
        <f>Data2025!G17</f>
        <v>04</v>
      </c>
      <c r="B18" s="902" t="str">
        <f>Data2025!K17</f>
        <v>BPU04</v>
      </c>
      <c r="C18" s="903" t="str">
        <f>Data2025!D17</f>
        <v>06. 05. 08.</v>
      </c>
      <c r="D18" s="904" t="str">
        <f>Data2025!C17</f>
        <v>5.1.02.01.01.0024</v>
      </c>
      <c r="E18" s="905">
        <f>Data2025!E17</f>
        <v>45661</v>
      </c>
      <c r="F18" s="906" t="str">
        <f>Data2025!F17</f>
        <v>06/01/2025</v>
      </c>
      <c r="G18" s="905" t="str">
        <f>Data2025!H17</f>
        <v>06/01/2025</v>
      </c>
      <c r="H18" s="905" t="str">
        <f t="shared" si="0"/>
        <v>06/01/2025</v>
      </c>
      <c r="I18" s="907" t="str">
        <f>Data2025!J17</f>
        <v>23/01/2025</v>
      </c>
      <c r="J18" s="908" t="str">
        <f>Data2025!L17</f>
        <v>Amplop Panjang Putih Polos Merk : Jaya Ukuran : 11 x 23 cm</v>
      </c>
      <c r="K18" s="908" t="str">
        <f>Data2025!M17</f>
        <v>Amplop Panjang Putih Polos Merk : Jaya Ukuran : 11 x 23 cm</v>
      </c>
      <c r="L18" s="909">
        <f>Data2025!N17</f>
        <v>1</v>
      </c>
      <c r="M18" s="909" t="str">
        <f>Data2025!O17</f>
        <v>kotak</v>
      </c>
      <c r="N18" s="910">
        <f>Data2025!P17</f>
        <v>48000</v>
      </c>
      <c r="O18" s="911">
        <f>Data2025!Q17</f>
        <v>48000</v>
      </c>
      <c r="P18" s="912" t="s">
        <v>710</v>
      </c>
      <c r="Q18" s="913" t="str">
        <f>VLOOKUP(K18,Sheet1!$C$1:$D$101,2,)</f>
        <v xml:space="preserve"> Amplop Panjang Putih Polos (Merk : Jaya Ukuran : 11 x 23 cm)</v>
      </c>
      <c r="R18" s="496">
        <v>37500</v>
      </c>
      <c r="S18" s="504">
        <v>47500</v>
      </c>
      <c r="T18" s="914" t="str">
        <f>Data2025!T17</f>
        <v>UD. JOSUA</v>
      </c>
      <c r="U18" s="497" t="s">
        <v>538</v>
      </c>
      <c r="V18" s="914" t="str">
        <f>Data2025!V17</f>
        <v>Gestiwan Bazikho</v>
      </c>
      <c r="W18" s="914" t="str">
        <f>Data2025!X17</f>
        <v>Jl. Diponegoro Kel. Pasar Telukdalam - Nias Selatan</v>
      </c>
      <c r="X18" s="497" t="s">
        <v>541</v>
      </c>
      <c r="Y18" s="497" t="str">
        <f t="shared" si="1"/>
        <v>Alat Tulis Kantor (ATK)</v>
      </c>
      <c r="Z18" s="915" t="str">
        <f t="shared" si="2"/>
        <v>Alat Tulis Kantor (ATK)</v>
      </c>
      <c r="AA18" s="498" t="s">
        <v>3362</v>
      </c>
      <c r="AB18" s="499">
        <v>7500</v>
      </c>
      <c r="AC18" s="499">
        <v>37500</v>
      </c>
      <c r="AD18" s="496">
        <v>37500</v>
      </c>
      <c r="AE18" s="500">
        <v>33783.783783783787</v>
      </c>
      <c r="AF18" s="500">
        <v>37500</v>
      </c>
      <c r="AG18" s="916" t="s">
        <v>3883</v>
      </c>
      <c r="AH18" s="917" t="str">
        <f>Data2025!W17</f>
        <v>081375309828</v>
      </c>
      <c r="AI18" s="502"/>
      <c r="AJ18" s="502"/>
    </row>
    <row r="19" spans="1:37" s="501" customFormat="1" ht="16.5" thickTop="1" thickBot="1">
      <c r="A19" s="901" t="str">
        <f>Data2025!G18</f>
        <v>04</v>
      </c>
      <c r="B19" s="902" t="str">
        <f>Data2025!K18</f>
        <v>BPU04</v>
      </c>
      <c r="C19" s="903" t="str">
        <f>Data2025!D18</f>
        <v>06. 05. 08.</v>
      </c>
      <c r="D19" s="904" t="str">
        <f>Data2025!C18</f>
        <v>5.1.02.01.01.0024</v>
      </c>
      <c r="E19" s="905">
        <f>Data2025!E18</f>
        <v>45661</v>
      </c>
      <c r="F19" s="906" t="str">
        <f>Data2025!F18</f>
        <v>06/01/2025</v>
      </c>
      <c r="G19" s="905" t="str">
        <f>Data2025!H18</f>
        <v>06/01/2025</v>
      </c>
      <c r="H19" s="905" t="str">
        <f t="shared" si="0"/>
        <v>06/01/2025</v>
      </c>
      <c r="I19" s="907" t="str">
        <f>Data2025!J18</f>
        <v>23/01/2025</v>
      </c>
      <c r="J19" s="908" t="str">
        <f>Data2025!L18</f>
        <v>Ballpoint Boldiner Standar</v>
      </c>
      <c r="K19" s="908" t="str">
        <f>Data2025!M18</f>
        <v>Ballpoint Boldiner Standar</v>
      </c>
      <c r="L19" s="909">
        <f>Data2025!N18</f>
        <v>2</v>
      </c>
      <c r="M19" s="909" t="str">
        <f>Data2025!O18</f>
        <v>lusin</v>
      </c>
      <c r="N19" s="910">
        <f>Data2025!P18</f>
        <v>225000</v>
      </c>
      <c r="O19" s="911">
        <f>Data2025!Q18</f>
        <v>450000</v>
      </c>
      <c r="P19" s="912" t="s">
        <v>710</v>
      </c>
      <c r="Q19" s="913" t="str">
        <f>VLOOKUP(K19,Sheet1!$C$1:$D$101,2,)</f>
        <v xml:space="preserve">Ballpoint Boldiner Standar  (Satuan. 300 Gram ; Dimensi Ukuran. 15X5X7.5Cm. (Berat Volume: 0.09Kg) </v>
      </c>
      <c r="R19" s="496">
        <v>69000</v>
      </c>
      <c r="S19" s="504">
        <v>75000</v>
      </c>
      <c r="T19" s="914" t="str">
        <f>Data2025!T18</f>
        <v>UD. JOSUA</v>
      </c>
      <c r="U19" s="497" t="s">
        <v>538</v>
      </c>
      <c r="V19" s="914" t="str">
        <f>Data2025!V18</f>
        <v>Gestiwan Bazikho</v>
      </c>
      <c r="W19" s="914" t="str">
        <f>Data2025!X18</f>
        <v>Jl. Diponegoro Kel. Pasar Telukdalam - Nias Selatan</v>
      </c>
      <c r="X19" s="497" t="s">
        <v>541</v>
      </c>
      <c r="Y19" s="497" t="str">
        <f t="shared" si="1"/>
        <v>Alat Tulis Kantor (ATK)</v>
      </c>
      <c r="Z19" s="915" t="str">
        <f t="shared" si="2"/>
        <v>Alat Tulis Kantor (ATK)</v>
      </c>
      <c r="AA19" s="498" t="s">
        <v>3365</v>
      </c>
      <c r="AB19" s="499">
        <v>23000</v>
      </c>
      <c r="AC19" s="499">
        <v>69000</v>
      </c>
      <c r="AD19" s="496">
        <v>69000</v>
      </c>
      <c r="AE19" s="500">
        <v>62162.16216216216</v>
      </c>
      <c r="AF19" s="500">
        <v>69000</v>
      </c>
      <c r="AG19" s="916" t="s">
        <v>3883</v>
      </c>
      <c r="AH19" s="917" t="str">
        <f>Data2025!W18</f>
        <v>081375309828</v>
      </c>
    </row>
    <row r="20" spans="1:37" s="501" customFormat="1" ht="16.5" thickTop="1" thickBot="1">
      <c r="A20" s="901" t="str">
        <f>Data2025!G19</f>
        <v>04</v>
      </c>
      <c r="B20" s="902" t="str">
        <f>Data2025!K19</f>
        <v>BPU04</v>
      </c>
      <c r="C20" s="903" t="str">
        <f>Data2025!D19</f>
        <v>06. 05. 08.</v>
      </c>
      <c r="D20" s="904" t="str">
        <f>Data2025!C19</f>
        <v>5.1.02.01.01.0024</v>
      </c>
      <c r="E20" s="905">
        <f>Data2025!E19</f>
        <v>45661</v>
      </c>
      <c r="F20" s="906" t="str">
        <f>Data2025!F19</f>
        <v>06/01/2025</v>
      </c>
      <c r="G20" s="905" t="str">
        <f>Data2025!H19</f>
        <v>06/01/2025</v>
      </c>
      <c r="H20" s="905" t="str">
        <f t="shared" si="0"/>
        <v>06/01/2025</v>
      </c>
      <c r="I20" s="907" t="str">
        <f>Data2025!J19</f>
        <v>23/01/2025</v>
      </c>
      <c r="J20" s="908" t="str">
        <f>Data2025!L19</f>
        <v>Ballpoint Drawing Pen 0,1 Snowman</v>
      </c>
      <c r="K20" s="908" t="str">
        <f>Data2025!M19</f>
        <v>Ballpoint Drawing Pen 0,1 Snowman</v>
      </c>
      <c r="L20" s="909">
        <f>Data2025!N19</f>
        <v>1</v>
      </c>
      <c r="M20" s="909" t="str">
        <f>Data2025!O19</f>
        <v>lusin</v>
      </c>
      <c r="N20" s="910">
        <f>Data2025!P19</f>
        <v>95000</v>
      </c>
      <c r="O20" s="911">
        <f>Data2025!Q19</f>
        <v>95000</v>
      </c>
      <c r="P20" s="912" t="s">
        <v>710</v>
      </c>
      <c r="Q20" s="913" t="str">
        <f>VLOOKUP(K20,Sheet1!$C$1:$D$101,2,)</f>
        <v>Ballpoint Drawing Pen 0,5 Snowman (Length 5.0Cm, Width 5.0Cm, Height 5.0Cm, Weight 5Gr)</v>
      </c>
      <c r="R20" s="496">
        <v>125000</v>
      </c>
      <c r="S20" s="504">
        <v>135000</v>
      </c>
      <c r="T20" s="914" t="str">
        <f>Data2025!T19</f>
        <v>UD. JOSUA</v>
      </c>
      <c r="U20" s="497" t="s">
        <v>538</v>
      </c>
      <c r="V20" s="914" t="str">
        <f>Data2025!V19</f>
        <v>Gestiwan Bazikho</v>
      </c>
      <c r="W20" s="914" t="str">
        <f>Data2025!X19</f>
        <v>Jl. Diponegoro Kel. Pasar Telukdalam - Nias Selatan</v>
      </c>
      <c r="X20" s="497" t="s">
        <v>541</v>
      </c>
      <c r="Y20" s="497" t="str">
        <f t="shared" si="1"/>
        <v>Alat Tulis Kantor (ATK)</v>
      </c>
      <c r="Z20" s="915" t="str">
        <f t="shared" si="2"/>
        <v>Alat Tulis Kantor (ATK)</v>
      </c>
      <c r="AA20" s="498" t="s">
        <v>3368</v>
      </c>
      <c r="AB20" s="499">
        <v>25000</v>
      </c>
      <c r="AC20" s="499">
        <v>125000</v>
      </c>
      <c r="AD20" s="496">
        <v>125000</v>
      </c>
      <c r="AE20" s="500">
        <v>112612.61261261262</v>
      </c>
      <c r="AF20" s="500">
        <v>125000</v>
      </c>
      <c r="AG20" s="916" t="s">
        <v>3883</v>
      </c>
      <c r="AH20" s="917" t="str">
        <f>Data2025!W19</f>
        <v>081375309828</v>
      </c>
    </row>
    <row r="21" spans="1:37" s="501" customFormat="1" ht="16.5" thickTop="1" thickBot="1">
      <c r="A21" s="901" t="str">
        <f>Data2025!G20</f>
        <v>04</v>
      </c>
      <c r="B21" s="902" t="str">
        <f>Data2025!K20</f>
        <v>BPU04</v>
      </c>
      <c r="C21" s="903" t="str">
        <f>Data2025!D20</f>
        <v>06. 05. 08.</v>
      </c>
      <c r="D21" s="904" t="str">
        <f>Data2025!C20</f>
        <v>5.1.02.01.01.0024</v>
      </c>
      <c r="E21" s="905">
        <f>Data2025!E20</f>
        <v>45661</v>
      </c>
      <c r="F21" s="906" t="str">
        <f>Data2025!F20</f>
        <v>06/01/2025</v>
      </c>
      <c r="G21" s="905" t="str">
        <f>Data2025!H20</f>
        <v>06/01/2025</v>
      </c>
      <c r="H21" s="905" t="str">
        <f t="shared" si="0"/>
        <v>06/01/2025</v>
      </c>
      <c r="I21" s="907" t="str">
        <f>Data2025!J20</f>
        <v>23/01/2025</v>
      </c>
      <c r="J21" s="908" t="str">
        <f>Data2025!L20</f>
        <v>Ballpoint Standard AE7</v>
      </c>
      <c r="K21" s="908" t="str">
        <f>Data2025!M20</f>
        <v>Ballpoint Standard AE7</v>
      </c>
      <c r="L21" s="909">
        <f>Data2025!N20</f>
        <v>2</v>
      </c>
      <c r="M21" s="909" t="str">
        <f>Data2025!O20</f>
        <v>lusin</v>
      </c>
      <c r="N21" s="910">
        <f>Data2025!P20</f>
        <v>20000</v>
      </c>
      <c r="O21" s="911">
        <f>Data2025!Q20</f>
        <v>40000</v>
      </c>
      <c r="P21" s="912" t="s">
        <v>710</v>
      </c>
      <c r="Q21" s="913" t="str">
        <f>VLOOKUP(K21,Sheet1!$C$1:$D$101,2,)</f>
        <v>Ballpoint Standard AE7 (Jenis Barang: Pulpen Merk: Standard Tipe: AE-7 Ukuran: 0.5 mm; Warna Tinta, hitam)</v>
      </c>
      <c r="R21" s="496">
        <v>209000</v>
      </c>
      <c r="S21" s="504">
        <v>229000</v>
      </c>
      <c r="T21" s="914" t="str">
        <f>Data2025!T20</f>
        <v>UD. JOSUA</v>
      </c>
      <c r="U21" s="497" t="s">
        <v>538</v>
      </c>
      <c r="V21" s="914" t="str">
        <f>Data2025!V20</f>
        <v>Gestiwan Bazikho</v>
      </c>
      <c r="W21" s="914" t="str">
        <f>Data2025!X20</f>
        <v>Jl. Diponegoro Kel. Pasar Telukdalam - Nias Selatan</v>
      </c>
      <c r="X21" s="497" t="s">
        <v>541</v>
      </c>
      <c r="Y21" s="497" t="str">
        <f t="shared" si="1"/>
        <v>Alat Tulis Kantor (ATK)</v>
      </c>
      <c r="Z21" s="915" t="str">
        <f t="shared" si="2"/>
        <v>Alat Tulis Kantor (ATK)</v>
      </c>
      <c r="AA21" s="498" t="s">
        <v>3363</v>
      </c>
      <c r="AB21" s="499">
        <v>20900</v>
      </c>
      <c r="AC21" s="499">
        <v>209000</v>
      </c>
      <c r="AD21" s="496">
        <v>209000</v>
      </c>
      <c r="AE21" s="500">
        <v>188288.28828828828</v>
      </c>
      <c r="AF21" s="500">
        <v>209000</v>
      </c>
      <c r="AG21" s="916" t="s">
        <v>3883</v>
      </c>
      <c r="AH21" s="917" t="str">
        <f>Data2025!W20</f>
        <v>081375309828</v>
      </c>
    </row>
    <row r="22" spans="1:37" s="501" customFormat="1" ht="16.5" thickTop="1" thickBot="1">
      <c r="A22" s="901" t="str">
        <f>Data2025!G21</f>
        <v>04</v>
      </c>
      <c r="B22" s="902" t="str">
        <f>Data2025!K21</f>
        <v>BPU04</v>
      </c>
      <c r="C22" s="903" t="str">
        <f>Data2025!D21</f>
        <v>06. 05. 08.</v>
      </c>
      <c r="D22" s="904" t="str">
        <f>Data2025!C21</f>
        <v>5.1.02.01.01.0024</v>
      </c>
      <c r="E22" s="905">
        <f>Data2025!E21</f>
        <v>45661</v>
      </c>
      <c r="F22" s="906" t="str">
        <f>Data2025!F21</f>
        <v>06/01/2025</v>
      </c>
      <c r="G22" s="905" t="str">
        <f>Data2025!H21</f>
        <v>06/01/2025</v>
      </c>
      <c r="H22" s="905" t="str">
        <f t="shared" si="0"/>
        <v>06/01/2025</v>
      </c>
      <c r="I22" s="907" t="str">
        <f>Data2025!J21</f>
        <v>23/01/2025</v>
      </c>
      <c r="J22" s="908" t="str">
        <f>Data2025!L21</f>
        <v>Ballpoint Pilot G2</v>
      </c>
      <c r="K22" s="908" t="str">
        <f>Data2025!M21</f>
        <v>Ballpoint Pilot G2</v>
      </c>
      <c r="L22" s="909">
        <f>Data2025!N21</f>
        <v>1</v>
      </c>
      <c r="M22" s="909" t="str">
        <f>Data2025!O21</f>
        <v>lusin</v>
      </c>
      <c r="N22" s="910">
        <f>Data2025!P21</f>
        <v>235000</v>
      </c>
      <c r="O22" s="911">
        <f>Data2025!Q21</f>
        <v>235000</v>
      </c>
      <c r="P22" s="912" t="s">
        <v>710</v>
      </c>
      <c r="Q22" s="913" t="str">
        <f>VLOOKUP(K22,Sheet1!$C$1:$D$101,2,)</f>
        <v>Ballpoint Pilot G2 (Length 5.0Cm, Width 5.0Cm, Height 5.0Cm, Weight 5Gr)</v>
      </c>
      <c r="R22" s="496">
        <v>10000</v>
      </c>
      <c r="S22" s="504">
        <v>14000</v>
      </c>
      <c r="T22" s="914" t="str">
        <f>Data2025!T21</f>
        <v>UD. JOSUA</v>
      </c>
      <c r="U22" s="497" t="s">
        <v>538</v>
      </c>
      <c r="V22" s="914" t="str">
        <f>Data2025!V21</f>
        <v>Gestiwan Bazikho</v>
      </c>
      <c r="W22" s="914" t="str">
        <f>Data2025!X21</f>
        <v>Jl. Diponegoro Kel. Pasar Telukdalam - Nias Selatan</v>
      </c>
      <c r="X22" s="497" t="s">
        <v>541</v>
      </c>
      <c r="Y22" s="497" t="str">
        <f t="shared" si="1"/>
        <v>Alat Tulis Kantor (ATK)</v>
      </c>
      <c r="Z22" s="915" t="str">
        <f t="shared" si="2"/>
        <v>Alat Tulis Kantor (ATK)</v>
      </c>
      <c r="AA22" s="498" t="s">
        <v>3362</v>
      </c>
      <c r="AB22" s="499">
        <v>5000</v>
      </c>
      <c r="AC22" s="499">
        <v>10000</v>
      </c>
      <c r="AD22" s="496">
        <v>10000</v>
      </c>
      <c r="AE22" s="500">
        <v>9009.0090090090089</v>
      </c>
      <c r="AF22" s="500">
        <v>10000</v>
      </c>
      <c r="AG22" s="916" t="s">
        <v>3883</v>
      </c>
      <c r="AH22" s="917" t="str">
        <f>Data2025!W21</f>
        <v>081375309828</v>
      </c>
    </row>
    <row r="23" spans="1:37" s="501" customFormat="1" ht="16.5" thickTop="1" thickBot="1">
      <c r="A23" s="901" t="str">
        <f>Data2025!G22</f>
        <v>04</v>
      </c>
      <c r="B23" s="902" t="str">
        <f>Data2025!K22</f>
        <v>BPU04</v>
      </c>
      <c r="C23" s="903" t="str">
        <f>Data2025!D22</f>
        <v>06. 05. 08.</v>
      </c>
      <c r="D23" s="904" t="str">
        <f>Data2025!C22</f>
        <v>5.1.02.01.01.0024</v>
      </c>
      <c r="E23" s="905">
        <f>Data2025!E22</f>
        <v>45661</v>
      </c>
      <c r="F23" s="906" t="str">
        <f>Data2025!F22</f>
        <v>06/01/2025</v>
      </c>
      <c r="G23" s="905" t="str">
        <f>Data2025!H22</f>
        <v>06/01/2025</v>
      </c>
      <c r="H23" s="905" t="str">
        <f t="shared" si="0"/>
        <v>06/01/2025</v>
      </c>
      <c r="I23" s="907" t="str">
        <f>Data2025!J22</f>
        <v>23/01/2025</v>
      </c>
      <c r="J23" s="908" t="str">
        <f>Data2025!L22</f>
        <v>Binder Klip  nomor 107</v>
      </c>
      <c r="K23" s="908" t="str">
        <f>Data2025!M22</f>
        <v>Binder Klip  nomor 107</v>
      </c>
      <c r="L23" s="909">
        <f>Data2025!N22</f>
        <v>5</v>
      </c>
      <c r="M23" s="909" t="str">
        <f>Data2025!O22</f>
        <v>kotak</v>
      </c>
      <c r="N23" s="910">
        <f>Data2025!P22</f>
        <v>7800</v>
      </c>
      <c r="O23" s="911">
        <f>Data2025!Q22</f>
        <v>39000</v>
      </c>
      <c r="P23" s="912" t="s">
        <v>710</v>
      </c>
      <c r="Q23" s="913" t="str">
        <f>VLOOKUP(K23,Sheet1!$C$1:$D$101,2,)</f>
        <v>Binder Clip N0 107 (Length 5.0Cm, Width 5.0Cm, Height 5.0Cm, Weight 5Gr)</v>
      </c>
      <c r="R23" s="496">
        <v>235000</v>
      </c>
      <c r="S23" s="504">
        <v>237000</v>
      </c>
      <c r="T23" s="914" t="str">
        <f>Data2025!T22</f>
        <v>UD. JOSUA</v>
      </c>
      <c r="U23" s="497" t="s">
        <v>538</v>
      </c>
      <c r="V23" s="914" t="str">
        <f>Data2025!V22</f>
        <v>Gestiwan Bazikho</v>
      </c>
      <c r="W23" s="914" t="str">
        <f>Data2025!X22</f>
        <v>Jl. Diponegoro Kel. Pasar Telukdalam - Nias Selatan</v>
      </c>
      <c r="X23" s="497" t="s">
        <v>541</v>
      </c>
      <c r="Y23" s="497" t="str">
        <f t="shared" si="1"/>
        <v>Alat Tulis Kantor (ATK)</v>
      </c>
      <c r="Z23" s="915" t="str">
        <f t="shared" si="2"/>
        <v>Alat Tulis Kantor (ATK)</v>
      </c>
      <c r="AA23" s="498" t="s">
        <v>3364</v>
      </c>
      <c r="AB23" s="499">
        <v>235000</v>
      </c>
      <c r="AC23" s="499">
        <v>235000</v>
      </c>
      <c r="AD23" s="496">
        <v>235000</v>
      </c>
      <c r="AE23" s="500">
        <v>211711.71171171172</v>
      </c>
      <c r="AF23" s="500">
        <v>235000</v>
      </c>
      <c r="AG23" s="916" t="s">
        <v>3883</v>
      </c>
      <c r="AH23" s="917" t="str">
        <f>Data2025!W22</f>
        <v>081375309828</v>
      </c>
    </row>
    <row r="24" spans="1:37" s="501" customFormat="1" ht="16.5" thickTop="1" thickBot="1">
      <c r="A24" s="901" t="str">
        <f>Data2025!G23</f>
        <v>04</v>
      </c>
      <c r="B24" s="902" t="str">
        <f>Data2025!K23</f>
        <v>BPU04</v>
      </c>
      <c r="C24" s="903" t="str">
        <f>Data2025!D23</f>
        <v>06. 05. 08.</v>
      </c>
      <c r="D24" s="904" t="str">
        <f>Data2025!C23</f>
        <v>5.1.02.01.01.0024</v>
      </c>
      <c r="E24" s="905">
        <f>Data2025!E23</f>
        <v>45661</v>
      </c>
      <c r="F24" s="906" t="str">
        <f>Data2025!F23</f>
        <v>06/01/2025</v>
      </c>
      <c r="G24" s="905" t="str">
        <f>Data2025!H23</f>
        <v>06/01/2025</v>
      </c>
      <c r="H24" s="905" t="str">
        <f t="shared" si="0"/>
        <v>06/01/2025</v>
      </c>
      <c r="I24" s="907" t="str">
        <f>Data2025!J23</f>
        <v>23/01/2025</v>
      </c>
      <c r="J24" s="908" t="str">
        <f>Data2025!L23</f>
        <v>Binder Klip  nomor 111</v>
      </c>
      <c r="K24" s="908" t="str">
        <f>Data2025!M23</f>
        <v>Binder Klip  nomor 111</v>
      </c>
      <c r="L24" s="909">
        <f>Data2025!N23</f>
        <v>5</v>
      </c>
      <c r="M24" s="909" t="str">
        <f>Data2025!O23</f>
        <v>kotak</v>
      </c>
      <c r="N24" s="910">
        <f>Data2025!P23</f>
        <v>11000</v>
      </c>
      <c r="O24" s="911">
        <f>Data2025!Q23</f>
        <v>55000</v>
      </c>
      <c r="P24" s="912" t="s">
        <v>710</v>
      </c>
      <c r="Q24" s="913" t="str">
        <f>VLOOKUP(K24,Sheet1!$C$1:$D$101,2,)</f>
        <v>Binder Clip No 111 (Length 5.0Cm, Width 5.0Cm, Height 5.0Cm, Weight 5Gr)</v>
      </c>
      <c r="R24" s="496">
        <v>450000</v>
      </c>
      <c r="S24" s="504">
        <v>454000</v>
      </c>
      <c r="T24" s="914" t="str">
        <f>Data2025!T23</f>
        <v>UD. JOSUA</v>
      </c>
      <c r="U24" s="497" t="s">
        <v>538</v>
      </c>
      <c r="V24" s="914" t="str">
        <f>Data2025!V23</f>
        <v>Gestiwan Bazikho</v>
      </c>
      <c r="W24" s="914" t="str">
        <f>Data2025!X23</f>
        <v>Jl. Diponegoro Kel. Pasar Telukdalam - Nias Selatan</v>
      </c>
      <c r="X24" s="497" t="s">
        <v>541</v>
      </c>
      <c r="Y24" s="497" t="str">
        <f t="shared" si="1"/>
        <v>Alat Tulis Kantor (ATK)</v>
      </c>
      <c r="Z24" s="915" t="str">
        <f t="shared" si="2"/>
        <v>Alat Tulis Kantor (ATK)</v>
      </c>
      <c r="AA24" s="498" t="s">
        <v>3364</v>
      </c>
      <c r="AB24" s="499">
        <v>225000</v>
      </c>
      <c r="AC24" s="499">
        <v>450000</v>
      </c>
      <c r="AD24" s="496">
        <v>450000</v>
      </c>
      <c r="AE24" s="500">
        <v>405405.40540540538</v>
      </c>
      <c r="AF24" s="500">
        <v>450000</v>
      </c>
      <c r="AG24" s="916" t="s">
        <v>3883</v>
      </c>
      <c r="AH24" s="917" t="str">
        <f>Data2025!W23</f>
        <v>081375309828</v>
      </c>
    </row>
    <row r="25" spans="1:37" s="501" customFormat="1" ht="16.5" thickTop="1" thickBot="1">
      <c r="A25" s="901" t="str">
        <f>Data2025!G24</f>
        <v>04</v>
      </c>
      <c r="B25" s="902" t="str">
        <f>Data2025!K24</f>
        <v>BPU04</v>
      </c>
      <c r="C25" s="903" t="str">
        <f>Data2025!D24</f>
        <v>06. 05. 08.</v>
      </c>
      <c r="D25" s="904" t="str">
        <f>Data2025!C24</f>
        <v>5.1.02.01.01.0024</v>
      </c>
      <c r="E25" s="905">
        <f>Data2025!E24</f>
        <v>45661</v>
      </c>
      <c r="F25" s="906" t="str">
        <f>Data2025!F24</f>
        <v>06/01/2025</v>
      </c>
      <c r="G25" s="905" t="str">
        <f>Data2025!H24</f>
        <v>06/01/2025</v>
      </c>
      <c r="H25" s="905" t="str">
        <f t="shared" si="0"/>
        <v>06/01/2025</v>
      </c>
      <c r="I25" s="907" t="str">
        <f>Data2025!J24</f>
        <v>23/01/2025</v>
      </c>
      <c r="J25" s="908" t="str">
        <f>Data2025!L24</f>
        <v>Binder Klip  nomor 200</v>
      </c>
      <c r="K25" s="908" t="str">
        <f>Data2025!M24</f>
        <v>Binder Klip  nomor 200</v>
      </c>
      <c r="L25" s="909">
        <f>Data2025!N24</f>
        <v>10</v>
      </c>
      <c r="M25" s="909" t="str">
        <f>Data2025!O24</f>
        <v>kotak</v>
      </c>
      <c r="N25" s="910">
        <f>Data2025!P24</f>
        <v>16500</v>
      </c>
      <c r="O25" s="911">
        <f>Data2025!Q24</f>
        <v>165000</v>
      </c>
      <c r="P25" s="912" t="s">
        <v>710</v>
      </c>
      <c r="Q25" s="913" t="str">
        <f>VLOOKUP(K25,Sheet1!$C$1:$D$101,2,)</f>
        <v>Binder Clip Nomor 200 (Length 5.0Cm, Width 5.0Cm, Height 5.0Cm, Weight 5Gr)</v>
      </c>
      <c r="R25" s="496">
        <v>440000</v>
      </c>
      <c r="S25" s="504">
        <v>448000</v>
      </c>
      <c r="T25" s="914" t="str">
        <f>Data2025!T24</f>
        <v>UD. JOSUA</v>
      </c>
      <c r="U25" s="497" t="s">
        <v>538</v>
      </c>
      <c r="V25" s="914" t="str">
        <f>Data2025!V24</f>
        <v>Gestiwan Bazikho</v>
      </c>
      <c r="W25" s="914" t="str">
        <f>Data2025!X24</f>
        <v>Jl. Diponegoro Kel. Pasar Telukdalam - Nias Selatan</v>
      </c>
      <c r="X25" s="497" t="s">
        <v>541</v>
      </c>
      <c r="Y25" s="497" t="str">
        <f t="shared" si="1"/>
        <v>Alat Tulis Kantor (ATK)</v>
      </c>
      <c r="Z25" s="915" t="str">
        <f t="shared" si="2"/>
        <v>Alat Tulis Kantor (ATK)</v>
      </c>
      <c r="AA25" s="498" t="s">
        <v>3367</v>
      </c>
      <c r="AB25" s="499">
        <v>110000</v>
      </c>
      <c r="AC25" s="499">
        <v>440000</v>
      </c>
      <c r="AD25" s="496">
        <v>440000</v>
      </c>
      <c r="AE25" s="500">
        <v>396396.39639639639</v>
      </c>
      <c r="AF25" s="500">
        <v>440000</v>
      </c>
      <c r="AG25" s="916" t="s">
        <v>3883</v>
      </c>
      <c r="AH25" s="917" t="str">
        <f>Data2025!W24</f>
        <v>081375309828</v>
      </c>
    </row>
    <row r="26" spans="1:37" s="501" customFormat="1" ht="16.5" thickTop="1" thickBot="1">
      <c r="A26" s="901" t="str">
        <f>Data2025!G25</f>
        <v>04</v>
      </c>
      <c r="B26" s="902" t="str">
        <f>Data2025!K25</f>
        <v>BPU04</v>
      </c>
      <c r="C26" s="903" t="str">
        <f>Data2025!D25</f>
        <v>06. 05. 08.</v>
      </c>
      <c r="D26" s="904" t="str">
        <f>Data2025!C25</f>
        <v>5.1.02.01.01.0024</v>
      </c>
      <c r="E26" s="905">
        <f>Data2025!E25</f>
        <v>45661</v>
      </c>
      <c r="F26" s="906" t="str">
        <f>Data2025!F25</f>
        <v>06/01/2025</v>
      </c>
      <c r="G26" s="905" t="str">
        <f>Data2025!H25</f>
        <v>06/01/2025</v>
      </c>
      <c r="H26" s="905" t="str">
        <f t="shared" si="0"/>
        <v>06/01/2025</v>
      </c>
      <c r="I26" s="907" t="str">
        <f>Data2025!J25</f>
        <v>23/01/2025</v>
      </c>
      <c r="J26" s="908" t="str">
        <f>Data2025!L25</f>
        <v>Binder Klip  nomor 260</v>
      </c>
      <c r="K26" s="908" t="str">
        <f>Data2025!M25</f>
        <v>Binder Klip  nomor 260</v>
      </c>
      <c r="L26" s="909">
        <f>Data2025!N25</f>
        <v>10</v>
      </c>
      <c r="M26" s="909" t="str">
        <f>Data2025!O25</f>
        <v>kotak</v>
      </c>
      <c r="N26" s="910">
        <f>Data2025!P25</f>
        <v>20000</v>
      </c>
      <c r="O26" s="911">
        <f>Data2025!Q25</f>
        <v>200000</v>
      </c>
      <c r="P26" s="912" t="s">
        <v>710</v>
      </c>
      <c r="Q26" s="913" t="str">
        <f>VLOOKUP(K26,Sheet1!$C$1:$D$101,2,)</f>
        <v>Binder Clip No 260 (Length 5.0Cm, Width 5.0Cm, Height 5.0Cm, Weight 5Gr)</v>
      </c>
      <c r="R26" s="496">
        <v>426000</v>
      </c>
      <c r="S26" s="504">
        <v>450000</v>
      </c>
      <c r="T26" s="914" t="str">
        <f>Data2025!T25</f>
        <v>UD. JOSUA</v>
      </c>
      <c r="U26" s="497" t="s">
        <v>538</v>
      </c>
      <c r="V26" s="914" t="str">
        <f>Data2025!V25</f>
        <v>Gestiwan Bazikho</v>
      </c>
      <c r="W26" s="914" t="str">
        <f>Data2025!X25</f>
        <v>Jl. Diponegoro Kel. Pasar Telukdalam - Nias Selatan</v>
      </c>
      <c r="X26" s="497" t="s">
        <v>541</v>
      </c>
      <c r="Y26" s="497" t="str">
        <f t="shared" si="1"/>
        <v>Alat Tulis Kantor (ATK)</v>
      </c>
      <c r="Z26" s="915" t="str">
        <f t="shared" si="2"/>
        <v>Alat Tulis Kantor (ATK)</v>
      </c>
      <c r="AA26" s="498" t="s">
        <v>3363</v>
      </c>
      <c r="AB26" s="499">
        <v>35500</v>
      </c>
      <c r="AC26" s="499">
        <v>426000</v>
      </c>
      <c r="AD26" s="496">
        <v>426000</v>
      </c>
      <c r="AE26" s="500">
        <v>383783.78378378379</v>
      </c>
      <c r="AF26" s="500">
        <v>426000</v>
      </c>
      <c r="AG26" s="916" t="s">
        <v>3883</v>
      </c>
      <c r="AH26" s="917" t="str">
        <f>Data2025!W25</f>
        <v>081375309828</v>
      </c>
    </row>
    <row r="27" spans="1:37" s="501" customFormat="1" ht="26" thickTop="1" thickBot="1">
      <c r="A27" s="901" t="str">
        <f>Data2025!G26</f>
        <v>04</v>
      </c>
      <c r="B27" s="902" t="str">
        <f>Data2025!K26</f>
        <v>BPU04</v>
      </c>
      <c r="C27" s="903" t="str">
        <f>Data2025!D26</f>
        <v>06. 05. 08.</v>
      </c>
      <c r="D27" s="904" t="str">
        <f>Data2025!C26</f>
        <v>5.1.02.01.01.0024</v>
      </c>
      <c r="E27" s="905">
        <f>Data2025!E26</f>
        <v>45661</v>
      </c>
      <c r="F27" s="906" t="str">
        <f>Data2025!F26</f>
        <v>06/01/2025</v>
      </c>
      <c r="G27" s="905" t="str">
        <f>Data2025!H26</f>
        <v>06/01/2025</v>
      </c>
      <c r="H27" s="905" t="str">
        <f t="shared" si="0"/>
        <v>06/01/2025</v>
      </c>
      <c r="I27" s="907" t="str">
        <f>Data2025!J26</f>
        <v>23/01/2025</v>
      </c>
      <c r="J27" s="908" t="str">
        <f>Data2025!L26</f>
        <v>Binder Klip Merk : KENKO nomor 105</v>
      </c>
      <c r="K27" s="908" t="str">
        <f>Data2025!M26</f>
        <v>Binder Klip Merk : KENKO nomor 105</v>
      </c>
      <c r="L27" s="909">
        <f>Data2025!N26</f>
        <v>2</v>
      </c>
      <c r="M27" s="909" t="str">
        <f>Data2025!O26</f>
        <v>kotak</v>
      </c>
      <c r="N27" s="910">
        <f>Data2025!P26</f>
        <v>5000</v>
      </c>
      <c r="O27" s="911">
        <f>Data2025!Q26</f>
        <v>10000</v>
      </c>
      <c r="P27" s="912" t="s">
        <v>710</v>
      </c>
      <c r="Q27" s="913" t="str">
        <f>VLOOKUP(K27,Sheet1!$C$1:$D$101,2,)</f>
        <v xml:space="preserve">Binder Clip merk kenko NO 105 (Length 5.0cm, Width 5.0cm, Height 5.0cm, Weight 5gr)  </v>
      </c>
      <c r="R27" s="496">
        <v>500000</v>
      </c>
      <c r="S27" s="504">
        <v>510000</v>
      </c>
      <c r="T27" s="914" t="str">
        <f>Data2025!T26</f>
        <v>UD. JOSUA</v>
      </c>
      <c r="U27" s="497" t="s">
        <v>538</v>
      </c>
      <c r="V27" s="914" t="str">
        <f>Data2025!V26</f>
        <v>Gestiwan Bazikho</v>
      </c>
      <c r="W27" s="914" t="str">
        <f>Data2025!X26</f>
        <v>Jl. Diponegoro Kel. Pasar Telukdalam - Nias Selatan</v>
      </c>
      <c r="X27" s="497" t="s">
        <v>541</v>
      </c>
      <c r="Y27" s="497" t="str">
        <f t="shared" si="1"/>
        <v>Alat Tulis Kantor (ATK)</v>
      </c>
      <c r="Z27" s="915" t="str">
        <f t="shared" si="2"/>
        <v>Alat Tulis Kantor (ATK)</v>
      </c>
      <c r="AA27" s="498" t="s">
        <v>3363</v>
      </c>
      <c r="AB27" s="499">
        <v>100000</v>
      </c>
      <c r="AC27" s="499">
        <v>500000</v>
      </c>
      <c r="AD27" s="496">
        <v>500000</v>
      </c>
      <c r="AE27" s="500">
        <v>450450.45045045047</v>
      </c>
      <c r="AF27" s="500">
        <v>500000</v>
      </c>
      <c r="AG27" s="916" t="s">
        <v>3883</v>
      </c>
      <c r="AH27" s="917" t="str">
        <f>Data2025!W26</f>
        <v>081375309828</v>
      </c>
    </row>
    <row r="28" spans="1:37" s="501" customFormat="1" ht="16.5" thickTop="1" thickBot="1">
      <c r="A28" s="901" t="str">
        <f>Data2025!G27</f>
        <v>04</v>
      </c>
      <c r="B28" s="902" t="str">
        <f>Data2025!K27</f>
        <v>BPU04</v>
      </c>
      <c r="C28" s="903" t="str">
        <f>Data2025!D27</f>
        <v>06. 05. 08.</v>
      </c>
      <c r="D28" s="904" t="str">
        <f>Data2025!C27</f>
        <v>5.1.02.01.01.0024</v>
      </c>
      <c r="E28" s="905">
        <f>Data2025!E27</f>
        <v>45661</v>
      </c>
      <c r="F28" s="906" t="str">
        <f>Data2025!F27</f>
        <v>06/01/2025</v>
      </c>
      <c r="G28" s="905" t="str">
        <f>Data2025!H27</f>
        <v>06/01/2025</v>
      </c>
      <c r="H28" s="905" t="str">
        <f t="shared" si="0"/>
        <v>06/01/2025</v>
      </c>
      <c r="I28" s="907" t="str">
        <f>Data2025!J27</f>
        <v>23/01/2025</v>
      </c>
      <c r="J28" s="908" t="str">
        <f>Data2025!L27</f>
        <v>Map Binder</v>
      </c>
      <c r="K28" s="908" t="str">
        <f>Data2025!M27</f>
        <v>Map Binder</v>
      </c>
      <c r="L28" s="909">
        <f>Data2025!N27</f>
        <v>12</v>
      </c>
      <c r="M28" s="909" t="str">
        <f>Data2025!O27</f>
        <v>buah</v>
      </c>
      <c r="N28" s="910">
        <f>Data2025!P27</f>
        <v>35500</v>
      </c>
      <c r="O28" s="911">
        <f>Data2025!Q27</f>
        <v>426000</v>
      </c>
      <c r="P28" s="912" t="s">
        <v>710</v>
      </c>
      <c r="Q28" s="913" t="str">
        <f>VLOOKUP(K28,Sheet1!$C$1:$D$101,2,)</f>
        <v>Map Binder (Length 5.0Cm, Width 5.0Cm, Height 5.0Cm, Weight 5Gr)</v>
      </c>
      <c r="R28" s="496">
        <v>50000</v>
      </c>
      <c r="S28" s="504">
        <v>54000</v>
      </c>
      <c r="T28" s="914" t="str">
        <f>Data2025!T27</f>
        <v>UD. JOSUA</v>
      </c>
      <c r="U28" s="497" t="s">
        <v>538</v>
      </c>
      <c r="V28" s="914" t="str">
        <f>Data2025!V27</f>
        <v>Gestiwan Bazikho</v>
      </c>
      <c r="W28" s="914" t="str">
        <f>Data2025!X27</f>
        <v>Jl. Diponegoro Kel. Pasar Telukdalam - Nias Selatan</v>
      </c>
      <c r="X28" s="497" t="s">
        <v>541</v>
      </c>
      <c r="Y28" s="497" t="str">
        <f t="shared" si="1"/>
        <v>Alat Tulis Kantor (ATK)</v>
      </c>
      <c r="Z28" s="915" t="str">
        <f t="shared" si="2"/>
        <v>Alat Tulis Kantor (ATK)</v>
      </c>
      <c r="AA28" s="498" t="s">
        <v>3363</v>
      </c>
      <c r="AB28" s="499">
        <v>25000</v>
      </c>
      <c r="AC28" s="499">
        <v>50000</v>
      </c>
      <c r="AD28" s="496">
        <v>50000</v>
      </c>
      <c r="AE28" s="500">
        <v>45045.045045045044</v>
      </c>
      <c r="AF28" s="500">
        <v>50000</v>
      </c>
      <c r="AG28" s="916" t="s">
        <v>3883</v>
      </c>
      <c r="AH28" s="917" t="str">
        <f>Data2025!W27</f>
        <v>081375309828</v>
      </c>
    </row>
    <row r="29" spans="1:37" s="501" customFormat="1" ht="16.5" thickTop="1" thickBot="1">
      <c r="A29" s="901" t="str">
        <f>Data2025!G28</f>
        <v>04</v>
      </c>
      <c r="B29" s="902" t="str">
        <f>Data2025!K28</f>
        <v>BPU04</v>
      </c>
      <c r="C29" s="903" t="str">
        <f>Data2025!D28</f>
        <v>06. 05. 08.</v>
      </c>
      <c r="D29" s="904" t="str">
        <f>Data2025!C28</f>
        <v>5.1.02.01.01.0024</v>
      </c>
      <c r="E29" s="905">
        <f>Data2025!E28</f>
        <v>45661</v>
      </c>
      <c r="F29" s="906" t="str">
        <f>Data2025!F28</f>
        <v>06/01/2025</v>
      </c>
      <c r="G29" s="905" t="str">
        <f>Data2025!H28</f>
        <v>06/01/2025</v>
      </c>
      <c r="H29" s="905" t="str">
        <f t="shared" si="0"/>
        <v>06/01/2025</v>
      </c>
      <c r="I29" s="907" t="str">
        <f>Data2025!J28</f>
        <v>23/01/2025</v>
      </c>
      <c r="J29" s="908" t="str">
        <f>Data2025!L28</f>
        <v>Stofmap Kertas</v>
      </c>
      <c r="K29" s="908" t="str">
        <f>Data2025!M28</f>
        <v>Stofmap Kertas</v>
      </c>
      <c r="L29" s="909">
        <f>Data2025!N28</f>
        <v>1</v>
      </c>
      <c r="M29" s="909" t="str">
        <f>Data2025!O28</f>
        <v>pak</v>
      </c>
      <c r="N29" s="910">
        <f>Data2025!P28</f>
        <v>88000</v>
      </c>
      <c r="O29" s="911">
        <f>Data2025!Q28</f>
        <v>88000</v>
      </c>
      <c r="P29" s="912" t="s">
        <v>710</v>
      </c>
      <c r="Q29" s="913" t="str">
        <f>VLOOKUP(K29,Sheet1!$C$1:$D$101,2,)</f>
        <v>Stofmap Kertas (Length 5.0Cm, Width 5.0Cm, Height 5.0Cm, Weight 5Gr)</v>
      </c>
      <c r="R29" s="496">
        <v>45000</v>
      </c>
      <c r="S29" s="504">
        <v>47000</v>
      </c>
      <c r="T29" s="914" t="str">
        <f>Data2025!T28</f>
        <v>UD. JOSUA</v>
      </c>
      <c r="U29" s="497" t="s">
        <v>538</v>
      </c>
      <c r="V29" s="914" t="str">
        <f>Data2025!V28</f>
        <v>Gestiwan Bazikho</v>
      </c>
      <c r="W29" s="914" t="str">
        <f>Data2025!X28</f>
        <v>Jl. Diponegoro Kel. Pasar Telukdalam - Nias Selatan</v>
      </c>
      <c r="X29" s="497" t="s">
        <v>541</v>
      </c>
      <c r="Y29" s="497" t="str">
        <f t="shared" si="1"/>
        <v>Alat Tulis Kantor (ATK)</v>
      </c>
      <c r="Z29" s="915" t="str">
        <f t="shared" si="2"/>
        <v>Alat Tulis Kantor (ATK)</v>
      </c>
      <c r="AA29" s="498" t="s">
        <v>3365</v>
      </c>
      <c r="AB29" s="499">
        <v>45000</v>
      </c>
      <c r="AC29" s="499">
        <v>45000</v>
      </c>
      <c r="AD29" s="496">
        <v>45000</v>
      </c>
      <c r="AE29" s="500">
        <v>40540.54054054054</v>
      </c>
      <c r="AF29" s="500">
        <v>45000</v>
      </c>
      <c r="AG29" s="916" t="s">
        <v>3883</v>
      </c>
      <c r="AH29" s="917" t="str">
        <f>Data2025!W28</f>
        <v>081375309828</v>
      </c>
    </row>
    <row r="30" spans="1:37" s="501" customFormat="1" ht="16.5" thickTop="1" thickBot="1">
      <c r="A30" s="901" t="str">
        <f>Data2025!G29</f>
        <v>04</v>
      </c>
      <c r="B30" s="902" t="str">
        <f>Data2025!K29</f>
        <v>BPU04</v>
      </c>
      <c r="C30" s="903" t="str">
        <f>Data2025!D29</f>
        <v>06. 05. 08.</v>
      </c>
      <c r="D30" s="904" t="str">
        <f>Data2025!C29</f>
        <v>5.1.02.01.01.0024</v>
      </c>
      <c r="E30" s="905">
        <f>Data2025!E29</f>
        <v>45661</v>
      </c>
      <c r="F30" s="906" t="str">
        <f>Data2025!F29</f>
        <v>06/01/2025</v>
      </c>
      <c r="G30" s="905" t="str">
        <f>Data2025!H29</f>
        <v>06/01/2025</v>
      </c>
      <c r="H30" s="905" t="str">
        <f t="shared" si="0"/>
        <v>06/01/2025</v>
      </c>
      <c r="I30" s="907" t="str">
        <f>Data2025!J29</f>
        <v>23/01/2025</v>
      </c>
      <c r="J30" s="908" t="str">
        <f>Data2025!L29</f>
        <v>Stofmap Transparan tali</v>
      </c>
      <c r="K30" s="908" t="str">
        <f>Data2025!M29</f>
        <v>Stofmap Transparan tali</v>
      </c>
      <c r="L30" s="909">
        <f>Data2025!N29</f>
        <v>100</v>
      </c>
      <c r="M30" s="909" t="str">
        <f>Data2025!O29</f>
        <v>buah</v>
      </c>
      <c r="N30" s="910">
        <f>Data2025!P29</f>
        <v>5500</v>
      </c>
      <c r="O30" s="911">
        <f>Data2025!Q29</f>
        <v>550000</v>
      </c>
      <c r="P30" s="912" t="s">
        <v>710</v>
      </c>
      <c r="Q30" s="913" t="str">
        <f>VLOOKUP(K30,Sheet1!$C$1:$D$101,2,)</f>
        <v>Stofmap Transparan tali (Merk : Jenia Tipe : 2 Kancing + Tali Ukuran : 255 x 375 mm Bahan : Plastik PP 0,14 Micron)</v>
      </c>
      <c r="R30" s="496">
        <v>77500</v>
      </c>
      <c r="S30" s="504">
        <v>87500</v>
      </c>
      <c r="T30" s="914" t="str">
        <f>Data2025!T29</f>
        <v>UD. JOSUA</v>
      </c>
      <c r="U30" s="497" t="s">
        <v>538</v>
      </c>
      <c r="V30" s="914" t="str">
        <f>Data2025!V29</f>
        <v>Gestiwan Bazikho</v>
      </c>
      <c r="W30" s="914" t="str">
        <f>Data2025!X29</f>
        <v>Jl. Diponegoro Kel. Pasar Telukdalam - Nias Selatan</v>
      </c>
      <c r="X30" s="497" t="s">
        <v>541</v>
      </c>
      <c r="Y30" s="497" t="str">
        <f t="shared" si="1"/>
        <v>Alat Tulis Kantor (ATK)</v>
      </c>
      <c r="Z30" s="915" t="str">
        <f t="shared" si="2"/>
        <v>Alat Tulis Kantor (ATK)</v>
      </c>
      <c r="AA30" s="498" t="s">
        <v>3363</v>
      </c>
      <c r="AB30" s="499">
        <v>15500</v>
      </c>
      <c r="AC30" s="499">
        <v>77500</v>
      </c>
      <c r="AD30" s="496">
        <v>77500</v>
      </c>
      <c r="AE30" s="500">
        <v>69819.819819819822</v>
      </c>
      <c r="AF30" s="500">
        <v>77500</v>
      </c>
      <c r="AG30" s="916" t="s">
        <v>3883</v>
      </c>
      <c r="AH30" s="917" t="str">
        <f>Data2025!W29</f>
        <v>081375309828</v>
      </c>
    </row>
    <row r="31" spans="1:37" s="501" customFormat="1" ht="16.5" thickTop="1" thickBot="1">
      <c r="A31" s="901" t="str">
        <f>Data2025!G30</f>
        <v>04</v>
      </c>
      <c r="B31" s="902" t="str">
        <f>Data2025!K30</f>
        <v>BPU04</v>
      </c>
      <c r="C31" s="903" t="str">
        <f>Data2025!D30</f>
        <v>06. 05. 08.</v>
      </c>
      <c r="D31" s="904" t="str">
        <f>Data2025!C30</f>
        <v>5.1.02.01.01.0024</v>
      </c>
      <c r="E31" s="905">
        <f>Data2025!E30</f>
        <v>45661</v>
      </c>
      <c r="F31" s="906" t="str">
        <f>Data2025!F30</f>
        <v>06/01/2025</v>
      </c>
      <c r="G31" s="905" t="str">
        <f>Data2025!H30</f>
        <v>06/01/2025</v>
      </c>
      <c r="H31" s="905" t="str">
        <f t="shared" si="0"/>
        <v>06/01/2025</v>
      </c>
      <c r="I31" s="907" t="str">
        <f>Data2025!J30</f>
        <v>23/01/2025</v>
      </c>
      <c r="J31" s="908" t="str">
        <f>Data2025!L30</f>
        <v>Stofmap Transparan</v>
      </c>
      <c r="K31" s="908" t="str">
        <f>Data2025!M30</f>
        <v>Stofmap Transparan</v>
      </c>
      <c r="L31" s="909">
        <f>Data2025!N30</f>
        <v>100</v>
      </c>
      <c r="M31" s="909" t="str">
        <f>Data2025!O30</f>
        <v>buah</v>
      </c>
      <c r="N31" s="910">
        <f>Data2025!P30</f>
        <v>5500</v>
      </c>
      <c r="O31" s="911">
        <f>Data2025!Q30</f>
        <v>550000</v>
      </c>
      <c r="P31" s="912" t="s">
        <v>710</v>
      </c>
      <c r="Q31" s="913" t="str">
        <f>VLOOKUP(K31,Sheet1!$C$1:$D$101,2,)</f>
        <v>Stofmap Transparan (Length 5.0Cm, Width 5.0Cm, Height 5.0Cm, Weight 5Gr)</v>
      </c>
      <c r="R31" s="496">
        <v>30000</v>
      </c>
      <c r="S31" s="504">
        <v>40000</v>
      </c>
      <c r="T31" s="914" t="str">
        <f>Data2025!T30</f>
        <v>UD. JOSUA</v>
      </c>
      <c r="U31" s="497" t="s">
        <v>538</v>
      </c>
      <c r="V31" s="914" t="str">
        <f>Data2025!V30</f>
        <v>Gestiwan Bazikho</v>
      </c>
      <c r="W31" s="914" t="str">
        <f>Data2025!X30</f>
        <v>Jl. Diponegoro Kel. Pasar Telukdalam - Nias Selatan</v>
      </c>
      <c r="X31" s="497" t="s">
        <v>541</v>
      </c>
      <c r="Y31" s="497" t="str">
        <f t="shared" si="1"/>
        <v>Alat Tulis Kantor (ATK)</v>
      </c>
      <c r="Z31" s="915" t="str">
        <f t="shared" si="2"/>
        <v>Alat Tulis Kantor (ATK)</v>
      </c>
      <c r="AA31" s="498" t="s">
        <v>3362</v>
      </c>
      <c r="AB31" s="499">
        <v>6000</v>
      </c>
      <c r="AC31" s="499">
        <v>30000</v>
      </c>
      <c r="AD31" s="496">
        <v>30000</v>
      </c>
      <c r="AE31" s="500">
        <v>27027.027027027027</v>
      </c>
      <c r="AF31" s="500">
        <v>30000</v>
      </c>
      <c r="AG31" s="916" t="s">
        <v>3883</v>
      </c>
      <c r="AH31" s="917" t="str">
        <f>Data2025!W30</f>
        <v>081375309828</v>
      </c>
    </row>
    <row r="32" spans="1:37" s="501" customFormat="1" ht="16.5" thickTop="1" thickBot="1">
      <c r="A32" s="901" t="str">
        <f>Data2025!G31</f>
        <v>04</v>
      </c>
      <c r="B32" s="902" t="str">
        <f>Data2025!K31</f>
        <v>BPU04</v>
      </c>
      <c r="C32" s="903" t="str">
        <f>Data2025!D31</f>
        <v>06. 05. 08.</v>
      </c>
      <c r="D32" s="904" t="str">
        <f>Data2025!C31</f>
        <v>5.1.02.01.01.0024</v>
      </c>
      <c r="E32" s="905">
        <f>Data2025!E31</f>
        <v>45661</v>
      </c>
      <c r="F32" s="906" t="str">
        <f>Data2025!F31</f>
        <v>06/01/2025</v>
      </c>
      <c r="G32" s="905" t="str">
        <f>Data2025!H31</f>
        <v>06/01/2025</v>
      </c>
      <c r="H32" s="905" t="str">
        <f t="shared" si="0"/>
        <v>06/01/2025</v>
      </c>
      <c r="I32" s="907" t="str">
        <f>Data2025!J31</f>
        <v>23/01/2025</v>
      </c>
      <c r="J32" s="908" t="str">
        <f>Data2025!L31</f>
        <v>Binder Klip Ordner</v>
      </c>
      <c r="K32" s="908" t="str">
        <f>Data2025!M31</f>
        <v>Binder Klip Ordner</v>
      </c>
      <c r="L32" s="909">
        <f>Data2025!N31</f>
        <v>6</v>
      </c>
      <c r="M32" s="909" t="str">
        <f>Data2025!O31</f>
        <v>buah</v>
      </c>
      <c r="N32" s="910">
        <f>Data2025!P31</f>
        <v>49500</v>
      </c>
      <c r="O32" s="911">
        <f>Data2025!Q31</f>
        <v>297000</v>
      </c>
      <c r="P32" s="912" t="s">
        <v>710</v>
      </c>
      <c r="Q32" s="913" t="str">
        <f>VLOOKUP(K32,Sheet1!$C$1:$D$101,2,)</f>
        <v>Binder Klip Ordner (Length 5.0Cm, Width 5.0Cm, Height 5.0Cm, Weight 5Gr)</v>
      </c>
      <c r="R32" s="496">
        <v>125000</v>
      </c>
      <c r="S32" s="504">
        <v>135000</v>
      </c>
      <c r="T32" s="914" t="str">
        <f>Data2025!T31</f>
        <v>UD. JOSUA</v>
      </c>
      <c r="U32" s="497" t="s">
        <v>538</v>
      </c>
      <c r="V32" s="914" t="str">
        <f>Data2025!V31</f>
        <v>Gestiwan Bazikho</v>
      </c>
      <c r="W32" s="914" t="str">
        <f>Data2025!X31</f>
        <v>Jl. Diponegoro Kel. Pasar Telukdalam - Nias Selatan</v>
      </c>
      <c r="X32" s="497" t="s">
        <v>541</v>
      </c>
      <c r="Y32" s="497" t="str">
        <f t="shared" si="1"/>
        <v>Alat Tulis Kantor (ATK)</v>
      </c>
      <c r="Z32" s="915" t="str">
        <f t="shared" si="2"/>
        <v>Alat Tulis Kantor (ATK)</v>
      </c>
      <c r="AA32" s="498" t="s">
        <v>3363</v>
      </c>
      <c r="AB32" s="499">
        <v>25000</v>
      </c>
      <c r="AC32" s="499">
        <v>125000</v>
      </c>
      <c r="AD32" s="496">
        <v>125000</v>
      </c>
      <c r="AE32" s="500">
        <v>112612.61261261262</v>
      </c>
      <c r="AF32" s="500">
        <v>125000</v>
      </c>
      <c r="AG32" s="916" t="s">
        <v>3883</v>
      </c>
      <c r="AH32" s="917" t="str">
        <f>Data2025!W31</f>
        <v>081375309828</v>
      </c>
    </row>
    <row r="33" spans="1:37" s="501" customFormat="1" ht="26" thickTop="1" thickBot="1">
      <c r="A33" s="901" t="str">
        <f>Data2025!G32</f>
        <v>04</v>
      </c>
      <c r="B33" s="902" t="str">
        <f>Data2025!K32</f>
        <v>BPU04</v>
      </c>
      <c r="C33" s="903" t="str">
        <f>Data2025!D32</f>
        <v>06. 05. 08.</v>
      </c>
      <c r="D33" s="904" t="str">
        <f>Data2025!C32</f>
        <v>5.1.02.01.01.0024</v>
      </c>
      <c r="E33" s="905">
        <f>Data2025!E32</f>
        <v>45661</v>
      </c>
      <c r="F33" s="906" t="str">
        <f>Data2025!F32</f>
        <v>06/01/2025</v>
      </c>
      <c r="G33" s="905" t="str">
        <f>Data2025!H32</f>
        <v>06/01/2025</v>
      </c>
      <c r="H33" s="905" t="str">
        <f t="shared" si="0"/>
        <v>06/01/2025</v>
      </c>
      <c r="I33" s="907" t="str">
        <f>Data2025!J32</f>
        <v>23/01/2025</v>
      </c>
      <c r="J33" s="908" t="str">
        <f>Data2025!L32</f>
        <v>Box File Merk : Bantex Ukuran : 115x270x325 mm</v>
      </c>
      <c r="K33" s="908" t="str">
        <f>Data2025!M32</f>
        <v>Box File Merk : Bantex Ukuran : 115x270x325 mm</v>
      </c>
      <c r="L33" s="909">
        <f>Data2025!N32</f>
        <v>4</v>
      </c>
      <c r="M33" s="909" t="str">
        <f>Data2025!O32</f>
        <v>buah</v>
      </c>
      <c r="N33" s="910">
        <f>Data2025!P32</f>
        <v>59000</v>
      </c>
      <c r="O33" s="911">
        <f>Data2025!Q32</f>
        <v>236000</v>
      </c>
      <c r="P33" s="912" t="s">
        <v>710</v>
      </c>
      <c r="Q33" s="913" t="str">
        <f>VLOOKUP(K33,Sheet1!$C$1:$D$101,2,)</f>
        <v>Box File (Length 5.0Cm, Width 5.0Cm, Height 5.0Cm, Weight 5Gr)</v>
      </c>
      <c r="R33" s="496">
        <v>500000</v>
      </c>
      <c r="S33" s="504">
        <v>520000</v>
      </c>
      <c r="T33" s="914" t="str">
        <f>Data2025!T32</f>
        <v>UD. JOSUA</v>
      </c>
      <c r="U33" s="497" t="s">
        <v>538</v>
      </c>
      <c r="V33" s="914" t="str">
        <f>Data2025!V32</f>
        <v>Gestiwan Bazikho</v>
      </c>
      <c r="W33" s="914" t="str">
        <f>Data2025!X32</f>
        <v>Jl. Diponegoro Kel. Pasar Telukdalam - Nias Selatan</v>
      </c>
      <c r="X33" s="497" t="s">
        <v>541</v>
      </c>
      <c r="Y33" s="497" t="str">
        <f t="shared" si="1"/>
        <v>Alat Tulis Kantor (ATK)</v>
      </c>
      <c r="Z33" s="915" t="str">
        <f t="shared" si="2"/>
        <v>Alat Tulis Kantor (ATK)</v>
      </c>
      <c r="AA33" s="498" t="s">
        <v>3365</v>
      </c>
      <c r="AB33" s="499">
        <v>50000</v>
      </c>
      <c r="AC33" s="499">
        <v>500000</v>
      </c>
      <c r="AD33" s="496">
        <v>500000</v>
      </c>
      <c r="AE33" s="500">
        <v>450450.45045045047</v>
      </c>
      <c r="AF33" s="500">
        <v>500000</v>
      </c>
      <c r="AG33" s="916" t="s">
        <v>3883</v>
      </c>
      <c r="AH33" s="917" t="str">
        <f>Data2025!W32</f>
        <v>081375309828</v>
      </c>
    </row>
    <row r="34" spans="1:37" s="501" customFormat="1" ht="16.5" thickTop="1" thickBot="1">
      <c r="A34" s="901" t="str">
        <f>Data2025!G33</f>
        <v>04</v>
      </c>
      <c r="B34" s="902" t="str">
        <f>Data2025!K33</f>
        <v>BPU04</v>
      </c>
      <c r="C34" s="903" t="str">
        <f>Data2025!D33</f>
        <v>06. 05. 08.</v>
      </c>
      <c r="D34" s="904" t="str">
        <f>Data2025!C33</f>
        <v>5.1.02.01.01.0024</v>
      </c>
      <c r="E34" s="905">
        <f>Data2025!E33</f>
        <v>45661</v>
      </c>
      <c r="F34" s="906" t="str">
        <f>Data2025!F33</f>
        <v>06/01/2025</v>
      </c>
      <c r="G34" s="905" t="str">
        <f>Data2025!H33</f>
        <v>06/01/2025</v>
      </c>
      <c r="H34" s="905" t="str">
        <f t="shared" si="0"/>
        <v>06/01/2025</v>
      </c>
      <c r="I34" s="907" t="str">
        <f>Data2025!J33</f>
        <v>23/01/2025</v>
      </c>
      <c r="J34" s="908" t="str">
        <f>Data2025!L33</f>
        <v>Sampul Plastik</v>
      </c>
      <c r="K34" s="908" t="str">
        <f>Data2025!M33</f>
        <v>Sampul Plastik</v>
      </c>
      <c r="L34" s="909">
        <f>Data2025!N33</f>
        <v>5</v>
      </c>
      <c r="M34" s="909" t="str">
        <f>Data2025!O33</f>
        <v>bungkus</v>
      </c>
      <c r="N34" s="910">
        <f>Data2025!P33</f>
        <v>65000</v>
      </c>
      <c r="O34" s="911">
        <f>Data2025!Q33</f>
        <v>325000</v>
      </c>
      <c r="P34" s="912" t="s">
        <v>710</v>
      </c>
      <c r="Q34" s="913" t="str">
        <f>VLOOKUP(K34,Sheet1!$C$1:$D$101,2,)</f>
        <v>Sampul Plastik (Length 5.0Cm, Width 5.0Cm, Height 5.0Cm, Weight 5Gr)</v>
      </c>
      <c r="R34" s="496">
        <v>240000</v>
      </c>
      <c r="S34" s="504">
        <v>244000</v>
      </c>
      <c r="T34" s="914" t="str">
        <f>Data2025!T33</f>
        <v>UD. JOSUA</v>
      </c>
      <c r="U34" s="497" t="s">
        <v>538</v>
      </c>
      <c r="V34" s="914" t="str">
        <f>Data2025!V33</f>
        <v>Gestiwan Bazikho</v>
      </c>
      <c r="W34" s="914" t="str">
        <f>Data2025!X33</f>
        <v>Jl. Diponegoro Kel. Pasar Telukdalam - Nias Selatan</v>
      </c>
      <c r="X34" s="497" t="s">
        <v>541</v>
      </c>
      <c r="Y34" s="497" t="str">
        <f t="shared" si="1"/>
        <v>Alat Tulis Kantor (ATK)</v>
      </c>
      <c r="Z34" s="915" t="str">
        <f t="shared" si="2"/>
        <v>Alat Tulis Kantor (ATK)</v>
      </c>
      <c r="AA34" s="498" t="s">
        <v>3364</v>
      </c>
      <c r="AB34" s="499">
        <v>120000</v>
      </c>
      <c r="AC34" s="499">
        <v>240000</v>
      </c>
      <c r="AD34" s="496">
        <v>240000</v>
      </c>
      <c r="AE34" s="500">
        <v>216216.21621621621</v>
      </c>
      <c r="AF34" s="500">
        <v>240000</v>
      </c>
      <c r="AG34" s="916" t="s">
        <v>3883</v>
      </c>
      <c r="AH34" s="917" t="str">
        <f>Data2025!W33</f>
        <v>081375309828</v>
      </c>
    </row>
    <row r="35" spans="1:37" s="501" customFormat="1" ht="26" thickTop="1" thickBot="1">
      <c r="A35" s="901" t="str">
        <f>Data2025!G34</f>
        <v>04</v>
      </c>
      <c r="B35" s="902" t="str">
        <f>Data2025!K34</f>
        <v>BPU04</v>
      </c>
      <c r="C35" s="903" t="str">
        <f>Data2025!D34</f>
        <v>06. 05. 08.</v>
      </c>
      <c r="D35" s="904" t="str">
        <f>Data2025!C34</f>
        <v>5.1.02.01.01.0024</v>
      </c>
      <c r="E35" s="905">
        <f>Data2025!E34</f>
        <v>45661</v>
      </c>
      <c r="F35" s="906" t="str">
        <f>Data2025!F34</f>
        <v>06/01/2025</v>
      </c>
      <c r="G35" s="905" t="str">
        <f>Data2025!H34</f>
        <v>06/01/2025</v>
      </c>
      <c r="H35" s="905" t="str">
        <f t="shared" si="0"/>
        <v>06/01/2025</v>
      </c>
      <c r="I35" s="907" t="str">
        <f>Data2025!J34</f>
        <v>23/01/2025</v>
      </c>
      <c r="J35" s="908" t="str">
        <f>Data2025!L34</f>
        <v>Tinta Printer Canon 740 Hitam-740 Hitam</v>
      </c>
      <c r="K35" s="908" t="str">
        <f>Data2025!M34</f>
        <v>Tinta Printer Canon 740 Hitam-740 Hitam</v>
      </c>
      <c r="L35" s="909">
        <f>Data2025!N34</f>
        <v>8</v>
      </c>
      <c r="M35" s="909" t="str">
        <f>Data2025!O34</f>
        <v>botol</v>
      </c>
      <c r="N35" s="910">
        <f>Data2025!P34</f>
        <v>30000</v>
      </c>
      <c r="O35" s="911">
        <f>Data2025!Q34</f>
        <v>240000</v>
      </c>
      <c r="P35" s="912" t="s">
        <v>710</v>
      </c>
      <c r="Q35" s="913" t="str">
        <f>VLOOKUP(K35,Sheet1!$C$1:$D$101,2,)</f>
        <v>Tinta Printer Canon Aiflo Hitam (Length 5.0cm, Width 5.0cm, Height 5.0cm, Weight 5gr)</v>
      </c>
      <c r="R35" s="496">
        <v>30000</v>
      </c>
      <c r="S35" s="504">
        <v>34000</v>
      </c>
      <c r="T35" s="914" t="str">
        <f>Data2025!T34</f>
        <v>UD. JOSUA</v>
      </c>
      <c r="U35" s="497" t="s">
        <v>538</v>
      </c>
      <c r="V35" s="914" t="str">
        <f>Data2025!V34</f>
        <v>Gestiwan Bazikho</v>
      </c>
      <c r="W35" s="914" t="str">
        <f>Data2025!X34</f>
        <v>Jl. Diponegoro Kel. Pasar Telukdalam - Nias Selatan</v>
      </c>
      <c r="X35" s="497" t="s">
        <v>541</v>
      </c>
      <c r="Y35" s="497" t="str">
        <f t="shared" si="1"/>
        <v>Alat Tulis Kantor (ATK)</v>
      </c>
      <c r="Z35" s="915" t="str">
        <f t="shared" si="2"/>
        <v>Alat Tulis Kantor (ATK)</v>
      </c>
      <c r="AA35" s="498" t="s">
        <v>3363</v>
      </c>
      <c r="AB35" s="499">
        <v>15000</v>
      </c>
      <c r="AC35" s="499">
        <v>30000</v>
      </c>
      <c r="AD35" s="496">
        <v>30000</v>
      </c>
      <c r="AE35" s="500">
        <v>27027.027027027027</v>
      </c>
      <c r="AF35" s="500">
        <v>30000</v>
      </c>
      <c r="AG35" s="916" t="s">
        <v>3883</v>
      </c>
      <c r="AH35" s="917" t="str">
        <f>Data2025!W34</f>
        <v>081375309828</v>
      </c>
    </row>
    <row r="36" spans="1:37" s="501" customFormat="1" ht="26" thickTop="1" thickBot="1">
      <c r="A36" s="901" t="str">
        <f>Data2025!G35</f>
        <v>04</v>
      </c>
      <c r="B36" s="902" t="str">
        <f>Data2025!K35</f>
        <v>BPU04</v>
      </c>
      <c r="C36" s="903" t="str">
        <f>Data2025!D35</f>
        <v>06. 05. 08.</v>
      </c>
      <c r="D36" s="904" t="str">
        <f>Data2025!C35</f>
        <v>5.1.02.01.01.0024</v>
      </c>
      <c r="E36" s="905">
        <f>Data2025!E35</f>
        <v>45661</v>
      </c>
      <c r="F36" s="906" t="str">
        <f>Data2025!F35</f>
        <v>06/01/2025</v>
      </c>
      <c r="G36" s="905" t="str">
        <f>Data2025!H35</f>
        <v>06/01/2025</v>
      </c>
      <c r="H36" s="905" t="str">
        <f t="shared" si="0"/>
        <v>06/01/2025</v>
      </c>
      <c r="I36" s="907" t="str">
        <f>Data2025!J35</f>
        <v>23/01/2025</v>
      </c>
      <c r="J36" s="908" t="str">
        <f>Data2025!L35</f>
        <v>Tinta Printer Canon 741 Warna-741 Warna</v>
      </c>
      <c r="K36" s="908" t="str">
        <f>Data2025!M35</f>
        <v>Tinta Printer Canon 741 Warna-741 Warna</v>
      </c>
      <c r="L36" s="909">
        <f>Data2025!N35</f>
        <v>12</v>
      </c>
      <c r="M36" s="909" t="str">
        <f>Data2025!O35</f>
        <v>botol</v>
      </c>
      <c r="N36" s="910">
        <f>Data2025!P35</f>
        <v>33000</v>
      </c>
      <c r="O36" s="911">
        <f>Data2025!Q35</f>
        <v>396000</v>
      </c>
      <c r="P36" s="912" t="s">
        <v>710</v>
      </c>
      <c r="Q36" s="913" t="str">
        <f>VLOOKUP(K36,Sheet1!$C$1:$D$101,2,)</f>
        <v>Tinta Printer Canon Aiflo Warna (Length 5.0cm, Width 5.0cm, Height 5.0cm, Weight 5gr)</v>
      </c>
      <c r="R36" s="496">
        <v>70800</v>
      </c>
      <c r="S36" s="504">
        <v>74800</v>
      </c>
      <c r="T36" s="914" t="str">
        <f>Data2025!T35</f>
        <v>UD. JOSUA</v>
      </c>
      <c r="U36" s="497" t="s">
        <v>538</v>
      </c>
      <c r="V36" s="914" t="str">
        <f>Data2025!V35</f>
        <v>Gestiwan Bazikho</v>
      </c>
      <c r="W36" s="914" t="str">
        <f>Data2025!X35</f>
        <v>Jl. Diponegoro Kel. Pasar Telukdalam - Nias Selatan</v>
      </c>
      <c r="X36" s="497" t="s">
        <v>541</v>
      </c>
      <c r="Y36" s="497" t="str">
        <f t="shared" si="1"/>
        <v>Alat Tulis Kantor (ATK)</v>
      </c>
      <c r="Z36" s="915" t="str">
        <f t="shared" si="2"/>
        <v>Alat Tulis Kantor (ATK)</v>
      </c>
      <c r="AA36" s="498" t="s">
        <v>3363</v>
      </c>
      <c r="AB36" s="499">
        <v>35400</v>
      </c>
      <c r="AC36" s="499">
        <v>70800</v>
      </c>
      <c r="AD36" s="496">
        <v>70800</v>
      </c>
      <c r="AE36" s="500">
        <v>63783.783783783787</v>
      </c>
      <c r="AF36" s="500">
        <v>70800</v>
      </c>
      <c r="AG36" s="916" t="s">
        <v>3883</v>
      </c>
      <c r="AH36" s="917" t="str">
        <f>Data2025!W35</f>
        <v>081375309828</v>
      </c>
      <c r="AI36" s="502"/>
      <c r="AJ36" s="502"/>
      <c r="AK36" s="919"/>
    </row>
    <row r="37" spans="1:37" s="501" customFormat="1" ht="26" thickTop="1" thickBot="1">
      <c r="A37" s="901" t="str">
        <f>Data2025!G36</f>
        <v>04</v>
      </c>
      <c r="B37" s="902" t="str">
        <f>Data2025!K36</f>
        <v>BPU04</v>
      </c>
      <c r="C37" s="903" t="str">
        <f>Data2025!D36</f>
        <v>06. 05. 08.</v>
      </c>
      <c r="D37" s="904" t="str">
        <f>Data2025!C36</f>
        <v>5.1.02.01.01.0024</v>
      </c>
      <c r="E37" s="905">
        <f>Data2025!E36</f>
        <v>45661</v>
      </c>
      <c r="F37" s="906" t="str">
        <f>Data2025!F36</f>
        <v>06/01/2025</v>
      </c>
      <c r="G37" s="905" t="str">
        <f>Data2025!H36</f>
        <v>06/01/2025</v>
      </c>
      <c r="H37" s="905" t="str">
        <f t="shared" si="0"/>
        <v>06/01/2025</v>
      </c>
      <c r="I37" s="907" t="str">
        <f>Data2025!J36</f>
        <v>23/01/2025</v>
      </c>
      <c r="J37" s="908" t="str">
        <f>Data2025!L36</f>
        <v>C. Tinta Printer EPSON Toner Epson 664 Black</v>
      </c>
      <c r="K37" s="908" t="str">
        <f>Data2025!M36</f>
        <v>C. Tinta Printer EPSON Toner Epson 664 Black</v>
      </c>
      <c r="L37" s="909">
        <f>Data2025!N36</f>
        <v>6</v>
      </c>
      <c r="M37" s="909" t="str">
        <f>Data2025!O36</f>
        <v>botol</v>
      </c>
      <c r="N37" s="910">
        <f>Data2025!P36</f>
        <v>85000</v>
      </c>
      <c r="O37" s="911">
        <f>Data2025!Q36</f>
        <v>510000</v>
      </c>
      <c r="P37" s="912" t="s">
        <v>710</v>
      </c>
      <c r="Q37" s="913" t="str">
        <f>VLOOKUP(K37,Sheet1!$C$1:$D$101,2,)</f>
        <v>Tinta Printer Epson 664 Hitam (Length 5.0Cm, Width 5.0Cm, Height 5.0Cm, Weight 5Gr)</v>
      </c>
      <c r="R37" s="496">
        <v>90000</v>
      </c>
      <c r="S37" s="504">
        <v>102000</v>
      </c>
      <c r="T37" s="914" t="str">
        <f>Data2025!T36</f>
        <v>UD. JOSUA</v>
      </c>
      <c r="U37" s="497" t="s">
        <v>538</v>
      </c>
      <c r="V37" s="914" t="str">
        <f>Data2025!V36</f>
        <v>Gestiwan Bazikho</v>
      </c>
      <c r="W37" s="914" t="str">
        <f>Data2025!X36</f>
        <v>Jl. Diponegoro Kel. Pasar Telukdalam - Nias Selatan</v>
      </c>
      <c r="X37" s="497" t="s">
        <v>541</v>
      </c>
      <c r="Y37" s="497" t="str">
        <f t="shared" si="1"/>
        <v>Alat Tulis Kantor (ATK)</v>
      </c>
      <c r="Z37" s="915" t="str">
        <f t="shared" si="2"/>
        <v>Alat Tulis Kantor (ATK)</v>
      </c>
      <c r="AA37" s="498" t="s">
        <v>3363</v>
      </c>
      <c r="AB37" s="499">
        <v>15000</v>
      </c>
      <c r="AC37" s="499">
        <v>90000</v>
      </c>
      <c r="AD37" s="496">
        <v>90000</v>
      </c>
      <c r="AE37" s="500">
        <v>81081.08108108108</v>
      </c>
      <c r="AF37" s="500">
        <v>90000</v>
      </c>
      <c r="AG37" s="916" t="s">
        <v>3883</v>
      </c>
      <c r="AH37" s="917" t="str">
        <f>Data2025!W36</f>
        <v>081375309828</v>
      </c>
    </row>
    <row r="38" spans="1:37" s="501" customFormat="1" ht="26" thickTop="1" thickBot="1">
      <c r="A38" s="901" t="str">
        <f>Data2025!G37</f>
        <v>04</v>
      </c>
      <c r="B38" s="902" t="str">
        <f>Data2025!K37</f>
        <v>BPU04</v>
      </c>
      <c r="C38" s="903" t="str">
        <f>Data2025!D37</f>
        <v>06. 05. 08.</v>
      </c>
      <c r="D38" s="904" t="str">
        <f>Data2025!C37</f>
        <v>5.1.02.01.01.0024</v>
      </c>
      <c r="E38" s="905">
        <f>Data2025!E37</f>
        <v>45661</v>
      </c>
      <c r="F38" s="906" t="str">
        <f>Data2025!F37</f>
        <v>06/01/2025</v>
      </c>
      <c r="G38" s="905" t="str">
        <f>Data2025!H37</f>
        <v>06/01/2025</v>
      </c>
      <c r="H38" s="905" t="str">
        <f t="shared" si="0"/>
        <v>06/01/2025</v>
      </c>
      <c r="I38" s="907" t="str">
        <f>Data2025!J37</f>
        <v>23/01/2025</v>
      </c>
      <c r="J38" s="908" t="str">
        <f>Data2025!L37</f>
        <v>C. Tinta Printer EPSON Tinta Printer Epson Yellow</v>
      </c>
      <c r="K38" s="908" t="str">
        <f>Data2025!M37</f>
        <v>C. Tinta Printer EPSON Tinta Printer Epson Yellow</v>
      </c>
      <c r="L38" s="909">
        <f>Data2025!N37</f>
        <v>4</v>
      </c>
      <c r="M38" s="909" t="str">
        <f>Data2025!O37</f>
        <v>botol</v>
      </c>
      <c r="N38" s="910">
        <f>Data2025!P37</f>
        <v>110000</v>
      </c>
      <c r="O38" s="911">
        <f>Data2025!Q37</f>
        <v>440000</v>
      </c>
      <c r="P38" s="912" t="s">
        <v>710</v>
      </c>
      <c r="Q38" s="913" t="str">
        <f>VLOOKUP(K38,Sheet1!$C$1:$D$101,2,)</f>
        <v>Tinta Printer Epson 664 Kuning (Length 5.0Cm, Width 5.0Cm, Height 5.0Cm, Weight 5Gr)</v>
      </c>
      <c r="R38" s="496">
        <v>200000</v>
      </c>
      <c r="S38" s="504">
        <v>220000</v>
      </c>
      <c r="T38" s="914" t="str">
        <f>Data2025!T37</f>
        <v>UD. JOSUA</v>
      </c>
      <c r="U38" s="497" t="s">
        <v>538</v>
      </c>
      <c r="V38" s="914" t="str">
        <f>Data2025!V37</f>
        <v>Gestiwan Bazikho</v>
      </c>
      <c r="W38" s="914" t="str">
        <f>Data2025!X37</f>
        <v>Jl. Diponegoro Kel. Pasar Telukdalam - Nias Selatan</v>
      </c>
      <c r="X38" s="497" t="s">
        <v>541</v>
      </c>
      <c r="Y38" s="497" t="str">
        <f t="shared" si="1"/>
        <v>Alat Tulis Kantor (ATK)</v>
      </c>
      <c r="Z38" s="915" t="str">
        <f t="shared" si="2"/>
        <v>Alat Tulis Kantor (ATK)</v>
      </c>
      <c r="AA38" s="498" t="s">
        <v>3362</v>
      </c>
      <c r="AB38" s="499">
        <v>20000</v>
      </c>
      <c r="AC38" s="499">
        <v>200000</v>
      </c>
      <c r="AD38" s="496">
        <v>200000</v>
      </c>
      <c r="AE38" s="500">
        <v>180180.18018018018</v>
      </c>
      <c r="AF38" s="500">
        <v>200000</v>
      </c>
      <c r="AG38" s="916" t="s">
        <v>3883</v>
      </c>
      <c r="AH38" s="917" t="str">
        <f>Data2025!W37</f>
        <v>081375309828</v>
      </c>
    </row>
    <row r="39" spans="1:37" s="501" customFormat="1" ht="26" thickTop="1" thickBot="1">
      <c r="A39" s="901" t="str">
        <f>Data2025!G38</f>
        <v>04</v>
      </c>
      <c r="B39" s="902" t="str">
        <f>Data2025!K38</f>
        <v>BPU04</v>
      </c>
      <c r="C39" s="903" t="str">
        <f>Data2025!D38</f>
        <v>06. 05. 08.</v>
      </c>
      <c r="D39" s="904" t="str">
        <f>Data2025!C38</f>
        <v>5.1.02.01.01.0024</v>
      </c>
      <c r="E39" s="905">
        <f>Data2025!E38</f>
        <v>45661</v>
      </c>
      <c r="F39" s="906" t="str">
        <f>Data2025!F38</f>
        <v>06/01/2025</v>
      </c>
      <c r="G39" s="905" t="str">
        <f>Data2025!H38</f>
        <v>06/01/2025</v>
      </c>
      <c r="H39" s="905" t="str">
        <f t="shared" si="0"/>
        <v>06/01/2025</v>
      </c>
      <c r="I39" s="907" t="str">
        <f>Data2025!J38</f>
        <v>23/01/2025</v>
      </c>
      <c r="J39" s="908" t="str">
        <f>Data2025!L38</f>
        <v>C. Tinta Printer EPSON Tinta Printer Epson Blue</v>
      </c>
      <c r="K39" s="908" t="str">
        <f>Data2025!M38</f>
        <v>C. Tinta Printer EPSON Tinta Printer Epson Blue</v>
      </c>
      <c r="L39" s="909">
        <f>Data2025!N38</f>
        <v>4</v>
      </c>
      <c r="M39" s="909" t="str">
        <f>Data2025!O38</f>
        <v>botol</v>
      </c>
      <c r="N39" s="910">
        <f>Data2025!P38</f>
        <v>110000</v>
      </c>
      <c r="O39" s="911">
        <f>Data2025!Q38</f>
        <v>440000</v>
      </c>
      <c r="P39" s="912" t="s">
        <v>710</v>
      </c>
      <c r="Q39" s="913" t="str">
        <f>VLOOKUP(K39,Sheet1!$C$1:$D$101,2,)</f>
        <v>Tinta Printer Epson 664 Biru (Length 5.0Cm, Width 5.0Cm, Height 5.0Cm, Weight 5Gr)</v>
      </c>
      <c r="R39" s="496">
        <v>440000</v>
      </c>
      <c r="S39" s="504">
        <v>448000</v>
      </c>
      <c r="T39" s="914" t="str">
        <f>Data2025!T38</f>
        <v>UD. JOSUA</v>
      </c>
      <c r="U39" s="497" t="s">
        <v>538</v>
      </c>
      <c r="V39" s="914" t="str">
        <f>Data2025!V38</f>
        <v>Gestiwan Bazikho</v>
      </c>
      <c r="W39" s="914" t="str">
        <f>Data2025!X38</f>
        <v>Jl. Diponegoro Kel. Pasar Telukdalam - Nias Selatan</v>
      </c>
      <c r="X39" s="497" t="s">
        <v>541</v>
      </c>
      <c r="Y39" s="497" t="str">
        <f t="shared" si="1"/>
        <v>Alat Tulis Kantor (ATK)</v>
      </c>
      <c r="Z39" s="915" t="str">
        <f t="shared" si="2"/>
        <v>Alat Tulis Kantor (ATK)</v>
      </c>
      <c r="AA39" s="498" t="s">
        <v>3367</v>
      </c>
      <c r="AB39" s="499">
        <v>110000</v>
      </c>
      <c r="AC39" s="499">
        <v>440000</v>
      </c>
      <c r="AD39" s="496">
        <v>440000</v>
      </c>
      <c r="AE39" s="500">
        <v>396396.39639639639</v>
      </c>
      <c r="AF39" s="500">
        <v>440000</v>
      </c>
      <c r="AG39" s="916" t="s">
        <v>3883</v>
      </c>
      <c r="AH39" s="917" t="str">
        <f>Data2025!W38</f>
        <v>081375309828</v>
      </c>
    </row>
    <row r="40" spans="1:37" s="501" customFormat="1" ht="26" thickTop="1" thickBot="1">
      <c r="A40" s="901" t="str">
        <f>Data2025!G39</f>
        <v>04</v>
      </c>
      <c r="B40" s="902" t="str">
        <f>Data2025!K39</f>
        <v>BPU04</v>
      </c>
      <c r="C40" s="903" t="str">
        <f>Data2025!D39</f>
        <v>06. 05. 08.</v>
      </c>
      <c r="D40" s="904" t="str">
        <f>Data2025!C39</f>
        <v>5.1.02.01.01.0024</v>
      </c>
      <c r="E40" s="905">
        <f>Data2025!E39</f>
        <v>45661</v>
      </c>
      <c r="F40" s="906" t="str">
        <f>Data2025!F39</f>
        <v>06/01/2025</v>
      </c>
      <c r="G40" s="905" t="str">
        <f>Data2025!H39</f>
        <v>06/01/2025</v>
      </c>
      <c r="H40" s="905" t="str">
        <f t="shared" si="0"/>
        <v>06/01/2025</v>
      </c>
      <c r="I40" s="907" t="str">
        <f>Data2025!J39</f>
        <v>23/01/2025</v>
      </c>
      <c r="J40" s="908" t="str">
        <f>Data2025!L39</f>
        <v>C. Tinta Printer EPSON Tinta Printer Epson Read</v>
      </c>
      <c r="K40" s="908" t="str">
        <f>Data2025!M39</f>
        <v>C. Tinta Printer EPSON Tinta Printer Epson Read</v>
      </c>
      <c r="L40" s="909">
        <f>Data2025!N39</f>
        <v>4</v>
      </c>
      <c r="M40" s="909" t="str">
        <f>Data2025!O39</f>
        <v>botol</v>
      </c>
      <c r="N40" s="910">
        <f>Data2025!P39</f>
        <v>110000</v>
      </c>
      <c r="O40" s="911">
        <f>Data2025!Q39</f>
        <v>440000</v>
      </c>
      <c r="P40" s="912" t="s">
        <v>710</v>
      </c>
      <c r="Q40" s="913" t="str">
        <f>VLOOKUP(K40,Sheet1!$C$1:$D$101,2,)</f>
        <v>Tinta Printer Epson 664 Merah (Length 5.0Cm, Width 5.0Cm, Height 5.0Cm, Weight 5Gr)</v>
      </c>
      <c r="R40" s="496">
        <v>25000</v>
      </c>
      <c r="S40" s="504">
        <v>35000</v>
      </c>
      <c r="T40" s="914" t="str">
        <f>Data2025!T39</f>
        <v>UD. JOSUA</v>
      </c>
      <c r="U40" s="497" t="s">
        <v>538</v>
      </c>
      <c r="V40" s="914" t="str">
        <f>Data2025!V39</f>
        <v>Gestiwan Bazikho</v>
      </c>
      <c r="W40" s="914" t="str">
        <f>Data2025!X39</f>
        <v>Jl. Diponegoro Kel. Pasar Telukdalam - Nias Selatan</v>
      </c>
      <c r="X40" s="497" t="s">
        <v>541</v>
      </c>
      <c r="Y40" s="497" t="str">
        <f t="shared" si="1"/>
        <v>Alat Tulis Kantor (ATK)</v>
      </c>
      <c r="Z40" s="915" t="str">
        <f t="shared" si="2"/>
        <v>Alat Tulis Kantor (ATK)</v>
      </c>
      <c r="AA40" s="498" t="s">
        <v>3362</v>
      </c>
      <c r="AB40" s="499">
        <v>5000</v>
      </c>
      <c r="AC40" s="499">
        <v>25000</v>
      </c>
      <c r="AD40" s="496">
        <v>25000</v>
      </c>
      <c r="AE40" s="500">
        <v>22522.522522522522</v>
      </c>
      <c r="AF40" s="500">
        <v>25000</v>
      </c>
      <c r="AG40" s="916" t="s">
        <v>3883</v>
      </c>
      <c r="AH40" s="917" t="str">
        <f>Data2025!W39</f>
        <v>081375309828</v>
      </c>
    </row>
    <row r="41" spans="1:37" s="501" customFormat="1" ht="16.5" thickTop="1" thickBot="1">
      <c r="A41" s="901" t="str">
        <f>Data2025!G40</f>
        <v>04</v>
      </c>
      <c r="B41" s="902" t="str">
        <f>Data2025!K40</f>
        <v>BPU04</v>
      </c>
      <c r="C41" s="903" t="str">
        <f>Data2025!D40</f>
        <v>06. 05. 08.</v>
      </c>
      <c r="D41" s="904" t="str">
        <f>Data2025!C40</f>
        <v>5.1.02.01.01.0024</v>
      </c>
      <c r="E41" s="905">
        <f>Data2025!E40</f>
        <v>45661</v>
      </c>
      <c r="F41" s="906" t="str">
        <f>Data2025!F40</f>
        <v>06/01/2025</v>
      </c>
      <c r="G41" s="905" t="str">
        <f>Data2025!H40</f>
        <v>06/01/2025</v>
      </c>
      <c r="H41" s="905" t="str">
        <f t="shared" si="0"/>
        <v>06/01/2025</v>
      </c>
      <c r="I41" s="907" t="str">
        <f>Data2025!J40</f>
        <v>23/01/2025</v>
      </c>
      <c r="J41" s="908" t="str">
        <f>Data2025!L40</f>
        <v>canon catridge 741-catridge 741</v>
      </c>
      <c r="K41" s="908" t="str">
        <f>Data2025!M40</f>
        <v>canon catridge 741-catridge 741</v>
      </c>
      <c r="L41" s="909">
        <f>Data2025!N40</f>
        <v>4</v>
      </c>
      <c r="M41" s="909" t="str">
        <f>Data2025!O40</f>
        <v>buah</v>
      </c>
      <c r="N41" s="910">
        <f>Data2025!P40</f>
        <v>425000</v>
      </c>
      <c r="O41" s="911">
        <f>Data2025!Q40</f>
        <v>1700000</v>
      </c>
      <c r="P41" s="912" t="s">
        <v>710</v>
      </c>
      <c r="Q41" s="913" t="str">
        <f>VLOOKUP(K41,Sheet1!$C$1:$D$101,2,)</f>
        <v>canon catridge 741 (Merek: canon Tipe Catridge 741)</v>
      </c>
      <c r="R41" s="496">
        <v>100000</v>
      </c>
      <c r="S41" s="504">
        <v>110000</v>
      </c>
      <c r="T41" s="914" t="str">
        <f>Data2025!T40</f>
        <v>UD. JOSUA</v>
      </c>
      <c r="U41" s="497" t="s">
        <v>538</v>
      </c>
      <c r="V41" s="914" t="str">
        <f>Data2025!V40</f>
        <v>Gestiwan Bazikho</v>
      </c>
      <c r="W41" s="914" t="str">
        <f>Data2025!X40</f>
        <v>Jl. Diponegoro Kel. Pasar Telukdalam - Nias Selatan</v>
      </c>
      <c r="X41" s="497" t="s">
        <v>541</v>
      </c>
      <c r="Y41" s="497" t="str">
        <f t="shared" si="1"/>
        <v>Alat Tulis Kantor (ATK)</v>
      </c>
      <c r="Z41" s="915" t="str">
        <f t="shared" si="2"/>
        <v>Alat Tulis Kantor (ATK)</v>
      </c>
      <c r="AA41" s="498" t="s">
        <v>3367</v>
      </c>
      <c r="AB41" s="499">
        <v>20000</v>
      </c>
      <c r="AC41" s="499">
        <v>100000</v>
      </c>
      <c r="AD41" s="496">
        <v>100000</v>
      </c>
      <c r="AE41" s="500">
        <v>90090.090090090089</v>
      </c>
      <c r="AF41" s="500">
        <v>100000</v>
      </c>
      <c r="AG41" s="916" t="s">
        <v>3883</v>
      </c>
      <c r="AH41" s="917" t="str">
        <f>Data2025!W40</f>
        <v>081375309828</v>
      </c>
    </row>
    <row r="42" spans="1:37" s="501" customFormat="1" ht="16.5" thickTop="1" thickBot="1">
      <c r="A42" s="901" t="str">
        <f>Data2025!G41</f>
        <v>04</v>
      </c>
      <c r="B42" s="902" t="str">
        <f>Data2025!K41</f>
        <v>BPU04</v>
      </c>
      <c r="C42" s="903" t="str">
        <f>Data2025!D41</f>
        <v>06. 05. 08.</v>
      </c>
      <c r="D42" s="904" t="str">
        <f>Data2025!C41</f>
        <v>5.1.02.01.01.0024</v>
      </c>
      <c r="E42" s="905">
        <f>Data2025!E41</f>
        <v>45661</v>
      </c>
      <c r="F42" s="906" t="str">
        <f>Data2025!F41</f>
        <v>06/01/2025</v>
      </c>
      <c r="G42" s="905" t="str">
        <f>Data2025!H41</f>
        <v>06/01/2025</v>
      </c>
      <c r="H42" s="905" t="str">
        <f t="shared" si="0"/>
        <v>06/01/2025</v>
      </c>
      <c r="I42" s="907" t="str">
        <f>Data2025!J41</f>
        <v>23/01/2025</v>
      </c>
      <c r="J42" s="908" t="str">
        <f>Data2025!L41</f>
        <v>Catridge Printer Epson T 014--</v>
      </c>
      <c r="K42" s="908" t="str">
        <f>Data2025!M41</f>
        <v>Catridge Printer Epson T 014--</v>
      </c>
      <c r="L42" s="909">
        <f>Data2025!N41</f>
        <v>4</v>
      </c>
      <c r="M42" s="909" t="str">
        <f>Data2025!O41</f>
        <v>botol</v>
      </c>
      <c r="N42" s="910">
        <f>Data2025!P41</f>
        <v>310000</v>
      </c>
      <c r="O42" s="911">
        <f>Data2025!Q41</f>
        <v>1240000</v>
      </c>
      <c r="P42" s="912" t="s">
        <v>710</v>
      </c>
      <c r="Q42" s="913" t="str">
        <f>VLOOKUP(K42,Sheet1!$C$1:$D$101,2,)</f>
        <v>Catridge Printer (Merek: Epson Tipe: T 014)</v>
      </c>
      <c r="R42" s="496">
        <v>2000000</v>
      </c>
      <c r="S42" s="504">
        <v>2080000</v>
      </c>
      <c r="T42" s="914" t="str">
        <f>Data2025!T41</f>
        <v>UD. JOSUA</v>
      </c>
      <c r="U42" s="497" t="s">
        <v>538</v>
      </c>
      <c r="V42" s="914" t="str">
        <f>Data2025!V41</f>
        <v>Gestiwan Bazikho</v>
      </c>
      <c r="W42" s="914" t="str">
        <f>Data2025!X41</f>
        <v>Jl. Diponegoro Kel. Pasar Telukdalam - Nias Selatan</v>
      </c>
      <c r="X42" s="497" t="s">
        <v>541</v>
      </c>
      <c r="Y42" s="497" t="str">
        <f t="shared" si="1"/>
        <v>Alat Tulis Kantor (ATK)</v>
      </c>
      <c r="Z42" s="915" t="str">
        <f t="shared" si="2"/>
        <v>Alat Tulis Kantor (ATK)</v>
      </c>
      <c r="AA42" s="498" t="s">
        <v>3369</v>
      </c>
      <c r="AB42" s="499">
        <v>50000</v>
      </c>
      <c r="AC42" s="499">
        <v>2000000</v>
      </c>
      <c r="AD42" s="496">
        <v>2000000</v>
      </c>
      <c r="AE42" s="500">
        <v>1801801.8018018019</v>
      </c>
      <c r="AF42" s="500">
        <v>2000000</v>
      </c>
      <c r="AG42" s="916" t="s">
        <v>3883</v>
      </c>
      <c r="AH42" s="917" t="str">
        <f>Data2025!W41</f>
        <v>081375309828</v>
      </c>
    </row>
    <row r="43" spans="1:37" s="501" customFormat="1" ht="16.5" thickTop="1" thickBot="1">
      <c r="A43" s="901" t="str">
        <f>Data2025!G42</f>
        <v>04</v>
      </c>
      <c r="B43" s="902" t="str">
        <f>Data2025!K42</f>
        <v>BPU04</v>
      </c>
      <c r="C43" s="903" t="str">
        <f>Data2025!D42</f>
        <v>06. 05. 08.</v>
      </c>
      <c r="D43" s="904" t="str">
        <f>Data2025!C42</f>
        <v>5.1.02.01.01.0024</v>
      </c>
      <c r="E43" s="905">
        <f>Data2025!E42</f>
        <v>45661</v>
      </c>
      <c r="F43" s="906" t="str">
        <f>Data2025!F42</f>
        <v>06/01/2025</v>
      </c>
      <c r="G43" s="905" t="str">
        <f>Data2025!H42</f>
        <v>06/01/2025</v>
      </c>
      <c r="H43" s="905" t="str">
        <f t="shared" si="0"/>
        <v>06/01/2025</v>
      </c>
      <c r="I43" s="907" t="str">
        <f>Data2025!J42</f>
        <v>23/01/2025</v>
      </c>
      <c r="J43" s="908" t="str">
        <f>Data2025!L42</f>
        <v>Lakban Besar</v>
      </c>
      <c r="K43" s="908" t="str">
        <f>Data2025!M42</f>
        <v>Lakban Besar</v>
      </c>
      <c r="L43" s="909">
        <f>Data2025!N42</f>
        <v>5</v>
      </c>
      <c r="M43" s="909" t="str">
        <f>Data2025!O42</f>
        <v>buah</v>
      </c>
      <c r="N43" s="910">
        <f>Data2025!P42</f>
        <v>25000</v>
      </c>
      <c r="O43" s="911">
        <f>Data2025!Q42</f>
        <v>125000</v>
      </c>
      <c r="P43" s="912" t="s">
        <v>710</v>
      </c>
      <c r="Q43" s="913" t="str">
        <f>VLOOKUP(K43,Sheet1!$C$1:$D$101,2,)</f>
        <v>Lakban Hitam Besar (Brand : Daimaru • Ukuran : 48 mm x 109 Yard)</v>
      </c>
      <c r="R43" s="496">
        <v>1200000</v>
      </c>
      <c r="S43" s="504">
        <v>1400000</v>
      </c>
      <c r="T43" s="914" t="str">
        <f>Data2025!T42</f>
        <v>UD. JOSUA</v>
      </c>
      <c r="U43" s="497" t="s">
        <v>538</v>
      </c>
      <c r="V43" s="914" t="str">
        <f>Data2025!V42</f>
        <v>Gestiwan Bazikho</v>
      </c>
      <c r="W43" s="914" t="str">
        <f>Data2025!X42</f>
        <v>Jl. Diponegoro Kel. Pasar Telukdalam - Nias Selatan</v>
      </c>
      <c r="X43" s="497" t="s">
        <v>541</v>
      </c>
      <c r="Y43" s="497" t="str">
        <f t="shared" si="1"/>
        <v>Alat Tulis Kantor (ATK)</v>
      </c>
      <c r="Z43" s="915" t="str">
        <f t="shared" si="2"/>
        <v>Alat Tulis Kantor (ATK)</v>
      </c>
      <c r="AA43" s="498" t="s">
        <v>3363</v>
      </c>
      <c r="AB43" s="499">
        <v>12000</v>
      </c>
      <c r="AC43" s="499">
        <v>1200000</v>
      </c>
      <c r="AD43" s="496">
        <v>1200000</v>
      </c>
      <c r="AE43" s="500">
        <v>1081081.0810810812</v>
      </c>
      <c r="AF43" s="500">
        <v>1200000</v>
      </c>
      <c r="AG43" s="916" t="s">
        <v>3883</v>
      </c>
      <c r="AH43" s="917" t="str">
        <f>Data2025!W42</f>
        <v>081375309828</v>
      </c>
    </row>
    <row r="44" spans="1:37" s="501" customFormat="1" ht="16.5" thickTop="1" thickBot="1">
      <c r="A44" s="901" t="str">
        <f>Data2025!G43</f>
        <v>04</v>
      </c>
      <c r="B44" s="902" t="str">
        <f>Data2025!K43</f>
        <v>BPU04</v>
      </c>
      <c r="C44" s="903" t="str">
        <f>Data2025!D43</f>
        <v>06. 05. 08.</v>
      </c>
      <c r="D44" s="904" t="str">
        <f>Data2025!C43</f>
        <v>5.1.02.01.01.0024</v>
      </c>
      <c r="E44" s="905">
        <f>Data2025!E43</f>
        <v>45661</v>
      </c>
      <c r="F44" s="906" t="str">
        <f>Data2025!F43</f>
        <v>06/01/2025</v>
      </c>
      <c r="G44" s="905" t="str">
        <f>Data2025!H43</f>
        <v>06/01/2025</v>
      </c>
      <c r="H44" s="905" t="str">
        <f t="shared" si="0"/>
        <v>06/01/2025</v>
      </c>
      <c r="I44" s="907" t="str">
        <f>Data2025!J43</f>
        <v>23/01/2025</v>
      </c>
      <c r="J44" s="908" t="str">
        <f>Data2025!L43</f>
        <v>Lakban Bening Sedang</v>
      </c>
      <c r="K44" s="908" t="str">
        <f>Data2025!M43</f>
        <v>Lakban Bening Sedang</v>
      </c>
      <c r="L44" s="909">
        <f>Data2025!N43</f>
        <v>5</v>
      </c>
      <c r="M44" s="909" t="str">
        <f>Data2025!O43</f>
        <v>buah</v>
      </c>
      <c r="N44" s="910">
        <f>Data2025!P43</f>
        <v>15000</v>
      </c>
      <c r="O44" s="911">
        <f>Data2025!Q43</f>
        <v>75000</v>
      </c>
      <c r="P44" s="912" t="s">
        <v>710</v>
      </c>
      <c r="Q44" s="913" t="str">
        <f>VLOOKUP(K44,Sheet1!$C$1:$D$101,2,)</f>
        <v>Lakban 45 MM x 50 Meter daimaru / 2 Inch x 50 M</v>
      </c>
      <c r="R44" s="496">
        <v>550000</v>
      </c>
      <c r="S44" s="504">
        <v>750000</v>
      </c>
      <c r="T44" s="914" t="str">
        <f>Data2025!T43</f>
        <v>UD. JOSUA</v>
      </c>
      <c r="U44" s="497" t="s">
        <v>538</v>
      </c>
      <c r="V44" s="914" t="str">
        <f>Data2025!V43</f>
        <v>Gestiwan Bazikho</v>
      </c>
      <c r="W44" s="914" t="str">
        <f>Data2025!X43</f>
        <v>Jl. Diponegoro Kel. Pasar Telukdalam - Nias Selatan</v>
      </c>
      <c r="X44" s="497" t="s">
        <v>541</v>
      </c>
      <c r="Y44" s="497" t="str">
        <f t="shared" si="1"/>
        <v>Alat Tulis Kantor (ATK)</v>
      </c>
      <c r="Z44" s="915" t="str">
        <f t="shared" si="2"/>
        <v>Alat Tulis Kantor (ATK)</v>
      </c>
      <c r="AA44" s="498" t="s">
        <v>3363</v>
      </c>
      <c r="AB44" s="499">
        <v>5500</v>
      </c>
      <c r="AC44" s="499">
        <v>550000</v>
      </c>
      <c r="AD44" s="496">
        <v>550000</v>
      </c>
      <c r="AE44" s="500">
        <v>495495.4954954955</v>
      </c>
      <c r="AF44" s="500">
        <v>550000</v>
      </c>
      <c r="AG44" s="916" t="s">
        <v>3883</v>
      </c>
      <c r="AH44" s="917" t="str">
        <f>Data2025!W43</f>
        <v>081375309828</v>
      </c>
    </row>
    <row r="45" spans="1:37" s="501" customFormat="1" ht="16.5" thickTop="1" thickBot="1">
      <c r="A45" s="901" t="str">
        <f>Data2025!G44</f>
        <v>04</v>
      </c>
      <c r="B45" s="902" t="str">
        <f>Data2025!K44</f>
        <v>BPU04</v>
      </c>
      <c r="C45" s="903" t="str">
        <f>Data2025!D44</f>
        <v>06. 05. 08.</v>
      </c>
      <c r="D45" s="904" t="str">
        <f>Data2025!C44</f>
        <v>5.1.02.01.01.0024</v>
      </c>
      <c r="E45" s="905">
        <f>Data2025!E44</f>
        <v>45661</v>
      </c>
      <c r="F45" s="906" t="str">
        <f>Data2025!F44</f>
        <v>06/01/2025</v>
      </c>
      <c r="G45" s="905" t="str">
        <f>Data2025!H44</f>
        <v>06/01/2025</v>
      </c>
      <c r="H45" s="905" t="str">
        <f t="shared" si="0"/>
        <v>06/01/2025</v>
      </c>
      <c r="I45" s="907" t="str">
        <f>Data2025!J44</f>
        <v>23/01/2025</v>
      </c>
      <c r="J45" s="908" t="str">
        <f>Data2025!L44</f>
        <v>Lakban Bening</v>
      </c>
      <c r="K45" s="908" t="str">
        <f>Data2025!M44</f>
        <v>Lakban Bening</v>
      </c>
      <c r="L45" s="909">
        <f>Data2025!N44</f>
        <v>5</v>
      </c>
      <c r="M45" s="909" t="str">
        <f>Data2025!O44</f>
        <v>buah</v>
      </c>
      <c r="N45" s="910">
        <f>Data2025!P44</f>
        <v>10000</v>
      </c>
      <c r="O45" s="911">
        <f>Data2025!Q44</f>
        <v>50000</v>
      </c>
      <c r="P45" s="912" t="s">
        <v>710</v>
      </c>
      <c r="Q45" s="913" t="str">
        <f>VLOOKUP(K45,Sheet1!$C$1:$D$101,2,)</f>
        <v>Isolasi Bening Sedang Mpi Solatip 24 X 72 Yard 1 Inc</v>
      </c>
      <c r="R45" s="496">
        <v>48000</v>
      </c>
      <c r="S45" s="504">
        <v>50000</v>
      </c>
      <c r="T45" s="914" t="str">
        <f>Data2025!T44</f>
        <v>UD. JOSUA</v>
      </c>
      <c r="U45" s="497" t="s">
        <v>538</v>
      </c>
      <c r="V45" s="914" t="str">
        <f>Data2025!V44</f>
        <v>Gestiwan Bazikho</v>
      </c>
      <c r="W45" s="914" t="str">
        <f>Data2025!X44</f>
        <v>Jl. Diponegoro Kel. Pasar Telukdalam - Nias Selatan</v>
      </c>
      <c r="X45" s="497" t="s">
        <v>541</v>
      </c>
      <c r="Y45" s="497" t="str">
        <f t="shared" si="1"/>
        <v>Alat Tulis Kantor (ATK)</v>
      </c>
      <c r="Z45" s="915" t="str">
        <f t="shared" si="2"/>
        <v>Alat Tulis Kantor (ATK)</v>
      </c>
      <c r="AA45" s="498" t="s">
        <v>3362</v>
      </c>
      <c r="AB45" s="499">
        <v>48000</v>
      </c>
      <c r="AC45" s="499">
        <v>48000</v>
      </c>
      <c r="AD45" s="496">
        <v>48000</v>
      </c>
      <c r="AE45" s="500">
        <v>43243.243243243247</v>
      </c>
      <c r="AF45" s="500">
        <v>48000</v>
      </c>
      <c r="AG45" s="916" t="s">
        <v>3883</v>
      </c>
      <c r="AH45" s="917" t="str">
        <f>Data2025!W44</f>
        <v>081375309828</v>
      </c>
    </row>
    <row r="46" spans="1:37" s="501" customFormat="1" ht="16.5" thickTop="1" thickBot="1">
      <c r="A46" s="901" t="str">
        <f>Data2025!G45</f>
        <v>04</v>
      </c>
      <c r="B46" s="902" t="str">
        <f>Data2025!K45</f>
        <v>BPU04</v>
      </c>
      <c r="C46" s="903" t="str">
        <f>Data2025!D45</f>
        <v>06. 05. 08.</v>
      </c>
      <c r="D46" s="904" t="str">
        <f>Data2025!C45</f>
        <v>5.1.02.01.01.0024</v>
      </c>
      <c r="E46" s="905">
        <f>Data2025!E45</f>
        <v>45661</v>
      </c>
      <c r="F46" s="906" t="str">
        <f>Data2025!F45</f>
        <v>06/01/2025</v>
      </c>
      <c r="G46" s="905" t="str">
        <f>Data2025!H45</f>
        <v>06/01/2025</v>
      </c>
      <c r="H46" s="905" t="str">
        <f t="shared" si="0"/>
        <v>06/01/2025</v>
      </c>
      <c r="I46" s="907" t="str">
        <f>Data2025!J45</f>
        <v>23/01/2025</v>
      </c>
      <c r="J46" s="908" t="str">
        <f>Data2025!L45</f>
        <v>Lakban Hitam--</v>
      </c>
      <c r="K46" s="908" t="str">
        <f>Data2025!M45</f>
        <v>Lakban Hitam--</v>
      </c>
      <c r="L46" s="909">
        <f>Data2025!N45</f>
        <v>5</v>
      </c>
      <c r="M46" s="909" t="str">
        <f>Data2025!O45</f>
        <v>buah</v>
      </c>
      <c r="N46" s="910">
        <f>Data2025!P45</f>
        <v>15000</v>
      </c>
      <c r="O46" s="911">
        <f>Data2025!Q45</f>
        <v>75000</v>
      </c>
      <c r="P46" s="912" t="s">
        <v>710</v>
      </c>
      <c r="Q46" s="913" t="str">
        <f>VLOOKUP(K46,Sheet1!$C$1:$D$101,2,)</f>
        <v>Lakban Hitam (Length 5.0Cm, Width 5.0Cm, Height 5.0Cm, Weight 5Gr)</v>
      </c>
      <c r="R46" s="496">
        <v>1700000</v>
      </c>
      <c r="S46" s="504">
        <v>1708000</v>
      </c>
      <c r="T46" s="914" t="str">
        <f>Data2025!T45</f>
        <v>UD. JOSUA</v>
      </c>
      <c r="U46" s="497" t="s">
        <v>538</v>
      </c>
      <c r="V46" s="914" t="str">
        <f>Data2025!V45</f>
        <v>Gestiwan Bazikho</v>
      </c>
      <c r="W46" s="914" t="str">
        <f>Data2025!X45</f>
        <v>Jl. Diponegoro Kel. Pasar Telukdalam - Nias Selatan</v>
      </c>
      <c r="X46" s="497" t="s">
        <v>541</v>
      </c>
      <c r="Y46" s="497" t="str">
        <f t="shared" si="1"/>
        <v>Alat Tulis Kantor (ATK)</v>
      </c>
      <c r="Z46" s="915" t="str">
        <f t="shared" si="2"/>
        <v>Alat Tulis Kantor (ATK)</v>
      </c>
      <c r="AA46" s="498" t="s">
        <v>3363</v>
      </c>
      <c r="AB46" s="499">
        <v>425000</v>
      </c>
      <c r="AC46" s="499">
        <v>1700000</v>
      </c>
      <c r="AD46" s="496">
        <v>1700000</v>
      </c>
      <c r="AE46" s="500">
        <v>1531531.5315315316</v>
      </c>
      <c r="AF46" s="500">
        <v>1700000</v>
      </c>
      <c r="AG46" s="916" t="s">
        <v>3883</v>
      </c>
      <c r="AH46" s="917" t="str">
        <f>Data2025!W45</f>
        <v>081375309828</v>
      </c>
    </row>
    <row r="47" spans="1:37" s="501" customFormat="1" ht="26" thickTop="1" thickBot="1">
      <c r="A47" s="901" t="str">
        <f>Data2025!G46</f>
        <v>04</v>
      </c>
      <c r="B47" s="902" t="str">
        <f>Data2025!K46</f>
        <v>BPU04</v>
      </c>
      <c r="C47" s="903" t="str">
        <f>Data2025!D46</f>
        <v>06. 05. 08.</v>
      </c>
      <c r="D47" s="904" t="str">
        <f>Data2025!C46</f>
        <v>5.1.02.01.01.0024</v>
      </c>
      <c r="E47" s="905">
        <f>Data2025!E46</f>
        <v>45661</v>
      </c>
      <c r="F47" s="906" t="str">
        <f>Data2025!F46</f>
        <v>06/01/2025</v>
      </c>
      <c r="G47" s="905" t="str">
        <f>Data2025!H46</f>
        <v>06/01/2025</v>
      </c>
      <c r="H47" s="905" t="str">
        <f t="shared" si="0"/>
        <v>06/01/2025</v>
      </c>
      <c r="I47" s="907" t="str">
        <f>Data2025!J46</f>
        <v>23/01/2025</v>
      </c>
      <c r="J47" s="908" t="str">
        <f>Data2025!L46</f>
        <v>lakban hitam-ukuran : lebar 2 inch, panjang 12m, bahan : kain</v>
      </c>
      <c r="K47" s="908" t="str">
        <f>Data2025!M46</f>
        <v>lakban hitam-ukuran : lebar 2 inch, panjang 12m, bahan : kain</v>
      </c>
      <c r="L47" s="909">
        <f>Data2025!N46</f>
        <v>4</v>
      </c>
      <c r="M47" s="909" t="str">
        <f>Data2025!O46</f>
        <v>buah</v>
      </c>
      <c r="N47" s="910">
        <f>Data2025!P46</f>
        <v>12500</v>
      </c>
      <c r="O47" s="911">
        <f>Data2025!Q46</f>
        <v>50000</v>
      </c>
      <c r="P47" s="912" t="s">
        <v>710</v>
      </c>
      <c r="Q47" s="913" t="str">
        <f>VLOOKUP(K47,Sheet1!$C$1:$D$101,2,)</f>
        <v>Lakban Hitam Kecil (ukuran : lebar 2 inch, panjang 12m, bahan : kain)</v>
      </c>
      <c r="R47" s="496">
        <v>114000</v>
      </c>
      <c r="S47" s="504">
        <v>124000</v>
      </c>
      <c r="T47" s="914" t="str">
        <f>Data2025!T46</f>
        <v>UD. JOSUA</v>
      </c>
      <c r="U47" s="497" t="s">
        <v>538</v>
      </c>
      <c r="V47" s="914" t="str">
        <f>Data2025!V46</f>
        <v>Gestiwan Bazikho</v>
      </c>
      <c r="W47" s="914" t="str">
        <f>Data2025!X46</f>
        <v>Jl. Diponegoro Kel. Pasar Telukdalam - Nias Selatan</v>
      </c>
      <c r="X47" s="497" t="s">
        <v>541</v>
      </c>
      <c r="Y47" s="497" t="str">
        <f t="shared" si="1"/>
        <v>Alat Tulis Kantor (ATK)</v>
      </c>
      <c r="Z47" s="915" t="str">
        <f t="shared" si="2"/>
        <v>Alat Tulis Kantor (ATK)</v>
      </c>
      <c r="AA47" s="498" t="s">
        <v>3363</v>
      </c>
      <c r="AB47" s="499">
        <v>22800</v>
      </c>
      <c r="AC47" s="499">
        <v>114000</v>
      </c>
      <c r="AD47" s="496">
        <v>114000</v>
      </c>
      <c r="AE47" s="500">
        <v>102702.70270270271</v>
      </c>
      <c r="AF47" s="500">
        <v>114000</v>
      </c>
      <c r="AG47" s="916" t="s">
        <v>3883</v>
      </c>
      <c r="AH47" s="917" t="str">
        <f>Data2025!W46</f>
        <v>081375309828</v>
      </c>
    </row>
    <row r="48" spans="1:37" s="501" customFormat="1" ht="26" thickTop="1" thickBot="1">
      <c r="A48" s="901" t="str">
        <f>Data2025!G47</f>
        <v>04</v>
      </c>
      <c r="B48" s="902" t="str">
        <f>Data2025!K47</f>
        <v>BPU04</v>
      </c>
      <c r="C48" s="903" t="str">
        <f>Data2025!D47</f>
        <v>06. 05. 08.</v>
      </c>
      <c r="D48" s="904" t="str">
        <f>Data2025!C47</f>
        <v>5.1.02.01.01.0024</v>
      </c>
      <c r="E48" s="905">
        <f>Data2025!E47</f>
        <v>45661</v>
      </c>
      <c r="F48" s="906" t="str">
        <f>Data2025!F47</f>
        <v>06/01/2025</v>
      </c>
      <c r="G48" s="905" t="str">
        <f>Data2025!H47</f>
        <v>06/01/2025</v>
      </c>
      <c r="H48" s="905" t="str">
        <f t="shared" si="0"/>
        <v>06/01/2025</v>
      </c>
      <c r="I48" s="907" t="str">
        <f>Data2025!J47</f>
        <v>23/01/2025</v>
      </c>
      <c r="J48" s="908" t="str">
        <f>Data2025!L47</f>
        <v>Lakban Hitam uk 2 " Warna hitam uk. 2 "</v>
      </c>
      <c r="K48" s="908" t="str">
        <f>Data2025!M47</f>
        <v>Lakban Hitam uk 2 " Warna hitam uk. 2 "</v>
      </c>
      <c r="L48" s="909">
        <f>Data2025!N47</f>
        <v>5</v>
      </c>
      <c r="M48" s="909" t="str">
        <f>Data2025!O47</f>
        <v>buah</v>
      </c>
      <c r="N48" s="910">
        <f>Data2025!P47</f>
        <v>25000</v>
      </c>
      <c r="O48" s="911">
        <f>Data2025!Q47</f>
        <v>125000</v>
      </c>
      <c r="P48" s="912" t="s">
        <v>710</v>
      </c>
      <c r="Q48" s="913" t="str">
        <f>VLOOKUP(K48,Sheet1!$C$1:$D$101,2,)</f>
        <v>Lakban Warna Uk 2" Warna Hitam (Ukuran 90Yard Lebar : 48Mm)</v>
      </c>
      <c r="R48" s="496">
        <v>50000</v>
      </c>
      <c r="S48" s="504">
        <v>60000</v>
      </c>
      <c r="T48" s="914" t="str">
        <f>Data2025!T47</f>
        <v>UD. JOSUA</v>
      </c>
      <c r="U48" s="497" t="s">
        <v>538</v>
      </c>
      <c r="V48" s="914" t="str">
        <f>Data2025!V47</f>
        <v>Gestiwan Bazikho</v>
      </c>
      <c r="W48" s="914" t="str">
        <f>Data2025!X47</f>
        <v>Jl. Diponegoro Kel. Pasar Telukdalam - Nias Selatan</v>
      </c>
      <c r="X48" s="497" t="s">
        <v>541</v>
      </c>
      <c r="Y48" s="497" t="str">
        <f t="shared" si="1"/>
        <v>Alat Tulis Kantor (ATK)</v>
      </c>
      <c r="Z48" s="915" t="str">
        <f t="shared" si="2"/>
        <v>Alat Tulis Kantor (ATK)</v>
      </c>
      <c r="AA48" s="498" t="s">
        <v>3363</v>
      </c>
      <c r="AB48" s="499">
        <v>10000</v>
      </c>
      <c r="AC48" s="499">
        <v>50000</v>
      </c>
      <c r="AD48" s="496">
        <v>50000</v>
      </c>
      <c r="AE48" s="500">
        <v>45045.045045045044</v>
      </c>
      <c r="AF48" s="500">
        <v>50000</v>
      </c>
      <c r="AG48" s="916" t="s">
        <v>3883</v>
      </c>
      <c r="AH48" s="917" t="str">
        <f>Data2025!W47</f>
        <v>081375309828</v>
      </c>
    </row>
    <row r="49" spans="1:36" s="501" customFormat="1" ht="26" thickTop="1" thickBot="1">
      <c r="A49" s="901" t="str">
        <f>Data2025!G48</f>
        <v>04</v>
      </c>
      <c r="B49" s="902" t="str">
        <f>Data2025!K48</f>
        <v>BPU04</v>
      </c>
      <c r="C49" s="903" t="str">
        <f>Data2025!D48</f>
        <v>06. 05. 08.</v>
      </c>
      <c r="D49" s="904" t="str">
        <f>Data2025!C48</f>
        <v>5.1.02.01.01.0024</v>
      </c>
      <c r="E49" s="905">
        <f>Data2025!E48</f>
        <v>45661</v>
      </c>
      <c r="F49" s="906" t="str">
        <f>Data2025!F48</f>
        <v>06/01/2025</v>
      </c>
      <c r="G49" s="905" t="str">
        <f>Data2025!H48</f>
        <v>06/01/2025</v>
      </c>
      <c r="H49" s="905" t="str">
        <f t="shared" si="0"/>
        <v>06/01/2025</v>
      </c>
      <c r="I49" s="907" t="str">
        <f>Data2025!J48</f>
        <v>23/01/2025</v>
      </c>
      <c r="J49" s="908" t="str">
        <f>Data2025!L48</f>
        <v>Lakban warna Uk 2" Warna Coklat Cofiie</v>
      </c>
      <c r="K49" s="908" t="str">
        <f>Data2025!M48</f>
        <v>Lakban warna Uk 2" Warna Coklat Cofiie</v>
      </c>
      <c r="L49" s="909">
        <f>Data2025!N48</f>
        <v>3</v>
      </c>
      <c r="M49" s="909" t="str">
        <f>Data2025!O48</f>
        <v>buah</v>
      </c>
      <c r="N49" s="910">
        <f>Data2025!P48</f>
        <v>20000</v>
      </c>
      <c r="O49" s="911">
        <f>Data2025!Q48</f>
        <v>60000</v>
      </c>
      <c r="P49" s="912" t="s">
        <v>710</v>
      </c>
      <c r="Q49" s="913" t="str">
        <f>VLOOKUP(K49,Sheet1!$C$1:$D$101,2,)</f>
        <v>Lakban Warna Uk 2" Warna Coklat Cofiie (Ukuran 90Yard Lebar : 48Mm)</v>
      </c>
      <c r="R49" s="496">
        <v>165000</v>
      </c>
      <c r="S49" s="504">
        <v>185000</v>
      </c>
      <c r="T49" s="914" t="str">
        <f>Data2025!T48</f>
        <v>UD. JOSUA</v>
      </c>
      <c r="U49" s="497" t="s">
        <v>538</v>
      </c>
      <c r="V49" s="914" t="str">
        <f>Data2025!V48</f>
        <v>Gestiwan Bazikho</v>
      </c>
      <c r="W49" s="914" t="str">
        <f>Data2025!X48</f>
        <v>Jl. Diponegoro Kel. Pasar Telukdalam - Nias Selatan</v>
      </c>
      <c r="X49" s="497" t="s">
        <v>541</v>
      </c>
      <c r="Y49" s="497" t="str">
        <f t="shared" si="1"/>
        <v>Alat Tulis Kantor (ATK)</v>
      </c>
      <c r="Z49" s="915" t="str">
        <f t="shared" si="2"/>
        <v>Alat Tulis Kantor (ATK)</v>
      </c>
      <c r="AA49" s="498" t="s">
        <v>3362</v>
      </c>
      <c r="AB49" s="499">
        <v>16500</v>
      </c>
      <c r="AC49" s="499">
        <v>165000</v>
      </c>
      <c r="AD49" s="496">
        <v>165000</v>
      </c>
      <c r="AE49" s="500">
        <v>148648.64864864864</v>
      </c>
      <c r="AF49" s="500">
        <v>165000</v>
      </c>
      <c r="AG49" s="916" t="s">
        <v>3883</v>
      </c>
      <c r="AH49" s="917" t="str">
        <f>Data2025!W48</f>
        <v>081375309828</v>
      </c>
    </row>
    <row r="50" spans="1:36" s="501" customFormat="1" ht="26" thickTop="1" thickBot="1">
      <c r="A50" s="901" t="str">
        <f>Data2025!G49</f>
        <v>04</v>
      </c>
      <c r="B50" s="902" t="str">
        <f>Data2025!K49</f>
        <v>BPU04</v>
      </c>
      <c r="C50" s="903" t="str">
        <f>Data2025!D49</f>
        <v>06. 05. 08.</v>
      </c>
      <c r="D50" s="904" t="str">
        <f>Data2025!C49</f>
        <v>5.1.02.01.01.0024</v>
      </c>
      <c r="E50" s="905">
        <f>Data2025!E49</f>
        <v>45661</v>
      </c>
      <c r="F50" s="906" t="str">
        <f>Data2025!F49</f>
        <v>06/01/2025</v>
      </c>
      <c r="G50" s="905" t="str">
        <f>Data2025!H49</f>
        <v>06/01/2025</v>
      </c>
      <c r="H50" s="905" t="str">
        <f t="shared" si="0"/>
        <v>06/01/2025</v>
      </c>
      <c r="I50" s="907" t="str">
        <f>Data2025!J49</f>
        <v>23/01/2025</v>
      </c>
      <c r="J50" s="908" t="str">
        <f>Data2025!L49</f>
        <v>Spidol Refil Spidol White Board Snowman</v>
      </c>
      <c r="K50" s="908" t="str">
        <f>Data2025!M49</f>
        <v>Spidol Refil Spidol White Board Snowman</v>
      </c>
      <c r="L50" s="909">
        <f>Data2025!N49</f>
        <v>10</v>
      </c>
      <c r="M50" s="909" t="str">
        <f>Data2025!O49</f>
        <v>buah</v>
      </c>
      <c r="N50" s="910">
        <f>Data2025!P49</f>
        <v>20900</v>
      </c>
      <c r="O50" s="911">
        <f>Data2025!Q49</f>
        <v>209000</v>
      </c>
      <c r="P50" s="912" t="s">
        <v>710</v>
      </c>
      <c r="Q50" s="913" t="str">
        <f>VLOOKUP(K50,Sheet1!$C$1:$D$101,2,)</f>
        <v>Spidol Refil Spidol White Board Snowman (Panjang. : 10 Cm ; Lebar. : 5 Cm ; Tinggi. : 7 Cm ; Berat. : 500 Gr)</v>
      </c>
      <c r="R50" s="496">
        <v>100000</v>
      </c>
      <c r="S50" s="504">
        <v>110000</v>
      </c>
      <c r="T50" s="914" t="str">
        <f>Data2025!T49</f>
        <v>UD. JOSUA</v>
      </c>
      <c r="U50" s="497" t="s">
        <v>538</v>
      </c>
      <c r="V50" s="914" t="str">
        <f>Data2025!V49</f>
        <v>Gestiwan Bazikho</v>
      </c>
      <c r="W50" s="914" t="str">
        <f>Data2025!X49</f>
        <v>Jl. Diponegoro Kel. Pasar Telukdalam - Nias Selatan</v>
      </c>
      <c r="X50" s="497" t="s">
        <v>541</v>
      </c>
      <c r="Y50" s="497" t="str">
        <f t="shared" si="1"/>
        <v>Alat Tulis Kantor (ATK)</v>
      </c>
      <c r="Z50" s="915" t="str">
        <f t="shared" si="2"/>
        <v>Alat Tulis Kantor (ATK)</v>
      </c>
      <c r="AA50" s="498" t="s">
        <v>3366</v>
      </c>
      <c r="AB50" s="499">
        <v>20000</v>
      </c>
      <c r="AC50" s="499">
        <v>100000</v>
      </c>
      <c r="AD50" s="496">
        <v>100000</v>
      </c>
      <c r="AE50" s="500">
        <v>90090.090090090089</v>
      </c>
      <c r="AF50" s="500">
        <v>100000</v>
      </c>
      <c r="AG50" s="916" t="s">
        <v>3883</v>
      </c>
      <c r="AH50" s="917" t="str">
        <f>Data2025!W49</f>
        <v>081375309828</v>
      </c>
      <c r="AI50" s="502"/>
      <c r="AJ50" s="502"/>
    </row>
    <row r="51" spans="1:36" s="501" customFormat="1" ht="16.5" thickTop="1" thickBot="1">
      <c r="A51" s="901" t="str">
        <f>Data2025!G50</f>
        <v>04</v>
      </c>
      <c r="B51" s="902" t="str">
        <f>Data2025!K50</f>
        <v>BPU04</v>
      </c>
      <c r="C51" s="903" t="str">
        <f>Data2025!D50</f>
        <v>06. 05. 08.</v>
      </c>
      <c r="D51" s="904" t="str">
        <f>Data2025!C50</f>
        <v>5.1.02.01.01.0024</v>
      </c>
      <c r="E51" s="905">
        <f>Data2025!E50</f>
        <v>45661</v>
      </c>
      <c r="F51" s="906" t="str">
        <f>Data2025!F50</f>
        <v>06/01/2025</v>
      </c>
      <c r="G51" s="905" t="str">
        <f>Data2025!H50</f>
        <v>06/01/2025</v>
      </c>
      <c r="H51" s="905" t="str">
        <f t="shared" si="0"/>
        <v>06/01/2025</v>
      </c>
      <c r="I51" s="907" t="str">
        <f>Data2025!J50</f>
        <v>23/01/2025</v>
      </c>
      <c r="J51" s="908" t="str">
        <f>Data2025!L50</f>
        <v>Spidol White board</v>
      </c>
      <c r="K51" s="908" t="str">
        <f>Data2025!M50</f>
        <v>Spidol White board</v>
      </c>
      <c r="L51" s="909">
        <f>Data2025!N50</f>
        <v>2</v>
      </c>
      <c r="M51" s="909" t="str">
        <f>Data2025!O50</f>
        <v>lusin</v>
      </c>
      <c r="N51" s="910">
        <f>Data2025!P50</f>
        <v>120000</v>
      </c>
      <c r="O51" s="911">
        <f>Data2025!Q50</f>
        <v>240000</v>
      </c>
      <c r="P51" s="912" t="s">
        <v>710</v>
      </c>
      <c r="Q51" s="913" t="str">
        <f>VLOOKUP(K51,Sheet1!$C$1:$D$101,2,)</f>
        <v>Spidol White Board (Berat Produk 0.5 Kg, Panjang Produk 10 Cm, Lebar Produk 3 Cm, Tinggi Produk 10 Cm)</v>
      </c>
      <c r="R51" s="496">
        <v>510000</v>
      </c>
      <c r="S51" s="504">
        <v>522000</v>
      </c>
      <c r="T51" s="914" t="str">
        <f>Data2025!T50</f>
        <v>UD. JOSUA</v>
      </c>
      <c r="U51" s="497" t="s">
        <v>538</v>
      </c>
      <c r="V51" s="914" t="str">
        <f>Data2025!V50</f>
        <v>Gestiwan Bazikho</v>
      </c>
      <c r="W51" s="914" t="str">
        <f>Data2025!X50</f>
        <v>Jl. Diponegoro Kel. Pasar Telukdalam - Nias Selatan</v>
      </c>
      <c r="X51" s="497" t="s">
        <v>541</v>
      </c>
      <c r="Y51" s="497" t="str">
        <f t="shared" si="1"/>
        <v>Alat Tulis Kantor (ATK)</v>
      </c>
      <c r="Z51" s="915" t="str">
        <f t="shared" si="2"/>
        <v>Alat Tulis Kantor (ATK)</v>
      </c>
      <c r="AA51" s="498" t="s">
        <v>3367</v>
      </c>
      <c r="AB51" s="499">
        <v>85000</v>
      </c>
      <c r="AC51" s="499">
        <v>510000</v>
      </c>
      <c r="AD51" s="496">
        <v>510000</v>
      </c>
      <c r="AE51" s="500">
        <v>459459.45945945947</v>
      </c>
      <c r="AF51" s="500">
        <v>510000</v>
      </c>
      <c r="AG51" s="916" t="s">
        <v>3883</v>
      </c>
      <c r="AH51" s="917" t="str">
        <f>Data2025!W50</f>
        <v>081375309828</v>
      </c>
    </row>
    <row r="52" spans="1:36" s="501" customFormat="1" ht="16.5" thickTop="1" thickBot="1">
      <c r="A52" s="901" t="str">
        <f>Data2025!G51</f>
        <v>04</v>
      </c>
      <c r="B52" s="902" t="str">
        <f>Data2025!K51</f>
        <v>BPU04</v>
      </c>
      <c r="C52" s="903" t="str">
        <f>Data2025!D51</f>
        <v>06. 05. 08.</v>
      </c>
      <c r="D52" s="904" t="str">
        <f>Data2025!C51</f>
        <v>5.1.02.01.01.0024</v>
      </c>
      <c r="E52" s="905">
        <f>Data2025!E51</f>
        <v>45661</v>
      </c>
      <c r="F52" s="906" t="str">
        <f>Data2025!F51</f>
        <v>06/01/2025</v>
      </c>
      <c r="G52" s="905" t="str">
        <f>Data2025!H51</f>
        <v>06/01/2025</v>
      </c>
      <c r="H52" s="905" t="str">
        <f t="shared" si="0"/>
        <v>06/01/2025</v>
      </c>
      <c r="I52" s="907" t="str">
        <f>Data2025!J51</f>
        <v>23/01/2025</v>
      </c>
      <c r="J52" s="908" t="str">
        <f>Data2025!L51</f>
        <v>Stapler HD-10--</v>
      </c>
      <c r="K52" s="908" t="str">
        <f>Data2025!M51</f>
        <v>Stapler HD-10--</v>
      </c>
      <c r="L52" s="909">
        <f>Data2025!N51</f>
        <v>2</v>
      </c>
      <c r="M52" s="909" t="str">
        <f>Data2025!O51</f>
        <v>buah</v>
      </c>
      <c r="N52" s="910">
        <f>Data2025!P51</f>
        <v>20000</v>
      </c>
      <c r="O52" s="911">
        <f>Data2025!Q51</f>
        <v>40000</v>
      </c>
      <c r="P52" s="912" t="s">
        <v>710</v>
      </c>
      <c r="Q52" s="913" t="str">
        <f>VLOOKUP(K52,Sheet1!$C$1:$D$101,2,)</f>
        <v>Stapler HD-10 (Merk : MAX Ukuran : 3.5 x 10 cm)</v>
      </c>
      <c r="R52" s="496">
        <v>80000</v>
      </c>
      <c r="S52" s="504">
        <v>84000</v>
      </c>
      <c r="T52" s="914" t="str">
        <f>Data2025!T51</f>
        <v>UD. JOSUA</v>
      </c>
      <c r="U52" s="497" t="s">
        <v>538</v>
      </c>
      <c r="V52" s="914" t="str">
        <f>Data2025!V51</f>
        <v>Gestiwan Bazikho</v>
      </c>
      <c r="W52" s="914" t="str">
        <f>Data2025!X51</f>
        <v>Jl. Diponegoro Kel. Pasar Telukdalam - Nias Selatan</v>
      </c>
      <c r="X52" s="497" t="s">
        <v>541</v>
      </c>
      <c r="Y52" s="497" t="str">
        <f t="shared" si="1"/>
        <v>Alat Tulis Kantor (ATK)</v>
      </c>
      <c r="Z52" s="915" t="str">
        <f t="shared" si="2"/>
        <v>Alat Tulis Kantor (ATK)</v>
      </c>
      <c r="AA52" s="498" t="s">
        <v>3362</v>
      </c>
      <c r="AB52" s="499">
        <v>40000</v>
      </c>
      <c r="AC52" s="499">
        <v>80000</v>
      </c>
      <c r="AD52" s="496">
        <v>80000</v>
      </c>
      <c r="AE52" s="500">
        <v>72072.072072072071</v>
      </c>
      <c r="AF52" s="500">
        <v>80000</v>
      </c>
      <c r="AG52" s="916" t="s">
        <v>3883</v>
      </c>
      <c r="AH52" s="917" t="str">
        <f>Data2025!W51</f>
        <v>081375309828</v>
      </c>
    </row>
    <row r="53" spans="1:36" s="501" customFormat="1" ht="16.5" thickTop="1" thickBot="1">
      <c r="A53" s="901" t="str">
        <f>Data2025!G52</f>
        <v>04</v>
      </c>
      <c r="B53" s="902" t="str">
        <f>Data2025!K52</f>
        <v>BPU04</v>
      </c>
      <c r="C53" s="903" t="str">
        <f>Data2025!D52</f>
        <v>06. 05. 08.</v>
      </c>
      <c r="D53" s="904" t="str">
        <f>Data2025!C52</f>
        <v>5.1.02.01.01.0024</v>
      </c>
      <c r="E53" s="905">
        <f>Data2025!E52</f>
        <v>45661</v>
      </c>
      <c r="F53" s="906" t="str">
        <f>Data2025!F52</f>
        <v>06/01/2025</v>
      </c>
      <c r="G53" s="905" t="str">
        <f>Data2025!H52</f>
        <v>06/01/2025</v>
      </c>
      <c r="H53" s="905" t="str">
        <f t="shared" si="0"/>
        <v>06/01/2025</v>
      </c>
      <c r="I53" s="907" t="str">
        <f>Data2025!J52</f>
        <v>23/01/2025</v>
      </c>
      <c r="J53" s="908" t="str">
        <f>Data2025!L52</f>
        <v>Stapler Stapler No, 50 MAX</v>
      </c>
      <c r="K53" s="908" t="str">
        <f>Data2025!M52</f>
        <v>Stapler Stapler No, 50 MAX</v>
      </c>
      <c r="L53" s="909">
        <f>Data2025!N52</f>
        <v>2</v>
      </c>
      <c r="M53" s="909" t="str">
        <f>Data2025!O52</f>
        <v>buah</v>
      </c>
      <c r="N53" s="910">
        <f>Data2025!P52</f>
        <v>25000</v>
      </c>
      <c r="O53" s="911">
        <f>Data2025!Q52</f>
        <v>50000</v>
      </c>
      <c r="P53" s="912" t="s">
        <v>710</v>
      </c>
      <c r="Q53" s="913" t="str">
        <f>VLOOKUP(K53,Sheet1!$C$1:$D$101,2,)</f>
        <v>Stapler 50 (Length 5.0Cm, Width 5.0Cm, Height 5.0Cm, Weight 5Gr)</v>
      </c>
      <c r="R53" s="496">
        <v>180000</v>
      </c>
      <c r="S53" s="504">
        <v>184000</v>
      </c>
      <c r="T53" s="914" t="str">
        <f>Data2025!T52</f>
        <v>UD. JOSUA</v>
      </c>
      <c r="U53" s="497" t="s">
        <v>538</v>
      </c>
      <c r="V53" s="914" t="str">
        <f>Data2025!V52</f>
        <v>Gestiwan Bazikho</v>
      </c>
      <c r="W53" s="914" t="str">
        <f>Data2025!X52</f>
        <v>Jl. Diponegoro Kel. Pasar Telukdalam - Nias Selatan</v>
      </c>
      <c r="X53" s="497" t="s">
        <v>541</v>
      </c>
      <c r="Y53" s="497" t="str">
        <f t="shared" si="1"/>
        <v>Alat Tulis Kantor (ATK)</v>
      </c>
      <c r="Z53" s="915" t="str">
        <f t="shared" si="2"/>
        <v>Alat Tulis Kantor (ATK)</v>
      </c>
      <c r="AA53" s="498" t="s">
        <v>3369</v>
      </c>
      <c r="AB53" s="499">
        <v>90000</v>
      </c>
      <c r="AC53" s="499">
        <v>180000</v>
      </c>
      <c r="AD53" s="496">
        <v>180000</v>
      </c>
      <c r="AE53" s="500">
        <v>162162.16216216216</v>
      </c>
      <c r="AF53" s="500">
        <v>180000</v>
      </c>
      <c r="AG53" s="916" t="s">
        <v>3883</v>
      </c>
      <c r="AH53" s="917" t="str">
        <f>Data2025!W52</f>
        <v>081375309828</v>
      </c>
    </row>
    <row r="54" spans="1:36" s="501" customFormat="1" ht="16.5" thickTop="1" thickBot="1">
      <c r="A54" s="901" t="str">
        <f>Data2025!G53</f>
        <v>04</v>
      </c>
      <c r="B54" s="902" t="str">
        <f>Data2025!K53</f>
        <v>BPU04</v>
      </c>
      <c r="C54" s="903" t="str">
        <f>Data2025!D53</f>
        <v>06. 05. 08.</v>
      </c>
      <c r="D54" s="904" t="str">
        <f>Data2025!C53</f>
        <v>5.1.02.01.01.0024</v>
      </c>
      <c r="E54" s="905">
        <f>Data2025!E53</f>
        <v>45661</v>
      </c>
      <c r="F54" s="906" t="str">
        <f>Data2025!F53</f>
        <v>06/01/2025</v>
      </c>
      <c r="G54" s="905" t="str">
        <f>Data2025!H53</f>
        <v>06/01/2025</v>
      </c>
      <c r="H54" s="905" t="str">
        <f t="shared" si="0"/>
        <v>06/01/2025</v>
      </c>
      <c r="I54" s="907" t="str">
        <f>Data2025!J53</f>
        <v>23/01/2025</v>
      </c>
      <c r="J54" s="908" t="str">
        <f>Data2025!L53</f>
        <v>Lem Fox isi 500 gram--</v>
      </c>
      <c r="K54" s="908" t="str">
        <f>Data2025!M53</f>
        <v>Lem Fox isi 500 gram--</v>
      </c>
      <c r="L54" s="909">
        <f>Data2025!N53</f>
        <v>2</v>
      </c>
      <c r="M54" s="909" t="str">
        <f>Data2025!O53</f>
        <v>buah</v>
      </c>
      <c r="N54" s="910">
        <f>Data2025!P53</f>
        <v>37000</v>
      </c>
      <c r="O54" s="911">
        <f>Data2025!Q53</f>
        <v>74000</v>
      </c>
      <c r="P54" s="912" t="s">
        <v>710</v>
      </c>
      <c r="Q54" s="913" t="str">
        <f>VLOOKUP(K54,Sheet1!$C$1:$D$101,2,)</f>
        <v>Lem Fox Isi 500 Gram (Bahan Pvc, Berat 500Gr, Ukuran Botol Putih 500Gr)</v>
      </c>
      <c r="R54" s="496">
        <v>325000</v>
      </c>
      <c r="S54" s="504">
        <v>335000</v>
      </c>
      <c r="T54" s="914" t="str">
        <f>Data2025!T53</f>
        <v>UD. JOSUA</v>
      </c>
      <c r="U54" s="497" t="s">
        <v>538</v>
      </c>
      <c r="V54" s="914" t="str">
        <f>Data2025!V53</f>
        <v>Gestiwan Bazikho</v>
      </c>
      <c r="W54" s="914" t="str">
        <f>Data2025!X53</f>
        <v>Jl. Diponegoro Kel. Pasar Telukdalam - Nias Selatan</v>
      </c>
      <c r="X54" s="497" t="s">
        <v>541</v>
      </c>
      <c r="Y54" s="497" t="str">
        <f t="shared" si="1"/>
        <v>Alat Tulis Kantor (ATK)</v>
      </c>
      <c r="Z54" s="915" t="str">
        <f t="shared" si="2"/>
        <v>Alat Tulis Kantor (ATK)</v>
      </c>
      <c r="AA54" s="498" t="s">
        <v>3365</v>
      </c>
      <c r="AB54" s="499">
        <v>65000</v>
      </c>
      <c r="AC54" s="499">
        <v>325000</v>
      </c>
      <c r="AD54" s="496">
        <v>325000</v>
      </c>
      <c r="AE54" s="500">
        <v>292792.79279279278</v>
      </c>
      <c r="AF54" s="500">
        <v>325000</v>
      </c>
      <c r="AG54" s="916" t="s">
        <v>3883</v>
      </c>
      <c r="AH54" s="917" t="str">
        <f>Data2025!W53</f>
        <v>081375309828</v>
      </c>
    </row>
    <row r="55" spans="1:36" s="501" customFormat="1" ht="16.5" thickTop="1" thickBot="1">
      <c r="A55" s="901" t="str">
        <f>Data2025!G54</f>
        <v>04</v>
      </c>
      <c r="B55" s="902" t="str">
        <f>Data2025!K54</f>
        <v>BPU04</v>
      </c>
      <c r="C55" s="903" t="str">
        <f>Data2025!D54</f>
        <v>06. 05. 08.</v>
      </c>
      <c r="D55" s="904" t="str">
        <f>Data2025!C54</f>
        <v>5.1.02.01.01.0024</v>
      </c>
      <c r="E55" s="905">
        <f>Data2025!E54</f>
        <v>45661</v>
      </c>
      <c r="F55" s="906" t="str">
        <f>Data2025!F54</f>
        <v>06/01/2025</v>
      </c>
      <c r="G55" s="905" t="str">
        <f>Data2025!H54</f>
        <v>06/01/2025</v>
      </c>
      <c r="H55" s="905" t="str">
        <f t="shared" si="0"/>
        <v>06/01/2025</v>
      </c>
      <c r="I55" s="907" t="str">
        <f>Data2025!J54</f>
        <v>23/01/2025</v>
      </c>
      <c r="J55" s="908" t="str">
        <f>Data2025!L54</f>
        <v>PAPER CLIP  Paper Clip No 1</v>
      </c>
      <c r="K55" s="908" t="str">
        <f>Data2025!M54</f>
        <v>PAPER CLIP  Paper Clip No 1</v>
      </c>
      <c r="L55" s="909">
        <f>Data2025!N54</f>
        <v>5</v>
      </c>
      <c r="M55" s="909" t="str">
        <f>Data2025!O54</f>
        <v>kotak</v>
      </c>
      <c r="N55" s="910">
        <f>Data2025!P54</f>
        <v>6000</v>
      </c>
      <c r="O55" s="911">
        <f>Data2025!Q54</f>
        <v>30000</v>
      </c>
      <c r="P55" s="912" t="s">
        <v>710</v>
      </c>
      <c r="Q55" s="913" t="str">
        <f>VLOOKUP(K55,Sheet1!$C$1:$D$101,2,)</f>
        <v>Paper Clip No 1 (Length 5.0Cm, Width 5.0Cm, Height 5.0Cm, Weight 5Gr)</v>
      </c>
      <c r="R55" s="496">
        <v>239200</v>
      </c>
      <c r="S55" s="504">
        <v>247200</v>
      </c>
      <c r="T55" s="914" t="str">
        <f>Data2025!T54</f>
        <v>UD. JOSUA</v>
      </c>
      <c r="U55" s="497" t="s">
        <v>538</v>
      </c>
      <c r="V55" s="914" t="str">
        <f>Data2025!V54</f>
        <v>Gestiwan Bazikho</v>
      </c>
      <c r="W55" s="914" t="str">
        <f>Data2025!X54</f>
        <v>Jl. Diponegoro Kel. Pasar Telukdalam - Nias Selatan</v>
      </c>
      <c r="X55" s="497" t="s">
        <v>541</v>
      </c>
      <c r="Y55" s="497" t="str">
        <f t="shared" si="1"/>
        <v>Alat Tulis Kantor (ATK)</v>
      </c>
      <c r="Z55" s="915" t="str">
        <f t="shared" si="2"/>
        <v>Alat Tulis Kantor (ATK)</v>
      </c>
      <c r="AA55" s="498" t="s">
        <v>3363</v>
      </c>
      <c r="AB55" s="499">
        <v>59800</v>
      </c>
      <c r="AC55" s="499">
        <v>239200</v>
      </c>
      <c r="AD55" s="496">
        <v>239200</v>
      </c>
      <c r="AE55" s="500">
        <v>215495.4954954955</v>
      </c>
      <c r="AF55" s="500">
        <v>239200</v>
      </c>
      <c r="AG55" s="916" t="s">
        <v>3883</v>
      </c>
      <c r="AH55" s="917" t="str">
        <f>Data2025!W54</f>
        <v>081375309828</v>
      </c>
    </row>
    <row r="56" spans="1:36" s="501" customFormat="1" ht="16.5" thickTop="1" thickBot="1">
      <c r="A56" s="901" t="str">
        <f>Data2025!G55</f>
        <v>04</v>
      </c>
      <c r="B56" s="902" t="str">
        <f>Data2025!K55</f>
        <v>BPU04</v>
      </c>
      <c r="C56" s="903" t="str">
        <f>Data2025!D55</f>
        <v>06. 05. 08.</v>
      </c>
      <c r="D56" s="904" t="str">
        <f>Data2025!C55</f>
        <v>5.1.02.01.01.0024</v>
      </c>
      <c r="E56" s="905">
        <f>Data2025!E55</f>
        <v>45661</v>
      </c>
      <c r="F56" s="906" t="str">
        <f>Data2025!F55</f>
        <v>06/01/2025</v>
      </c>
      <c r="G56" s="905" t="str">
        <f>Data2025!H55</f>
        <v>06/01/2025</v>
      </c>
      <c r="H56" s="905" t="str">
        <f t="shared" si="0"/>
        <v>06/01/2025</v>
      </c>
      <c r="I56" s="907" t="str">
        <f>Data2025!J55</f>
        <v>23/01/2025</v>
      </c>
      <c r="J56" s="908" t="str">
        <f>Data2025!L55</f>
        <v>Paper Clip No 1  Paper Clip No 3</v>
      </c>
      <c r="K56" s="908" t="str">
        <f>Data2025!M55</f>
        <v>Paper Clip No 1  Paper Clip No 3</v>
      </c>
      <c r="L56" s="909">
        <f>Data2025!N55</f>
        <v>5</v>
      </c>
      <c r="M56" s="909" t="str">
        <f>Data2025!O55</f>
        <v>kotak</v>
      </c>
      <c r="N56" s="910">
        <f>Data2025!P55</f>
        <v>6000</v>
      </c>
      <c r="O56" s="911">
        <f>Data2025!Q55</f>
        <v>30000</v>
      </c>
      <c r="P56" s="912" t="s">
        <v>710</v>
      </c>
      <c r="Q56" s="913" t="str">
        <f>VLOOKUP(K56,Sheet1!$C$1:$D$101,2,)</f>
        <v>Paper Clip No 3 (Length 5.0Cm, Width 5.0Cm, Height 5.0Cm, Weight 5Gr)</v>
      </c>
      <c r="R56" s="496">
        <v>1240000</v>
      </c>
      <c r="S56" s="504">
        <v>1248000</v>
      </c>
      <c r="T56" s="914" t="str">
        <f>Data2025!T55</f>
        <v>UD. JOSUA</v>
      </c>
      <c r="U56" s="497" t="s">
        <v>538</v>
      </c>
      <c r="V56" s="914" t="str">
        <f>Data2025!V55</f>
        <v>Gestiwan Bazikho</v>
      </c>
      <c r="W56" s="914" t="str">
        <f>Data2025!X55</f>
        <v>Jl. Diponegoro Kel. Pasar Telukdalam - Nias Selatan</v>
      </c>
      <c r="X56" s="497" t="s">
        <v>541</v>
      </c>
      <c r="Y56" s="497" t="str">
        <f t="shared" si="1"/>
        <v>Alat Tulis Kantor (ATK)</v>
      </c>
      <c r="Z56" s="915" t="str">
        <f t="shared" si="2"/>
        <v>Alat Tulis Kantor (ATK)</v>
      </c>
      <c r="AA56" s="498" t="s">
        <v>3367</v>
      </c>
      <c r="AB56" s="499">
        <v>310000</v>
      </c>
      <c r="AC56" s="499">
        <v>1240000</v>
      </c>
      <c r="AD56" s="496">
        <v>1240000</v>
      </c>
      <c r="AE56" s="500">
        <v>1117117.1171171172</v>
      </c>
      <c r="AF56" s="500">
        <v>1240000</v>
      </c>
      <c r="AG56" s="916" t="s">
        <v>3883</v>
      </c>
      <c r="AH56" s="917" t="str">
        <f>Data2025!W55</f>
        <v>081375309828</v>
      </c>
    </row>
    <row r="57" spans="1:36" s="501" customFormat="1" ht="16.5" thickTop="1" thickBot="1">
      <c r="A57" s="901" t="str">
        <f>Data2025!G56</f>
        <v>04</v>
      </c>
      <c r="B57" s="902" t="str">
        <f>Data2025!K56</f>
        <v>BPU04</v>
      </c>
      <c r="C57" s="903" t="str">
        <f>Data2025!D56</f>
        <v>06. 05. 08.</v>
      </c>
      <c r="D57" s="904" t="str">
        <f>Data2025!C56</f>
        <v>5.1.02.01.01.0024</v>
      </c>
      <c r="E57" s="905">
        <f>Data2025!E56</f>
        <v>45661</v>
      </c>
      <c r="F57" s="906" t="str">
        <f>Data2025!F56</f>
        <v>06/01/2025</v>
      </c>
      <c r="G57" s="905" t="str">
        <f>Data2025!H56</f>
        <v>06/01/2025</v>
      </c>
      <c r="H57" s="905" t="str">
        <f t="shared" si="0"/>
        <v>06/01/2025</v>
      </c>
      <c r="I57" s="907" t="str">
        <f>Data2025!J56</f>
        <v>23/01/2025</v>
      </c>
      <c r="J57" s="908" t="str">
        <f>Data2025!L56</f>
        <v>Penghapus White Board</v>
      </c>
      <c r="K57" s="908" t="str">
        <f>Data2025!M56</f>
        <v>Penghapus White Board</v>
      </c>
      <c r="L57" s="909">
        <f>Data2025!N56</f>
        <v>30</v>
      </c>
      <c r="M57" s="909" t="str">
        <f>Data2025!O56</f>
        <v>buah</v>
      </c>
      <c r="N57" s="910">
        <f>Data2025!P56</f>
        <v>10000</v>
      </c>
      <c r="O57" s="911">
        <f>Data2025!Q56</f>
        <v>300000</v>
      </c>
      <c r="P57" s="912" t="s">
        <v>710</v>
      </c>
      <c r="Q57" s="913" t="str">
        <f>VLOOKUP(K57,Sheet1!$C$1:$D$101,2,)</f>
        <v>Penghapus White Board (Ukuran : 55 X 120 X 38 Mm - Berat : 30 Gram)</v>
      </c>
      <c r="R57" s="496">
        <v>80000</v>
      </c>
      <c r="S57" s="504">
        <v>82000</v>
      </c>
      <c r="T57" s="914" t="str">
        <f>Data2025!T56</f>
        <v>UD. JOSUA</v>
      </c>
      <c r="U57" s="497" t="s">
        <v>538</v>
      </c>
      <c r="V57" s="914" t="str">
        <f>Data2025!V56</f>
        <v>Gestiwan Bazikho</v>
      </c>
      <c r="W57" s="914" t="str">
        <f>Data2025!X56</f>
        <v>Jl. Diponegoro Kel. Pasar Telukdalam - Nias Selatan</v>
      </c>
      <c r="X57" s="497" t="s">
        <v>541</v>
      </c>
      <c r="Y57" s="497" t="str">
        <f t="shared" si="1"/>
        <v>Alat Tulis Kantor (ATK)</v>
      </c>
      <c r="Z57" s="915" t="str">
        <f t="shared" si="2"/>
        <v>Alat Tulis Kantor (ATK)</v>
      </c>
      <c r="AA57" s="498" t="s">
        <v>3363</v>
      </c>
      <c r="AB57" s="499">
        <v>80000</v>
      </c>
      <c r="AC57" s="499">
        <v>80000</v>
      </c>
      <c r="AD57" s="496">
        <v>80000</v>
      </c>
      <c r="AE57" s="500">
        <v>72072.072072072071</v>
      </c>
      <c r="AF57" s="500">
        <v>80000</v>
      </c>
      <c r="AG57" s="916" t="s">
        <v>3883</v>
      </c>
      <c r="AH57" s="917" t="str">
        <f>Data2025!W56</f>
        <v>081375309828</v>
      </c>
    </row>
    <row r="58" spans="1:36" s="501" customFormat="1" ht="16.5" thickTop="1" thickBot="1">
      <c r="A58" s="901" t="str">
        <f>Data2025!G57</f>
        <v>04</v>
      </c>
      <c r="B58" s="902" t="str">
        <f>Data2025!K57</f>
        <v>BPU04</v>
      </c>
      <c r="C58" s="903" t="str">
        <f>Data2025!D57</f>
        <v>06. 05. 08.</v>
      </c>
      <c r="D58" s="904" t="str">
        <f>Data2025!C57</f>
        <v>5.1.02.01.01.0024</v>
      </c>
      <c r="E58" s="905">
        <f>Data2025!E57</f>
        <v>45661</v>
      </c>
      <c r="F58" s="906" t="str">
        <f>Data2025!F57</f>
        <v>06/01/2025</v>
      </c>
      <c r="G58" s="905" t="str">
        <f>Data2025!H57</f>
        <v>06/01/2025</v>
      </c>
      <c r="H58" s="905" t="str">
        <f t="shared" si="0"/>
        <v>06/01/2025</v>
      </c>
      <c r="I58" s="907" t="str">
        <f>Data2025!J57</f>
        <v>23/01/2025</v>
      </c>
      <c r="J58" s="908" t="str">
        <f>Data2025!L57</f>
        <v>Isi Staples Sedang</v>
      </c>
      <c r="K58" s="908" t="str">
        <f>Data2025!M57</f>
        <v>Isi Staples Sedang</v>
      </c>
      <c r="L58" s="909">
        <f>Data2025!N57</f>
        <v>2</v>
      </c>
      <c r="M58" s="909" t="str">
        <f>Data2025!O57</f>
        <v>kotak</v>
      </c>
      <c r="N58" s="910">
        <f>Data2025!P57</f>
        <v>40000</v>
      </c>
      <c r="O58" s="911">
        <f>Data2025!Q57</f>
        <v>80000</v>
      </c>
      <c r="P58" s="912" t="s">
        <v>710</v>
      </c>
      <c r="Q58" s="913" t="str">
        <f>VLOOKUP(K58,Sheet1!$C$1:$D$101,2,)</f>
        <v>Isi Staples Sedang (Dimensi, 2Cm X 4Cm X 1Cm. Berat, 5G.)</v>
      </c>
      <c r="R58" s="496">
        <v>60000</v>
      </c>
      <c r="S58" s="504">
        <v>66000</v>
      </c>
      <c r="T58" s="914" t="str">
        <f>Data2025!T57</f>
        <v>UD. JOSUA</v>
      </c>
      <c r="U58" s="497" t="s">
        <v>538</v>
      </c>
      <c r="V58" s="914" t="str">
        <f>Data2025!V57</f>
        <v>Gestiwan Bazikho</v>
      </c>
      <c r="W58" s="914" t="str">
        <f>Data2025!X57</f>
        <v>Jl. Diponegoro Kel. Pasar Telukdalam - Nias Selatan</v>
      </c>
      <c r="X58" s="497" t="s">
        <v>541</v>
      </c>
      <c r="Y58" s="497" t="str">
        <f t="shared" si="1"/>
        <v>Alat Tulis Kantor (ATK)</v>
      </c>
      <c r="Z58" s="915" t="str">
        <f t="shared" si="2"/>
        <v>Alat Tulis Kantor (ATK)</v>
      </c>
      <c r="AA58" s="498" t="s">
        <v>3363</v>
      </c>
      <c r="AB58" s="499">
        <v>20000</v>
      </c>
      <c r="AC58" s="499">
        <v>60000</v>
      </c>
      <c r="AD58" s="496">
        <v>60000</v>
      </c>
      <c r="AE58" s="500">
        <v>54054.054054054053</v>
      </c>
      <c r="AF58" s="500">
        <v>60000</v>
      </c>
      <c r="AG58" s="916" t="s">
        <v>3883</v>
      </c>
      <c r="AH58" s="917" t="str">
        <f>Data2025!W57</f>
        <v>081375309828</v>
      </c>
    </row>
    <row r="59" spans="1:36" s="501" customFormat="1" ht="16.5" thickTop="1" thickBot="1">
      <c r="A59" s="901" t="str">
        <f>Data2025!G58</f>
        <v>04</v>
      </c>
      <c r="B59" s="902" t="str">
        <f>Data2025!K58</f>
        <v>BPU04</v>
      </c>
      <c r="C59" s="903" t="str">
        <f>Data2025!D58</f>
        <v>06. 05. 08.</v>
      </c>
      <c r="D59" s="904" t="str">
        <f>Data2025!C58</f>
        <v>5.1.02.01.01.0024</v>
      </c>
      <c r="E59" s="905">
        <f>Data2025!E58</f>
        <v>45661</v>
      </c>
      <c r="F59" s="906" t="str">
        <f>Data2025!F58</f>
        <v>06/01/2025</v>
      </c>
      <c r="G59" s="905" t="str">
        <f>Data2025!H58</f>
        <v>06/01/2025</v>
      </c>
      <c r="H59" s="905" t="str">
        <f t="shared" si="0"/>
        <v>06/01/2025</v>
      </c>
      <c r="I59" s="907" t="str">
        <f>Data2025!J58</f>
        <v>23/01/2025</v>
      </c>
      <c r="J59" s="908" t="str">
        <f>Data2025!L58</f>
        <v>Isi Staples besar</v>
      </c>
      <c r="K59" s="908" t="str">
        <f>Data2025!M58</f>
        <v>Isi Staples besar</v>
      </c>
      <c r="L59" s="909">
        <f>Data2025!N58</f>
        <v>2</v>
      </c>
      <c r="M59" s="909" t="str">
        <f>Data2025!O58</f>
        <v>kotak</v>
      </c>
      <c r="N59" s="910">
        <f>Data2025!P58</f>
        <v>80000</v>
      </c>
      <c r="O59" s="911">
        <f>Data2025!Q58</f>
        <v>160000</v>
      </c>
      <c r="P59" s="912" t="s">
        <v>710</v>
      </c>
      <c r="Q59" s="913" t="str">
        <f>VLOOKUP(K59,Sheet1!$C$1:$D$101,2,)</f>
        <v>Isi Staples besar (Ukuran 10 mm (3/8″)Isi Kemasan 1000 staples/box)</v>
      </c>
      <c r="R59" s="496">
        <v>40000</v>
      </c>
      <c r="S59" s="504">
        <v>44000</v>
      </c>
      <c r="T59" s="914" t="str">
        <f>Data2025!T58</f>
        <v>UD. JOSUA</v>
      </c>
      <c r="U59" s="497" t="s">
        <v>538</v>
      </c>
      <c r="V59" s="914" t="str">
        <f>Data2025!V58</f>
        <v>Gestiwan Bazikho</v>
      </c>
      <c r="W59" s="914" t="str">
        <f>Data2025!X58</f>
        <v>Jl. Diponegoro Kel. Pasar Telukdalam - Nias Selatan</v>
      </c>
      <c r="X59" s="497" t="s">
        <v>541</v>
      </c>
      <c r="Y59" s="497" t="str">
        <f t="shared" si="1"/>
        <v>Alat Tulis Kantor (ATK)</v>
      </c>
      <c r="Z59" s="915" t="str">
        <f t="shared" si="2"/>
        <v>Alat Tulis Kantor (ATK)</v>
      </c>
      <c r="AA59" s="498" t="s">
        <v>3363</v>
      </c>
      <c r="AB59" s="499">
        <v>20000</v>
      </c>
      <c r="AC59" s="499">
        <v>40000</v>
      </c>
      <c r="AD59" s="496">
        <v>40000</v>
      </c>
      <c r="AE59" s="500">
        <v>36036.036036036036</v>
      </c>
      <c r="AF59" s="500">
        <v>40000</v>
      </c>
      <c r="AG59" s="916" t="s">
        <v>3883</v>
      </c>
      <c r="AH59" s="917" t="str">
        <f>Data2025!W58</f>
        <v>081375309828</v>
      </c>
    </row>
    <row r="60" spans="1:36" s="501" customFormat="1" ht="26" thickTop="1" thickBot="1">
      <c r="A60" s="901" t="str">
        <f>Data2025!G59</f>
        <v>04</v>
      </c>
      <c r="B60" s="902" t="str">
        <f>Data2025!K59</f>
        <v>BPU04</v>
      </c>
      <c r="C60" s="903" t="str">
        <f>Data2025!D59</f>
        <v>06. 05. 08.</v>
      </c>
      <c r="D60" s="904" t="str">
        <f>Data2025!C59</f>
        <v>5.1.02.01.01.0024</v>
      </c>
      <c r="E60" s="905">
        <f>Data2025!E59</f>
        <v>45661</v>
      </c>
      <c r="F60" s="906" t="str">
        <f>Data2025!F59</f>
        <v>06/01/2025</v>
      </c>
      <c r="G60" s="905" t="str">
        <f>Data2025!H59</f>
        <v>06/01/2025</v>
      </c>
      <c r="H60" s="905" t="str">
        <f t="shared" si="0"/>
        <v>06/01/2025</v>
      </c>
      <c r="I60" s="907" t="str">
        <f>Data2025!J59</f>
        <v>23/01/2025</v>
      </c>
      <c r="J60" s="908" t="str">
        <f>Data2025!L59</f>
        <v>gunting kertas-ukuran : panjang 21cm x lebar 8cm, stainless steel</v>
      </c>
      <c r="K60" s="908" t="str">
        <f>Data2025!M59</f>
        <v>gunting kertas-ukuran : panjang 21cm x lebar 8cm, stainless steel</v>
      </c>
      <c r="L60" s="909">
        <f>Data2025!N59</f>
        <v>2</v>
      </c>
      <c r="M60" s="909" t="str">
        <f>Data2025!O59</f>
        <v>buah</v>
      </c>
      <c r="N60" s="910">
        <f>Data2025!P59</f>
        <v>20000</v>
      </c>
      <c r="O60" s="911">
        <f>Data2025!Q59</f>
        <v>40000</v>
      </c>
      <c r="P60" s="912" t="s">
        <v>710</v>
      </c>
      <c r="Q60" s="913" t="str">
        <f>VLOOKUP(K60,Sheet1!$C$1:$D$101,2,)</f>
        <v>Gunting Besar (Length 5.0Cm, Width 5.0Cm, Height 5.0Cm, Weight 5Gr)</v>
      </c>
      <c r="R60" s="496">
        <v>300000</v>
      </c>
      <c r="S60" s="504">
        <v>360000</v>
      </c>
      <c r="T60" s="914" t="str">
        <f>Data2025!T59</f>
        <v>UD. JOSUA</v>
      </c>
      <c r="U60" s="497" t="s">
        <v>538</v>
      </c>
      <c r="V60" s="914" t="str">
        <f>Data2025!V59</f>
        <v>Gestiwan Bazikho</v>
      </c>
      <c r="W60" s="914" t="str">
        <f>Data2025!X59</f>
        <v>Jl. Diponegoro Kel. Pasar Telukdalam - Nias Selatan</v>
      </c>
      <c r="X60" s="497" t="s">
        <v>541</v>
      </c>
      <c r="Y60" s="497" t="str">
        <f t="shared" si="1"/>
        <v>Alat Tulis Kantor (ATK)</v>
      </c>
      <c r="Z60" s="915" t="str">
        <f t="shared" si="2"/>
        <v>Alat Tulis Kantor (ATK)</v>
      </c>
      <c r="AA60" s="498" t="s">
        <v>3363</v>
      </c>
      <c r="AB60" s="499">
        <v>10000</v>
      </c>
      <c r="AC60" s="499">
        <v>300000</v>
      </c>
      <c r="AD60" s="496">
        <v>300000</v>
      </c>
      <c r="AE60" s="500">
        <v>270270.2702702703</v>
      </c>
      <c r="AF60" s="500">
        <v>300000</v>
      </c>
      <c r="AG60" s="916" t="s">
        <v>3883</v>
      </c>
      <c r="AH60" s="917" t="str">
        <f>Data2025!W59</f>
        <v>081375309828</v>
      </c>
    </row>
    <row r="61" spans="1:36" s="501" customFormat="1" ht="16.5" thickTop="1" thickBot="1">
      <c r="A61" s="901" t="str">
        <f>Data2025!G60</f>
        <v>04</v>
      </c>
      <c r="B61" s="902" t="str">
        <f>Data2025!K60</f>
        <v>BPU04</v>
      </c>
      <c r="C61" s="903" t="str">
        <f>Data2025!D60</f>
        <v>06. 05. 08.</v>
      </c>
      <c r="D61" s="904" t="str">
        <f>Data2025!C60</f>
        <v>5.1.02.01.01.0024</v>
      </c>
      <c r="E61" s="905">
        <f>Data2025!E60</f>
        <v>45661</v>
      </c>
      <c r="F61" s="906" t="str">
        <f>Data2025!F60</f>
        <v>06/01/2025</v>
      </c>
      <c r="G61" s="905" t="str">
        <f>Data2025!H60</f>
        <v>06/01/2025</v>
      </c>
      <c r="H61" s="905" t="str">
        <f t="shared" si="0"/>
        <v>06/01/2025</v>
      </c>
      <c r="I61" s="907" t="str">
        <f>Data2025!J60</f>
        <v>23/01/2025</v>
      </c>
      <c r="J61" s="908" t="str">
        <f>Data2025!L60</f>
        <v>Pisau Cutter Kenko L-500</v>
      </c>
      <c r="K61" s="908" t="str">
        <f>Data2025!M60</f>
        <v>Pisau Cutter Kenko L-500</v>
      </c>
      <c r="L61" s="909">
        <f>Data2025!N60</f>
        <v>2</v>
      </c>
      <c r="M61" s="909" t="str">
        <f>Data2025!O60</f>
        <v>buah</v>
      </c>
      <c r="N61" s="910">
        <f>Data2025!P60</f>
        <v>15000</v>
      </c>
      <c r="O61" s="911">
        <f>Data2025!Q60</f>
        <v>30000</v>
      </c>
      <c r="P61" s="912" t="s">
        <v>710</v>
      </c>
      <c r="Q61" s="913" t="str">
        <f>VLOOKUP(K61,Sheet1!$C$1:$D$101,2,)</f>
        <v>Cutter L500 (Length 5.0Cm, Width 5.0Cm, Height 5.0Cm, Weight 5Gr)</v>
      </c>
      <c r="R61" s="496">
        <v>40000</v>
      </c>
      <c r="S61" s="504">
        <v>44000</v>
      </c>
      <c r="T61" s="914" t="str">
        <f>Data2025!T60</f>
        <v>UD. JOSUA</v>
      </c>
      <c r="U61" s="497" t="s">
        <v>538</v>
      </c>
      <c r="V61" s="914" t="str">
        <f>Data2025!V60</f>
        <v>Gestiwan Bazikho</v>
      </c>
      <c r="W61" s="914" t="str">
        <f>Data2025!X60</f>
        <v>Jl. Diponegoro Kel. Pasar Telukdalam - Nias Selatan</v>
      </c>
      <c r="X61" s="497" t="s">
        <v>541</v>
      </c>
      <c r="Y61" s="497" t="str">
        <f t="shared" si="1"/>
        <v>Alat Tulis Kantor (ATK)</v>
      </c>
      <c r="Z61" s="915" t="str">
        <f t="shared" si="2"/>
        <v>Alat Tulis Kantor (ATK)</v>
      </c>
      <c r="AA61" s="498" t="s">
        <v>3364</v>
      </c>
      <c r="AB61" s="499">
        <v>20000</v>
      </c>
      <c r="AC61" s="499">
        <v>40000</v>
      </c>
      <c r="AD61" s="496">
        <v>40000</v>
      </c>
      <c r="AE61" s="500">
        <v>36036.036036036036</v>
      </c>
      <c r="AF61" s="500">
        <v>40000</v>
      </c>
      <c r="AG61" s="916" t="s">
        <v>3883</v>
      </c>
      <c r="AH61" s="917" t="str">
        <f>Data2025!W60</f>
        <v>081375309828</v>
      </c>
    </row>
    <row r="62" spans="1:36" s="501" customFormat="1" ht="16.5" thickTop="1" thickBot="1">
      <c r="A62" s="901" t="str">
        <f>Data2025!G61</f>
        <v>04</v>
      </c>
      <c r="B62" s="902" t="str">
        <f>Data2025!K61</f>
        <v>BPU04</v>
      </c>
      <c r="C62" s="903" t="str">
        <f>Data2025!D61</f>
        <v>06. 05. 08.</v>
      </c>
      <c r="D62" s="904" t="str">
        <f>Data2025!C61</f>
        <v>5.1.02.01.01.0024</v>
      </c>
      <c r="E62" s="905">
        <f>Data2025!E61</f>
        <v>45661</v>
      </c>
      <c r="F62" s="906" t="str">
        <f>Data2025!F61</f>
        <v>06/01/2025</v>
      </c>
      <c r="G62" s="905" t="str">
        <f>Data2025!H61</f>
        <v>06/01/2025</v>
      </c>
      <c r="H62" s="905" t="str">
        <f t="shared" si="0"/>
        <v>06/01/2025</v>
      </c>
      <c r="I62" s="907" t="str">
        <f>Data2025!J61</f>
        <v>23/01/2025</v>
      </c>
      <c r="J62" s="908" t="str">
        <f>Data2025!L61</f>
        <v>Buku Induk/Inventaris 35 cm x 50 cm</v>
      </c>
      <c r="K62" s="908" t="str">
        <f>Data2025!M61</f>
        <v>Buku Induk/Inventaris 35 cm x 50 cm</v>
      </c>
      <c r="L62" s="909">
        <f>Data2025!N61</f>
        <v>2</v>
      </c>
      <c r="M62" s="909" t="str">
        <f>Data2025!O61</f>
        <v>buah</v>
      </c>
      <c r="N62" s="910">
        <f>Data2025!P61</f>
        <v>58000</v>
      </c>
      <c r="O62" s="911">
        <f>Data2025!Q61</f>
        <v>116000</v>
      </c>
      <c r="P62" s="912" t="s">
        <v>710</v>
      </c>
      <c r="Q62" s="913" t="str">
        <f>VLOOKUP(K62,Sheet1!$C$1:$D$101,2,)</f>
        <v>Buku Induk/Inventaris 35 Cm X 50 Cm (Lebar : 50 Cm, Tinggi : 4 Cm, Berat : 1000 Gr)</v>
      </c>
      <c r="R62" s="496">
        <v>440000</v>
      </c>
      <c r="S62" s="504">
        <v>448000</v>
      </c>
      <c r="T62" s="914" t="str">
        <f>Data2025!T61</f>
        <v>UD. JOSUA</v>
      </c>
      <c r="U62" s="497" t="s">
        <v>538</v>
      </c>
      <c r="V62" s="914" t="str">
        <f>Data2025!V61</f>
        <v>Gestiwan Bazikho</v>
      </c>
      <c r="W62" s="914" t="str">
        <f>Data2025!X61</f>
        <v>Jl. Diponegoro Kel. Pasar Telukdalam - Nias Selatan</v>
      </c>
      <c r="X62" s="497" t="s">
        <v>541</v>
      </c>
      <c r="Y62" s="497" t="str">
        <f t="shared" si="1"/>
        <v>Alat Tulis Kantor (ATK)</v>
      </c>
      <c r="Z62" s="915" t="str">
        <f t="shared" si="2"/>
        <v>Alat Tulis Kantor (ATK)</v>
      </c>
      <c r="AA62" s="498" t="s">
        <v>3367</v>
      </c>
      <c r="AB62" s="499">
        <v>110000</v>
      </c>
      <c r="AC62" s="499">
        <v>440000</v>
      </c>
      <c r="AD62" s="496">
        <v>440000</v>
      </c>
      <c r="AE62" s="500">
        <v>396396.39639639639</v>
      </c>
      <c r="AF62" s="500">
        <v>440000</v>
      </c>
      <c r="AG62" s="916" t="s">
        <v>3883</v>
      </c>
      <c r="AH62" s="917" t="str">
        <f>Data2025!W61</f>
        <v>081375309828</v>
      </c>
    </row>
    <row r="63" spans="1:36" s="501" customFormat="1" ht="16.5" thickTop="1" thickBot="1">
      <c r="A63" s="901" t="str">
        <f>Data2025!G62</f>
        <v>04</v>
      </c>
      <c r="B63" s="902" t="str">
        <f>Data2025!K62</f>
        <v>BPU04</v>
      </c>
      <c r="C63" s="903" t="str">
        <f>Data2025!D62</f>
        <v>06. 05. 08.</v>
      </c>
      <c r="D63" s="904" t="str">
        <f>Data2025!C62</f>
        <v>5.1.02.01.01.0024</v>
      </c>
      <c r="E63" s="905">
        <f>Data2025!E62</f>
        <v>45661</v>
      </c>
      <c r="F63" s="906" t="str">
        <f>Data2025!F62</f>
        <v>06/01/2025</v>
      </c>
      <c r="G63" s="905" t="str">
        <f>Data2025!H62</f>
        <v>06/01/2025</v>
      </c>
      <c r="H63" s="905" t="str">
        <f t="shared" si="0"/>
        <v>06/01/2025</v>
      </c>
      <c r="I63" s="907" t="str">
        <f>Data2025!J62</f>
        <v>23/01/2025</v>
      </c>
      <c r="J63" s="908" t="str">
        <f>Data2025!L62</f>
        <v>Buku Ekspedisi 100</v>
      </c>
      <c r="K63" s="908" t="str">
        <f>Data2025!M62</f>
        <v>Buku Ekspedisi 100</v>
      </c>
      <c r="L63" s="909">
        <f>Data2025!N62</f>
        <v>6</v>
      </c>
      <c r="M63" s="909" t="str">
        <f>Data2025!O62</f>
        <v>buah</v>
      </c>
      <c r="N63" s="910">
        <f>Data2025!P62</f>
        <v>15000</v>
      </c>
      <c r="O63" s="911">
        <f>Data2025!Q62</f>
        <v>90000</v>
      </c>
      <c r="P63" s="912" t="s">
        <v>710</v>
      </c>
      <c r="Q63" s="913" t="str">
        <f>VLOOKUP(K63,Sheet1!$C$1:$D$101,2,)</f>
        <v>Buku Ekspedisi 100 (Berat Satuan. 400 Gram ; Dimensi Ukuran. 32X11X1Cm)</v>
      </c>
      <c r="R63" s="496">
        <v>87500</v>
      </c>
      <c r="S63" s="504">
        <v>89500</v>
      </c>
      <c r="T63" s="914" t="str">
        <f>Data2025!T62</f>
        <v>UD. JOSUA</v>
      </c>
      <c r="U63" s="497" t="s">
        <v>538</v>
      </c>
      <c r="V63" s="914" t="str">
        <f>Data2025!V62</f>
        <v>Gestiwan Bazikho</v>
      </c>
      <c r="W63" s="914" t="str">
        <f>Data2025!X62</f>
        <v>Jl. Diponegoro Kel. Pasar Telukdalam - Nias Selatan</v>
      </c>
      <c r="X63" s="497" t="s">
        <v>541</v>
      </c>
      <c r="Y63" s="497" t="str">
        <f t="shared" si="1"/>
        <v>Alat Tulis Kantor (ATK)</v>
      </c>
      <c r="Z63" s="915" t="str">
        <f t="shared" si="2"/>
        <v>Alat Tulis Kantor (ATK)</v>
      </c>
      <c r="AA63" s="498" t="s">
        <v>3370</v>
      </c>
      <c r="AB63" s="499">
        <v>87500</v>
      </c>
      <c r="AC63" s="499">
        <v>87500</v>
      </c>
      <c r="AD63" s="496">
        <v>87500</v>
      </c>
      <c r="AE63" s="500">
        <v>78828.828828828831</v>
      </c>
      <c r="AF63" s="500">
        <v>87500</v>
      </c>
      <c r="AG63" s="916" t="s">
        <v>3883</v>
      </c>
      <c r="AH63" s="917" t="str">
        <f>Data2025!W62</f>
        <v>081375309828</v>
      </c>
    </row>
    <row r="64" spans="1:36" s="501" customFormat="1" ht="16.5" thickTop="1" thickBot="1">
      <c r="A64" s="901" t="str">
        <f>Data2025!G63</f>
        <v>04</v>
      </c>
      <c r="B64" s="902" t="str">
        <f>Data2025!K63</f>
        <v>BPU04</v>
      </c>
      <c r="C64" s="903" t="str">
        <f>Data2025!D63</f>
        <v>06. 05. 08.</v>
      </c>
      <c r="D64" s="904" t="str">
        <f>Data2025!C63</f>
        <v>5.1.02.01.01.0024</v>
      </c>
      <c r="E64" s="905">
        <f>Data2025!E63</f>
        <v>45661</v>
      </c>
      <c r="F64" s="906" t="str">
        <f>Data2025!F63</f>
        <v>06/01/2025</v>
      </c>
      <c r="G64" s="905" t="str">
        <f>Data2025!H63</f>
        <v>06/01/2025</v>
      </c>
      <c r="H64" s="905" t="str">
        <f t="shared" si="0"/>
        <v>06/01/2025</v>
      </c>
      <c r="I64" s="907" t="str">
        <f>Data2025!J63</f>
        <v>23/01/2025</v>
      </c>
      <c r="J64" s="908" t="str">
        <f>Data2025!L63</f>
        <v>Baterey Kecil</v>
      </c>
      <c r="K64" s="908" t="str">
        <f>Data2025!M63</f>
        <v>Baterey Kecil</v>
      </c>
      <c r="L64" s="909">
        <f>Data2025!N63</f>
        <v>5</v>
      </c>
      <c r="M64" s="909" t="str">
        <f>Data2025!O63</f>
        <v>pasang</v>
      </c>
      <c r="N64" s="910">
        <f>Data2025!P63</f>
        <v>20000</v>
      </c>
      <c r="O64" s="911">
        <f>Data2025!Q63</f>
        <v>100000</v>
      </c>
      <c r="P64" s="912" t="s">
        <v>710</v>
      </c>
      <c r="Q64" s="913" t="str">
        <f>VLOOKUP(K64,Sheet1!$C$1:$D$101,2,)</f>
        <v>Baterey Kecil (Type: Aa; Tegangan: 1.5 Volt; Ukuran: 14 X 50 Mm)</v>
      </c>
      <c r="R64" s="496">
        <v>50000</v>
      </c>
      <c r="S64" s="504">
        <v>58000</v>
      </c>
      <c r="T64" s="914" t="str">
        <f>Data2025!T63</f>
        <v>UD. JOSUA</v>
      </c>
      <c r="U64" s="497" t="s">
        <v>538</v>
      </c>
      <c r="V64" s="914" t="str">
        <f>Data2025!V63</f>
        <v>Gestiwan Bazikho</v>
      </c>
      <c r="W64" s="914" t="str">
        <f>Data2025!X63</f>
        <v>Jl. Diponegoro Kel. Pasar Telukdalam - Nias Selatan</v>
      </c>
      <c r="X64" s="497" t="s">
        <v>541</v>
      </c>
      <c r="Y64" s="497" t="str">
        <f t="shared" si="1"/>
        <v>Alat Tulis Kantor (ATK)</v>
      </c>
      <c r="Z64" s="915" t="str">
        <f t="shared" si="2"/>
        <v>Alat Tulis Kantor (ATK)</v>
      </c>
      <c r="AA64" s="498" t="s">
        <v>3363</v>
      </c>
      <c r="AB64" s="499">
        <v>12500</v>
      </c>
      <c r="AC64" s="499">
        <v>50000</v>
      </c>
      <c r="AD64" s="496">
        <v>50000</v>
      </c>
      <c r="AE64" s="500">
        <v>45045.045045045044</v>
      </c>
      <c r="AF64" s="500">
        <v>50000</v>
      </c>
      <c r="AG64" s="916" t="s">
        <v>3883</v>
      </c>
      <c r="AH64" s="917" t="str">
        <f>Data2025!W63</f>
        <v>081375309828</v>
      </c>
    </row>
    <row r="65" spans="1:34" s="501" customFormat="1" ht="16.5" thickTop="1" thickBot="1">
      <c r="A65" s="901" t="str">
        <f>Data2025!G64</f>
        <v>04</v>
      </c>
      <c r="B65" s="902" t="str">
        <f>Data2025!K64</f>
        <v>BPU04</v>
      </c>
      <c r="C65" s="903" t="str">
        <f>Data2025!D64</f>
        <v>06. 05. 08.</v>
      </c>
      <c r="D65" s="904" t="str">
        <f>Data2025!C64</f>
        <v>5.1.02.01.01.0024</v>
      </c>
      <c r="E65" s="905">
        <f>Data2025!E64</f>
        <v>45661</v>
      </c>
      <c r="F65" s="906" t="str">
        <f>Data2025!F64</f>
        <v>06/01/2025</v>
      </c>
      <c r="G65" s="905" t="str">
        <f>Data2025!H64</f>
        <v>06/01/2025</v>
      </c>
      <c r="H65" s="905" t="str">
        <f t="shared" si="0"/>
        <v>06/01/2025</v>
      </c>
      <c r="I65" s="907" t="str">
        <f>Data2025!J64</f>
        <v>23/01/2025</v>
      </c>
      <c r="J65" s="908" t="str">
        <f>Data2025!L64</f>
        <v>Baterey Tanggung</v>
      </c>
      <c r="K65" s="908" t="str">
        <f>Data2025!M64</f>
        <v>Baterey Tanggung</v>
      </c>
      <c r="L65" s="909">
        <f>Data2025!N64</f>
        <v>5</v>
      </c>
      <c r="M65" s="909" t="str">
        <f>Data2025!O64</f>
        <v>pasang</v>
      </c>
      <c r="N65" s="910">
        <f>Data2025!P64</f>
        <v>30000</v>
      </c>
      <c r="O65" s="911">
        <f>Data2025!Q64</f>
        <v>150000</v>
      </c>
      <c r="P65" s="912" t="s">
        <v>710</v>
      </c>
      <c r="Q65" s="913" t="str">
        <f>VLOOKUP(K65,Sheet1!$C$1:$D$101,2,)</f>
        <v>Baterey Tanggung (Ukuran Sedang Tanggung R14C Biru 1.5V Brand : ABC Type : R14C 1.5V ukuran : tanggung Panjang : 5cm.)</v>
      </c>
      <c r="R65" s="496">
        <v>125000</v>
      </c>
      <c r="S65" s="504">
        <v>135000</v>
      </c>
      <c r="T65" s="914" t="str">
        <f>Data2025!T64</f>
        <v>UD. JOSUA</v>
      </c>
      <c r="U65" s="497" t="s">
        <v>538</v>
      </c>
      <c r="V65" s="914" t="str">
        <f>Data2025!V64</f>
        <v>Gestiwan Bazikho</v>
      </c>
      <c r="W65" s="914" t="str">
        <f>Data2025!X64</f>
        <v>Jl. Diponegoro Kel. Pasar Telukdalam - Nias Selatan</v>
      </c>
      <c r="X65" s="497" t="s">
        <v>541</v>
      </c>
      <c r="Y65" s="497" t="str">
        <f t="shared" si="1"/>
        <v>Alat Tulis Kantor (ATK)</v>
      </c>
      <c r="Z65" s="915" t="str">
        <f t="shared" si="2"/>
        <v>Alat Tulis Kantor (ATK)</v>
      </c>
      <c r="AA65" s="498" t="s">
        <v>3363</v>
      </c>
      <c r="AB65" s="499">
        <v>25000</v>
      </c>
      <c r="AC65" s="499">
        <v>125000</v>
      </c>
      <c r="AD65" s="496">
        <v>125000</v>
      </c>
      <c r="AE65" s="500">
        <v>112612.61261261262</v>
      </c>
      <c r="AF65" s="500">
        <v>125000</v>
      </c>
      <c r="AG65" s="916" t="s">
        <v>3883</v>
      </c>
      <c r="AH65" s="917" t="str">
        <f>Data2025!W64</f>
        <v>081375309828</v>
      </c>
    </row>
    <row r="66" spans="1:34" s="501" customFormat="1" ht="16.5" thickTop="1" thickBot="1">
      <c r="A66" s="901" t="str">
        <f>Data2025!G65</f>
        <v>04</v>
      </c>
      <c r="B66" s="902" t="str">
        <f>Data2025!K65</f>
        <v>BPU04</v>
      </c>
      <c r="C66" s="903" t="str">
        <f>Data2025!D65</f>
        <v>06. 05. 08.</v>
      </c>
      <c r="D66" s="904" t="str">
        <f>Data2025!C65</f>
        <v>5.1.02.01.01.0024</v>
      </c>
      <c r="E66" s="905">
        <f>Data2025!E65</f>
        <v>45661</v>
      </c>
      <c r="F66" s="906" t="str">
        <f>Data2025!F65</f>
        <v>06/01/2025</v>
      </c>
      <c r="G66" s="905" t="str">
        <f>Data2025!H65</f>
        <v>06/01/2025</v>
      </c>
      <c r="H66" s="905" t="str">
        <f t="shared" si="0"/>
        <v>06/01/2025</v>
      </c>
      <c r="I66" s="907" t="str">
        <f>Data2025!J65</f>
        <v>23/01/2025</v>
      </c>
      <c r="J66" s="908" t="str">
        <f>Data2025!L65</f>
        <v>Bantalan Cap Besar</v>
      </c>
      <c r="K66" s="908" t="str">
        <f>Data2025!M65</f>
        <v>Bantalan Cap Besar</v>
      </c>
      <c r="L66" s="909">
        <f>Data2025!N65</f>
        <v>5</v>
      </c>
      <c r="M66" s="909" t="str">
        <f>Data2025!O65</f>
        <v>buah</v>
      </c>
      <c r="N66" s="910">
        <f>Data2025!P65</f>
        <v>15000</v>
      </c>
      <c r="O66" s="911">
        <f>Data2025!Q65</f>
        <v>75000</v>
      </c>
      <c r="P66" s="912" t="s">
        <v>710</v>
      </c>
      <c r="Q66" s="913" t="str">
        <f>VLOOKUP(K66,Sheet1!$C$1:$D$101,2,)</f>
        <v>Bantalan Cap Besar (Berat Produk 1 Kg, Panjang Produk 12 Cm, Lebar Produk 8 Cm, Tinggi Produk 12 Cm)</v>
      </c>
      <c r="R66" s="496">
        <v>100000</v>
      </c>
      <c r="S66" s="504">
        <v>104000</v>
      </c>
      <c r="T66" s="914" t="str">
        <f>Data2025!T65</f>
        <v>UD. JOSUA</v>
      </c>
      <c r="U66" s="497" t="s">
        <v>538</v>
      </c>
      <c r="V66" s="914" t="str">
        <f>Data2025!V65</f>
        <v>Gestiwan Bazikho</v>
      </c>
      <c r="W66" s="914" t="str">
        <f>Data2025!X65</f>
        <v>Jl. Diponegoro Kel. Pasar Telukdalam - Nias Selatan</v>
      </c>
      <c r="X66" s="497" t="s">
        <v>541</v>
      </c>
      <c r="Y66" s="497" t="str">
        <f t="shared" si="1"/>
        <v>Alat Tulis Kantor (ATK)</v>
      </c>
      <c r="Z66" s="915" t="str">
        <f t="shared" si="2"/>
        <v>Alat Tulis Kantor (ATK)</v>
      </c>
      <c r="AA66" s="498" t="s">
        <v>3363</v>
      </c>
      <c r="AB66" s="499">
        <v>50000</v>
      </c>
      <c r="AC66" s="499">
        <v>100000</v>
      </c>
      <c r="AD66" s="496">
        <v>100000</v>
      </c>
      <c r="AE66" s="500">
        <v>90090.090090090089</v>
      </c>
      <c r="AF66" s="500">
        <v>100000</v>
      </c>
      <c r="AG66" s="916" t="s">
        <v>3883</v>
      </c>
      <c r="AH66" s="917" t="str">
        <f>Data2025!W65</f>
        <v>081375309828</v>
      </c>
    </row>
    <row r="67" spans="1:34" s="501" customFormat="1" ht="16.5" thickTop="1" thickBot="1">
      <c r="A67" s="901" t="str">
        <f>Data2025!G66</f>
        <v>04</v>
      </c>
      <c r="B67" s="902" t="str">
        <f>Data2025!K66</f>
        <v>BPU04</v>
      </c>
      <c r="C67" s="903" t="str">
        <f>Data2025!D66</f>
        <v>06. 05. 08.</v>
      </c>
      <c r="D67" s="904" t="str">
        <f>Data2025!C66</f>
        <v>5.1.02.01.01.0024</v>
      </c>
      <c r="E67" s="905">
        <f>Data2025!E66</f>
        <v>45661</v>
      </c>
      <c r="F67" s="906" t="str">
        <f>Data2025!F66</f>
        <v>06/01/2025</v>
      </c>
      <c r="G67" s="905" t="str">
        <f>Data2025!H66</f>
        <v>06/01/2025</v>
      </c>
      <c r="H67" s="905" t="str">
        <f t="shared" si="0"/>
        <v>06/01/2025</v>
      </c>
      <c r="I67" s="907" t="str">
        <f>Data2025!J66</f>
        <v>23/01/2025</v>
      </c>
      <c r="J67" s="908" t="str">
        <f>Data2025!L66</f>
        <v>Bantalan Cap Kecil</v>
      </c>
      <c r="K67" s="908" t="str">
        <f>Data2025!M66</f>
        <v>Bantalan Cap Kecil</v>
      </c>
      <c r="L67" s="909">
        <f>Data2025!N66</f>
        <v>5</v>
      </c>
      <c r="M67" s="909" t="str">
        <f>Data2025!O66</f>
        <v>buah</v>
      </c>
      <c r="N67" s="910">
        <f>Data2025!P66</f>
        <v>10000</v>
      </c>
      <c r="O67" s="911">
        <f>Data2025!Q66</f>
        <v>50000</v>
      </c>
      <c r="P67" s="912" t="s">
        <v>710</v>
      </c>
      <c r="Q67" s="913" t="str">
        <f>VLOOKUP(K67,Sheet1!$C$1:$D$101,2,)</f>
        <v>Bantalan Cap Kecil (Ukuran: ± 10cm x 7cm x 1cm)</v>
      </c>
      <c r="R67" s="496">
        <v>240000</v>
      </c>
      <c r="S67" s="504">
        <v>256000</v>
      </c>
      <c r="T67" s="914" t="str">
        <f>Data2025!T66</f>
        <v>UD. JOSUA</v>
      </c>
      <c r="U67" s="497" t="s">
        <v>538</v>
      </c>
      <c r="V67" s="914" t="str">
        <f>Data2025!V66</f>
        <v>Gestiwan Bazikho</v>
      </c>
      <c r="W67" s="914" t="str">
        <f>Data2025!X66</f>
        <v>Jl. Diponegoro Kel. Pasar Telukdalam - Nias Selatan</v>
      </c>
      <c r="X67" s="497" t="s">
        <v>541</v>
      </c>
      <c r="Y67" s="497" t="str">
        <f t="shared" si="1"/>
        <v>Alat Tulis Kantor (ATK)</v>
      </c>
      <c r="Z67" s="915" t="str">
        <f t="shared" si="2"/>
        <v>Alat Tulis Kantor (ATK)</v>
      </c>
      <c r="AA67" s="498" t="s">
        <v>3367</v>
      </c>
      <c r="AB67" s="499">
        <v>30000</v>
      </c>
      <c r="AC67" s="499">
        <v>240000</v>
      </c>
      <c r="AD67" s="496">
        <v>240000</v>
      </c>
      <c r="AE67" s="500">
        <v>216216.21621621621</v>
      </c>
      <c r="AF67" s="500">
        <v>240000</v>
      </c>
      <c r="AG67" s="916" t="s">
        <v>3883</v>
      </c>
      <c r="AH67" s="917" t="str">
        <f>Data2025!W66</f>
        <v>081375309828</v>
      </c>
    </row>
    <row r="68" spans="1:34" s="501" customFormat="1" ht="26" thickTop="1" thickBot="1">
      <c r="A68" s="901" t="str">
        <f>Data2025!G67</f>
        <v>04</v>
      </c>
      <c r="B68" s="902" t="str">
        <f>Data2025!K67</f>
        <v>BPU04</v>
      </c>
      <c r="C68" s="903" t="str">
        <f>Data2025!D67</f>
        <v>06. 05. 08.</v>
      </c>
      <c r="D68" s="904" t="str">
        <f>Data2025!C67</f>
        <v>5.1.02.01.01.0024</v>
      </c>
      <c r="E68" s="905">
        <f>Data2025!E67</f>
        <v>45661</v>
      </c>
      <c r="F68" s="906" t="str">
        <f>Data2025!F67</f>
        <v>06/01/2025</v>
      </c>
      <c r="G68" s="905" t="str">
        <f>Data2025!H67</f>
        <v>06/01/2025</v>
      </c>
      <c r="H68" s="905" t="str">
        <f t="shared" si="0"/>
        <v>06/01/2025</v>
      </c>
      <c r="I68" s="907" t="str">
        <f>Data2025!J67</f>
        <v>23/01/2025</v>
      </c>
      <c r="J68" s="908" t="str">
        <f>Data2025!L67</f>
        <v>USB FLASH DISK USB/Flash Disk 4GB</v>
      </c>
      <c r="K68" s="908" t="str">
        <f>Data2025!M67</f>
        <v>USB FLASH DISK USB/Flash Disk 4GB</v>
      </c>
      <c r="L68" s="909">
        <f>Data2025!N67</f>
        <v>1</v>
      </c>
      <c r="M68" s="909" t="str">
        <f>Data2025!O67</f>
        <v>buah</v>
      </c>
      <c r="N68" s="910">
        <f>Data2025!P67</f>
        <v>80000</v>
      </c>
      <c r="O68" s="911">
        <f>Data2025!Q67</f>
        <v>80000</v>
      </c>
      <c r="P68" s="912" t="s">
        <v>710</v>
      </c>
      <c r="Q68" s="913" t="str">
        <f>VLOOKUP(K68,Sheet1!$C$1:$D$101,2,)</f>
        <v>USB Flash Disk/Flash Disk 4gb (Ukuran 50 X 15 X 6 Mm, Berat 26 Gr)</v>
      </c>
      <c r="R68" s="496">
        <v>485000</v>
      </c>
      <c r="S68" s="504">
        <v>505000</v>
      </c>
      <c r="T68" s="914" t="str">
        <f>Data2025!T67</f>
        <v>UD. JOSUA</v>
      </c>
      <c r="U68" s="497" t="s">
        <v>538</v>
      </c>
      <c r="V68" s="914" t="str">
        <f>Data2025!V67</f>
        <v>Gestiwan Bazikho</v>
      </c>
      <c r="W68" s="914" t="str">
        <f>Data2025!X67</f>
        <v>Jl. Diponegoro Kel. Pasar Telukdalam - Nias Selatan</v>
      </c>
      <c r="X68" s="497" t="s">
        <v>541</v>
      </c>
      <c r="Y68" s="497" t="str">
        <f t="shared" si="1"/>
        <v>Alat Tulis Kantor (ATK)</v>
      </c>
      <c r="Z68" s="915" t="str">
        <f t="shared" si="2"/>
        <v>Alat Tulis Kantor (ATK)</v>
      </c>
      <c r="AA68" s="498" t="s">
        <v>3369</v>
      </c>
      <c r="AB68" s="499">
        <v>48500</v>
      </c>
      <c r="AC68" s="499">
        <v>485000</v>
      </c>
      <c r="AD68" s="496">
        <v>485000</v>
      </c>
      <c r="AE68" s="500">
        <v>436936.93693693692</v>
      </c>
      <c r="AF68" s="500">
        <v>485000</v>
      </c>
      <c r="AG68" s="916" t="s">
        <v>3883</v>
      </c>
      <c r="AH68" s="917" t="str">
        <f>Data2025!W67</f>
        <v>081375309828</v>
      </c>
    </row>
    <row r="69" spans="1:34" s="501" customFormat="1" ht="16.5" thickTop="1" thickBot="1">
      <c r="A69" s="901" t="str">
        <f>Data2025!G68</f>
        <v>04</v>
      </c>
      <c r="B69" s="902" t="str">
        <f>Data2025!K68</f>
        <v>BPU04</v>
      </c>
      <c r="C69" s="903" t="str">
        <f>Data2025!D68</f>
        <v>06. 05. 08.</v>
      </c>
      <c r="D69" s="904" t="str">
        <f>Data2025!C68</f>
        <v>5.1.02.01.01.0024</v>
      </c>
      <c r="E69" s="905">
        <f>Data2025!E68</f>
        <v>45661</v>
      </c>
      <c r="F69" s="906" t="str">
        <f>Data2025!F68</f>
        <v>06/01/2025</v>
      </c>
      <c r="G69" s="905" t="str">
        <f>Data2025!H68</f>
        <v>06/01/2025</v>
      </c>
      <c r="H69" s="905" t="str">
        <f t="shared" ref="H69:H132" si="3">G69</f>
        <v>06/01/2025</v>
      </c>
      <c r="I69" s="907" t="str">
        <f>Data2025!J68</f>
        <v>23/01/2025</v>
      </c>
      <c r="J69" s="908" t="str">
        <f>Data2025!L68</f>
        <v>Stempel Manual</v>
      </c>
      <c r="K69" s="908" t="str">
        <f>Data2025!M68</f>
        <v>Stempel Manual</v>
      </c>
      <c r="L69" s="909">
        <f>Data2025!N68</f>
        <v>5</v>
      </c>
      <c r="M69" s="909" t="str">
        <f>Data2025!O68</f>
        <v>buah</v>
      </c>
      <c r="N69" s="910">
        <f>Data2025!P68</f>
        <v>100000</v>
      </c>
      <c r="O69" s="911">
        <f>Data2025!Q68</f>
        <v>500000</v>
      </c>
      <c r="P69" s="912" t="s">
        <v>710</v>
      </c>
      <c r="Q69" s="913" t="str">
        <f>VLOOKUP(K69,Sheet1!$C$1:$D$101,2,)</f>
        <v>Stempel Manual (Berat Produk, 0.1 Kg ; Panjang Produk, 12 Cm ; Lebar Produk, 7 Cm ; Tinggi Produk, 9 Cm)</v>
      </c>
      <c r="R69" s="496">
        <v>297000</v>
      </c>
      <c r="S69" s="504">
        <v>309000</v>
      </c>
      <c r="T69" s="914" t="str">
        <f>Data2025!T68</f>
        <v>UD. JOSUA</v>
      </c>
      <c r="U69" s="497" t="s">
        <v>538</v>
      </c>
      <c r="V69" s="914" t="str">
        <f>Data2025!V68</f>
        <v>Gestiwan Bazikho</v>
      </c>
      <c r="W69" s="914" t="str">
        <f>Data2025!X68</f>
        <v>Jl. Diponegoro Kel. Pasar Telukdalam - Nias Selatan</v>
      </c>
      <c r="X69" s="497" t="s">
        <v>541</v>
      </c>
      <c r="Y69" s="497" t="str">
        <f t="shared" ref="Y69:Y132" si="4">P69</f>
        <v>Alat Tulis Kantor (ATK)</v>
      </c>
      <c r="Z69" s="915" t="str">
        <f t="shared" ref="Z69:Z132" si="5">Y69</f>
        <v>Alat Tulis Kantor (ATK)</v>
      </c>
      <c r="AA69" s="498" t="s">
        <v>3363</v>
      </c>
      <c r="AB69" s="499">
        <v>49500</v>
      </c>
      <c r="AC69" s="499">
        <v>297000</v>
      </c>
      <c r="AD69" s="496">
        <v>297000</v>
      </c>
      <c r="AE69" s="500">
        <v>267567.56756756757</v>
      </c>
      <c r="AF69" s="500">
        <v>297000</v>
      </c>
      <c r="AG69" s="916" t="s">
        <v>3883</v>
      </c>
      <c r="AH69" s="917" t="str">
        <f>Data2025!W68</f>
        <v>081375309828</v>
      </c>
    </row>
    <row r="70" spans="1:34" s="501" customFormat="1" ht="16.5" thickTop="1" thickBot="1">
      <c r="A70" s="901" t="str">
        <f>Data2025!G69</f>
        <v>04</v>
      </c>
      <c r="B70" s="902" t="str">
        <f>Data2025!K69</f>
        <v>BPU04</v>
      </c>
      <c r="C70" s="903" t="str">
        <f>Data2025!D69</f>
        <v>06. 05. 08.</v>
      </c>
      <c r="D70" s="904" t="str">
        <f>Data2025!C69</f>
        <v>5.1.02.01.01.0024</v>
      </c>
      <c r="E70" s="905">
        <f>Data2025!E69</f>
        <v>45661</v>
      </c>
      <c r="F70" s="906" t="str">
        <f>Data2025!F69</f>
        <v>06/01/2025</v>
      </c>
      <c r="G70" s="905" t="str">
        <f>Data2025!H69</f>
        <v>06/01/2025</v>
      </c>
      <c r="H70" s="905" t="str">
        <f t="shared" si="3"/>
        <v>06/01/2025</v>
      </c>
      <c r="I70" s="907" t="str">
        <f>Data2025!J69</f>
        <v>23/01/2025</v>
      </c>
      <c r="J70" s="908" t="str">
        <f>Data2025!L69</f>
        <v>Stempel Cap</v>
      </c>
      <c r="K70" s="908" t="str">
        <f>Data2025!M69</f>
        <v>Stempel Cap</v>
      </c>
      <c r="L70" s="909">
        <f>Data2025!N69</f>
        <v>3</v>
      </c>
      <c r="M70" s="909" t="str">
        <f>Data2025!O69</f>
        <v>buah</v>
      </c>
      <c r="N70" s="910">
        <f>Data2025!P69</f>
        <v>120000</v>
      </c>
      <c r="O70" s="911">
        <f>Data2025!Q69</f>
        <v>360000</v>
      </c>
      <c r="P70" s="912" t="s">
        <v>710</v>
      </c>
      <c r="Q70" s="913" t="str">
        <f>VLOOKUP(K70,Sheet1!$C$1:$D$101,2,)</f>
        <v>Stempel Cap (Ukuran 4,2Cm, Bentuk Bulat, Berat 50Gr)</v>
      </c>
      <c r="R70" s="496">
        <v>160000</v>
      </c>
      <c r="S70" s="504">
        <v>164000</v>
      </c>
      <c r="T70" s="914" t="str">
        <f>Data2025!T69</f>
        <v>UD. JOSUA</v>
      </c>
      <c r="U70" s="497" t="s">
        <v>538</v>
      </c>
      <c r="V70" s="914" t="str">
        <f>Data2025!V69</f>
        <v>Gestiwan Bazikho</v>
      </c>
      <c r="W70" s="914" t="str">
        <f>Data2025!X69</f>
        <v>Jl. Diponegoro Kel. Pasar Telukdalam - Nias Selatan</v>
      </c>
      <c r="X70" s="497" t="s">
        <v>541</v>
      </c>
      <c r="Y70" s="497" t="str">
        <f t="shared" si="4"/>
        <v>Alat Tulis Kantor (ATK)</v>
      </c>
      <c r="Z70" s="915" t="str">
        <f t="shared" si="5"/>
        <v>Alat Tulis Kantor (ATK)</v>
      </c>
      <c r="AA70" s="498" t="s">
        <v>3362</v>
      </c>
      <c r="AB70" s="499">
        <v>80000</v>
      </c>
      <c r="AC70" s="499">
        <v>160000</v>
      </c>
      <c r="AD70" s="496">
        <v>160000</v>
      </c>
      <c r="AE70" s="500">
        <v>144144.14414414414</v>
      </c>
      <c r="AF70" s="500">
        <v>160000</v>
      </c>
      <c r="AG70" s="916" t="s">
        <v>3883</v>
      </c>
      <c r="AH70" s="917" t="str">
        <f>Data2025!W69</f>
        <v>081375309828</v>
      </c>
    </row>
    <row r="71" spans="1:34" s="501" customFormat="1" ht="16.5" thickTop="1" thickBot="1">
      <c r="A71" s="901" t="str">
        <f>Data2025!G70</f>
        <v>04</v>
      </c>
      <c r="B71" s="902" t="str">
        <f>Data2025!K70</f>
        <v>BPU04</v>
      </c>
      <c r="C71" s="903" t="str">
        <f>Data2025!D70</f>
        <v>06. 05. 08.</v>
      </c>
      <c r="D71" s="904" t="str">
        <f>Data2025!C70</f>
        <v>5.1.02.01.01.0024</v>
      </c>
      <c r="E71" s="905">
        <f>Data2025!E70</f>
        <v>45661</v>
      </c>
      <c r="F71" s="906" t="str">
        <f>Data2025!F70</f>
        <v>06/01/2025</v>
      </c>
      <c r="G71" s="905" t="str">
        <f>Data2025!H70</f>
        <v>06/01/2025</v>
      </c>
      <c r="H71" s="905" t="str">
        <f t="shared" si="3"/>
        <v>06/01/2025</v>
      </c>
      <c r="I71" s="907" t="str">
        <f>Data2025!J70</f>
        <v>23/01/2025</v>
      </c>
      <c r="J71" s="908" t="str">
        <f>Data2025!L70</f>
        <v>Tinta Stempel</v>
      </c>
      <c r="K71" s="908" t="str">
        <f>Data2025!M70</f>
        <v>Tinta Stempel</v>
      </c>
      <c r="L71" s="909">
        <f>Data2025!N70</f>
        <v>5</v>
      </c>
      <c r="M71" s="909" t="str">
        <f>Data2025!O70</f>
        <v>botol</v>
      </c>
      <c r="N71" s="910">
        <f>Data2025!P70</f>
        <v>20000</v>
      </c>
      <c r="O71" s="911">
        <f>Data2025!Q70</f>
        <v>100000</v>
      </c>
      <c r="P71" s="912" t="s">
        <v>710</v>
      </c>
      <c r="Q71" s="913" t="str">
        <f>VLOOKUP(K71,Sheet1!$C$1:$D$101,2,)</f>
        <v>Tinta Stempel (Ukuran Produk 105 X 35 X 35 Mm, Isi 1 Botol 50 Ml, Berat Satuan 85 Gram)</v>
      </c>
      <c r="R71" s="496">
        <v>300000</v>
      </c>
      <c r="S71" s="504">
        <v>340000</v>
      </c>
      <c r="T71" s="914" t="str">
        <f>Data2025!T70</f>
        <v>UD. JOSUA</v>
      </c>
      <c r="U71" s="497" t="s">
        <v>538</v>
      </c>
      <c r="V71" s="914" t="str">
        <f>Data2025!V70</f>
        <v>Gestiwan Bazikho</v>
      </c>
      <c r="W71" s="914" t="str">
        <f>Data2025!X70</f>
        <v>Jl. Diponegoro Kel. Pasar Telukdalam - Nias Selatan</v>
      </c>
      <c r="X71" s="497" t="s">
        <v>541</v>
      </c>
      <c r="Y71" s="497" t="str">
        <f t="shared" si="4"/>
        <v>Alat Tulis Kantor (ATK)</v>
      </c>
      <c r="Z71" s="915" t="str">
        <f t="shared" si="5"/>
        <v>Alat Tulis Kantor (ATK)</v>
      </c>
      <c r="AA71" s="498" t="s">
        <v>3363</v>
      </c>
      <c r="AB71" s="499">
        <v>15000</v>
      </c>
      <c r="AC71" s="499">
        <v>300000</v>
      </c>
      <c r="AD71" s="496">
        <v>300000</v>
      </c>
      <c r="AE71" s="500">
        <v>270270.2702702703</v>
      </c>
      <c r="AF71" s="500">
        <v>300000</v>
      </c>
      <c r="AG71" s="916" t="s">
        <v>3883</v>
      </c>
      <c r="AH71" s="917" t="str">
        <f>Data2025!W70</f>
        <v>081375309828</v>
      </c>
    </row>
    <row r="72" spans="1:34" ht="16.5" thickTop="1" thickBot="1">
      <c r="A72" s="636" t="str">
        <f>Data2025!G71</f>
        <v>04</v>
      </c>
      <c r="B72" s="637" t="str">
        <f>Data2025!K71</f>
        <v>BPU04</v>
      </c>
      <c r="C72" s="638" t="str">
        <f>Data2025!D71</f>
        <v>06. 05. 08.</v>
      </c>
      <c r="D72" s="639" t="str">
        <f>Data2025!C71</f>
        <v>5.1.02.01.01.0024</v>
      </c>
      <c r="E72" s="265">
        <f>Data2025!E71</f>
        <v>45661</v>
      </c>
      <c r="F72" s="640" t="str">
        <f>Data2025!F71</f>
        <v>06/01/2025</v>
      </c>
      <c r="G72" s="265" t="str">
        <f>Data2025!H71</f>
        <v>06/01/2025</v>
      </c>
      <c r="H72" s="265" t="str">
        <f t="shared" si="3"/>
        <v>06/01/2025</v>
      </c>
      <c r="I72" s="641" t="str">
        <f>Data2025!J71</f>
        <v>23/01/2025</v>
      </c>
      <c r="J72" s="381" t="str">
        <f>Data2025!L71</f>
        <v>Materai 10.000</v>
      </c>
      <c r="K72" s="381" t="str">
        <f>Data2025!M71</f>
        <v>Materai 10.000</v>
      </c>
      <c r="L72" s="642">
        <f>Data2025!N71</f>
        <v>100</v>
      </c>
      <c r="M72" s="642" t="str">
        <f>Data2025!O71</f>
        <v>buah</v>
      </c>
      <c r="N72" s="643">
        <f>Data2025!P71</f>
        <v>12000</v>
      </c>
      <c r="O72" s="644">
        <f>Data2025!Q71</f>
        <v>1200000</v>
      </c>
      <c r="P72" s="645" t="s">
        <v>710</v>
      </c>
      <c r="Q72" s="646" t="str">
        <f>VLOOKUP(K72,Sheet1!$C$1:$D$101,2,)</f>
        <v>Materai 10.000 (Segi Empat dengan Ukuran 21 x 28,95 mm)</v>
      </c>
      <c r="R72" s="267">
        <v>335000</v>
      </c>
      <c r="S72" s="647">
        <v>345000</v>
      </c>
      <c r="T72" s="648" t="str">
        <f>Data2025!T71</f>
        <v>UD. JOSUA</v>
      </c>
      <c r="U72" s="268" t="s">
        <v>538</v>
      </c>
      <c r="V72" s="648" t="str">
        <f>Data2025!V71</f>
        <v>Gestiwan Bazikho</v>
      </c>
      <c r="W72" s="648" t="str">
        <f>Data2025!X71</f>
        <v>Jl. Diponegoro Kel. Pasar Telukdalam - Nias Selatan</v>
      </c>
      <c r="X72" s="268" t="s">
        <v>541</v>
      </c>
      <c r="Y72" s="268" t="str">
        <f t="shared" si="4"/>
        <v>Alat Tulis Kantor (ATK)</v>
      </c>
      <c r="Z72" s="649" t="str">
        <f t="shared" si="5"/>
        <v>Alat Tulis Kantor (ATK)</v>
      </c>
      <c r="AA72" s="650" t="s">
        <v>3367</v>
      </c>
      <c r="AB72" s="269">
        <v>67000</v>
      </c>
      <c r="AC72" s="269">
        <v>335000</v>
      </c>
      <c r="AD72" s="267">
        <v>335000</v>
      </c>
      <c r="AE72" s="270">
        <v>301801.80180180183</v>
      </c>
      <c r="AF72" s="270">
        <v>335000</v>
      </c>
      <c r="AG72" s="805" t="s">
        <v>3883</v>
      </c>
      <c r="AH72" s="651" t="str">
        <f>Data2025!W71</f>
        <v>081375309828</v>
      </c>
    </row>
    <row r="73" spans="1:34" ht="16.5" thickTop="1" thickBot="1">
      <c r="A73" s="636" t="str">
        <f>Data2025!G72</f>
        <v>05</v>
      </c>
      <c r="B73" s="637" t="str">
        <f>Data2025!K72</f>
        <v>BPU05</v>
      </c>
      <c r="C73" s="638" t="str">
        <f>Data2025!D72</f>
        <v>06. 05. 08.</v>
      </c>
      <c r="D73" s="639" t="str">
        <f>Data2025!C72</f>
        <v>5.1.02.01.01.0026</v>
      </c>
      <c r="E73" s="265">
        <f>Data2025!E72</f>
        <v>45661</v>
      </c>
      <c r="F73" s="640" t="str">
        <f>Data2025!F72</f>
        <v>06/01/2025</v>
      </c>
      <c r="G73" s="265" t="str">
        <f>Data2025!H72</f>
        <v>06/01/2025</v>
      </c>
      <c r="H73" s="265" t="str">
        <f t="shared" si="3"/>
        <v>06/01/2025</v>
      </c>
      <c r="I73" s="641" t="str">
        <f>Data2025!J72</f>
        <v>23/01/2025</v>
      </c>
      <c r="J73" s="381" t="str">
        <f>Data2025!L72</f>
        <v>Foto Copy Filio dan Kuarto</v>
      </c>
      <c r="K73" s="381" t="str">
        <f>Data2025!M72</f>
        <v>Foto Copy Filio dan Kuarto</v>
      </c>
      <c r="L73" s="642">
        <f>Data2025!N72</f>
        <v>4500</v>
      </c>
      <c r="M73" s="642" t="str">
        <f>Data2025!O72</f>
        <v>lembar</v>
      </c>
      <c r="N73" s="643">
        <f>Data2025!P72</f>
        <v>350</v>
      </c>
      <c r="O73" s="644">
        <f>Data2025!Q72</f>
        <v>1575000</v>
      </c>
      <c r="P73" s="645" t="s">
        <v>2675</v>
      </c>
      <c r="Q73" s="646" t="str">
        <f>VLOOKUP(K73,Sheet1!$C$1:$D$101,2,)</f>
        <v>Kertas HVS 70 gram Sinar Dunia A4, Ukuran : 8,27" x 11,69"</v>
      </c>
      <c r="R73" s="267">
        <v>750000</v>
      </c>
      <c r="S73" s="647">
        <v>770000</v>
      </c>
      <c r="T73" s="648" t="str">
        <f>Data2025!T72</f>
        <v>UD. JOSUA</v>
      </c>
      <c r="U73" s="268" t="s">
        <v>538</v>
      </c>
      <c r="V73" s="648" t="str">
        <f>Data2025!V72</f>
        <v>Gestiwan Bazikho</v>
      </c>
      <c r="W73" s="648" t="str">
        <f>Data2025!X72</f>
        <v>Jl. Diponegoro Kel. Pasar Telukdalam - Nias Selatan</v>
      </c>
      <c r="X73" s="268" t="s">
        <v>541</v>
      </c>
      <c r="Y73" s="268" t="str">
        <f t="shared" si="4"/>
        <v>Penggandaan</v>
      </c>
      <c r="Z73" s="649" t="str">
        <f t="shared" si="5"/>
        <v>Penggandaan</v>
      </c>
      <c r="AA73" s="650" t="s">
        <v>3364</v>
      </c>
      <c r="AB73" s="269">
        <v>75000</v>
      </c>
      <c r="AC73" s="269">
        <v>750000</v>
      </c>
      <c r="AD73" s="267">
        <v>750000</v>
      </c>
      <c r="AE73" s="270">
        <v>675675.67567567574</v>
      </c>
      <c r="AF73" s="270">
        <v>750000</v>
      </c>
      <c r="AG73" s="805" t="s">
        <v>3883</v>
      </c>
      <c r="AH73" s="651" t="str">
        <f>Data2025!W72</f>
        <v>081375309828</v>
      </c>
    </row>
    <row r="74" spans="1:34" ht="16.5" thickTop="1" thickBot="1">
      <c r="A74" s="636" t="str">
        <f>Data2025!G73</f>
        <v>06</v>
      </c>
      <c r="B74" s="637" t="str">
        <f>Data2025!K73</f>
        <v>BPU06</v>
      </c>
      <c r="C74" s="638" t="str">
        <f>Data2025!D73</f>
        <v>06. 05. 09.</v>
      </c>
      <c r="D74" s="639" t="str">
        <f>Data2025!C73</f>
        <v>5.1.02.01.01.0012</v>
      </c>
      <c r="E74" s="265">
        <f>Data2025!E73</f>
        <v>45661</v>
      </c>
      <c r="F74" s="640" t="str">
        <f>Data2025!F73</f>
        <v>06/01/2025</v>
      </c>
      <c r="G74" s="265" t="str">
        <f>Data2025!H73</f>
        <v>06/01/2025</v>
      </c>
      <c r="H74" s="265" t="str">
        <f t="shared" si="3"/>
        <v>06/01/2025</v>
      </c>
      <c r="I74" s="641" t="str">
        <f>Data2025!J73</f>
        <v>23/01/2025</v>
      </c>
      <c r="J74" s="381" t="str">
        <f>Data2025!L73</f>
        <v>Jasa pengantar barang berupa alat-alat kebrsihan</v>
      </c>
      <c r="K74" s="381">
        <f>Data2025!M73</f>
        <v>0</v>
      </c>
      <c r="L74" s="642">
        <f>Data2025!N73</f>
        <v>1</v>
      </c>
      <c r="M74" s="642" t="str">
        <f>Data2025!O73</f>
        <v>kegiatan</v>
      </c>
      <c r="N74" s="643">
        <f>Data2025!P73</f>
        <v>55000</v>
      </c>
      <c r="O74" s="644">
        <f>Data2025!Q73</f>
        <v>55000</v>
      </c>
      <c r="P74" s="645" t="s">
        <v>3866</v>
      </c>
      <c r="Q74" s="646" t="e">
        <f>VLOOKUP(K74,Sheet1!$C$1:$D$101,2,)</f>
        <v>#N/A</v>
      </c>
      <c r="R74" s="267">
        <v>375000</v>
      </c>
      <c r="S74" s="647">
        <v>405000</v>
      </c>
      <c r="T74" s="648" t="str">
        <f>Data2025!T73</f>
        <v>UD. JOSUA</v>
      </c>
      <c r="U74" s="268" t="s">
        <v>538</v>
      </c>
      <c r="V74" s="648" t="str">
        <f>Data2025!V73</f>
        <v>Gestiwan Bazikho</v>
      </c>
      <c r="W74" s="648" t="str">
        <f>Data2025!X73</f>
        <v>Jl. Diponegoro Kel. Pasar Telukdalam - Nias Selatan</v>
      </c>
      <c r="X74" s="268" t="s">
        <v>541</v>
      </c>
      <c r="Y74" s="268" t="str">
        <f t="shared" si="4"/>
        <v>Jasa Angkutan</v>
      </c>
      <c r="Z74" s="649" t="str">
        <f t="shared" si="5"/>
        <v>Jasa Angkutan</v>
      </c>
      <c r="AA74" s="650" t="s">
        <v>3363</v>
      </c>
      <c r="AB74" s="269">
        <v>25000</v>
      </c>
      <c r="AC74" s="269">
        <v>375000</v>
      </c>
      <c r="AD74" s="267">
        <v>375000</v>
      </c>
      <c r="AE74" s="270">
        <v>337837.83783783787</v>
      </c>
      <c r="AF74" s="270">
        <v>375000</v>
      </c>
      <c r="AG74" s="805" t="s">
        <v>3883</v>
      </c>
      <c r="AH74" s="651" t="str">
        <f>Data2025!W73</f>
        <v>081375309828</v>
      </c>
    </row>
    <row r="75" spans="1:34" ht="16.5" thickTop="1" thickBot="1">
      <c r="A75" s="636" t="str">
        <f>Data2025!G74</f>
        <v>07</v>
      </c>
      <c r="B75" s="637" t="str">
        <f>Data2025!K74</f>
        <v>BPU07</v>
      </c>
      <c r="C75" s="638" t="str">
        <f>Data2025!D74</f>
        <v>06. 05. 09.</v>
      </c>
      <c r="D75" s="639" t="str">
        <f>Data2025!C74</f>
        <v>5.1.02.01.01.0030</v>
      </c>
      <c r="E75" s="265">
        <f>Data2025!E74</f>
        <v>45661</v>
      </c>
      <c r="F75" s="640" t="str">
        <f>Data2025!F74</f>
        <v>06/01/2025</v>
      </c>
      <c r="G75" s="265" t="str">
        <f>Data2025!H74</f>
        <v>06/01/2025</v>
      </c>
      <c r="H75" s="265" t="str">
        <f t="shared" si="3"/>
        <v>06/01/2025</v>
      </c>
      <c r="I75" s="641" t="str">
        <f>Data2025!J74</f>
        <v>23/01/2025</v>
      </c>
      <c r="J75" s="381" t="str">
        <f>Data2025!L74</f>
        <v>Sapu</v>
      </c>
      <c r="K75" s="381" t="str">
        <f>Data2025!M74</f>
        <v>Sapu</v>
      </c>
      <c r="L75" s="642">
        <f>Data2025!N74</f>
        <v>60</v>
      </c>
      <c r="M75" s="642" t="str">
        <f>Data2025!O74</f>
        <v>buah</v>
      </c>
      <c r="N75" s="643">
        <f>Data2025!P74</f>
        <v>65000</v>
      </c>
      <c r="O75" s="644">
        <f>Data2025!Q74</f>
        <v>3900000</v>
      </c>
      <c r="P75" s="645" t="s">
        <v>2609</v>
      </c>
      <c r="Q75" s="646" t="str">
        <f>VLOOKUP(K75,Sheet1!$C$1:$D$101,2,)</f>
        <v>Sapu (Sapu Lantai Nylon Plastik Dengan Gagang (Warna), Ukuran (P x L x T) : 43 x 28 x 105 cm)</v>
      </c>
      <c r="R75" s="267">
        <v>845000</v>
      </c>
      <c r="S75" s="647">
        <v>855000</v>
      </c>
      <c r="T75" s="648" t="str">
        <f>Data2025!T74</f>
        <v>UD. JOSUA</v>
      </c>
      <c r="U75" s="268" t="s">
        <v>538</v>
      </c>
      <c r="V75" s="648" t="str">
        <f>Data2025!V74</f>
        <v>Gestiwan Bazikho</v>
      </c>
      <c r="W75" s="648" t="str">
        <f>Data2025!X74</f>
        <v>Jl. Diponegoro Kel. Pasar Telukdalam - Nias Selatan</v>
      </c>
      <c r="X75" s="268" t="s">
        <v>541</v>
      </c>
      <c r="Y75" s="268" t="str">
        <f t="shared" si="4"/>
        <v>Alat Kebersihan</v>
      </c>
      <c r="Z75" s="649" t="str">
        <f t="shared" si="5"/>
        <v>Alat Kebersihan</v>
      </c>
      <c r="AA75" s="650" t="s">
        <v>3363</v>
      </c>
      <c r="AB75" s="269">
        <v>169000</v>
      </c>
      <c r="AC75" s="269">
        <v>845000</v>
      </c>
      <c r="AD75" s="267">
        <v>845000</v>
      </c>
      <c r="AE75" s="270">
        <v>761261.2612612613</v>
      </c>
      <c r="AF75" s="270">
        <v>845000</v>
      </c>
      <c r="AG75" s="805" t="s">
        <v>3883</v>
      </c>
      <c r="AH75" s="651" t="str">
        <f>Data2025!W74</f>
        <v>081375309828</v>
      </c>
    </row>
    <row r="76" spans="1:34" ht="16.5" thickTop="1" thickBot="1">
      <c r="A76" s="636" t="str">
        <f>Data2025!G75</f>
        <v>07</v>
      </c>
      <c r="B76" s="637" t="str">
        <f>Data2025!K75</f>
        <v>BPU07</v>
      </c>
      <c r="C76" s="638" t="str">
        <f>Data2025!D75</f>
        <v>06. 05. 09.</v>
      </c>
      <c r="D76" s="639" t="str">
        <f>Data2025!C75</f>
        <v>5.1.02.01.01.0030</v>
      </c>
      <c r="E76" s="265">
        <f>Data2025!E75</f>
        <v>45661</v>
      </c>
      <c r="F76" s="640" t="str">
        <f>Data2025!F75</f>
        <v>06/01/2025</v>
      </c>
      <c r="G76" s="265" t="str">
        <f>Data2025!H75</f>
        <v>06/01/2025</v>
      </c>
      <c r="H76" s="265" t="str">
        <f t="shared" si="3"/>
        <v>06/01/2025</v>
      </c>
      <c r="I76" s="641" t="str">
        <f>Data2025!J75</f>
        <v>23/01/2025</v>
      </c>
      <c r="J76" s="381" t="str">
        <f>Data2025!L75</f>
        <v>Sapu Lidi</v>
      </c>
      <c r="K76" s="381" t="str">
        <f>Data2025!M75</f>
        <v>Sapu Lidi</v>
      </c>
      <c r="L76" s="642">
        <f>Data2025!N75</f>
        <v>15</v>
      </c>
      <c r="M76" s="642" t="str">
        <f>Data2025!O75</f>
        <v>buah</v>
      </c>
      <c r="N76" s="643">
        <f>Data2025!P75</f>
        <v>25000</v>
      </c>
      <c r="O76" s="644">
        <f>Data2025!Q75</f>
        <v>375000</v>
      </c>
      <c r="P76" s="645" t="s">
        <v>2609</v>
      </c>
      <c r="Q76" s="646" t="str">
        <f>VLOOKUP(K76,Sheet1!$C$1:$D$101,2,)</f>
        <v>Sapu Lidi (Bahan Lidi, Panjang 120 cm, Berat 500gr)</v>
      </c>
      <c r="R76" s="267">
        <v>3900000</v>
      </c>
      <c r="S76" s="647">
        <v>4020000</v>
      </c>
      <c r="T76" s="648" t="str">
        <f>Data2025!T75</f>
        <v>UD. JOSUA</v>
      </c>
      <c r="U76" s="268" t="s">
        <v>538</v>
      </c>
      <c r="V76" s="648" t="str">
        <f>Data2025!V75</f>
        <v>Gestiwan Bazikho</v>
      </c>
      <c r="W76" s="648" t="str">
        <f>Data2025!X75</f>
        <v>Jl. Diponegoro Kel. Pasar Telukdalam - Nias Selatan</v>
      </c>
      <c r="X76" s="268" t="s">
        <v>541</v>
      </c>
      <c r="Y76" s="268" t="str">
        <f t="shared" si="4"/>
        <v>Alat Kebersihan</v>
      </c>
      <c r="Z76" s="649" t="str">
        <f t="shared" si="5"/>
        <v>Alat Kebersihan</v>
      </c>
      <c r="AA76" s="650" t="s">
        <v>3363</v>
      </c>
      <c r="AB76" s="269">
        <v>65000</v>
      </c>
      <c r="AC76" s="269">
        <v>3900000</v>
      </c>
      <c r="AD76" s="267">
        <v>3900000</v>
      </c>
      <c r="AE76" s="270">
        <v>3513513.5135135134</v>
      </c>
      <c r="AF76" s="270">
        <v>3900000</v>
      </c>
      <c r="AG76" s="805" t="s">
        <v>3883</v>
      </c>
      <c r="AH76" s="651" t="str">
        <f>Data2025!W75</f>
        <v>081375309828</v>
      </c>
    </row>
    <row r="77" spans="1:34" ht="16.5" thickTop="1" thickBot="1">
      <c r="A77" s="636" t="str">
        <f>Data2025!G76</f>
        <v>07</v>
      </c>
      <c r="B77" s="637" t="str">
        <f>Data2025!K76</f>
        <v>BPU07</v>
      </c>
      <c r="C77" s="638" t="str">
        <f>Data2025!D76</f>
        <v>06. 05. 09.</v>
      </c>
      <c r="D77" s="639" t="str">
        <f>Data2025!C76</f>
        <v>5.1.02.01.01.0030</v>
      </c>
      <c r="E77" s="265">
        <f>Data2025!E76</f>
        <v>45661</v>
      </c>
      <c r="F77" s="640" t="str">
        <f>Data2025!F76</f>
        <v>06/01/2025</v>
      </c>
      <c r="G77" s="265" t="str">
        <f>Data2025!H76</f>
        <v>06/01/2025</v>
      </c>
      <c r="H77" s="265" t="str">
        <f t="shared" si="3"/>
        <v>06/01/2025</v>
      </c>
      <c r="I77" s="641" t="str">
        <f>Data2025!J76</f>
        <v>23/01/2025</v>
      </c>
      <c r="J77" s="381" t="str">
        <f>Data2025!L76</f>
        <v>Sikat Pembersih</v>
      </c>
      <c r="K77" s="381" t="str">
        <f>Data2025!M76</f>
        <v>Sikat Pembersih</v>
      </c>
      <c r="L77" s="642">
        <f>Data2025!N76</f>
        <v>15</v>
      </c>
      <c r="M77" s="642" t="str">
        <f>Data2025!O76</f>
        <v>buah</v>
      </c>
      <c r="N77" s="643">
        <f>Data2025!P76</f>
        <v>60000</v>
      </c>
      <c r="O77" s="644">
        <f>Data2025!Q76</f>
        <v>900000</v>
      </c>
      <c r="P77" s="645" t="s">
        <v>2609</v>
      </c>
      <c r="Q77" s="646" t="str">
        <f>VLOOKUP(K77,Sheet1!$C$1:$D$101,2,)</f>
        <v>Sikat Pembersih (Bahan: Platik Nylon, Gagang: Plat Besi, Panjang 110cm - 120cm, Lebar kepala sikat 18cm, Berat 1000gr)</v>
      </c>
      <c r="R77" s="267">
        <v>205500</v>
      </c>
      <c r="S77" s="647">
        <v>235500</v>
      </c>
      <c r="T77" s="648" t="str">
        <f>Data2025!T76</f>
        <v>UD. JOSUA</v>
      </c>
      <c r="U77" s="268" t="s">
        <v>538</v>
      </c>
      <c r="V77" s="648" t="str">
        <f>Data2025!V76</f>
        <v>Gestiwan Bazikho</v>
      </c>
      <c r="W77" s="648" t="str">
        <f>Data2025!X76</f>
        <v>Jl. Diponegoro Kel. Pasar Telukdalam - Nias Selatan</v>
      </c>
      <c r="X77" s="268" t="s">
        <v>541</v>
      </c>
      <c r="Y77" s="268" t="str">
        <f t="shared" si="4"/>
        <v>Alat Kebersihan</v>
      </c>
      <c r="Z77" s="649" t="str">
        <f t="shared" si="5"/>
        <v>Alat Kebersihan</v>
      </c>
      <c r="AA77" s="650" t="s">
        <v>3363</v>
      </c>
      <c r="AB77" s="269">
        <v>13700</v>
      </c>
      <c r="AC77" s="269">
        <v>205500</v>
      </c>
      <c r="AD77" s="267">
        <v>205500</v>
      </c>
      <c r="AE77" s="270">
        <v>185135.13513513515</v>
      </c>
      <c r="AF77" s="270">
        <v>205500</v>
      </c>
      <c r="AG77" s="805" t="s">
        <v>3883</v>
      </c>
      <c r="AH77" s="651" t="str">
        <f>Data2025!W76</f>
        <v>081375309828</v>
      </c>
    </row>
    <row r="78" spans="1:34" ht="16.5" thickTop="1" thickBot="1">
      <c r="A78" s="636" t="str">
        <f>Data2025!G77</f>
        <v>07</v>
      </c>
      <c r="B78" s="637" t="str">
        <f>Data2025!K77</f>
        <v>BPU07</v>
      </c>
      <c r="C78" s="638" t="str">
        <f>Data2025!D77</f>
        <v>06. 05. 09.</v>
      </c>
      <c r="D78" s="639" t="str">
        <f>Data2025!C77</f>
        <v>5.1.02.01.01.0030</v>
      </c>
      <c r="E78" s="265">
        <f>Data2025!E77</f>
        <v>45661</v>
      </c>
      <c r="F78" s="640" t="str">
        <f>Data2025!F77</f>
        <v>06/01/2025</v>
      </c>
      <c r="G78" s="265" t="str">
        <f>Data2025!H77</f>
        <v>06/01/2025</v>
      </c>
      <c r="H78" s="265" t="str">
        <f t="shared" si="3"/>
        <v>06/01/2025</v>
      </c>
      <c r="I78" s="641" t="str">
        <f>Data2025!J77</f>
        <v>23/01/2025</v>
      </c>
      <c r="J78" s="381" t="str">
        <f>Data2025!L77</f>
        <v>Sikat WC Type : Gagang Panjang</v>
      </c>
      <c r="K78" s="381" t="str">
        <f>Data2025!M77</f>
        <v>Sikat WC Type : Gagang Panjang</v>
      </c>
      <c r="L78" s="642">
        <f>Data2025!N77</f>
        <v>15</v>
      </c>
      <c r="M78" s="642" t="str">
        <f>Data2025!O77</f>
        <v>buah</v>
      </c>
      <c r="N78" s="643">
        <f>Data2025!P77</f>
        <v>34000</v>
      </c>
      <c r="O78" s="644">
        <f>Data2025!Q77</f>
        <v>510000</v>
      </c>
      <c r="P78" s="645" t="s">
        <v>2609</v>
      </c>
      <c r="Q78" s="646" t="str">
        <f>VLOOKUP(K78,Sheet1!$C$1:$D$101,2,)</f>
        <v>Sikat WC (Dimensi Panjang Brush: 39 cm, Diameter Brush: 7 cm, Holder: 12 x 16 x 9 cm)</v>
      </c>
      <c r="R78" s="267">
        <v>200000</v>
      </c>
      <c r="S78" s="647">
        <v>210000</v>
      </c>
      <c r="T78" s="648" t="str">
        <f>Data2025!T77</f>
        <v>UD. JOSUA</v>
      </c>
      <c r="U78" s="268" t="s">
        <v>538</v>
      </c>
      <c r="V78" s="648" t="str">
        <f>Data2025!V77</f>
        <v>Gestiwan Bazikho</v>
      </c>
      <c r="W78" s="648" t="str">
        <f>Data2025!X77</f>
        <v>Jl. Diponegoro Kel. Pasar Telukdalam - Nias Selatan</v>
      </c>
      <c r="X78" s="268" t="s">
        <v>541</v>
      </c>
      <c r="Y78" s="268" t="str">
        <f t="shared" si="4"/>
        <v>Alat Kebersihan</v>
      </c>
      <c r="Z78" s="649" t="str">
        <f t="shared" si="5"/>
        <v>Alat Kebersihan</v>
      </c>
      <c r="AA78" s="650" t="s">
        <v>3363</v>
      </c>
      <c r="AB78" s="269">
        <v>40000</v>
      </c>
      <c r="AC78" s="269">
        <v>200000</v>
      </c>
      <c r="AD78" s="267">
        <v>200000</v>
      </c>
      <c r="AE78" s="270">
        <v>180180.18018018018</v>
      </c>
      <c r="AF78" s="270">
        <v>200000</v>
      </c>
      <c r="AG78" s="805" t="s">
        <v>3883</v>
      </c>
      <c r="AH78" s="651" t="str">
        <f>Data2025!W77</f>
        <v>081375309828</v>
      </c>
    </row>
    <row r="79" spans="1:34" ht="16.5" thickTop="1" thickBot="1">
      <c r="A79" s="636" t="str">
        <f>Data2025!G78</f>
        <v>07</v>
      </c>
      <c r="B79" s="637" t="str">
        <f>Data2025!K78</f>
        <v>BPU07</v>
      </c>
      <c r="C79" s="638" t="str">
        <f>Data2025!D78</f>
        <v>06. 05. 09.</v>
      </c>
      <c r="D79" s="639" t="str">
        <f>Data2025!C78</f>
        <v>5.1.02.01.01.0030</v>
      </c>
      <c r="E79" s="265">
        <f>Data2025!E78</f>
        <v>45661</v>
      </c>
      <c r="F79" s="640" t="str">
        <f>Data2025!F78</f>
        <v>06/01/2025</v>
      </c>
      <c r="G79" s="265" t="str">
        <f>Data2025!H78</f>
        <v>06/01/2025</v>
      </c>
      <c r="H79" s="265" t="str">
        <f t="shared" si="3"/>
        <v>06/01/2025</v>
      </c>
      <c r="I79" s="641" t="str">
        <f>Data2025!J78</f>
        <v>23/01/2025</v>
      </c>
      <c r="J79" s="381" t="str">
        <f>Data2025!L78</f>
        <v>Alat Pel</v>
      </c>
      <c r="K79" s="381" t="str">
        <f>Data2025!M78</f>
        <v>Alat Pel</v>
      </c>
      <c r="L79" s="642">
        <f>Data2025!N78</f>
        <v>25</v>
      </c>
      <c r="M79" s="642" t="str">
        <f>Data2025!O78</f>
        <v>buah</v>
      </c>
      <c r="N79" s="643">
        <f>Data2025!P78</f>
        <v>35000</v>
      </c>
      <c r="O79" s="644">
        <f>Data2025!Q78</f>
        <v>875000</v>
      </c>
      <c r="P79" s="645" t="s">
        <v>2609</v>
      </c>
      <c r="Q79" s="646" t="str">
        <f>VLOOKUP(K79,Sheet1!$C$1:$D$101,2,)</f>
        <v>Alat Pel (Merek Nagata, Tipe 405 MF Ukuran (MM) : 160 x 40 x 1680)</v>
      </c>
      <c r="R79" s="267">
        <v>121000</v>
      </c>
      <c r="S79" s="647">
        <v>141000</v>
      </c>
      <c r="T79" s="648" t="str">
        <f>Data2025!T78</f>
        <v>UD. JOSUA</v>
      </c>
      <c r="U79" s="268" t="s">
        <v>538</v>
      </c>
      <c r="V79" s="648" t="str">
        <f>Data2025!V78</f>
        <v>Gestiwan Bazikho</v>
      </c>
      <c r="W79" s="648" t="str">
        <f>Data2025!X78</f>
        <v>Jl. Diponegoro Kel. Pasar Telukdalam - Nias Selatan</v>
      </c>
      <c r="X79" s="268" t="s">
        <v>541</v>
      </c>
      <c r="Y79" s="268" t="str">
        <f t="shared" si="4"/>
        <v>Alat Kebersihan</v>
      </c>
      <c r="Z79" s="649" t="str">
        <f t="shared" si="5"/>
        <v>Alat Kebersihan</v>
      </c>
      <c r="AA79" s="650" t="s">
        <v>3363</v>
      </c>
      <c r="AB79" s="269">
        <v>12100</v>
      </c>
      <c r="AC79" s="269">
        <v>121000</v>
      </c>
      <c r="AD79" s="267">
        <v>121000</v>
      </c>
      <c r="AE79" s="270">
        <v>109009.00900900901</v>
      </c>
      <c r="AF79" s="270">
        <v>121000</v>
      </c>
      <c r="AG79" s="805" t="s">
        <v>3883</v>
      </c>
      <c r="AH79" s="651" t="str">
        <f>Data2025!W78</f>
        <v>081375309828</v>
      </c>
    </row>
    <row r="80" spans="1:34" ht="16.5" thickTop="1" thickBot="1">
      <c r="A80" s="636" t="str">
        <f>Data2025!G79</f>
        <v>07</v>
      </c>
      <c r="B80" s="637" t="str">
        <f>Data2025!K79</f>
        <v>BPU07</v>
      </c>
      <c r="C80" s="638" t="str">
        <f>Data2025!D79</f>
        <v>06. 05. 09.</v>
      </c>
      <c r="D80" s="639" t="str">
        <f>Data2025!C79</f>
        <v>5.1.02.01.01.0030</v>
      </c>
      <c r="E80" s="265">
        <f>Data2025!E79</f>
        <v>45661</v>
      </c>
      <c r="F80" s="640" t="str">
        <f>Data2025!F79</f>
        <v>06/01/2025</v>
      </c>
      <c r="G80" s="265" t="str">
        <f>Data2025!H79</f>
        <v>06/01/2025</v>
      </c>
      <c r="H80" s="265" t="str">
        <f t="shared" si="3"/>
        <v>06/01/2025</v>
      </c>
      <c r="I80" s="641" t="str">
        <f>Data2025!J79</f>
        <v>23/01/2025</v>
      </c>
      <c r="J80" s="381" t="str">
        <f>Data2025!L79</f>
        <v>Alat Pel lantai besar</v>
      </c>
      <c r="K80" s="381" t="str">
        <f>Data2025!M79</f>
        <v>Alat Pel lantai besar</v>
      </c>
      <c r="L80" s="642">
        <f>Data2025!N79</f>
        <v>5</v>
      </c>
      <c r="M80" s="642" t="str">
        <f>Data2025!O79</f>
        <v>buah</v>
      </c>
      <c r="N80" s="643">
        <f>Data2025!P79</f>
        <v>169000</v>
      </c>
      <c r="O80" s="644">
        <f>Data2025!Q79</f>
        <v>845000</v>
      </c>
      <c r="P80" s="645" t="s">
        <v>2609</v>
      </c>
      <c r="Q80" s="646" t="str">
        <f>VLOOKUP(K80,Sheet1!$C$1:$D$101,2,)</f>
        <v>Alat Pel lantai besar (Merek : Nagoya Code : 703-L, Ukuran : Besar, Tongkat : Aluminium, Kepala Pel: Sumbu, Panjang Tongkat 110cm, Lebar Kelapa Pel: 19cm)</v>
      </c>
      <c r="R80" s="267">
        <v>45000</v>
      </c>
      <c r="S80" s="647">
        <v>51000</v>
      </c>
      <c r="T80" s="648" t="str">
        <f>Data2025!T79</f>
        <v>UD. JOSUA</v>
      </c>
      <c r="U80" s="268" t="s">
        <v>538</v>
      </c>
      <c r="V80" s="648" t="str">
        <f>Data2025!V79</f>
        <v>Gestiwan Bazikho</v>
      </c>
      <c r="W80" s="648" t="str">
        <f>Data2025!X79</f>
        <v>Jl. Diponegoro Kel. Pasar Telukdalam - Nias Selatan</v>
      </c>
      <c r="X80" s="268" t="s">
        <v>541</v>
      </c>
      <c r="Y80" s="268" t="str">
        <f t="shared" si="4"/>
        <v>Alat Kebersihan</v>
      </c>
      <c r="Z80" s="649" t="str">
        <f t="shared" si="5"/>
        <v>Alat Kebersihan</v>
      </c>
      <c r="AA80" s="650" t="s">
        <v>3363</v>
      </c>
      <c r="AB80" s="269">
        <v>15000</v>
      </c>
      <c r="AC80" s="269">
        <v>45000</v>
      </c>
      <c r="AD80" s="267">
        <v>45000</v>
      </c>
      <c r="AE80" s="270">
        <v>40540.54054054054</v>
      </c>
      <c r="AF80" s="270">
        <v>45000</v>
      </c>
      <c r="AG80" s="805" t="s">
        <v>3883</v>
      </c>
      <c r="AH80" s="651" t="str">
        <f>Data2025!W79</f>
        <v>081375309828</v>
      </c>
    </row>
    <row r="81" spans="1:36" ht="16.5" thickTop="1" thickBot="1">
      <c r="A81" s="636" t="str">
        <f>Data2025!G80</f>
        <v>07</v>
      </c>
      <c r="B81" s="637" t="str">
        <f>Data2025!K80</f>
        <v>BPU07</v>
      </c>
      <c r="C81" s="638" t="str">
        <f>Data2025!D80</f>
        <v>06. 05. 09.</v>
      </c>
      <c r="D81" s="639" t="str">
        <f>Data2025!C80</f>
        <v>5.1.02.01.01.0030</v>
      </c>
      <c r="E81" s="265">
        <f>Data2025!E80</f>
        <v>45661</v>
      </c>
      <c r="F81" s="640" t="str">
        <f>Data2025!F80</f>
        <v>06/01/2025</v>
      </c>
      <c r="G81" s="265" t="str">
        <f>Data2025!H80</f>
        <v>06/01/2025</v>
      </c>
      <c r="H81" s="265" t="str">
        <f t="shared" si="3"/>
        <v>06/01/2025</v>
      </c>
      <c r="I81" s="641" t="str">
        <f>Data2025!J80</f>
        <v>23/01/2025</v>
      </c>
      <c r="J81" s="381" t="str">
        <f>Data2025!L80</f>
        <v>Serok Air Besar--</v>
      </c>
      <c r="K81" s="381" t="str">
        <f>Data2025!M80</f>
        <v>Serok Air Besar--</v>
      </c>
      <c r="L81" s="642">
        <f>Data2025!N80</f>
        <v>5</v>
      </c>
      <c r="M81" s="642" t="str">
        <f>Data2025!O80</f>
        <v>buah</v>
      </c>
      <c r="N81" s="643">
        <f>Data2025!P80</f>
        <v>40000</v>
      </c>
      <c r="O81" s="644">
        <f>Data2025!Q80</f>
        <v>200000</v>
      </c>
      <c r="P81" s="645" t="s">
        <v>2609</v>
      </c>
      <c r="Q81" s="646" t="str">
        <f>VLOOKUP(K81,Sheet1!$C$1:$D$101,2,)</f>
        <v>Serok Air Besar (Merk : Dragon Ukuran : Lebar Karet 40 Cm Panjang Gagang 110 Cm. Berat: 2000 gr)</v>
      </c>
      <c r="R81" s="267">
        <v>300000</v>
      </c>
      <c r="S81" s="647">
        <v>320000</v>
      </c>
      <c r="T81" s="648" t="str">
        <f>Data2025!T80</f>
        <v>UD. JOSUA</v>
      </c>
      <c r="U81" s="268" t="s">
        <v>538</v>
      </c>
      <c r="V81" s="648" t="str">
        <f>Data2025!V80</f>
        <v>Gestiwan Bazikho</v>
      </c>
      <c r="W81" s="648" t="str">
        <f>Data2025!X80</f>
        <v>Jl. Diponegoro Kel. Pasar Telukdalam - Nias Selatan</v>
      </c>
      <c r="X81" s="268" t="s">
        <v>541</v>
      </c>
      <c r="Y81" s="268" t="str">
        <f t="shared" si="4"/>
        <v>Alat Kebersihan</v>
      </c>
      <c r="Z81" s="649" t="str">
        <f t="shared" si="5"/>
        <v>Alat Kebersihan</v>
      </c>
      <c r="AA81" s="650" t="s">
        <v>3367</v>
      </c>
      <c r="AB81" s="269">
        <v>30000</v>
      </c>
      <c r="AC81" s="269">
        <v>300000</v>
      </c>
      <c r="AD81" s="267">
        <v>300000</v>
      </c>
      <c r="AE81" s="270">
        <v>270270.2702702703</v>
      </c>
      <c r="AF81" s="270">
        <v>300000</v>
      </c>
      <c r="AG81" s="805" t="s">
        <v>3883</v>
      </c>
      <c r="AH81" s="651" t="str">
        <f>Data2025!W80</f>
        <v>081375309828</v>
      </c>
    </row>
    <row r="82" spans="1:36" ht="26" thickTop="1" thickBot="1">
      <c r="A82" s="636" t="str">
        <f>Data2025!G81</f>
        <v>07</v>
      </c>
      <c r="B82" s="637" t="str">
        <f>Data2025!K81</f>
        <v>BPU07</v>
      </c>
      <c r="C82" s="638" t="str">
        <f>Data2025!D81</f>
        <v>06. 05. 09.</v>
      </c>
      <c r="D82" s="639" t="str">
        <f>Data2025!C81</f>
        <v>5.1.02.01.01.0030</v>
      </c>
      <c r="E82" s="265">
        <f>Data2025!E81</f>
        <v>45661</v>
      </c>
      <c r="F82" s="640" t="str">
        <f>Data2025!F81</f>
        <v>06/01/2025</v>
      </c>
      <c r="G82" s="265" t="str">
        <f>Data2025!H81</f>
        <v>06/01/2025</v>
      </c>
      <c r="H82" s="265" t="str">
        <f t="shared" si="3"/>
        <v>06/01/2025</v>
      </c>
      <c r="I82" s="641" t="str">
        <f>Data2025!J81</f>
        <v>23/01/2025</v>
      </c>
      <c r="J82" s="381" t="str">
        <f>Data2025!L81</f>
        <v>Kain Lap  Bahan : Katun bermotif kotak-kotak</v>
      </c>
      <c r="K82" s="381" t="str">
        <f>Data2025!M81</f>
        <v>Kain Lap  Bahan : Katun bermotif kotak-kotak</v>
      </c>
      <c r="L82" s="642">
        <f>Data2025!N81</f>
        <v>10</v>
      </c>
      <c r="M82" s="642" t="str">
        <f>Data2025!O81</f>
        <v>lusin</v>
      </c>
      <c r="N82" s="643">
        <f>Data2025!P81</f>
        <v>75000</v>
      </c>
      <c r="O82" s="644">
        <f>Data2025!Q81</f>
        <v>750000</v>
      </c>
      <c r="P82" s="645" t="s">
        <v>2609</v>
      </c>
      <c r="Q82" s="646" t="str">
        <f>VLOOKUP(K82,Sheet1!$C$1:$D$101,2,)</f>
        <v>Kain Lap (Bahan: Katun, Motif: Kotak-Kotak)</v>
      </c>
      <c r="R82" s="267">
        <v>60000</v>
      </c>
      <c r="S82" s="647">
        <v>70000</v>
      </c>
      <c r="T82" s="648" t="str">
        <f>Data2025!T81</f>
        <v>UD. JOSUA</v>
      </c>
      <c r="U82" s="268" t="s">
        <v>538</v>
      </c>
      <c r="V82" s="648" t="str">
        <f>Data2025!V81</f>
        <v>Gestiwan Bazikho</v>
      </c>
      <c r="W82" s="648" t="str">
        <f>Data2025!X81</f>
        <v>Jl. Diponegoro Kel. Pasar Telukdalam - Nias Selatan</v>
      </c>
      <c r="X82" s="268" t="s">
        <v>541</v>
      </c>
      <c r="Y82" s="268" t="str">
        <f t="shared" si="4"/>
        <v>Alat Kebersihan</v>
      </c>
      <c r="Z82" s="649" t="str">
        <f t="shared" si="5"/>
        <v>Alat Kebersihan</v>
      </c>
      <c r="AA82" s="650" t="s">
        <v>3363</v>
      </c>
      <c r="AB82" s="269">
        <v>12000</v>
      </c>
      <c r="AC82" s="269">
        <v>60000</v>
      </c>
      <c r="AD82" s="267">
        <v>60000</v>
      </c>
      <c r="AE82" s="270">
        <v>54054.054054054053</v>
      </c>
      <c r="AF82" s="270">
        <v>60000</v>
      </c>
      <c r="AG82" s="805" t="s">
        <v>3883</v>
      </c>
      <c r="AH82" s="651" t="str">
        <f>Data2025!W81</f>
        <v>081375309828</v>
      </c>
    </row>
    <row r="83" spans="1:36" ht="16.5" thickTop="1" thickBot="1">
      <c r="A83" s="636" t="str">
        <f>Data2025!G82</f>
        <v>07</v>
      </c>
      <c r="B83" s="637" t="str">
        <f>Data2025!K82</f>
        <v>BPU07</v>
      </c>
      <c r="C83" s="638" t="str">
        <f>Data2025!D82</f>
        <v>06. 05. 09.</v>
      </c>
      <c r="D83" s="639" t="str">
        <f>Data2025!C82</f>
        <v>5.1.02.01.01.0030</v>
      </c>
      <c r="E83" s="265">
        <f>Data2025!E82</f>
        <v>45661</v>
      </c>
      <c r="F83" s="640" t="str">
        <f>Data2025!F82</f>
        <v>06/01/2025</v>
      </c>
      <c r="G83" s="265" t="str">
        <f>Data2025!H82</f>
        <v>06/01/2025</v>
      </c>
      <c r="H83" s="265" t="str">
        <f t="shared" si="3"/>
        <v>06/01/2025</v>
      </c>
      <c r="I83" s="641" t="str">
        <f>Data2025!J82</f>
        <v>23/01/2025</v>
      </c>
      <c r="J83" s="381" t="str">
        <f>Data2025!L82</f>
        <v>Serok Sampah--</v>
      </c>
      <c r="K83" s="381" t="str">
        <f>Data2025!M82</f>
        <v>Serok Sampah--</v>
      </c>
      <c r="L83" s="642">
        <f>Data2025!N82</f>
        <v>15</v>
      </c>
      <c r="M83" s="642" t="str">
        <f>Data2025!O82</f>
        <v>buah</v>
      </c>
      <c r="N83" s="643">
        <f>Data2025!P82</f>
        <v>25000</v>
      </c>
      <c r="O83" s="644">
        <f>Data2025!Q82</f>
        <v>375000</v>
      </c>
      <c r="P83" s="645" t="s">
        <v>2609</v>
      </c>
      <c r="Q83" s="646" t="str">
        <f>VLOOKUP(K83,Sheet1!$C$1:$D$101,2,)</f>
        <v xml:space="preserve">Serok sampah (merk Lion Star DP-5 Sigma Dust Pan, Lebar mulut serok 31,2 cm x panjang serokan 27,5 cm x Tinggi 83,5 cm)
</v>
      </c>
      <c r="R83" s="267">
        <v>150000</v>
      </c>
      <c r="S83" s="647">
        <v>174000</v>
      </c>
      <c r="T83" s="648" t="str">
        <f>Data2025!T82</f>
        <v>UD. JOSUA</v>
      </c>
      <c r="U83" s="268" t="s">
        <v>538</v>
      </c>
      <c r="V83" s="648" t="str">
        <f>Data2025!V82</f>
        <v>Gestiwan Bazikho</v>
      </c>
      <c r="W83" s="648" t="str">
        <f>Data2025!X82</f>
        <v>Jl. Diponegoro Kel. Pasar Telukdalam - Nias Selatan</v>
      </c>
      <c r="X83" s="268" t="s">
        <v>541</v>
      </c>
      <c r="Y83" s="268" t="str">
        <f t="shared" si="4"/>
        <v>Alat Kebersihan</v>
      </c>
      <c r="Z83" s="649" t="str">
        <f t="shared" si="5"/>
        <v>Alat Kebersihan</v>
      </c>
      <c r="AA83" s="650" t="s">
        <v>3363</v>
      </c>
      <c r="AB83" s="269">
        <v>12500</v>
      </c>
      <c r="AC83" s="269">
        <v>150000</v>
      </c>
      <c r="AD83" s="267">
        <v>150000</v>
      </c>
      <c r="AE83" s="270">
        <v>135135.13513513515</v>
      </c>
      <c r="AF83" s="270">
        <v>150000</v>
      </c>
      <c r="AG83" s="805" t="s">
        <v>3883</v>
      </c>
      <c r="AH83" s="651" t="str">
        <f>Data2025!W82</f>
        <v>081375309828</v>
      </c>
    </row>
    <row r="84" spans="1:36" ht="16.5" thickTop="1" thickBot="1">
      <c r="A84" s="636" t="str">
        <f>Data2025!G83</f>
        <v>07</v>
      </c>
      <c r="B84" s="637" t="str">
        <f>Data2025!K83</f>
        <v>BPU07</v>
      </c>
      <c r="C84" s="638" t="str">
        <f>Data2025!D83</f>
        <v>06. 05. 09.</v>
      </c>
      <c r="D84" s="639" t="str">
        <f>Data2025!C83</f>
        <v>5.1.02.01.01.0030</v>
      </c>
      <c r="E84" s="265">
        <f>Data2025!E83</f>
        <v>45661</v>
      </c>
      <c r="F84" s="640" t="str">
        <f>Data2025!F83</f>
        <v>06/01/2025</v>
      </c>
      <c r="G84" s="265" t="str">
        <f>Data2025!H83</f>
        <v>06/01/2025</v>
      </c>
      <c r="H84" s="265" t="str">
        <f t="shared" si="3"/>
        <v>06/01/2025</v>
      </c>
      <c r="I84" s="641" t="str">
        <f>Data2025!J83</f>
        <v>23/01/2025</v>
      </c>
      <c r="J84" s="381" t="str">
        <f>Data2025!L83</f>
        <v>Tempat sampah</v>
      </c>
      <c r="K84" s="381" t="str">
        <f>Data2025!M83</f>
        <v>Tempat sampah</v>
      </c>
      <c r="L84" s="642">
        <f>Data2025!N83</f>
        <v>35</v>
      </c>
      <c r="M84" s="642" t="str">
        <f>Data2025!O83</f>
        <v>buah</v>
      </c>
      <c r="N84" s="643">
        <f>Data2025!P83</f>
        <v>20000</v>
      </c>
      <c r="O84" s="644">
        <f>Data2025!Q83</f>
        <v>700000</v>
      </c>
      <c r="P84" s="645" t="s">
        <v>2609</v>
      </c>
      <c r="Q84" s="646" t="str">
        <f>VLOOKUP(K84,Sheet1!$C$1:$D$101,2,)</f>
        <v>Tempat sampah (Bahan Plastik 33x32cm,)</v>
      </c>
      <c r="R84" s="267">
        <v>60000</v>
      </c>
      <c r="S84" s="647">
        <v>70000</v>
      </c>
      <c r="T84" s="648" t="str">
        <f>Data2025!T83</f>
        <v>UD. JOSUA</v>
      </c>
      <c r="U84" s="268" t="s">
        <v>538</v>
      </c>
      <c r="V84" s="648" t="str">
        <f>Data2025!V83</f>
        <v>Gestiwan Bazikho</v>
      </c>
      <c r="W84" s="648" t="str">
        <f>Data2025!X83</f>
        <v>Jl. Diponegoro Kel. Pasar Telukdalam - Nias Selatan</v>
      </c>
      <c r="X84" s="268" t="s">
        <v>541</v>
      </c>
      <c r="Y84" s="268" t="str">
        <f t="shared" si="4"/>
        <v>Alat Kebersihan</v>
      </c>
      <c r="Z84" s="649" t="str">
        <f t="shared" si="5"/>
        <v>Alat Kebersihan</v>
      </c>
      <c r="AA84" s="650" t="s">
        <v>3363</v>
      </c>
      <c r="AB84" s="269">
        <v>12000</v>
      </c>
      <c r="AC84" s="269">
        <v>60000</v>
      </c>
      <c r="AD84" s="267">
        <v>60000</v>
      </c>
      <c r="AE84" s="270">
        <v>54054.054054054053</v>
      </c>
      <c r="AF84" s="270">
        <v>60000</v>
      </c>
      <c r="AG84" s="805" t="s">
        <v>3883</v>
      </c>
      <c r="AH84" s="651" t="str">
        <f>Data2025!W83</f>
        <v>081375309828</v>
      </c>
    </row>
    <row r="85" spans="1:36" ht="16.5" thickTop="1" thickBot="1">
      <c r="A85" s="636" t="str">
        <f>Data2025!G84</f>
        <v>07</v>
      </c>
      <c r="B85" s="637" t="str">
        <f>Data2025!K84</f>
        <v>BPU07</v>
      </c>
      <c r="C85" s="638" t="str">
        <f>Data2025!D84</f>
        <v>06. 05. 09.</v>
      </c>
      <c r="D85" s="639" t="str">
        <f>Data2025!C84</f>
        <v>5.1.02.01.01.0030</v>
      </c>
      <c r="E85" s="265">
        <f>Data2025!E84</f>
        <v>45661</v>
      </c>
      <c r="F85" s="640" t="str">
        <f>Data2025!F84</f>
        <v>06/01/2025</v>
      </c>
      <c r="G85" s="265" t="str">
        <f>Data2025!H84</f>
        <v>06/01/2025</v>
      </c>
      <c r="H85" s="265" t="str">
        <f t="shared" si="3"/>
        <v>06/01/2025</v>
      </c>
      <c r="I85" s="641" t="str">
        <f>Data2025!J84</f>
        <v>23/01/2025</v>
      </c>
      <c r="J85" s="381" t="str">
        <f>Data2025!L84</f>
        <v>Gayung</v>
      </c>
      <c r="K85" s="381" t="str">
        <f>Data2025!M84</f>
        <v>Gayung</v>
      </c>
      <c r="L85" s="642">
        <f>Data2025!N84</f>
        <v>10</v>
      </c>
      <c r="M85" s="642" t="str">
        <f>Data2025!O84</f>
        <v>buah</v>
      </c>
      <c r="N85" s="643">
        <f>Data2025!P84</f>
        <v>34500</v>
      </c>
      <c r="O85" s="644">
        <f>Data2025!Q84</f>
        <v>345000</v>
      </c>
      <c r="P85" s="645" t="s">
        <v>2609</v>
      </c>
      <c r="Q85" s="646" t="str">
        <f>VLOOKUP(K85,Sheet1!$C$1:$D$101,2,)</f>
        <v xml:space="preserve">Gayung Lion Stars (Isi: 1,5 liter, diameter: 14 cm dan tinggi 13 cm)
 </v>
      </c>
      <c r="R85" s="267">
        <v>700000</v>
      </c>
      <c r="S85" s="647">
        <v>770000</v>
      </c>
      <c r="T85" s="648" t="str">
        <f>Data2025!T84</f>
        <v>UD. JOSUA</v>
      </c>
      <c r="U85" s="268" t="s">
        <v>538</v>
      </c>
      <c r="V85" s="648" t="str">
        <f>Data2025!V84</f>
        <v>Gestiwan Bazikho</v>
      </c>
      <c r="W85" s="648" t="str">
        <f>Data2025!X84</f>
        <v>Jl. Diponegoro Kel. Pasar Telukdalam - Nias Selatan</v>
      </c>
      <c r="X85" s="268" t="s">
        <v>541</v>
      </c>
      <c r="Y85" s="268" t="str">
        <f t="shared" si="4"/>
        <v>Alat Kebersihan</v>
      </c>
      <c r="Z85" s="649" t="str">
        <f t="shared" si="5"/>
        <v>Alat Kebersihan</v>
      </c>
      <c r="AA85" s="650" t="s">
        <v>3363</v>
      </c>
      <c r="AB85" s="269">
        <v>20000</v>
      </c>
      <c r="AC85" s="269">
        <v>700000</v>
      </c>
      <c r="AD85" s="267">
        <v>700000</v>
      </c>
      <c r="AE85" s="270">
        <v>630630.63063063065</v>
      </c>
      <c r="AF85" s="270">
        <v>700000</v>
      </c>
      <c r="AG85" s="805" t="s">
        <v>3883</v>
      </c>
      <c r="AH85" s="651" t="str">
        <f>Data2025!W84</f>
        <v>081375309828</v>
      </c>
    </row>
    <row r="86" spans="1:36" ht="16.5" thickTop="1" thickBot="1">
      <c r="A86" s="636" t="str">
        <f>Data2025!G85</f>
        <v>07</v>
      </c>
      <c r="B86" s="637" t="str">
        <f>Data2025!K85</f>
        <v>BPU07</v>
      </c>
      <c r="C86" s="638" t="str">
        <f>Data2025!D85</f>
        <v>06. 05. 09.</v>
      </c>
      <c r="D86" s="639" t="str">
        <f>Data2025!C85</f>
        <v>5.1.02.01.01.0030</v>
      </c>
      <c r="E86" s="265">
        <f>Data2025!E85</f>
        <v>45661</v>
      </c>
      <c r="F86" s="640" t="str">
        <f>Data2025!F85</f>
        <v>06/01/2025</v>
      </c>
      <c r="G86" s="265" t="str">
        <f>Data2025!H85</f>
        <v>06/01/2025</v>
      </c>
      <c r="H86" s="265" t="str">
        <f t="shared" si="3"/>
        <v>06/01/2025</v>
      </c>
      <c r="I86" s="641" t="str">
        <f>Data2025!J85</f>
        <v>23/01/2025</v>
      </c>
      <c r="J86" s="381" t="str">
        <f>Data2025!L85</f>
        <v>Tisu--</v>
      </c>
      <c r="K86" s="381" t="str">
        <f>Data2025!M85</f>
        <v>Tisu--</v>
      </c>
      <c r="L86" s="642">
        <f>Data2025!N85</f>
        <v>12</v>
      </c>
      <c r="M86" s="642" t="str">
        <f>Data2025!O85</f>
        <v>buah</v>
      </c>
      <c r="N86" s="643">
        <f>Data2025!P85</f>
        <v>12500</v>
      </c>
      <c r="O86" s="644">
        <f>Data2025!Q85</f>
        <v>150000</v>
      </c>
      <c r="P86" s="645" t="s">
        <v>2609</v>
      </c>
      <c r="Q86" s="646" t="str">
        <f>VLOOKUP(K86,Sheet1!$C$1:$D$101,2,)</f>
        <v>Tissue (Merk JOLLY 250 Sheets 2 Ply, Berat Volume = 285 gr)</v>
      </c>
      <c r="R86" s="267">
        <v>875000</v>
      </c>
      <c r="S86" s="647">
        <v>925000</v>
      </c>
      <c r="T86" s="648" t="str">
        <f>Data2025!T85</f>
        <v>UD. JOSUA</v>
      </c>
      <c r="U86" s="268" t="s">
        <v>538</v>
      </c>
      <c r="V86" s="648" t="str">
        <f>Data2025!V85</f>
        <v>Gestiwan Bazikho</v>
      </c>
      <c r="W86" s="648" t="str">
        <f>Data2025!X85</f>
        <v>Jl. Diponegoro Kel. Pasar Telukdalam - Nias Selatan</v>
      </c>
      <c r="X86" s="268" t="s">
        <v>541</v>
      </c>
      <c r="Y86" s="268" t="str">
        <f t="shared" si="4"/>
        <v>Alat Kebersihan</v>
      </c>
      <c r="Z86" s="649" t="str">
        <f t="shared" si="5"/>
        <v>Alat Kebersihan</v>
      </c>
      <c r="AA86" s="650" t="s">
        <v>3363</v>
      </c>
      <c r="AB86" s="269">
        <v>35000</v>
      </c>
      <c r="AC86" s="269">
        <v>875000</v>
      </c>
      <c r="AD86" s="267">
        <v>875000</v>
      </c>
      <c r="AE86" s="270">
        <v>788288.28828828828</v>
      </c>
      <c r="AF86" s="270">
        <v>875000</v>
      </c>
      <c r="AG86" s="805" t="s">
        <v>3883</v>
      </c>
      <c r="AH86" s="651" t="str">
        <f>Data2025!W85</f>
        <v>081375309828</v>
      </c>
    </row>
    <row r="87" spans="1:36" ht="16.5" thickTop="1" thickBot="1">
      <c r="A87" s="636" t="str">
        <f>Data2025!G86</f>
        <v>07</v>
      </c>
      <c r="B87" s="637" t="str">
        <f>Data2025!K86</f>
        <v>BPU07</v>
      </c>
      <c r="C87" s="638" t="str">
        <f>Data2025!D86</f>
        <v>06. 05. 09.</v>
      </c>
      <c r="D87" s="639" t="str">
        <f>Data2025!C86</f>
        <v>5.1.02.01.01.0030</v>
      </c>
      <c r="E87" s="265">
        <f>Data2025!E86</f>
        <v>45661</v>
      </c>
      <c r="F87" s="640" t="str">
        <f>Data2025!F86</f>
        <v>06/01/2025</v>
      </c>
      <c r="G87" s="265" t="str">
        <f>Data2025!H86</f>
        <v>06/01/2025</v>
      </c>
      <c r="H87" s="265" t="str">
        <f t="shared" si="3"/>
        <v>06/01/2025</v>
      </c>
      <c r="I87" s="641" t="str">
        <f>Data2025!J86</f>
        <v>23/01/2025</v>
      </c>
      <c r="J87" s="381" t="str">
        <f>Data2025!L86</f>
        <v>vixal 500ml</v>
      </c>
      <c r="K87" s="381" t="str">
        <f>Data2025!M86</f>
        <v>vixal 500ml</v>
      </c>
      <c r="L87" s="642">
        <f>Data2025!N86</f>
        <v>10</v>
      </c>
      <c r="M87" s="642" t="str">
        <f>Data2025!O86</f>
        <v>botol</v>
      </c>
      <c r="N87" s="643">
        <f>Data2025!P86</f>
        <v>30000</v>
      </c>
      <c r="O87" s="644">
        <f>Data2025!Q86</f>
        <v>300000</v>
      </c>
      <c r="P87" s="645" t="s">
        <v>2609</v>
      </c>
      <c r="Q87" s="646" t="str">
        <f>VLOOKUP(K87,Sheet1!$C$1:$D$101,2,)</f>
        <v>Pembersih Lantai (Merk vixal, Kemasan Botol, isi  500ml)</v>
      </c>
      <c r="R87" s="267">
        <v>900000</v>
      </c>
      <c r="S87" s="647">
        <v>930000</v>
      </c>
      <c r="T87" s="648" t="str">
        <f>Data2025!T86</f>
        <v>UD. JOSUA</v>
      </c>
      <c r="U87" s="268" t="s">
        <v>538</v>
      </c>
      <c r="V87" s="648" t="str">
        <f>Data2025!V86</f>
        <v>Gestiwan Bazikho</v>
      </c>
      <c r="W87" s="648" t="str">
        <f>Data2025!X86</f>
        <v>Jl. Diponegoro Kel. Pasar Telukdalam - Nias Selatan</v>
      </c>
      <c r="X87" s="268" t="s">
        <v>541</v>
      </c>
      <c r="Y87" s="268" t="str">
        <f t="shared" si="4"/>
        <v>Alat Kebersihan</v>
      </c>
      <c r="Z87" s="649" t="str">
        <f t="shared" si="5"/>
        <v>Alat Kebersihan</v>
      </c>
      <c r="AA87" s="650" t="s">
        <v>3363</v>
      </c>
      <c r="AB87" s="269">
        <v>60000</v>
      </c>
      <c r="AC87" s="269">
        <v>900000</v>
      </c>
      <c r="AD87" s="267">
        <v>900000</v>
      </c>
      <c r="AE87" s="270">
        <v>810810.81081081077</v>
      </c>
      <c r="AF87" s="270">
        <v>900000</v>
      </c>
      <c r="AG87" s="805" t="s">
        <v>3883</v>
      </c>
      <c r="AH87" s="651" t="str">
        <f>Data2025!W86</f>
        <v>081375309828</v>
      </c>
    </row>
    <row r="88" spans="1:36" ht="26" thickTop="1" thickBot="1">
      <c r="A88" s="636" t="str">
        <f>Data2025!G87</f>
        <v>07</v>
      </c>
      <c r="B88" s="637" t="str">
        <f>Data2025!K87</f>
        <v>BPU07</v>
      </c>
      <c r="C88" s="638" t="str">
        <f>Data2025!D87</f>
        <v>06. 05. 09.</v>
      </c>
      <c r="D88" s="639" t="str">
        <f>Data2025!C87</f>
        <v>5.1.02.01.01.0030</v>
      </c>
      <c r="E88" s="265">
        <f>Data2025!E87</f>
        <v>45661</v>
      </c>
      <c r="F88" s="640" t="str">
        <f>Data2025!F87</f>
        <v>06/01/2025</v>
      </c>
      <c r="G88" s="265" t="str">
        <f>Data2025!H87</f>
        <v>06/01/2025</v>
      </c>
      <c r="H88" s="265" t="str">
        <f t="shared" si="3"/>
        <v>06/01/2025</v>
      </c>
      <c r="I88" s="641" t="str">
        <f>Data2025!J87</f>
        <v>23/01/2025</v>
      </c>
      <c r="J88" s="381" t="str">
        <f>Data2025!L87</f>
        <v>Perlengkapan Kebersihan Pembersih Lantai Super Pel Varian 800ml</v>
      </c>
      <c r="K88" s="381" t="str">
        <f>J88</f>
        <v>Perlengkapan Kebersihan Pembersih Lantai Super Pel Varian 800ml</v>
      </c>
      <c r="L88" s="642">
        <f>Data2025!N87</f>
        <v>15</v>
      </c>
      <c r="M88" s="642" t="str">
        <f>Data2025!O87</f>
        <v>buah</v>
      </c>
      <c r="N88" s="643">
        <f>Data2025!P87</f>
        <v>13500</v>
      </c>
      <c r="O88" s="644">
        <f>Data2025!Q87</f>
        <v>202500</v>
      </c>
      <c r="P88" s="645" t="s">
        <v>2609</v>
      </c>
      <c r="Q88" s="646" t="str">
        <f>VLOOKUP(K88,Sheet1!$C$1:$D$101,2,)</f>
        <v>Super Pel (Merek: Super Pel, Varian 800ml/Refill)</v>
      </c>
      <c r="R88" s="267">
        <v>350000</v>
      </c>
      <c r="S88" s="647">
        <v>360000</v>
      </c>
      <c r="T88" s="648" t="str">
        <f>Data2025!T87</f>
        <v>UD. JOSUA</v>
      </c>
      <c r="U88" s="268" t="s">
        <v>538</v>
      </c>
      <c r="V88" s="648" t="str">
        <f>Data2025!V87</f>
        <v>Gestiwan Bazikho</v>
      </c>
      <c r="W88" s="648" t="str">
        <f>Data2025!X87</f>
        <v>Jl. Diponegoro Kel. Pasar Telukdalam - Nias Selatan</v>
      </c>
      <c r="X88" s="268" t="s">
        <v>541</v>
      </c>
      <c r="Y88" s="268" t="str">
        <f t="shared" si="4"/>
        <v>Alat Kebersihan</v>
      </c>
      <c r="Z88" s="649" t="str">
        <f t="shared" si="5"/>
        <v>Alat Kebersihan</v>
      </c>
      <c r="AA88" s="650" t="s">
        <v>3371</v>
      </c>
      <c r="AB88" s="269">
        <v>70000</v>
      </c>
      <c r="AC88" s="269">
        <v>350000</v>
      </c>
      <c r="AD88" s="267">
        <v>350000</v>
      </c>
      <c r="AE88" s="270">
        <v>315315.31531531533</v>
      </c>
      <c r="AF88" s="270">
        <v>350000</v>
      </c>
      <c r="AG88" s="805" t="s">
        <v>3883</v>
      </c>
      <c r="AH88" s="651" t="str">
        <f>Data2025!W87</f>
        <v>081375309828</v>
      </c>
    </row>
    <row r="89" spans="1:36" ht="16.5" thickTop="1" thickBot="1">
      <c r="A89" s="636" t="str">
        <f>Data2025!G88</f>
        <v>07</v>
      </c>
      <c r="B89" s="637" t="str">
        <f>Data2025!K88</f>
        <v>BPU07</v>
      </c>
      <c r="C89" s="638" t="str">
        <f>Data2025!D88</f>
        <v>06. 05. 09.</v>
      </c>
      <c r="D89" s="639" t="str">
        <f>Data2025!C88</f>
        <v>5.1.02.01.01.0030</v>
      </c>
      <c r="E89" s="265">
        <f>Data2025!E88</f>
        <v>45661</v>
      </c>
      <c r="F89" s="640" t="str">
        <f>Data2025!F88</f>
        <v>06/01/2025</v>
      </c>
      <c r="G89" s="265" t="str">
        <f>Data2025!H88</f>
        <v>06/01/2025</v>
      </c>
      <c r="H89" s="265" t="str">
        <f t="shared" si="3"/>
        <v>06/01/2025</v>
      </c>
      <c r="I89" s="641" t="str">
        <f>Data2025!J88</f>
        <v>23/01/2025</v>
      </c>
      <c r="J89" s="381" t="str">
        <f>Data2025!L88</f>
        <v>Cairan Pembersih Kaca</v>
      </c>
      <c r="K89" s="381" t="str">
        <f t="shared" ref="K89:K94" si="6">J89</f>
        <v>Cairan Pembersih Kaca</v>
      </c>
      <c r="L89" s="642">
        <f>Data2025!N88</f>
        <v>5</v>
      </c>
      <c r="M89" s="642" t="str">
        <f>Data2025!O88</f>
        <v>buah</v>
      </c>
      <c r="N89" s="643">
        <f>Data2025!P88</f>
        <v>12000</v>
      </c>
      <c r="O89" s="644">
        <f>Data2025!Q88</f>
        <v>60000</v>
      </c>
      <c r="P89" s="645" t="s">
        <v>2609</v>
      </c>
      <c r="Q89" s="646" t="str">
        <f>VLOOKUP(K89,Sheet1!$C$1:$D$101,2,)</f>
        <v>Cling (Merek: Cling, Varian: Ocean Fresh 425 ml)</v>
      </c>
      <c r="R89" s="267">
        <v>375000</v>
      </c>
      <c r="S89" s="647">
        <v>405000</v>
      </c>
      <c r="T89" s="648" t="str">
        <f>Data2025!T88</f>
        <v>UD. JOSUA</v>
      </c>
      <c r="U89" s="268" t="s">
        <v>538</v>
      </c>
      <c r="V89" s="648" t="str">
        <f>Data2025!V88</f>
        <v>Gestiwan Bazikho</v>
      </c>
      <c r="W89" s="648" t="str">
        <f>Data2025!X88</f>
        <v>Jl. Diponegoro Kel. Pasar Telukdalam - Nias Selatan</v>
      </c>
      <c r="X89" s="268" t="s">
        <v>541</v>
      </c>
      <c r="Y89" s="268" t="str">
        <f t="shared" si="4"/>
        <v>Alat Kebersihan</v>
      </c>
      <c r="Z89" s="649" t="str">
        <f t="shared" si="5"/>
        <v>Alat Kebersihan</v>
      </c>
      <c r="AA89" s="650" t="s">
        <v>3363</v>
      </c>
      <c r="AB89" s="269">
        <v>25000</v>
      </c>
      <c r="AC89" s="269">
        <v>375000</v>
      </c>
      <c r="AD89" s="267">
        <v>375000</v>
      </c>
      <c r="AE89" s="270">
        <v>337837.83783783787</v>
      </c>
      <c r="AF89" s="270">
        <v>375000</v>
      </c>
      <c r="AG89" s="805" t="s">
        <v>3883</v>
      </c>
      <c r="AH89" s="651" t="str">
        <f>Data2025!W88</f>
        <v>081375309828</v>
      </c>
    </row>
    <row r="90" spans="1:36" ht="26" thickTop="1" thickBot="1">
      <c r="A90" s="636" t="str">
        <f>Data2025!G89</f>
        <v>07</v>
      </c>
      <c r="B90" s="637" t="str">
        <f>Data2025!K89</f>
        <v>BPU07</v>
      </c>
      <c r="C90" s="638" t="str">
        <f>Data2025!D89</f>
        <v>06. 05. 09.</v>
      </c>
      <c r="D90" s="639" t="str">
        <f>Data2025!C89</f>
        <v>5.1.02.01.01.0030</v>
      </c>
      <c r="E90" s="265">
        <f>Data2025!E89</f>
        <v>45661</v>
      </c>
      <c r="F90" s="640" t="str">
        <f>Data2025!F89</f>
        <v>06/01/2025</v>
      </c>
      <c r="G90" s="265" t="str">
        <f>Data2025!H89</f>
        <v>06/01/2025</v>
      </c>
      <c r="H90" s="265" t="str">
        <f t="shared" si="3"/>
        <v>06/01/2025</v>
      </c>
      <c r="I90" s="641" t="str">
        <f>Data2025!J89</f>
        <v>23/01/2025</v>
      </c>
      <c r="J90" s="381" t="str">
        <f>Data2025!L89</f>
        <v>Perlengkapan Kebersihan Pembersih Pakaian Sunlight Refil 800ml</v>
      </c>
      <c r="K90" s="381" t="str">
        <f t="shared" si="6"/>
        <v>Perlengkapan Kebersihan Pembersih Pakaian Sunlight Refil 800ml</v>
      </c>
      <c r="L90" s="642">
        <f>Data2025!N89</f>
        <v>3</v>
      </c>
      <c r="M90" s="642" t="str">
        <f>Data2025!O89</f>
        <v>buah</v>
      </c>
      <c r="N90" s="643">
        <f>Data2025!P89</f>
        <v>15000</v>
      </c>
      <c r="O90" s="644">
        <f>Data2025!Q89</f>
        <v>45000</v>
      </c>
      <c r="P90" s="645" t="s">
        <v>2609</v>
      </c>
      <c r="Q90" s="646" t="str">
        <f>VLOOKUP(K90,Sheet1!$C$1:$D$101,2,)</f>
        <v>Sunlight (Merk: Sunlight, Varian 800ml/Refill)</v>
      </c>
      <c r="R90" s="267">
        <v>510000</v>
      </c>
      <c r="S90" s="647">
        <v>540000</v>
      </c>
      <c r="T90" s="648" t="str">
        <f>Data2025!T89</f>
        <v>UD. JOSUA</v>
      </c>
      <c r="U90" s="268" t="s">
        <v>538</v>
      </c>
      <c r="V90" s="648" t="str">
        <f>Data2025!V89</f>
        <v>Gestiwan Bazikho</v>
      </c>
      <c r="W90" s="648" t="str">
        <f>Data2025!X89</f>
        <v>Jl. Diponegoro Kel. Pasar Telukdalam - Nias Selatan</v>
      </c>
      <c r="X90" s="268" t="s">
        <v>541</v>
      </c>
      <c r="Y90" s="268" t="str">
        <f t="shared" si="4"/>
        <v>Alat Kebersihan</v>
      </c>
      <c r="Z90" s="649" t="str">
        <f t="shared" si="5"/>
        <v>Alat Kebersihan</v>
      </c>
      <c r="AA90" s="650" t="s">
        <v>3363</v>
      </c>
      <c r="AB90" s="269">
        <v>34000</v>
      </c>
      <c r="AC90" s="269">
        <v>510000</v>
      </c>
      <c r="AD90" s="267">
        <v>510000</v>
      </c>
      <c r="AE90" s="270">
        <v>459459.45945945947</v>
      </c>
      <c r="AF90" s="270">
        <v>510000</v>
      </c>
      <c r="AG90" s="805" t="s">
        <v>3883</v>
      </c>
      <c r="AH90" s="651" t="str">
        <f>Data2025!W89</f>
        <v>081375309828</v>
      </c>
    </row>
    <row r="91" spans="1:36" ht="16.5" thickTop="1" thickBot="1">
      <c r="A91" s="636" t="str">
        <f>Data2025!G90</f>
        <v>07</v>
      </c>
      <c r="B91" s="637" t="str">
        <f>Data2025!K90</f>
        <v>BPU07</v>
      </c>
      <c r="C91" s="638" t="str">
        <f>Data2025!D90</f>
        <v>06. 05. 09.</v>
      </c>
      <c r="D91" s="639" t="str">
        <f>Data2025!C90</f>
        <v>5.1.02.01.01.0030</v>
      </c>
      <c r="E91" s="265">
        <f>Data2025!E90</f>
        <v>45661</v>
      </c>
      <c r="F91" s="640" t="str">
        <f>Data2025!F90</f>
        <v>06/01/2025</v>
      </c>
      <c r="G91" s="265" t="str">
        <f>Data2025!H90</f>
        <v>06/01/2025</v>
      </c>
      <c r="H91" s="265" t="str">
        <f t="shared" si="3"/>
        <v>06/01/2025</v>
      </c>
      <c r="I91" s="641" t="str">
        <f>Data2025!J90</f>
        <v>23/01/2025</v>
      </c>
      <c r="J91" s="381" t="str">
        <f>Data2025!L90</f>
        <v>Spon Cuci</v>
      </c>
      <c r="K91" s="381" t="str">
        <f t="shared" si="6"/>
        <v>Spon Cuci</v>
      </c>
      <c r="L91" s="642">
        <f>Data2025!N90</f>
        <v>5</v>
      </c>
      <c r="M91" s="642" t="str">
        <f>Data2025!O90</f>
        <v>buah</v>
      </c>
      <c r="N91" s="643">
        <f>Data2025!P90</f>
        <v>12000</v>
      </c>
      <c r="O91" s="644">
        <f>Data2025!Q90</f>
        <v>60000</v>
      </c>
      <c r="P91" s="645" t="s">
        <v>2609</v>
      </c>
      <c r="Q91" s="646" t="str">
        <f>VLOOKUP(K91,Sheet1!$C$1:$D$101,2,)</f>
        <v>Spon Cuci (ukuran tebal 3 cm, panjang 7cm x 9cm)</v>
      </c>
      <c r="R91" s="267">
        <v>60000</v>
      </c>
      <c r="S91" s="647">
        <v>70000</v>
      </c>
      <c r="T91" s="648" t="str">
        <f>Data2025!T90</f>
        <v>UD. JOSUA</v>
      </c>
      <c r="U91" s="268" t="s">
        <v>3380</v>
      </c>
      <c r="V91" s="648" t="str">
        <f>Data2025!V90</f>
        <v>Gestiwan Bazikho</v>
      </c>
      <c r="W91" s="648" t="str">
        <f>Data2025!X90</f>
        <v>Jl. Diponegoro Kel. Pasar Telukdalam - Nias Selatan</v>
      </c>
      <c r="X91" s="648" t="s">
        <v>3384</v>
      </c>
      <c r="Y91" s="268" t="str">
        <f t="shared" si="4"/>
        <v>Alat Kebersihan</v>
      </c>
      <c r="Z91" s="649" t="str">
        <f t="shared" si="5"/>
        <v>Alat Kebersihan</v>
      </c>
      <c r="AA91" s="650" t="s">
        <v>3363</v>
      </c>
      <c r="AB91" s="269">
        <v>12000</v>
      </c>
      <c r="AC91" s="269">
        <v>60000</v>
      </c>
      <c r="AD91" s="267">
        <v>60000</v>
      </c>
      <c r="AE91" s="270">
        <v>54054.054054054053</v>
      </c>
      <c r="AF91" s="270">
        <v>60000</v>
      </c>
      <c r="AG91" s="805" t="s">
        <v>3883</v>
      </c>
      <c r="AH91" s="651" t="str">
        <f>Data2025!W90</f>
        <v>081375309828</v>
      </c>
    </row>
    <row r="92" spans="1:36" ht="16.5" thickTop="1" thickBot="1">
      <c r="A92" s="636" t="str">
        <f>Data2025!G91</f>
        <v>07</v>
      </c>
      <c r="B92" s="637" t="str">
        <f>Data2025!K91</f>
        <v>BPU07</v>
      </c>
      <c r="C92" s="638" t="str">
        <f>Data2025!D91</f>
        <v>06. 05. 09.</v>
      </c>
      <c r="D92" s="639" t="str">
        <f>Data2025!C91</f>
        <v>5.1.02.01.01.0030</v>
      </c>
      <c r="E92" s="265">
        <f>Data2025!E91</f>
        <v>45661</v>
      </c>
      <c r="F92" s="640" t="str">
        <f>Data2025!F91</f>
        <v>06/01/2025</v>
      </c>
      <c r="G92" s="265" t="str">
        <f>Data2025!H91</f>
        <v>06/01/2025</v>
      </c>
      <c r="H92" s="265" t="str">
        <f t="shared" si="3"/>
        <v>06/01/2025</v>
      </c>
      <c r="I92" s="641" t="str">
        <f>Data2025!J91</f>
        <v>23/01/2025</v>
      </c>
      <c r="J92" s="381" t="str">
        <f>Data2025!L91</f>
        <v>Handsoap/Pencuci Tangan</v>
      </c>
      <c r="K92" s="381" t="str">
        <f t="shared" si="6"/>
        <v>Handsoap/Pencuci Tangan</v>
      </c>
      <c r="L92" s="642">
        <f>Data2025!N91</f>
        <v>5</v>
      </c>
      <c r="M92" s="642" t="str">
        <f>Data2025!O91</f>
        <v>botol</v>
      </c>
      <c r="N92" s="643">
        <f>Data2025!P91</f>
        <v>67000</v>
      </c>
      <c r="O92" s="644">
        <f>Data2025!Q91</f>
        <v>335000</v>
      </c>
      <c r="P92" s="645" t="s">
        <v>2609</v>
      </c>
      <c r="Q92" s="646" t="str">
        <f>VLOOKUP(K92,Sheet1!$C$1:$D$101,2,)</f>
        <v>Handsoap/Pencuci Tangan (Antibacterial Hand Soap - 250ml, ekstrak aloevera)</v>
      </c>
      <c r="R92" s="267">
        <v>160000</v>
      </c>
      <c r="S92" s="647">
        <v>164000</v>
      </c>
      <c r="T92" s="648" t="str">
        <f>Data2025!T91</f>
        <v>UD. JOSUA</v>
      </c>
      <c r="U92" s="268" t="s">
        <v>3380</v>
      </c>
      <c r="V92" s="648" t="str">
        <f>Data2025!V91</f>
        <v>Gestiwan Bazikho</v>
      </c>
      <c r="W92" s="648" t="str">
        <f>Data2025!X91</f>
        <v>Jl. Diponegoro Kel. Pasar Telukdalam - Nias Selatan</v>
      </c>
      <c r="X92" s="648" t="s">
        <v>3384</v>
      </c>
      <c r="Y92" s="268" t="str">
        <f t="shared" si="4"/>
        <v>Alat Kebersihan</v>
      </c>
      <c r="Z92" s="649" t="str">
        <f t="shared" si="5"/>
        <v>Alat Kebersihan</v>
      </c>
      <c r="AA92" s="650" t="s">
        <v>3362</v>
      </c>
      <c r="AB92" s="269">
        <v>80000</v>
      </c>
      <c r="AC92" s="269">
        <v>160000</v>
      </c>
      <c r="AD92" s="267">
        <v>160000</v>
      </c>
      <c r="AE92" s="270">
        <v>144144.14414414414</v>
      </c>
      <c r="AF92" s="270">
        <v>160000</v>
      </c>
      <c r="AG92" s="805" t="s">
        <v>3883</v>
      </c>
      <c r="AH92" s="651" t="str">
        <f>Data2025!W91</f>
        <v>081375309828</v>
      </c>
    </row>
    <row r="93" spans="1:36" ht="16.5" thickTop="1" thickBot="1">
      <c r="A93" s="636" t="str">
        <f>Data2025!G92</f>
        <v>07</v>
      </c>
      <c r="B93" s="637" t="str">
        <f>Data2025!K92</f>
        <v>BPU07</v>
      </c>
      <c r="C93" s="638" t="str">
        <f>Data2025!D92</f>
        <v>06. 05. 09.</v>
      </c>
      <c r="D93" s="639" t="str">
        <f>Data2025!C92</f>
        <v>5.1.02.01.01.0030</v>
      </c>
      <c r="E93" s="265">
        <f>Data2025!E92</f>
        <v>45661</v>
      </c>
      <c r="F93" s="640" t="str">
        <f>Data2025!F92</f>
        <v>06/01/2025</v>
      </c>
      <c r="G93" s="265" t="str">
        <f>Data2025!H92</f>
        <v>06/01/2025</v>
      </c>
      <c r="H93" s="265" t="str">
        <f t="shared" si="3"/>
        <v>06/01/2025</v>
      </c>
      <c r="I93" s="641" t="str">
        <f>Data2025!J92</f>
        <v>23/01/2025</v>
      </c>
      <c r="J93" s="381" t="str">
        <f>Data2025!L92</f>
        <v>Pengharum Ruangan</v>
      </c>
      <c r="K93" s="381" t="str">
        <f t="shared" si="6"/>
        <v>Pengharum Ruangan</v>
      </c>
      <c r="L93" s="642">
        <f>Data2025!N92</f>
        <v>10</v>
      </c>
      <c r="M93" s="642" t="str">
        <f>Data2025!O92</f>
        <v>buah</v>
      </c>
      <c r="N93" s="643">
        <f>Data2025!P92</f>
        <v>12100</v>
      </c>
      <c r="O93" s="644">
        <f>Data2025!Q92</f>
        <v>121000</v>
      </c>
      <c r="P93" s="645" t="s">
        <v>2609</v>
      </c>
      <c r="Q93" s="646" t="str">
        <f>VLOOKUP(K93,Sheet1!$C$1:$D$101,2,)</f>
        <v>Pengharum Ruangan (Stella Pengharum Ruangan Gantung Lavender 42 g)</v>
      </c>
      <c r="R93" s="267">
        <v>75000</v>
      </c>
      <c r="S93" s="647">
        <v>85000</v>
      </c>
      <c r="T93" s="648" t="str">
        <f>Data2025!T92</f>
        <v>UD. JOSUA</v>
      </c>
      <c r="U93" s="268" t="s">
        <v>3380</v>
      </c>
      <c r="V93" s="648" t="str">
        <f>Data2025!V92</f>
        <v>Gestiwan Bazikho</v>
      </c>
      <c r="W93" s="648" t="str">
        <f>Data2025!X92</f>
        <v>Jl. Diponegoro Kel. Pasar Telukdalam - Nias Selatan</v>
      </c>
      <c r="X93" s="648" t="s">
        <v>3384</v>
      </c>
      <c r="Y93" s="268" t="str">
        <f t="shared" si="4"/>
        <v>Alat Kebersihan</v>
      </c>
      <c r="Z93" s="649" t="str">
        <f t="shared" si="5"/>
        <v>Alat Kebersihan</v>
      </c>
      <c r="AA93" s="650" t="s">
        <v>3363</v>
      </c>
      <c r="AB93" s="269">
        <v>15000</v>
      </c>
      <c r="AC93" s="269">
        <v>75000</v>
      </c>
      <c r="AD93" s="267">
        <v>75000</v>
      </c>
      <c r="AE93" s="270">
        <v>67567.567567567574</v>
      </c>
      <c r="AF93" s="270">
        <v>75000</v>
      </c>
      <c r="AG93" s="805" t="s">
        <v>3883</v>
      </c>
      <c r="AH93" s="651" t="str">
        <f>Data2025!W92</f>
        <v>081375309828</v>
      </c>
    </row>
    <row r="94" spans="1:36" ht="16.5" thickTop="1" thickBot="1">
      <c r="A94" s="636" t="str">
        <f>Data2025!G93</f>
        <v>07</v>
      </c>
      <c r="B94" s="637" t="str">
        <f>Data2025!K93</f>
        <v>BPU07</v>
      </c>
      <c r="C94" s="638" t="str">
        <f>Data2025!D93</f>
        <v>06. 05. 09.</v>
      </c>
      <c r="D94" s="639" t="str">
        <f>Data2025!C93</f>
        <v>5.1.02.01.01.0030</v>
      </c>
      <c r="E94" s="265">
        <f>Data2025!E93</f>
        <v>45661</v>
      </c>
      <c r="F94" s="640" t="str">
        <f>Data2025!F93</f>
        <v>06/01/2025</v>
      </c>
      <c r="G94" s="265" t="str">
        <f>Data2025!H93</f>
        <v>06/01/2025</v>
      </c>
      <c r="H94" s="265" t="str">
        <f t="shared" si="3"/>
        <v>06/01/2025</v>
      </c>
      <c r="I94" s="641" t="str">
        <f>Data2025!J93</f>
        <v>23/01/2025</v>
      </c>
      <c r="J94" s="381" t="str">
        <f>Data2025!L93</f>
        <v>Hand Sanitizer-Unit</v>
      </c>
      <c r="K94" s="381" t="str">
        <f t="shared" si="6"/>
        <v>Hand Sanitizer-Unit</v>
      </c>
      <c r="L94" s="642">
        <f>Data2025!N93</f>
        <v>5</v>
      </c>
      <c r="M94" s="642" t="str">
        <f>Data2025!O93</f>
        <v>unit</v>
      </c>
      <c r="N94" s="643">
        <f>Data2025!P93</f>
        <v>70000</v>
      </c>
      <c r="O94" s="644">
        <f>Data2025!Q93</f>
        <v>350000</v>
      </c>
      <c r="P94" s="645" t="s">
        <v>2609</v>
      </c>
      <c r="Q94" s="646" t="str">
        <f>VLOOKUP(K94,Sheet1!$C$1:$D$101,2,)</f>
        <v>Hand Sanitizer (Kemasan Botol 500ml)</v>
      </c>
      <c r="R94" s="267">
        <v>110000</v>
      </c>
      <c r="S94" s="647">
        <v>120000</v>
      </c>
      <c r="T94" s="648" t="str">
        <f>Data2025!T93</f>
        <v>UD. JOSUA</v>
      </c>
      <c r="U94" s="268" t="s">
        <v>3380</v>
      </c>
      <c r="V94" s="648" t="str">
        <f>Data2025!V93</f>
        <v>Gestiwan Bazikho</v>
      </c>
      <c r="W94" s="648" t="str">
        <f>Data2025!X93</f>
        <v>Jl. Diponegoro Kel. Pasar Telukdalam - Nias Selatan</v>
      </c>
      <c r="X94" s="648" t="s">
        <v>3384</v>
      </c>
      <c r="Y94" s="268" t="str">
        <f t="shared" si="4"/>
        <v>Alat Kebersihan</v>
      </c>
      <c r="Z94" s="649" t="str">
        <f t="shared" si="5"/>
        <v>Alat Kebersihan</v>
      </c>
      <c r="AA94" s="650" t="s">
        <v>3363</v>
      </c>
      <c r="AB94" s="269">
        <v>22000</v>
      </c>
      <c r="AC94" s="269">
        <v>110000</v>
      </c>
      <c r="AD94" s="267">
        <v>110000</v>
      </c>
      <c r="AE94" s="270">
        <v>99099.099099099098</v>
      </c>
      <c r="AF94" s="270">
        <v>110000</v>
      </c>
      <c r="AG94" s="805" t="s">
        <v>3883</v>
      </c>
      <c r="AH94" s="651" t="str">
        <f>Data2025!W93</f>
        <v>081375309828</v>
      </c>
    </row>
    <row r="95" spans="1:36" s="871" customFormat="1" ht="26" thickTop="1" thickBot="1">
      <c r="A95" s="848" t="str">
        <f>Data2025!G94</f>
        <v>08</v>
      </c>
      <c r="B95" s="849" t="str">
        <f>Data2025!K94</f>
        <v>BPU08</v>
      </c>
      <c r="C95" s="850" t="str">
        <f>Data2025!D94</f>
        <v>02. 03. 01.</v>
      </c>
      <c r="D95" s="851" t="str">
        <f>Data2025!C94</f>
        <v>5.1.02.01.01.0052</v>
      </c>
      <c r="E95" s="852">
        <f>Data2025!E94</f>
        <v>45663</v>
      </c>
      <c r="F95" s="853" t="str">
        <f>Data2025!F94</f>
        <v>07/01/2025</v>
      </c>
      <c r="G95" s="852" t="str">
        <f>Data2025!H94</f>
        <v>08/01/2025</v>
      </c>
      <c r="H95" s="852" t="str">
        <f t="shared" si="3"/>
        <v>08/01/2025</v>
      </c>
      <c r="I95" s="854" t="str">
        <f>Data2025!J94</f>
        <v>23/01/2025</v>
      </c>
      <c r="J95" s="855" t="str">
        <f>Data2025!L94</f>
        <v>Kudapan pada Kegiatan Rapat  penyusunan program kurikulum Semester Ganjil/Genap TP 2024/2025</v>
      </c>
      <c r="K95" s="855" t="str">
        <f>Data2025!M94</f>
        <v>Kue Besar</v>
      </c>
      <c r="L95" s="856">
        <f>Data2025!N94</f>
        <v>60</v>
      </c>
      <c r="M95" s="856" t="str">
        <f>Data2025!O94</f>
        <v>kotak</v>
      </c>
      <c r="N95" s="857">
        <f>Data2025!P94</f>
        <v>15000</v>
      </c>
      <c r="O95" s="858">
        <f>Data2025!Q94</f>
        <v>900000</v>
      </c>
      <c r="P95" s="859" t="s">
        <v>280</v>
      </c>
      <c r="Q95" s="860" t="str">
        <f>VLOOKUP(K95,Sheet1!$C$1:$D$101,2,)</f>
        <v>Kue (bahan tepung terigu, gula, telur, mentega; berat 100gr, panjang 15cm, lebar 8 cm)</v>
      </c>
      <c r="R95" s="861">
        <v>240000</v>
      </c>
      <c r="S95" s="862">
        <v>244000</v>
      </c>
      <c r="T95" s="863" t="str">
        <f>Data2025!T94</f>
        <v>Rumah Roti Helena</v>
      </c>
      <c r="U95" s="864" t="s">
        <v>3380</v>
      </c>
      <c r="V95" s="863" t="str">
        <f>Data2025!V94</f>
        <v>Fudi Supiyanto</v>
      </c>
      <c r="W95" s="863" t="str">
        <f>Data2025!X94</f>
        <v>Jln Ahmad Yani No.89 Kel. Pasar Telukdalam, Nias Selatan</v>
      </c>
      <c r="X95" s="863" t="s">
        <v>3384</v>
      </c>
      <c r="Y95" s="864" t="str">
        <f t="shared" si="4"/>
        <v>Kudapan</v>
      </c>
      <c r="Z95" s="865" t="str">
        <f t="shared" si="5"/>
        <v>Kudapan</v>
      </c>
      <c r="AA95" s="866" t="s">
        <v>3363</v>
      </c>
      <c r="AB95" s="867">
        <v>120000</v>
      </c>
      <c r="AC95" s="867">
        <v>240000</v>
      </c>
      <c r="AD95" s="861">
        <v>240000</v>
      </c>
      <c r="AE95" s="868">
        <v>216216.21621621621</v>
      </c>
      <c r="AF95" s="868">
        <v>240000</v>
      </c>
      <c r="AG95" s="869" t="s">
        <v>3883</v>
      </c>
      <c r="AH95" s="870" t="str">
        <f>Data2025!W94</f>
        <v>082164895397</v>
      </c>
      <c r="AI95" s="872"/>
      <c r="AJ95" s="872"/>
    </row>
    <row r="96" spans="1:36" ht="26" thickTop="1" thickBot="1">
      <c r="A96" s="636" t="str">
        <f>Data2025!G95</f>
        <v>09</v>
      </c>
      <c r="B96" s="637" t="str">
        <f>Data2025!K95</f>
        <v>BPU09</v>
      </c>
      <c r="C96" s="638" t="str">
        <f>Data2025!D95</f>
        <v>02. 03. 01.</v>
      </c>
      <c r="D96" s="639" t="str">
        <f>Data2025!C95</f>
        <v>5.1.02.01.01.0052</v>
      </c>
      <c r="E96" s="265">
        <f>Data2025!E95</f>
        <v>45663</v>
      </c>
      <c r="F96" s="640" t="str">
        <f>Data2025!F95</f>
        <v>07/01/2025</v>
      </c>
      <c r="G96" s="265" t="str">
        <f>Data2025!H95</f>
        <v>08/01/2025</v>
      </c>
      <c r="H96" s="265" t="str">
        <f t="shared" si="3"/>
        <v>08/01/2025</v>
      </c>
      <c r="I96" s="641" t="str">
        <f>Data2025!J95</f>
        <v>23/01/2025</v>
      </c>
      <c r="J96" s="381" t="str">
        <f>Data2025!L95</f>
        <v>Konsumsi pada Kegiatan Rapat  penyusunan program kurikulum Semester Ganjil/Genap TP 2024/2025</v>
      </c>
      <c r="K96" s="381" t="str">
        <f>Data2025!M95</f>
        <v>Nasi Kotak</v>
      </c>
      <c r="L96" s="642">
        <f>Data2025!N95</f>
        <v>60</v>
      </c>
      <c r="M96" s="642" t="str">
        <f>Data2025!O95</f>
        <v>kotak</v>
      </c>
      <c r="N96" s="643">
        <f>Data2025!P95</f>
        <v>40000</v>
      </c>
      <c r="O96" s="644">
        <f>Data2025!Q95</f>
        <v>2400000</v>
      </c>
      <c r="P96" s="645" t="s">
        <v>8</v>
      </c>
      <c r="Q96" s="646" t="str">
        <f>VLOOKUP(K96,Sheet1!$C$1:$D$101,2,)</f>
        <v>Nasi Kotak (isi: Nasi putih;Sop daging; Sayur; Berat 1000gr; Dimensi; (PxLxT) 25cmx25cmx10cm)</v>
      </c>
      <c r="R96" s="267">
        <v>75000</v>
      </c>
      <c r="S96" s="647">
        <v>85000</v>
      </c>
      <c r="T96" s="648" t="str">
        <f>Data2025!T95</f>
        <v>Resto JFC Esther</v>
      </c>
      <c r="U96" s="268" t="s">
        <v>3380</v>
      </c>
      <c r="V96" s="648" t="str">
        <f>Data2025!V95</f>
        <v>Limaati Daeli</v>
      </c>
      <c r="W96" s="648" t="str">
        <f>Data2025!X95</f>
        <v>Jl. Saonigeho Km. 2 Telukdalam - Nias Selatan</v>
      </c>
      <c r="X96" s="648" t="s">
        <v>3384</v>
      </c>
      <c r="Y96" s="268" t="str">
        <f t="shared" si="4"/>
        <v>Konsumsi</v>
      </c>
      <c r="Z96" s="649" t="str">
        <f t="shared" si="5"/>
        <v>Konsumsi</v>
      </c>
      <c r="AA96" s="650" t="s">
        <v>3363</v>
      </c>
      <c r="AB96" s="269">
        <v>15000</v>
      </c>
      <c r="AC96" s="269">
        <v>75000</v>
      </c>
      <c r="AD96" s="267">
        <v>75000</v>
      </c>
      <c r="AE96" s="270">
        <v>67567.567567567574</v>
      </c>
      <c r="AF96" s="270">
        <v>75000</v>
      </c>
      <c r="AG96" s="805" t="s">
        <v>3883</v>
      </c>
      <c r="AH96" s="651" t="str">
        <f>Data2025!W95</f>
        <v>085297578868</v>
      </c>
    </row>
    <row r="97" spans="1:36" ht="51" thickTop="1" thickBot="1">
      <c r="A97" s="636">
        <f>Data2025!G96</f>
        <v>10</v>
      </c>
      <c r="B97" s="637" t="str">
        <f>Data2025!K96</f>
        <v>BPU10</v>
      </c>
      <c r="C97" s="638" t="str">
        <f>Data2025!D96</f>
        <v>06. 05. 02.</v>
      </c>
      <c r="D97" s="639" t="str">
        <f>Data2025!C96</f>
        <v>5.1.02.04.01.0001</v>
      </c>
      <c r="E97" s="265" t="str">
        <f>Data2025!E96</f>
        <v>06/01/2025</v>
      </c>
      <c r="F97" s="640" t="str">
        <f>Data2025!F96</f>
        <v>08/01/2025</v>
      </c>
      <c r="G97" s="265" t="str">
        <f>Data2025!H96</f>
        <v>09/01/2025</v>
      </c>
      <c r="H97" s="265" t="str">
        <f t="shared" si="3"/>
        <v>09/01/2025</v>
      </c>
      <c r="I97" s="641" t="str">
        <f>Data2025!J96</f>
        <v>23/01/2025</v>
      </c>
      <c r="J97" s="381" t="str">
        <f>Data2025!L96</f>
        <v>Satuan Biaya Transportasi Udara Dalam Wilayah Provinsi ke Kabupaten/Kota se Sumatera Utara (Kabupaten/Kota Yang Sudah Ada Fasilitas Bandar Udara) - Medan -Gunung Sitoli ( Bandara Binaka )-NaN</v>
      </c>
      <c r="K97" s="381">
        <f>Data2025!M96</f>
        <v>0</v>
      </c>
      <c r="L97" s="642">
        <f>Data2025!N96</f>
        <v>2</v>
      </c>
      <c r="M97" s="642" t="str">
        <f>Data2025!O96</f>
        <v>orang / kali</v>
      </c>
      <c r="N97" s="643">
        <f>Data2025!P96</f>
        <v>1865000</v>
      </c>
      <c r="O97" s="644">
        <f>Data2025!Q96</f>
        <v>3730000</v>
      </c>
      <c r="P97" s="645"/>
      <c r="Q97" s="646" t="e">
        <f>VLOOKUP(K97,Sheet1!$C$1:$D$101,2,)</f>
        <v>#N/A</v>
      </c>
      <c r="R97" s="267">
        <v>900000</v>
      </c>
      <c r="S97" s="647">
        <v>1020000</v>
      </c>
      <c r="T97" s="648" t="str">
        <f>Data2025!T96</f>
        <v>NR. Simanullang</v>
      </c>
      <c r="U97" s="268" t="s">
        <v>2531</v>
      </c>
      <c r="V97" s="648" t="e">
        <f>Data2025!V96</f>
        <v>#N/A</v>
      </c>
      <c r="W97" s="648" t="e">
        <f>Data2025!X96</f>
        <v>#N/A</v>
      </c>
      <c r="X97" s="268" t="s">
        <v>2529</v>
      </c>
      <c r="Y97" s="268">
        <f t="shared" si="4"/>
        <v>0</v>
      </c>
      <c r="Z97" s="649">
        <f t="shared" si="5"/>
        <v>0</v>
      </c>
      <c r="AA97" s="650" t="s">
        <v>3362</v>
      </c>
      <c r="AB97" s="269">
        <v>15000</v>
      </c>
      <c r="AC97" s="269">
        <v>900000</v>
      </c>
      <c r="AD97" s="267">
        <v>900000</v>
      </c>
      <c r="AE97" s="270">
        <v>810810.81081081077</v>
      </c>
      <c r="AF97" s="270">
        <v>900000</v>
      </c>
      <c r="AG97" s="805" t="s">
        <v>3883</v>
      </c>
      <c r="AH97" s="651" t="e">
        <f>Data2025!W96</f>
        <v>#N/A</v>
      </c>
      <c r="AI97" s="277"/>
      <c r="AJ97" s="277"/>
    </row>
    <row r="98" spans="1:36" ht="26" thickTop="1" thickBot="1">
      <c r="A98" s="636">
        <f>Data2025!G97</f>
        <v>10</v>
      </c>
      <c r="B98" s="637" t="str">
        <f>Data2025!K97</f>
        <v>BPU10</v>
      </c>
      <c r="C98" s="638" t="str">
        <f>Data2025!D97</f>
        <v>06. 05. 02.</v>
      </c>
      <c r="D98" s="639" t="str">
        <f>Data2025!C97</f>
        <v>5.1.02.04.01.0001</v>
      </c>
      <c r="E98" s="265" t="str">
        <f>Data2025!E97</f>
        <v>06/01/2025</v>
      </c>
      <c r="F98" s="640" t="str">
        <f>Data2025!F97</f>
        <v>08/01/2025</v>
      </c>
      <c r="G98" s="265" t="str">
        <f>Data2025!H97</f>
        <v>09/01/2025</v>
      </c>
      <c r="H98" s="265" t="str">
        <f t="shared" si="3"/>
        <v>09/01/2025</v>
      </c>
      <c r="I98" s="641" t="str">
        <f>Data2025!J97</f>
        <v>23/01/2025</v>
      </c>
      <c r="J98" s="381" t="str">
        <f>Data2025!L97</f>
        <v>Uang Harian Perjalanan Dinas Dalam Negeri Luar Kota - Provinsi Sumatera Utara--</v>
      </c>
      <c r="K98" s="381">
        <f>Data2025!M97</f>
        <v>0</v>
      </c>
      <c r="L98" s="642">
        <f>Data2025!N97</f>
        <v>3</v>
      </c>
      <c r="M98" s="642" t="str">
        <f>Data2025!O97</f>
        <v>orang / hari</v>
      </c>
      <c r="N98" s="643">
        <f>Data2025!P97</f>
        <v>350000</v>
      </c>
      <c r="O98" s="644">
        <f>Data2025!Q97</f>
        <v>1050000</v>
      </c>
      <c r="P98" s="645"/>
      <c r="Q98" s="646" t="e">
        <f>VLOOKUP(K98,Sheet1!$C$1:$D$101,2,)</f>
        <v>#N/A</v>
      </c>
      <c r="R98" s="267">
        <v>2400000</v>
      </c>
      <c r="S98" s="647">
        <v>2520000</v>
      </c>
      <c r="T98" s="648" t="str">
        <f>Data2025!T97</f>
        <v>NR. Simanullang</v>
      </c>
      <c r="U98" s="268" t="s">
        <v>2520</v>
      </c>
      <c r="V98" s="648" t="e">
        <f>Data2025!V97</f>
        <v>#N/A</v>
      </c>
      <c r="W98" s="648" t="e">
        <f>Data2025!X97</f>
        <v>#N/A</v>
      </c>
      <c r="X98" s="268" t="s">
        <v>3391</v>
      </c>
      <c r="Y98" s="268">
        <f t="shared" si="4"/>
        <v>0</v>
      </c>
      <c r="Z98" s="649">
        <f t="shared" si="5"/>
        <v>0</v>
      </c>
      <c r="AA98" s="650" t="s">
        <v>3362</v>
      </c>
      <c r="AB98" s="269">
        <v>40000</v>
      </c>
      <c r="AC98" s="269">
        <v>2400000</v>
      </c>
      <c r="AD98" s="267">
        <v>2400000</v>
      </c>
      <c r="AE98" s="270">
        <v>2162162.1621621624</v>
      </c>
      <c r="AF98" s="270">
        <v>2400000</v>
      </c>
      <c r="AG98" s="805" t="s">
        <v>3883</v>
      </c>
      <c r="AH98" s="651" t="e">
        <f>Data2025!W97</f>
        <v>#N/A</v>
      </c>
    </row>
    <row r="99" spans="1:36" ht="26" thickTop="1" thickBot="1">
      <c r="A99" s="636">
        <f>Data2025!G98</f>
        <v>10</v>
      </c>
      <c r="B99" s="637" t="str">
        <f>Data2025!K98</f>
        <v>BPU10</v>
      </c>
      <c r="C99" s="638" t="str">
        <f>Data2025!D98</f>
        <v>06. 05. 02.</v>
      </c>
      <c r="D99" s="639" t="str">
        <f>Data2025!C98</f>
        <v>5.1.02.04.01.0001</v>
      </c>
      <c r="E99" s="265" t="str">
        <f>Data2025!E98</f>
        <v>06/01/2025</v>
      </c>
      <c r="F99" s="640" t="str">
        <f>Data2025!F98</f>
        <v>08/01/2025</v>
      </c>
      <c r="G99" s="265" t="str">
        <f>Data2025!H98</f>
        <v>09/01/2025</v>
      </c>
      <c r="H99" s="265" t="str">
        <f t="shared" si="3"/>
        <v>09/01/2025</v>
      </c>
      <c r="I99" s="641" t="str">
        <f>Data2025!J98</f>
        <v>23/01/2025</v>
      </c>
      <c r="J99" s="381" t="str">
        <f>Data2025!L98</f>
        <v>Satuan Penginapan Perjalanan Dinas Dalam Negeri Golongan I/II - Provinsi Sumatera Utara--</v>
      </c>
      <c r="K99" s="381">
        <f>Data2025!M98</f>
        <v>0</v>
      </c>
      <c r="L99" s="642">
        <f>Data2025!N98</f>
        <v>2</v>
      </c>
      <c r="M99" s="642" t="str">
        <f>Data2025!O98</f>
        <v>orang / hari</v>
      </c>
      <c r="N99" s="643">
        <f>Data2025!P98</f>
        <v>500000</v>
      </c>
      <c r="O99" s="644">
        <f>Data2025!Q98</f>
        <v>1000000</v>
      </c>
      <c r="P99" s="645"/>
      <c r="Q99" s="646" t="e">
        <f>VLOOKUP(K99,Sheet1!$C$1:$D$101,2,)</f>
        <v>#N/A</v>
      </c>
      <c r="R99" s="267">
        <v>1800000</v>
      </c>
      <c r="S99" s="647">
        <v>2040000</v>
      </c>
      <c r="T99" s="648" t="str">
        <f>Data2025!T98</f>
        <v>NR. Simanullang</v>
      </c>
      <c r="U99" s="268" t="s">
        <v>2531</v>
      </c>
      <c r="V99" s="648" t="e">
        <f>Data2025!V98</f>
        <v>#N/A</v>
      </c>
      <c r="W99" s="648" t="e">
        <f>Data2025!X98</f>
        <v>#N/A</v>
      </c>
      <c r="X99" s="268" t="s">
        <v>2529</v>
      </c>
      <c r="Y99" s="268">
        <f t="shared" si="4"/>
        <v>0</v>
      </c>
      <c r="Z99" s="649">
        <f t="shared" si="5"/>
        <v>0</v>
      </c>
      <c r="AA99" s="650" t="s">
        <v>3362</v>
      </c>
      <c r="AB99" s="269">
        <v>15000</v>
      </c>
      <c r="AC99" s="269">
        <v>1800000</v>
      </c>
      <c r="AD99" s="267">
        <v>1800000</v>
      </c>
      <c r="AE99" s="270">
        <v>1621621.6216216215</v>
      </c>
      <c r="AF99" s="270">
        <v>1800000</v>
      </c>
      <c r="AG99" s="805" t="s">
        <v>3883</v>
      </c>
      <c r="AH99" s="651" t="e">
        <f>Data2025!W98</f>
        <v>#N/A</v>
      </c>
    </row>
    <row r="100" spans="1:36" ht="16.5" thickTop="1" thickBot="1">
      <c r="A100" s="636">
        <f>Data2025!G99</f>
        <v>11</v>
      </c>
      <c r="B100" s="637" t="str">
        <f>Data2025!K99</f>
        <v>BPU11</v>
      </c>
      <c r="C100" s="638" t="str">
        <f>Data2025!D99</f>
        <v>05. 08. 10.</v>
      </c>
      <c r="D100" s="639" t="str">
        <f>Data2025!C99</f>
        <v>5.1.02.02.01.0035</v>
      </c>
      <c r="E100" s="265">
        <f>Data2025!E99</f>
        <v>45665</v>
      </c>
      <c r="F100" s="640" t="str">
        <f>Data2025!F99</f>
        <v>09/01/2025</v>
      </c>
      <c r="G100" s="265" t="str">
        <f>Data2025!H99</f>
        <v>09/01/2025</v>
      </c>
      <c r="H100" s="265" t="str">
        <f t="shared" si="3"/>
        <v>09/01/2025</v>
      </c>
      <c r="I100" s="641" t="str">
        <f>Data2025!J99</f>
        <v>23/01/2025</v>
      </c>
      <c r="J100" s="381" t="str">
        <f>Data2025!L99</f>
        <v>Jasa Perbaikan dan Pemeliharaan Listrik Sekolah</v>
      </c>
      <c r="K100" s="381">
        <f>Data2025!M99</f>
        <v>0</v>
      </c>
      <c r="L100" s="642">
        <f>Data2025!N99</f>
        <v>1</v>
      </c>
      <c r="M100" s="642" t="str">
        <f>Data2025!O99</f>
        <v>kegiatan</v>
      </c>
      <c r="N100" s="643">
        <f>Data2025!P99</f>
        <v>2250000</v>
      </c>
      <c r="O100" s="644">
        <f>Data2025!Q99</f>
        <v>2250000</v>
      </c>
      <c r="P100" s="645"/>
      <c r="Q100" s="646" t="e">
        <f>VLOOKUP(K100,Sheet1!$C$1:$D$101,2,)</f>
        <v>#N/A</v>
      </c>
      <c r="R100" s="267">
        <v>2400000</v>
      </c>
      <c r="S100" s="647">
        <v>2520000</v>
      </c>
      <c r="T100" s="648" t="str">
        <f>Data2025!T99</f>
        <v>Zefrianus Zai</v>
      </c>
      <c r="U100" s="268" t="s">
        <v>2520</v>
      </c>
      <c r="V100" s="648" t="e">
        <f>Data2025!V99</f>
        <v>#N/A</v>
      </c>
      <c r="W100" s="648" t="e">
        <f>Data2025!X99</f>
        <v>#N/A</v>
      </c>
      <c r="X100" s="268" t="s">
        <v>3391</v>
      </c>
      <c r="Y100" s="268">
        <f t="shared" si="4"/>
        <v>0</v>
      </c>
      <c r="Z100" s="649">
        <f t="shared" si="5"/>
        <v>0</v>
      </c>
      <c r="AA100" s="650" t="s">
        <v>3362</v>
      </c>
      <c r="AB100" s="269">
        <v>40000</v>
      </c>
      <c r="AC100" s="269">
        <v>2400000</v>
      </c>
      <c r="AD100" s="267">
        <v>2400000</v>
      </c>
      <c r="AE100" s="270">
        <v>2162162.1621621624</v>
      </c>
      <c r="AF100" s="270">
        <v>2400000</v>
      </c>
      <c r="AG100" s="805" t="s">
        <v>3883</v>
      </c>
      <c r="AH100" s="651" t="e">
        <f>Data2025!W99</f>
        <v>#N/A</v>
      </c>
    </row>
    <row r="101" spans="1:36" s="871" customFormat="1" ht="26" thickTop="1" thickBot="1">
      <c r="A101" s="848">
        <f>Data2025!G100</f>
        <v>12</v>
      </c>
      <c r="B101" s="849" t="str">
        <f>Data2025!K100</f>
        <v>BPU12</v>
      </c>
      <c r="C101" s="850" t="str">
        <f>Data2025!D100</f>
        <v>04. 06. 13.</v>
      </c>
      <c r="D101" s="851" t="str">
        <f>Data2025!C100</f>
        <v>5.1.02.01.01.0052</v>
      </c>
      <c r="E101" s="852">
        <f>Data2025!E100</f>
        <v>45666</v>
      </c>
      <c r="F101" s="853" t="str">
        <f>Data2025!F100</f>
        <v>10/01/2025</v>
      </c>
      <c r="G101" s="852" t="str">
        <f>Data2025!H100</f>
        <v>11/01/2025</v>
      </c>
      <c r="H101" s="852" t="str">
        <f t="shared" si="3"/>
        <v>11/01/2025</v>
      </c>
      <c r="I101" s="854" t="str">
        <f>Data2025!J100</f>
        <v>23/01/2025</v>
      </c>
      <c r="J101" s="855" t="str">
        <f>Data2025!L100</f>
        <v>Kudapan pada Kegiatan Pelatihan Peningkatan Kompetensi Guru untuk memperkuat numerasi</v>
      </c>
      <c r="K101" s="855" t="str">
        <f>Data2025!M100</f>
        <v>Kue Besar</v>
      </c>
      <c r="L101" s="856">
        <f>Data2025!N100</f>
        <v>60</v>
      </c>
      <c r="M101" s="856" t="str">
        <f>Data2025!O100</f>
        <v>kotak</v>
      </c>
      <c r="N101" s="857">
        <f>Data2025!P100</f>
        <v>15000</v>
      </c>
      <c r="O101" s="858">
        <f>Data2025!Q100</f>
        <v>900000</v>
      </c>
      <c r="P101" s="859" t="s">
        <v>280</v>
      </c>
      <c r="Q101" s="860" t="str">
        <f>VLOOKUP(K101,Sheet1!$C$1:$D$101,2,)</f>
        <v>Kue (bahan tepung terigu, gula, telur, mentega; berat 100gr, panjang 15cm, lebar 8 cm)</v>
      </c>
      <c r="R101" s="861">
        <v>900000</v>
      </c>
      <c r="S101" s="862">
        <v>1020000</v>
      </c>
      <c r="T101" s="863" t="str">
        <f>Data2025!T100</f>
        <v>Rumah Roti Helena</v>
      </c>
      <c r="U101" s="864" t="s">
        <v>2531</v>
      </c>
      <c r="V101" s="863" t="str">
        <f>Data2025!V100</f>
        <v>Fudi Supiyanto</v>
      </c>
      <c r="W101" s="863" t="str">
        <f>Data2025!X100</f>
        <v>Jln Ahmad Yani No.89 Kel. Pasar Telukdalam, Nias Selatan</v>
      </c>
      <c r="X101" s="864" t="s">
        <v>2529</v>
      </c>
      <c r="Y101" s="864" t="str">
        <f t="shared" si="4"/>
        <v>Kudapan</v>
      </c>
      <c r="Z101" s="865" t="str">
        <f t="shared" si="5"/>
        <v>Kudapan</v>
      </c>
      <c r="AA101" s="866" t="s">
        <v>3362</v>
      </c>
      <c r="AB101" s="867">
        <v>15000</v>
      </c>
      <c r="AC101" s="867">
        <v>900000</v>
      </c>
      <c r="AD101" s="861">
        <v>900000</v>
      </c>
      <c r="AE101" s="868">
        <v>810810.81081081077</v>
      </c>
      <c r="AF101" s="868">
        <v>900000</v>
      </c>
      <c r="AG101" s="869" t="s">
        <v>3883</v>
      </c>
      <c r="AH101" s="870" t="str">
        <f>Data2025!W100</f>
        <v>082164895397</v>
      </c>
    </row>
    <row r="102" spans="1:36" ht="26" thickTop="1" thickBot="1">
      <c r="A102" s="636">
        <f>Data2025!G101</f>
        <v>13</v>
      </c>
      <c r="B102" s="637" t="str">
        <f>Data2025!K101</f>
        <v>BPU13</v>
      </c>
      <c r="C102" s="638" t="str">
        <f>Data2025!D101</f>
        <v>04. 06. 13.</v>
      </c>
      <c r="D102" s="639" t="str">
        <f>Data2025!C101</f>
        <v>5.1.02.01.01.0052</v>
      </c>
      <c r="E102" s="265">
        <f>Data2025!E101</f>
        <v>45666</v>
      </c>
      <c r="F102" s="640" t="str">
        <f>Data2025!F101</f>
        <v>10/01/2025</v>
      </c>
      <c r="G102" s="265" t="str">
        <f>Data2025!H101</f>
        <v>11/01/2025</v>
      </c>
      <c r="H102" s="265" t="str">
        <f t="shared" si="3"/>
        <v>11/01/2025</v>
      </c>
      <c r="I102" s="641" t="str">
        <f>Data2025!J101</f>
        <v>23/01/2025</v>
      </c>
      <c r="J102" s="381" t="str">
        <f>Data2025!L101</f>
        <v>Konsumsi pada Kegiatan Pelatihan Peningkatan Kompetensi Guru untuk memperkuat numerasi</v>
      </c>
      <c r="K102" s="381" t="str">
        <f>Data2025!M101</f>
        <v>Nasi Kotak</v>
      </c>
      <c r="L102" s="642">
        <f>Data2025!N101</f>
        <v>60</v>
      </c>
      <c r="M102" s="642" t="str">
        <f>Data2025!O101</f>
        <v>kotak</v>
      </c>
      <c r="N102" s="643">
        <f>Data2025!P101</f>
        <v>40000</v>
      </c>
      <c r="O102" s="644">
        <f>Data2025!Q101</f>
        <v>2400000</v>
      </c>
      <c r="P102" s="645" t="s">
        <v>8</v>
      </c>
      <c r="Q102" s="646" t="str">
        <f>VLOOKUP(K102,Sheet1!$C$1:$D$101,2,)</f>
        <v>Nasi Kotak (isi: Nasi putih;Sop daging; Sayur; Berat 1000gr; Dimensi; (PxLxT) 25cmx25cmx10cm)</v>
      </c>
      <c r="R102" s="267">
        <v>2400000</v>
      </c>
      <c r="S102" s="647">
        <v>2520000</v>
      </c>
      <c r="T102" s="648" t="str">
        <f>Data2025!T101</f>
        <v>Resto JFC Esther</v>
      </c>
      <c r="U102" s="268" t="s">
        <v>2520</v>
      </c>
      <c r="V102" s="648" t="str">
        <f>Data2025!V101</f>
        <v>Limaati Daeli</v>
      </c>
      <c r="W102" s="648" t="str">
        <f>Data2025!X101</f>
        <v>Jl. Saonigeho Km. 2 Telukdalam - Nias Selatan</v>
      </c>
      <c r="X102" s="268" t="s">
        <v>3391</v>
      </c>
      <c r="Y102" s="268" t="str">
        <f t="shared" si="4"/>
        <v>Konsumsi</v>
      </c>
      <c r="Z102" s="649" t="str">
        <f t="shared" si="5"/>
        <v>Konsumsi</v>
      </c>
      <c r="AA102" s="650" t="s">
        <v>3362</v>
      </c>
      <c r="AB102" s="269">
        <v>40000</v>
      </c>
      <c r="AC102" s="269">
        <v>2400000</v>
      </c>
      <c r="AD102" s="267">
        <v>2400000</v>
      </c>
      <c r="AE102" s="270">
        <v>2162162.1621621624</v>
      </c>
      <c r="AF102" s="270">
        <v>2400000</v>
      </c>
      <c r="AG102" s="805" t="s">
        <v>3883</v>
      </c>
      <c r="AH102" s="651" t="str">
        <f>Data2025!W101</f>
        <v>085297578868</v>
      </c>
    </row>
    <row r="103" spans="1:36" s="871" customFormat="1" ht="38.5" thickTop="1" thickBot="1">
      <c r="A103" s="848">
        <f>Data2025!G102</f>
        <v>14</v>
      </c>
      <c r="B103" s="849" t="str">
        <f>Data2025!K102</f>
        <v>BPU14</v>
      </c>
      <c r="C103" s="850" t="str">
        <f>Data2025!D102</f>
        <v>02.06.01.</v>
      </c>
      <c r="D103" s="851" t="str">
        <f>Data2025!C102</f>
        <v>5.1.02.01.01.0052</v>
      </c>
      <c r="E103" s="852" t="str">
        <f>Data2025!E102</f>
        <v>11/01/2025</v>
      </c>
      <c r="F103" s="853" t="str">
        <f>Data2025!F102</f>
        <v>13/01/2025</v>
      </c>
      <c r="G103" s="852" t="str">
        <f>Data2025!H102</f>
        <v>14/01/2025</v>
      </c>
      <c r="H103" s="852" t="str">
        <f t="shared" si="3"/>
        <v>14/01/2025</v>
      </c>
      <c r="I103" s="854" t="str">
        <f>Data2025!J102</f>
        <v>23/01/2025</v>
      </c>
      <c r="J103" s="855" t="str">
        <f>Data2025!L102</f>
        <v>Kudapan pada Kegiatan diskusi kolaborasi pengembangan RPP dalam Komunitas Belajar (termasuk KKG/MGMP/MGMPS/MGPMPK)</v>
      </c>
      <c r="K103" s="855" t="str">
        <f>Data2025!M102</f>
        <v>Kue Besar</v>
      </c>
      <c r="L103" s="856">
        <f>Data2025!N102</f>
        <v>120</v>
      </c>
      <c r="M103" s="856" t="str">
        <f>Data2025!O102</f>
        <v>kotak</v>
      </c>
      <c r="N103" s="857">
        <f>Data2025!P102</f>
        <v>15000</v>
      </c>
      <c r="O103" s="858">
        <f>Data2025!Q102</f>
        <v>1800000</v>
      </c>
      <c r="P103" s="859" t="s">
        <v>280</v>
      </c>
      <c r="Q103" s="860" t="str">
        <f>VLOOKUP(K103,Sheet1!$C$1:$D$101,2,)</f>
        <v>Kue (bahan tepung terigu, gula, telur, mentega; berat 100gr, panjang 15cm, lebar 8 cm)</v>
      </c>
      <c r="R103" s="861">
        <v>900000</v>
      </c>
      <c r="S103" s="862">
        <v>1020000</v>
      </c>
      <c r="T103" s="863" t="str">
        <f>Data2025!T102</f>
        <v>Rumah Roti Helena</v>
      </c>
      <c r="U103" s="864" t="s">
        <v>2531</v>
      </c>
      <c r="V103" s="863" t="str">
        <f>Data2025!V102</f>
        <v>Fudi Supiyanto</v>
      </c>
      <c r="W103" s="863" t="str">
        <f>Data2025!X102</f>
        <v>Jln Ahmad Yani No.89 Kel. Pasar Telukdalam, Nias Selatan</v>
      </c>
      <c r="X103" s="864" t="s">
        <v>2529</v>
      </c>
      <c r="Y103" s="864" t="str">
        <f t="shared" si="4"/>
        <v>Kudapan</v>
      </c>
      <c r="Z103" s="865" t="str">
        <f t="shared" si="5"/>
        <v>Kudapan</v>
      </c>
      <c r="AA103" s="866" t="s">
        <v>3362</v>
      </c>
      <c r="AB103" s="867">
        <v>15000</v>
      </c>
      <c r="AC103" s="867">
        <v>900000</v>
      </c>
      <c r="AD103" s="861">
        <v>900000</v>
      </c>
      <c r="AE103" s="868">
        <v>810810.81081081077</v>
      </c>
      <c r="AF103" s="868">
        <v>900000</v>
      </c>
      <c r="AG103" s="869" t="s">
        <v>3883</v>
      </c>
      <c r="AH103" s="870" t="str">
        <f>Data2025!W102</f>
        <v>082164895397</v>
      </c>
    </row>
    <row r="104" spans="1:36" ht="38.5" thickTop="1" thickBot="1">
      <c r="A104" s="636">
        <f>Data2025!G103</f>
        <v>15</v>
      </c>
      <c r="B104" s="637" t="str">
        <f>Data2025!K103</f>
        <v>BPU15</v>
      </c>
      <c r="C104" s="638" t="str">
        <f>Data2025!D103</f>
        <v>02.06.01.</v>
      </c>
      <c r="D104" s="639" t="str">
        <f>Data2025!C103</f>
        <v>5.1.02.01.01.0052</v>
      </c>
      <c r="E104" s="265" t="str">
        <f>Data2025!E103</f>
        <v>11/01/2025</v>
      </c>
      <c r="F104" s="640" t="str">
        <f>Data2025!F103</f>
        <v>13/01/2025</v>
      </c>
      <c r="G104" s="265" t="str">
        <f>Data2025!H103</f>
        <v>14/01/2025</v>
      </c>
      <c r="H104" s="265" t="str">
        <f t="shared" si="3"/>
        <v>14/01/2025</v>
      </c>
      <c r="I104" s="641" t="str">
        <f>Data2025!J103</f>
        <v>23/01/2025</v>
      </c>
      <c r="J104" s="381" t="str">
        <f>Data2025!L103</f>
        <v>Konsumsi Kegiatan diskusi kolaborasi pengembangan RPP dalam Komunitas Belajar (termasuk KKG/MGMP/MGMPS/MGPMPK)</v>
      </c>
      <c r="K104" s="381" t="str">
        <f>Data2025!M103</f>
        <v>Nasi Kotak</v>
      </c>
      <c r="L104" s="642">
        <f>Data2025!N103</f>
        <v>60</v>
      </c>
      <c r="M104" s="642" t="str">
        <f>Data2025!O103</f>
        <v>kotak</v>
      </c>
      <c r="N104" s="643">
        <f>Data2025!P103</f>
        <v>40000</v>
      </c>
      <c r="O104" s="644">
        <f>Data2025!Q103</f>
        <v>2400000</v>
      </c>
      <c r="P104" s="645" t="s">
        <v>8</v>
      </c>
      <c r="Q104" s="646" t="str">
        <f>VLOOKUP(K104,Sheet1!$C$1:$D$101,2,)</f>
        <v>Nasi Kotak (isi: Nasi putih;Sop daging; Sayur; Berat 1000gr; Dimensi; (PxLxT) 25cmx25cmx10cm)</v>
      </c>
      <c r="R104" s="267">
        <v>2400000</v>
      </c>
      <c r="S104" s="647">
        <v>2520000</v>
      </c>
      <c r="T104" s="648" t="str">
        <f>Data2025!T103</f>
        <v>Resto JFC Esther</v>
      </c>
      <c r="U104" s="268" t="s">
        <v>2520</v>
      </c>
      <c r="V104" s="648" t="str">
        <f>Data2025!V103</f>
        <v>Limaati Daeli</v>
      </c>
      <c r="W104" s="648" t="str">
        <f>Data2025!X103</f>
        <v>Jl. Saonigeho Km. 2 Telukdalam - Nias Selatan</v>
      </c>
      <c r="X104" s="268" t="s">
        <v>3391</v>
      </c>
      <c r="Y104" s="268" t="str">
        <f t="shared" si="4"/>
        <v>Konsumsi</v>
      </c>
      <c r="Z104" s="649" t="str">
        <f t="shared" si="5"/>
        <v>Konsumsi</v>
      </c>
      <c r="AA104" s="650" t="s">
        <v>3362</v>
      </c>
      <c r="AB104" s="269">
        <v>40000</v>
      </c>
      <c r="AC104" s="269">
        <v>2400000</v>
      </c>
      <c r="AD104" s="267">
        <v>2400000</v>
      </c>
      <c r="AE104" s="270">
        <v>2162162.1621621624</v>
      </c>
      <c r="AF104" s="270">
        <v>2400000</v>
      </c>
      <c r="AG104" s="805" t="s">
        <v>3883</v>
      </c>
      <c r="AH104" s="651" t="str">
        <f>Data2025!W103</f>
        <v>085297578868</v>
      </c>
    </row>
    <row r="105" spans="1:36" ht="16.5" thickTop="1" thickBot="1">
      <c r="A105" s="636">
        <f>Data2025!G104</f>
        <v>16</v>
      </c>
      <c r="B105" s="637" t="str">
        <f>Data2025!K104</f>
        <v>BPU16</v>
      </c>
      <c r="C105" s="638" t="str">
        <f>Data2025!D104</f>
        <v>03. 03. 21.</v>
      </c>
      <c r="D105" s="639" t="str">
        <f>Data2025!C104</f>
        <v>5.1.02.01.01.0026</v>
      </c>
      <c r="E105" s="265">
        <f>Data2025!E104</f>
        <v>45673</v>
      </c>
      <c r="F105" s="640" t="str">
        <f>Data2025!F104</f>
        <v>17/01/2025</v>
      </c>
      <c r="G105" s="265" t="str">
        <f>Data2025!H104</f>
        <v>18/01/2025</v>
      </c>
      <c r="H105" s="265" t="str">
        <f t="shared" si="3"/>
        <v>18/01/2025</v>
      </c>
      <c r="I105" s="641" t="str">
        <f>Data2025!J104</f>
        <v>23/01/2025</v>
      </c>
      <c r="J105" s="381" t="str">
        <f>Data2025!L104</f>
        <v>Spanduk Uk. 1 x 6 meter-</v>
      </c>
      <c r="K105" s="381" t="str">
        <f>Data2025!M104</f>
        <v>Spanduk Uk. 1 x 6 meter-</v>
      </c>
      <c r="L105" s="642">
        <f>Data2025!N104</f>
        <v>2</v>
      </c>
      <c r="M105" s="642" t="str">
        <f>Data2025!O104</f>
        <v>buah</v>
      </c>
      <c r="N105" s="643">
        <f>Data2025!P104</f>
        <v>300000</v>
      </c>
      <c r="O105" s="644">
        <f>Data2025!Q104</f>
        <v>600000</v>
      </c>
      <c r="P105" s="645" t="s">
        <v>296</v>
      </c>
      <c r="Q105" s="646" t="e">
        <f>VLOOKUP(K105,Sheet1!$C$1:$D$101,2,)</f>
        <v>#N/A</v>
      </c>
      <c r="R105" s="267">
        <v>1250000</v>
      </c>
      <c r="S105" s="647">
        <v>1300000</v>
      </c>
      <c r="T105" s="648" t="str">
        <f>Data2025!T104</f>
        <v>Ud. BALIZATO</v>
      </c>
      <c r="U105" s="268" t="s">
        <v>2531</v>
      </c>
      <c r="V105" s="648" t="str">
        <f>Data2025!V104</f>
        <v>Pieter B.P. Loi</v>
      </c>
      <c r="W105" s="648" t="str">
        <f>Data2025!X104</f>
        <v>Jl. Diponegoro Kel. Pasar Telukdalam - Nias Selatan</v>
      </c>
      <c r="X105" s="268" t="s">
        <v>2529</v>
      </c>
      <c r="Y105" s="268" t="str">
        <f t="shared" si="4"/>
        <v>Spanduk</v>
      </c>
      <c r="Z105" s="649" t="str">
        <f t="shared" si="5"/>
        <v>Spanduk</v>
      </c>
      <c r="AA105" s="650" t="s">
        <v>3372</v>
      </c>
      <c r="AB105" s="269">
        <v>50000</v>
      </c>
      <c r="AC105" s="269">
        <v>1250000</v>
      </c>
      <c r="AD105" s="267">
        <v>1250000</v>
      </c>
      <c r="AE105" s="270">
        <v>1126126.1261261262</v>
      </c>
      <c r="AF105" s="270">
        <v>1250000</v>
      </c>
      <c r="AG105" s="805" t="s">
        <v>3883</v>
      </c>
      <c r="AH105" s="651" t="str">
        <f>Data2025!W104</f>
        <v>082166506229</v>
      </c>
    </row>
    <row r="106" spans="1:36" ht="26" thickTop="1" thickBot="1">
      <c r="A106" s="636">
        <f>Data2025!G105</f>
        <v>17</v>
      </c>
      <c r="B106" s="637" t="str">
        <f>Data2025!K105</f>
        <v>BPU17</v>
      </c>
      <c r="C106" s="638" t="str">
        <f>Data2025!D105</f>
        <v>03. 03. 21.</v>
      </c>
      <c r="D106" s="639" t="str">
        <f>Data2025!C105</f>
        <v>5.1.02.01.01.0052</v>
      </c>
      <c r="E106" s="265">
        <f>Data2025!E105</f>
        <v>45673</v>
      </c>
      <c r="F106" s="640" t="str">
        <f>Data2025!F105</f>
        <v>17/01/2025</v>
      </c>
      <c r="G106" s="265" t="str">
        <f>Data2025!H105</f>
        <v>18/01/2025</v>
      </c>
      <c r="H106" s="265" t="str">
        <f t="shared" si="3"/>
        <v>18/01/2025</v>
      </c>
      <c r="I106" s="641" t="str">
        <f>Data2025!J105</f>
        <v>23/01/2025</v>
      </c>
      <c r="J106" s="381" t="str">
        <f>Data2025!L105</f>
        <v>Konsumsi Pada Kegiatan Syukuran Hari Raya Natal dan Tahun Baru 2024</v>
      </c>
      <c r="K106" s="381" t="str">
        <f>Data2025!M105</f>
        <v>Nasi Kotak</v>
      </c>
      <c r="L106" s="642">
        <f>Data2025!N105</f>
        <v>60</v>
      </c>
      <c r="M106" s="642" t="str">
        <f>Data2025!O105</f>
        <v>kotak</v>
      </c>
      <c r="N106" s="643">
        <f>Data2025!P105</f>
        <v>40000</v>
      </c>
      <c r="O106" s="644">
        <f>Data2025!Q105</f>
        <v>2400000</v>
      </c>
      <c r="P106" s="645" t="s">
        <v>8</v>
      </c>
      <c r="Q106" s="646" t="str">
        <f>VLOOKUP(K106,Sheet1!$C$1:$D$101,2,)</f>
        <v>Nasi Kotak (isi: Nasi putih;Sop daging; Sayur; Berat 1000gr; Dimensi; (PxLxT) 25cmx25cmx10cm)</v>
      </c>
      <c r="R106" s="267">
        <v>1633800</v>
      </c>
      <c r="S106" s="647">
        <v>1675800</v>
      </c>
      <c r="T106" s="648" t="str">
        <f>Data2025!T105</f>
        <v>Resto JFC Esther</v>
      </c>
      <c r="U106" s="268" t="s">
        <v>3392</v>
      </c>
      <c r="V106" s="648" t="str">
        <f>Data2025!V105</f>
        <v>Limaati Daeli</v>
      </c>
      <c r="W106" s="648" t="str">
        <f>Data2025!X105</f>
        <v>Jl. Saonigeho Km. 2 Telukdalam - Nias Selatan</v>
      </c>
      <c r="X106" s="648" t="s">
        <v>2723</v>
      </c>
      <c r="Y106" s="268" t="str">
        <f t="shared" si="4"/>
        <v>Konsumsi</v>
      </c>
      <c r="Z106" s="649" t="str">
        <f t="shared" si="5"/>
        <v>Konsumsi</v>
      </c>
      <c r="AA106" s="650" t="s">
        <v>3363</v>
      </c>
      <c r="AB106" s="269">
        <v>77800</v>
      </c>
      <c r="AC106" s="269">
        <v>1633800</v>
      </c>
      <c r="AD106" s="267">
        <v>1633800</v>
      </c>
      <c r="AE106" s="270">
        <v>1471891.8918918918</v>
      </c>
      <c r="AF106" s="270">
        <v>1633800</v>
      </c>
      <c r="AG106" s="805" t="s">
        <v>3883</v>
      </c>
      <c r="AH106" s="651" t="str">
        <f>Data2025!W105</f>
        <v>085297578868</v>
      </c>
    </row>
    <row r="107" spans="1:36" ht="30" thickTop="1" thickBot="1">
      <c r="A107" s="636">
        <f>Data2025!G106</f>
        <v>18</v>
      </c>
      <c r="B107" s="637" t="str">
        <f>Data2025!K106</f>
        <v>BPU18</v>
      </c>
      <c r="C107" s="638" t="str">
        <f>Data2025!D106</f>
        <v>06. 05. 01.</v>
      </c>
      <c r="D107" s="639" t="str">
        <f>Data2025!C106</f>
        <v>5.1.02.01.01.0052</v>
      </c>
      <c r="E107" s="265">
        <f>Data2025!E106</f>
        <v>45674</v>
      </c>
      <c r="F107" s="640" t="str">
        <f>Data2025!F106</f>
        <v>18/01/2025</v>
      </c>
      <c r="G107" s="265" t="str">
        <f>Data2025!H106</f>
        <v>20/01/2025</v>
      </c>
      <c r="H107" s="265" t="str">
        <f t="shared" si="3"/>
        <v>20/01/2025</v>
      </c>
      <c r="I107" s="641" t="str">
        <f>Data2025!J106</f>
        <v>23/01/2025</v>
      </c>
      <c r="J107" s="381" t="str">
        <f>Data2025!L106</f>
        <v>Nasi Kotak Penyusunan RKAS Tahun 2025</v>
      </c>
      <c r="K107" s="381" t="str">
        <f>Data2025!M106</f>
        <v>Nasi Kotak</v>
      </c>
      <c r="L107" s="642">
        <f>Data2025!N106</f>
        <v>80</v>
      </c>
      <c r="M107" s="642" t="str">
        <f>Data2025!O106</f>
        <v>kotak</v>
      </c>
      <c r="N107" s="643">
        <f>Data2025!P106</f>
        <v>40000</v>
      </c>
      <c r="O107" s="644">
        <f>Data2025!Q106</f>
        <v>3200000</v>
      </c>
      <c r="P107" s="645" t="s">
        <v>8</v>
      </c>
      <c r="Q107" s="646" t="str">
        <f>VLOOKUP(K107,Sheet1!$C$1:$D$101,2,)</f>
        <v>Nasi Kotak (isi: Nasi putih;Sop daging; Sayur; Berat 1000gr; Dimensi; (PxLxT) 25cmx25cmx10cm)</v>
      </c>
      <c r="R107" s="267">
        <v>600000</v>
      </c>
      <c r="S107" s="647">
        <v>604000</v>
      </c>
      <c r="T107" s="648" t="str">
        <f>Data2025!T106</f>
        <v>Resto JFC Esther</v>
      </c>
      <c r="U107" s="268" t="s">
        <v>1040</v>
      </c>
      <c r="V107" s="648" t="str">
        <f>Data2025!V106</f>
        <v>Limaati Daeli</v>
      </c>
      <c r="W107" s="648" t="str">
        <f>Data2025!X106</f>
        <v>Jl. Saonigeho Km. 2 Telukdalam - Nias Selatan</v>
      </c>
      <c r="X107" s="523" t="s">
        <v>541</v>
      </c>
      <c r="Y107" s="268" t="str">
        <f t="shared" si="4"/>
        <v>Konsumsi</v>
      </c>
      <c r="Z107" s="649" t="str">
        <f t="shared" si="5"/>
        <v>Konsumsi</v>
      </c>
      <c r="AA107" s="650" t="s">
        <v>3363</v>
      </c>
      <c r="AB107" s="269">
        <v>300000</v>
      </c>
      <c r="AC107" s="269">
        <v>600000</v>
      </c>
      <c r="AD107" s="267">
        <v>600000</v>
      </c>
      <c r="AE107" s="270">
        <v>540540.54054054059</v>
      </c>
      <c r="AF107" s="270">
        <v>600000</v>
      </c>
      <c r="AG107" s="805" t="s">
        <v>3883</v>
      </c>
      <c r="AH107" s="651" t="str">
        <f>Data2025!W106</f>
        <v>085297578868</v>
      </c>
    </row>
    <row r="108" spans="1:36" s="871" customFormat="1" ht="16.5" thickTop="1" thickBot="1">
      <c r="A108" s="848">
        <f>Data2025!G107</f>
        <v>19</v>
      </c>
      <c r="B108" s="849" t="str">
        <f>Data2025!K107</f>
        <v>BPU19</v>
      </c>
      <c r="C108" s="850" t="str">
        <f>Data2025!D107</f>
        <v>06. 05. 01.</v>
      </c>
      <c r="D108" s="851" t="str">
        <f>Data2025!C107</f>
        <v>5.1.02.01.01.0052</v>
      </c>
      <c r="E108" s="852">
        <f>Data2025!E107</f>
        <v>45674</v>
      </c>
      <c r="F108" s="853" t="str">
        <f>Data2025!F107</f>
        <v>18/01/2025</v>
      </c>
      <c r="G108" s="852" t="str">
        <f>Data2025!H107</f>
        <v>20/01/2025</v>
      </c>
      <c r="H108" s="852" t="str">
        <f t="shared" si="3"/>
        <v>20/01/2025</v>
      </c>
      <c r="I108" s="854" t="str">
        <f>Data2025!J107</f>
        <v>23/01/2025</v>
      </c>
      <c r="J108" s="855" t="str">
        <f>Data2025!L107</f>
        <v>Kudapan Penyusunan RKAS Tahun 2025</v>
      </c>
      <c r="K108" s="855" t="str">
        <f>Data2025!M107</f>
        <v>Kue Besar</v>
      </c>
      <c r="L108" s="856">
        <f>Data2025!N107</f>
        <v>80</v>
      </c>
      <c r="M108" s="856" t="str">
        <f>Data2025!O107</f>
        <v>kotak</v>
      </c>
      <c r="N108" s="857">
        <f>Data2025!P107</f>
        <v>15000</v>
      </c>
      <c r="O108" s="858">
        <f>Data2025!Q107</f>
        <v>1200000</v>
      </c>
      <c r="P108" s="859" t="s">
        <v>280</v>
      </c>
      <c r="Q108" s="860" t="str">
        <f>VLOOKUP(K108,Sheet1!$C$1:$D$101,2,)</f>
        <v>Kue (bahan tepung terigu, gula, telur, mentega; berat 100gr, panjang 15cm, lebar 8 cm)</v>
      </c>
      <c r="R108" s="861">
        <v>4500000</v>
      </c>
      <c r="S108" s="862">
        <v>5100000</v>
      </c>
      <c r="T108" s="863" t="str">
        <f>Data2025!T107</f>
        <v>Rumah Roti Helena</v>
      </c>
      <c r="U108" s="864" t="s">
        <v>2531</v>
      </c>
      <c r="V108" s="863" t="str">
        <f>Data2025!V107</f>
        <v>Fudi Supiyanto</v>
      </c>
      <c r="W108" s="863" t="str">
        <f>Data2025!X107</f>
        <v>Jln Ahmad Yani No.89 Kel. Pasar Telukdalam, Nias Selatan</v>
      </c>
      <c r="X108" s="864" t="s">
        <v>2529</v>
      </c>
      <c r="Y108" s="864" t="str">
        <f t="shared" si="4"/>
        <v>Kudapan</v>
      </c>
      <c r="Z108" s="865" t="str">
        <f t="shared" si="5"/>
        <v>Kudapan</v>
      </c>
      <c r="AA108" s="866" t="s">
        <v>3362</v>
      </c>
      <c r="AB108" s="867">
        <v>15000</v>
      </c>
      <c r="AC108" s="867">
        <v>4500000</v>
      </c>
      <c r="AD108" s="861">
        <v>4500000</v>
      </c>
      <c r="AE108" s="868">
        <v>4054054.054054054</v>
      </c>
      <c r="AF108" s="868">
        <v>4500000</v>
      </c>
      <c r="AG108" s="869" t="s">
        <v>3883</v>
      </c>
      <c r="AH108" s="870" t="str">
        <f>Data2025!W107</f>
        <v>082164895397</v>
      </c>
    </row>
    <row r="109" spans="1:36" s="871" customFormat="1" ht="16.5" thickTop="1" thickBot="1">
      <c r="A109" s="848">
        <f>Data2025!G108</f>
        <v>20</v>
      </c>
      <c r="B109" s="849" t="str">
        <f>Data2025!K108</f>
        <v>BPU20</v>
      </c>
      <c r="C109" s="850" t="str">
        <f>Data2025!D108</f>
        <v>08. 04. 10.</v>
      </c>
      <c r="D109" s="851" t="str">
        <f>Data2025!C108</f>
        <v>5.1.02.01.01.0052</v>
      </c>
      <c r="E109" s="852">
        <f>Data2025!E108</f>
        <v>45675</v>
      </c>
      <c r="F109" s="853" t="str">
        <f>Data2025!F108</f>
        <v>20/01/2025</v>
      </c>
      <c r="G109" s="852" t="str">
        <f>Data2025!H108</f>
        <v>21/01/2025</v>
      </c>
      <c r="H109" s="852" t="str">
        <f t="shared" si="3"/>
        <v>21/01/2025</v>
      </c>
      <c r="I109" s="854" t="str">
        <f>Data2025!J108</f>
        <v>23/01/2025</v>
      </c>
      <c r="J109" s="855" t="str">
        <f>Data2025!L108</f>
        <v>Kudapan pada kegiatan Rapat Penyusunan KKM</v>
      </c>
      <c r="K109" s="855" t="str">
        <f>Data2025!M108</f>
        <v>Kue Besar</v>
      </c>
      <c r="L109" s="856">
        <f>Data2025!N108</f>
        <v>60</v>
      </c>
      <c r="M109" s="856" t="str">
        <f>Data2025!O108</f>
        <v>kotak</v>
      </c>
      <c r="N109" s="857">
        <f>Data2025!P108</f>
        <v>15000</v>
      </c>
      <c r="O109" s="858">
        <f>Data2025!Q108</f>
        <v>900000</v>
      </c>
      <c r="P109" s="859" t="s">
        <v>280</v>
      </c>
      <c r="Q109" s="860" t="str">
        <f>VLOOKUP(K109,Sheet1!$C$1:$D$101,2,)</f>
        <v>Kue (bahan tepung terigu, gula, telur, mentega; berat 100gr, panjang 15cm, lebar 8 cm)</v>
      </c>
      <c r="R109" s="861">
        <v>2400000</v>
      </c>
      <c r="S109" s="862">
        <v>2520000</v>
      </c>
      <c r="T109" s="863" t="str">
        <f>Data2025!T108</f>
        <v>Rumah Roti Helena</v>
      </c>
      <c r="U109" s="864" t="s">
        <v>2520</v>
      </c>
      <c r="V109" s="863" t="str">
        <f>Data2025!V108</f>
        <v>Fudi Supiyanto</v>
      </c>
      <c r="W109" s="863" t="str">
        <f>Data2025!X108</f>
        <v>Jln Ahmad Yani No.89 Kel. Pasar Telukdalam, Nias Selatan</v>
      </c>
      <c r="X109" s="864" t="s">
        <v>3391</v>
      </c>
      <c r="Y109" s="864" t="str">
        <f t="shared" si="4"/>
        <v>Kudapan</v>
      </c>
      <c r="Z109" s="865" t="str">
        <f t="shared" si="5"/>
        <v>Kudapan</v>
      </c>
      <c r="AA109" s="866" t="s">
        <v>3362</v>
      </c>
      <c r="AB109" s="867">
        <v>40000</v>
      </c>
      <c r="AC109" s="867">
        <v>2400000</v>
      </c>
      <c r="AD109" s="861">
        <v>2400000</v>
      </c>
      <c r="AE109" s="868">
        <v>2162162.1621621624</v>
      </c>
      <c r="AF109" s="868">
        <v>2400000</v>
      </c>
      <c r="AG109" s="869" t="s">
        <v>3883</v>
      </c>
      <c r="AH109" s="870" t="str">
        <f>Data2025!W108</f>
        <v>082164895397</v>
      </c>
    </row>
    <row r="110" spans="1:36" ht="16.5" thickTop="1" thickBot="1">
      <c r="A110" s="636">
        <f>Data2025!G109</f>
        <v>21</v>
      </c>
      <c r="B110" s="637" t="str">
        <f>Data2025!K109</f>
        <v>BPU21</v>
      </c>
      <c r="C110" s="638" t="str">
        <f>Data2025!D109</f>
        <v>08. 04. 10.</v>
      </c>
      <c r="D110" s="639" t="str">
        <f>Data2025!C109</f>
        <v>5.1.02.01.01.0052</v>
      </c>
      <c r="E110" s="265">
        <f>Data2025!E109</f>
        <v>45675</v>
      </c>
      <c r="F110" s="640" t="str">
        <f>Data2025!F109</f>
        <v>20/01/2025</v>
      </c>
      <c r="G110" s="265" t="str">
        <f>Data2025!H109</f>
        <v>21/01/2025</v>
      </c>
      <c r="H110" s="265" t="str">
        <f t="shared" si="3"/>
        <v>21/01/2025</v>
      </c>
      <c r="I110" s="641" t="str">
        <f>Data2025!J109</f>
        <v>23/01/2025</v>
      </c>
      <c r="J110" s="381" t="str">
        <f>Data2025!L109</f>
        <v>Konsumsi pada kegiatan Rapat Penyusunan KKM</v>
      </c>
      <c r="K110" s="381" t="str">
        <f>Data2025!M109</f>
        <v>Nasi Kotak</v>
      </c>
      <c r="L110" s="642">
        <f>Data2025!N109</f>
        <v>60</v>
      </c>
      <c r="M110" s="642" t="str">
        <f>Data2025!O109</f>
        <v>kotak</v>
      </c>
      <c r="N110" s="643">
        <f>Data2025!P109</f>
        <v>40000</v>
      </c>
      <c r="O110" s="644">
        <f>Data2025!Q109</f>
        <v>2400000</v>
      </c>
      <c r="P110" s="645" t="s">
        <v>8</v>
      </c>
      <c r="Q110" s="646" t="str">
        <f>VLOOKUP(K110,Sheet1!$C$1:$D$101,2,)</f>
        <v>Nasi Kotak (isi: Nasi putih;Sop daging; Sayur; Berat 1000gr; Dimensi; (PxLxT) 25cmx25cmx10cm)</v>
      </c>
      <c r="R110" s="267">
        <v>3000000</v>
      </c>
      <c r="S110" s="647">
        <v>3002000</v>
      </c>
      <c r="T110" s="648" t="str">
        <f>Data2025!T109</f>
        <v>Resto JFC Esther</v>
      </c>
      <c r="U110" s="268" t="s">
        <v>3385</v>
      </c>
      <c r="V110" s="648" t="str">
        <f>Data2025!V109</f>
        <v>Limaati Daeli</v>
      </c>
      <c r="W110" s="648" t="str">
        <f>Data2025!X109</f>
        <v>Jl. Saonigeho Km. 2 Telukdalam - Nias Selatan</v>
      </c>
      <c r="X110" s="268" t="s">
        <v>3389</v>
      </c>
      <c r="Y110" s="268" t="str">
        <f t="shared" si="4"/>
        <v>Konsumsi</v>
      </c>
      <c r="Z110" s="649" t="str">
        <f t="shared" si="5"/>
        <v>Konsumsi</v>
      </c>
      <c r="AA110" s="650" t="s">
        <v>3371</v>
      </c>
      <c r="AB110" s="269">
        <v>3000000</v>
      </c>
      <c r="AC110" s="269">
        <v>3000000</v>
      </c>
      <c r="AD110" s="267">
        <v>3000000</v>
      </c>
      <c r="AE110" s="270">
        <v>2702702.702702703</v>
      </c>
      <c r="AF110" s="270">
        <v>3000000</v>
      </c>
      <c r="AG110" s="805" t="s">
        <v>3883</v>
      </c>
      <c r="AH110" s="651" t="str">
        <f>Data2025!W109</f>
        <v>085297578868</v>
      </c>
    </row>
    <row r="111" spans="1:36" ht="16.5" thickTop="1" thickBot="1">
      <c r="A111" s="636">
        <f>Data2025!G110</f>
        <v>22</v>
      </c>
      <c r="B111" s="637" t="str">
        <f>Data2025!K110</f>
        <v>BPU22</v>
      </c>
      <c r="C111" s="638" t="str">
        <f>Data2025!D110</f>
        <v>06. 07. 01.</v>
      </c>
      <c r="D111" s="639" t="str">
        <f>Data2025!C110</f>
        <v>5.1.02.02.01.0061</v>
      </c>
      <c r="E111" s="265">
        <f>Data2025!E110</f>
        <v>45678</v>
      </c>
      <c r="F111" s="640" t="str">
        <f>Data2025!F110</f>
        <v>23/01/2025</v>
      </c>
      <c r="G111" s="265" t="str">
        <f>Data2025!H110</f>
        <v>23/01/2025</v>
      </c>
      <c r="H111" s="265" t="str">
        <f t="shared" si="3"/>
        <v>23/01/2025</v>
      </c>
      <c r="I111" s="641" t="str">
        <f>Data2025!J110</f>
        <v>23/01/2025</v>
      </c>
      <c r="J111" s="381" t="str">
        <f>Data2025!L110</f>
        <v>Biaya Rekening Listrik--</v>
      </c>
      <c r="K111" s="381" t="str">
        <f>Data2025!M110</f>
        <v>Jasa Langganan Listrik</v>
      </c>
      <c r="L111" s="642">
        <f>Data2025!N110</f>
        <v>1</v>
      </c>
      <c r="M111" s="642" t="str">
        <f>Data2025!O110</f>
        <v>bulan</v>
      </c>
      <c r="N111" s="643">
        <f>Data2025!P110</f>
        <v>2000000</v>
      </c>
      <c r="O111" s="644">
        <f>Data2025!Q110</f>
        <v>2000000</v>
      </c>
      <c r="P111" s="645" t="s">
        <v>2664</v>
      </c>
      <c r="Q111" s="646" t="e">
        <f>VLOOKUP(K111,Sheet1!$C$1:$D$101,2,)</f>
        <v>#N/A</v>
      </c>
      <c r="R111" s="267">
        <v>1691940</v>
      </c>
      <c r="S111" s="647">
        <v>2002000</v>
      </c>
      <c r="T111" s="648">
        <f>Data2025!T110</f>
        <v>0</v>
      </c>
      <c r="U111" s="268" t="s">
        <v>2533</v>
      </c>
      <c r="V111" s="648" t="e">
        <f>Data2025!V110</f>
        <v>#N/A</v>
      </c>
      <c r="W111" s="648" t="e">
        <f>Data2025!X110</f>
        <v>#N/A</v>
      </c>
      <c r="X111" s="268">
        <v>0</v>
      </c>
      <c r="Y111" s="268" t="str">
        <f t="shared" si="4"/>
        <v>Jasa PLN</v>
      </c>
      <c r="Z111" s="649" t="str">
        <f t="shared" si="5"/>
        <v>Jasa PLN</v>
      </c>
      <c r="AA111" s="650" t="s">
        <v>3373</v>
      </c>
      <c r="AB111" s="269">
        <v>2000000</v>
      </c>
      <c r="AC111" s="269">
        <v>2000000</v>
      </c>
      <c r="AD111" s="267">
        <v>1691940</v>
      </c>
      <c r="AE111" s="270">
        <v>1524270.2702702703</v>
      </c>
      <c r="AF111" s="270">
        <v>1691940</v>
      </c>
      <c r="AG111" s="805" t="s">
        <v>3883</v>
      </c>
      <c r="AH111" s="651" t="e">
        <f>Data2025!W110</f>
        <v>#N/A</v>
      </c>
      <c r="AI111" s="277"/>
      <c r="AJ111" s="277"/>
    </row>
    <row r="112" spans="1:36" ht="16.5" thickTop="1" thickBot="1">
      <c r="A112" s="636">
        <f>Data2025!G111</f>
        <v>23</v>
      </c>
      <c r="B112" s="637" t="str">
        <f>Data2025!K111</f>
        <v>BPU23</v>
      </c>
      <c r="C112" s="638" t="str">
        <f>Data2025!D111</f>
        <v>06. 07. 05.</v>
      </c>
      <c r="D112" s="639" t="str">
        <f>Data2025!C111</f>
        <v>5.1.02.02.01.0063</v>
      </c>
      <c r="E112" s="265">
        <f>Data2025!E111</f>
        <v>45678</v>
      </c>
      <c r="F112" s="640" t="str">
        <f>Data2025!F111</f>
        <v>23/01/2025</v>
      </c>
      <c r="G112" s="265" t="str">
        <f>Data2025!H111</f>
        <v>23/01/2025</v>
      </c>
      <c r="H112" s="265" t="str">
        <f t="shared" si="3"/>
        <v>23/01/2025</v>
      </c>
      <c r="I112" s="641" t="str">
        <f>Data2025!J111</f>
        <v>23/01/2025</v>
      </c>
      <c r="J112" s="381" t="str">
        <f>Data2025!L111</f>
        <v>Biaya Langganan Internet--</v>
      </c>
      <c r="K112" s="381" t="str">
        <f>Data2025!M111</f>
        <v>Jasa Langganan Indihome</v>
      </c>
      <c r="L112" s="642">
        <f>Data2025!N111</f>
        <v>1</v>
      </c>
      <c r="M112" s="642" t="str">
        <f>Data2025!O111</f>
        <v>bulan</v>
      </c>
      <c r="N112" s="643">
        <f>Data2025!P111</f>
        <v>1500000</v>
      </c>
      <c r="O112" s="644">
        <f>Data2025!Q111</f>
        <v>1500000</v>
      </c>
      <c r="P112" s="645" t="s">
        <v>2668</v>
      </c>
      <c r="Q112" s="646" t="e">
        <f>VLOOKUP(K112,Sheet1!$C$1:$D$101,2,)</f>
        <v>#N/A</v>
      </c>
      <c r="R112" s="267">
        <v>1235850</v>
      </c>
      <c r="S112" s="647">
        <v>1502000</v>
      </c>
      <c r="T112" s="648">
        <f>Data2025!T111</f>
        <v>0</v>
      </c>
      <c r="U112" s="268" t="s">
        <v>2533</v>
      </c>
      <c r="V112" s="648" t="e">
        <f>Data2025!V111</f>
        <v>#N/A</v>
      </c>
      <c r="W112" s="648" t="e">
        <f>Data2025!X111</f>
        <v>#N/A</v>
      </c>
      <c r="X112" s="268">
        <v>0</v>
      </c>
      <c r="Y112" s="268" t="str">
        <f t="shared" si="4"/>
        <v>Jasa Internet</v>
      </c>
      <c r="Z112" s="649" t="str">
        <f t="shared" si="5"/>
        <v>Jasa Internet</v>
      </c>
      <c r="AA112" s="650" t="s">
        <v>3373</v>
      </c>
      <c r="AB112" s="269">
        <v>1500000</v>
      </c>
      <c r="AC112" s="269">
        <v>1500000</v>
      </c>
      <c r="AD112" s="267">
        <v>1235850</v>
      </c>
      <c r="AE112" s="270">
        <v>1113378.3783783785</v>
      </c>
      <c r="AF112" s="270">
        <v>1235850</v>
      </c>
      <c r="AG112" s="805" t="s">
        <v>3883</v>
      </c>
      <c r="AH112" s="651" t="e">
        <f>Data2025!W111</f>
        <v>#N/A</v>
      </c>
    </row>
    <row r="113" spans="1:36" s="871" customFormat="1" ht="16.5" thickTop="1" thickBot="1">
      <c r="A113" s="848">
        <f>Data2025!G112</f>
        <v>24</v>
      </c>
      <c r="B113" s="849" t="str">
        <f>Data2025!K112</f>
        <v>BPU24</v>
      </c>
      <c r="C113" s="850" t="str">
        <f>Data2025!D112</f>
        <v>03. 03. 14.</v>
      </c>
      <c r="D113" s="851" t="str">
        <f>Data2025!C112</f>
        <v>5.1.02.01.01.0052</v>
      </c>
      <c r="E113" s="852">
        <f>Data2025!E112</f>
        <v>45680</v>
      </c>
      <c r="F113" s="853" t="str">
        <f>Data2025!F112</f>
        <v>24/01/2025</v>
      </c>
      <c r="G113" s="852" t="str">
        <f>Data2025!H112</f>
        <v>25/01/2025</v>
      </c>
      <c r="H113" s="852" t="str">
        <f t="shared" si="3"/>
        <v>25/01/2025</v>
      </c>
      <c r="I113" s="854" t="str">
        <f>Data2025!J112</f>
        <v>25/01/2025</v>
      </c>
      <c r="J113" s="855" t="str">
        <f>Data2025!L112</f>
        <v>Kudapan pada Kegiatan rubrik/Ibadah Bulanan</v>
      </c>
      <c r="K113" s="855" t="str">
        <f>Data2025!M112</f>
        <v>Kue Besar</v>
      </c>
      <c r="L113" s="856">
        <f>Data2025!N112</f>
        <v>100</v>
      </c>
      <c r="M113" s="856" t="str">
        <f>Data2025!O112</f>
        <v>kotak</v>
      </c>
      <c r="N113" s="857">
        <f>Data2025!P112</f>
        <v>15000</v>
      </c>
      <c r="O113" s="858">
        <f>Data2025!Q112</f>
        <v>1500000</v>
      </c>
      <c r="P113" s="859" t="s">
        <v>280</v>
      </c>
      <c r="Q113" s="860" t="str">
        <f>VLOOKUP(K113,Sheet1!$C$1:$D$101,2,)</f>
        <v>Kue (bahan tepung terigu, gula, telur, mentega; berat 100gr, panjang 15cm, lebar 8 cm)</v>
      </c>
      <c r="R113" s="861">
        <v>1500000</v>
      </c>
      <c r="S113" s="862">
        <v>1700000</v>
      </c>
      <c r="T113" s="863" t="str">
        <f>Data2025!T112</f>
        <v>Rumah Roti Helena</v>
      </c>
      <c r="U113" s="864" t="s">
        <v>2531</v>
      </c>
      <c r="V113" s="863" t="str">
        <f>Data2025!V112</f>
        <v>Fudi Supiyanto</v>
      </c>
      <c r="W113" s="863" t="str">
        <f>Data2025!X112</f>
        <v>Jln Ahmad Yani No.89 Kel. Pasar Telukdalam, Nias Selatan</v>
      </c>
      <c r="X113" s="864" t="s">
        <v>2529</v>
      </c>
      <c r="Y113" s="864" t="str">
        <f t="shared" si="4"/>
        <v>Kudapan</v>
      </c>
      <c r="Z113" s="865" t="str">
        <f t="shared" si="5"/>
        <v>Kudapan</v>
      </c>
      <c r="AA113" s="866" t="s">
        <v>3362</v>
      </c>
      <c r="AB113" s="867">
        <v>15000</v>
      </c>
      <c r="AC113" s="867">
        <v>1500000</v>
      </c>
      <c r="AD113" s="861">
        <v>1500000</v>
      </c>
      <c r="AE113" s="868">
        <v>1351351.3513513515</v>
      </c>
      <c r="AF113" s="868">
        <v>1500000</v>
      </c>
      <c r="AG113" s="869" t="s">
        <v>3883</v>
      </c>
      <c r="AH113" s="870" t="str">
        <f>Data2025!W112</f>
        <v>082164895397</v>
      </c>
    </row>
    <row r="114" spans="1:36" s="871" customFormat="1" ht="16.5" thickTop="1" thickBot="1">
      <c r="A114" s="848">
        <f>Data2025!G113</f>
        <v>25</v>
      </c>
      <c r="B114" s="849" t="str">
        <f>Data2025!K113</f>
        <v>BPU25</v>
      </c>
      <c r="C114" s="850" t="str">
        <f>Data2025!D113</f>
        <v>06. 05. 02.</v>
      </c>
      <c r="D114" s="851" t="str">
        <f>Data2025!C113</f>
        <v>5.1.02.01.01.0052</v>
      </c>
      <c r="E114" s="852">
        <f>Data2025!E113</f>
        <v>45680</v>
      </c>
      <c r="F114" s="853" t="str">
        <f>Data2025!F113</f>
        <v>24/01/2025</v>
      </c>
      <c r="G114" s="852" t="str">
        <f>Data2025!H113</f>
        <v>25/01/2025</v>
      </c>
      <c r="H114" s="852" t="str">
        <f t="shared" si="3"/>
        <v>25/01/2025</v>
      </c>
      <c r="I114" s="854" t="str">
        <f>Data2025!J113</f>
        <v>25/01/2025</v>
      </c>
      <c r="J114" s="855" t="str">
        <f>Data2025!L113</f>
        <v>Kudapan Rapat Rutin Bulanan</v>
      </c>
      <c r="K114" s="855" t="str">
        <f>Data2025!M113</f>
        <v>Kue Besar</v>
      </c>
      <c r="L114" s="856">
        <f>Data2025!N113</f>
        <v>60</v>
      </c>
      <c r="M114" s="856" t="str">
        <f>Data2025!O113</f>
        <v>buah</v>
      </c>
      <c r="N114" s="857">
        <f>Data2025!P113</f>
        <v>15000</v>
      </c>
      <c r="O114" s="858">
        <f>Data2025!Q113</f>
        <v>900000</v>
      </c>
      <c r="P114" s="859" t="s">
        <v>280</v>
      </c>
      <c r="Q114" s="860" t="str">
        <f>VLOOKUP(K114,Sheet1!$C$1:$D$101,2,)</f>
        <v>Kue (bahan tepung terigu, gula, telur, mentega; berat 100gr, panjang 15cm, lebar 8 cm)</v>
      </c>
      <c r="R114" s="861">
        <v>1000000</v>
      </c>
      <c r="S114" s="862">
        <v>1002000</v>
      </c>
      <c r="T114" s="863" t="str">
        <f>Data2025!T113</f>
        <v>Rumah Roti Helena</v>
      </c>
      <c r="U114" s="864" t="s">
        <v>2532</v>
      </c>
      <c r="V114" s="863" t="str">
        <f>Data2025!V113</f>
        <v>Fudi Supiyanto</v>
      </c>
      <c r="W114" s="863" t="str">
        <f>Data2025!X113</f>
        <v>Jln Ahmad Yani No.89 Kel. Pasar Telukdalam, Nias Selatan</v>
      </c>
      <c r="X114" s="864">
        <v>0</v>
      </c>
      <c r="Y114" s="864" t="str">
        <f t="shared" si="4"/>
        <v>Kudapan</v>
      </c>
      <c r="Z114" s="865" t="str">
        <f t="shared" si="5"/>
        <v>Kudapan</v>
      </c>
      <c r="AA114" s="866" t="s">
        <v>3373</v>
      </c>
      <c r="AB114" s="867">
        <v>1000000</v>
      </c>
      <c r="AC114" s="867">
        <v>1000000</v>
      </c>
      <c r="AD114" s="861">
        <v>1000000</v>
      </c>
      <c r="AE114" s="868">
        <v>900900.90090090095</v>
      </c>
      <c r="AF114" s="868">
        <v>1000000</v>
      </c>
      <c r="AG114" s="869" t="s">
        <v>3883</v>
      </c>
      <c r="AH114" s="870" t="str">
        <f>Data2025!W113</f>
        <v>082164895397</v>
      </c>
    </row>
    <row r="115" spans="1:36" ht="16.5" thickTop="1" thickBot="1">
      <c r="A115" s="636">
        <f>Data2025!G114</f>
        <v>26</v>
      </c>
      <c r="B115" s="637" t="str">
        <f>Data2025!K114</f>
        <v>BNU01</v>
      </c>
      <c r="C115" s="638" t="str">
        <f>Data2025!D114</f>
        <v>07. 12. 01.</v>
      </c>
      <c r="D115" s="639" t="str">
        <f>Data2025!C114</f>
        <v>5.1.02.02.01.0013</v>
      </c>
      <c r="E115" s="265">
        <f>Data2025!E114</f>
        <v>45682</v>
      </c>
      <c r="F115" s="640" t="str">
        <f>Data2025!F114</f>
        <v>05/02/2025</v>
      </c>
      <c r="G115" s="265" t="str">
        <f>Data2025!H114</f>
        <v>05/02/2025</v>
      </c>
      <c r="H115" s="265" t="str">
        <f t="shared" si="3"/>
        <v>05/02/2025</v>
      </c>
      <c r="I115" s="641" t="str">
        <f>Data2025!J114</f>
        <v>05/02/2025</v>
      </c>
      <c r="J115" s="381" t="str">
        <f>Data2025!L114</f>
        <v>Selatieli Nehe</v>
      </c>
      <c r="K115" s="381" t="str">
        <f>Data2025!M114</f>
        <v>Gaji Guru Tidak Tetap Sekolah</v>
      </c>
      <c r="L115" s="642">
        <f>Data2025!N114</f>
        <v>41</v>
      </c>
      <c r="M115" s="642" t="str">
        <f>Data2025!O114</f>
        <v>jpl</v>
      </c>
      <c r="N115" s="643">
        <f>Data2025!P114</f>
        <v>60000</v>
      </c>
      <c r="O115" s="644">
        <f>Data2025!Q114</f>
        <v>2460000</v>
      </c>
      <c r="P115" s="645" t="s">
        <v>3867</v>
      </c>
      <c r="Q115" s="646" t="e">
        <f>VLOOKUP(K115,Sheet1!$C$1:$D$101,2,)</f>
        <v>#N/A</v>
      </c>
      <c r="R115" s="267">
        <v>1658650</v>
      </c>
      <c r="S115" s="647">
        <v>11136650</v>
      </c>
      <c r="T115" s="648">
        <f>Data2025!T114</f>
        <v>0</v>
      </c>
      <c r="U115" s="268" t="s">
        <v>538</v>
      </c>
      <c r="V115" s="648" t="e">
        <f>Data2025!V114</f>
        <v>#N/A</v>
      </c>
      <c r="W115" s="648" t="e">
        <f>Data2025!X114</f>
        <v>#N/A</v>
      </c>
      <c r="X115" s="268" t="s">
        <v>541</v>
      </c>
      <c r="Y115" s="268" t="str">
        <f t="shared" si="4"/>
        <v>Honorarium</v>
      </c>
      <c r="Z115" s="649" t="str">
        <f t="shared" si="5"/>
        <v>Honorarium</v>
      </c>
      <c r="AA115" s="650" t="s">
        <v>3368</v>
      </c>
      <c r="AB115" s="269">
        <v>350</v>
      </c>
      <c r="AC115" s="269">
        <v>1658650</v>
      </c>
      <c r="AD115" s="267">
        <v>1658650</v>
      </c>
      <c r="AE115" s="270">
        <v>1494279.2792792793</v>
      </c>
      <c r="AF115" s="270">
        <v>1658650</v>
      </c>
      <c r="AG115" s="805" t="s">
        <v>3883</v>
      </c>
      <c r="AH115" s="651" t="e">
        <f>Data2025!W114</f>
        <v>#N/A</v>
      </c>
      <c r="AI115" s="277"/>
      <c r="AJ115" s="277"/>
    </row>
    <row r="116" spans="1:36" ht="16.5" thickTop="1" thickBot="1">
      <c r="A116" s="636">
        <f>Data2025!G115</f>
        <v>27</v>
      </c>
      <c r="B116" s="637" t="str">
        <f>Data2025!K115</f>
        <v>BNU02</v>
      </c>
      <c r="C116" s="638" t="str">
        <f>Data2025!D115</f>
        <v>07. 12. 01.</v>
      </c>
      <c r="D116" s="639" t="str">
        <f>Data2025!C115</f>
        <v>5.1.02.02.01.0013</v>
      </c>
      <c r="E116" s="265">
        <f>Data2025!E115</f>
        <v>45682</v>
      </c>
      <c r="F116" s="640" t="str">
        <f>Data2025!F115</f>
        <v>05/02/2025</v>
      </c>
      <c r="G116" s="265" t="str">
        <f>Data2025!H115</f>
        <v>05/02/2025</v>
      </c>
      <c r="H116" s="265" t="str">
        <f t="shared" si="3"/>
        <v>05/02/2025</v>
      </c>
      <c r="I116" s="641" t="str">
        <f>Data2025!J115</f>
        <v>05/02/2025</v>
      </c>
      <c r="J116" s="381" t="str">
        <f>Data2025!L115</f>
        <v>Arifin Metodi Bate'e</v>
      </c>
      <c r="K116" s="381" t="str">
        <f>Data2025!M115</f>
        <v>Gaji Guru Tidak Tetap Sekolah</v>
      </c>
      <c r="L116" s="642">
        <f>Data2025!N115</f>
        <v>34</v>
      </c>
      <c r="M116" s="642" t="str">
        <f>Data2025!O115</f>
        <v>jpl</v>
      </c>
      <c r="N116" s="643">
        <f>Data2025!P115</f>
        <v>60000</v>
      </c>
      <c r="O116" s="644">
        <f>Data2025!Q115</f>
        <v>2040000</v>
      </c>
      <c r="P116" s="645" t="s">
        <v>3867</v>
      </c>
      <c r="Q116" s="646" t="e">
        <f>VLOOKUP(K116,Sheet1!$C$1:$D$101,2,)</f>
        <v>#N/A</v>
      </c>
      <c r="R116" s="267">
        <v>2475000</v>
      </c>
      <c r="S116" s="647">
        <v>2541000</v>
      </c>
      <c r="T116" s="648">
        <f>Data2025!T115</f>
        <v>0</v>
      </c>
      <c r="U116" s="268" t="s">
        <v>2520</v>
      </c>
      <c r="V116" s="648" t="e">
        <f>Data2025!V115</f>
        <v>#N/A</v>
      </c>
      <c r="W116" s="648" t="e">
        <f>Data2025!X115</f>
        <v>#N/A</v>
      </c>
      <c r="X116" s="268" t="s">
        <v>3391</v>
      </c>
      <c r="Y116" s="268" t="str">
        <f t="shared" si="4"/>
        <v>Honorarium</v>
      </c>
      <c r="Z116" s="649" t="str">
        <f t="shared" si="5"/>
        <v>Honorarium</v>
      </c>
      <c r="AA116" s="650" t="s">
        <v>3374</v>
      </c>
      <c r="AB116" s="269">
        <v>75000</v>
      </c>
      <c r="AC116" s="269">
        <v>2475000</v>
      </c>
      <c r="AD116" s="267">
        <v>2475000</v>
      </c>
      <c r="AE116" s="270">
        <v>2229729.7297297297</v>
      </c>
      <c r="AF116" s="270">
        <v>2475000</v>
      </c>
      <c r="AG116" s="805" t="s">
        <v>3883</v>
      </c>
      <c r="AH116" s="651" t="e">
        <f>Data2025!W115</f>
        <v>#N/A</v>
      </c>
    </row>
    <row r="117" spans="1:36" ht="16.5" thickTop="1" thickBot="1">
      <c r="A117" s="636">
        <f>Data2025!G116</f>
        <v>28</v>
      </c>
      <c r="B117" s="637" t="str">
        <f>Data2025!K116</f>
        <v>BNU03</v>
      </c>
      <c r="C117" s="638" t="str">
        <f>Data2025!D116</f>
        <v>07. 12. 01.</v>
      </c>
      <c r="D117" s="639" t="str">
        <f>Data2025!C116</f>
        <v>5.1.02.02.01.0013</v>
      </c>
      <c r="E117" s="265">
        <f>Data2025!E116</f>
        <v>45682</v>
      </c>
      <c r="F117" s="640" t="str">
        <f>Data2025!F116</f>
        <v>05/02/2025</v>
      </c>
      <c r="G117" s="265" t="str">
        <f>Data2025!H116</f>
        <v>05/02/2025</v>
      </c>
      <c r="H117" s="265" t="str">
        <f t="shared" si="3"/>
        <v>05/02/2025</v>
      </c>
      <c r="I117" s="641" t="str">
        <f>Data2025!J116</f>
        <v>05/02/2025</v>
      </c>
      <c r="J117" s="381" t="str">
        <f>Data2025!L116</f>
        <v>Ferdiwati Wau</v>
      </c>
      <c r="K117" s="381" t="str">
        <f>Data2025!M116</f>
        <v>Gaji Guru Tidak Tetap Sekolah</v>
      </c>
      <c r="L117" s="642">
        <f>Data2025!N116</f>
        <v>34</v>
      </c>
      <c r="M117" s="642" t="str">
        <f>Data2025!O116</f>
        <v>jpl</v>
      </c>
      <c r="N117" s="643">
        <f>Data2025!P116</f>
        <v>60000</v>
      </c>
      <c r="O117" s="644">
        <f>Data2025!Q116</f>
        <v>2040000</v>
      </c>
      <c r="P117" s="645" t="s">
        <v>3867</v>
      </c>
      <c r="Q117" s="646" t="e">
        <f>VLOOKUP(K117,Sheet1!$C$1:$D$101,2,)</f>
        <v>#N/A</v>
      </c>
      <c r="R117" s="267">
        <v>2550000</v>
      </c>
      <c r="S117" s="647">
        <v>2618000</v>
      </c>
      <c r="T117" s="648">
        <f>Data2025!T116</f>
        <v>0</v>
      </c>
      <c r="U117" s="268" t="s">
        <v>2531</v>
      </c>
      <c r="V117" s="648" t="e">
        <f>Data2025!V116</f>
        <v>#N/A</v>
      </c>
      <c r="W117" s="648" t="e">
        <f>Data2025!X116</f>
        <v>#N/A</v>
      </c>
      <c r="X117" s="268" t="s">
        <v>2529</v>
      </c>
      <c r="Y117" s="268" t="str">
        <f t="shared" si="4"/>
        <v>Honorarium</v>
      </c>
      <c r="Z117" s="649" t="str">
        <f t="shared" si="5"/>
        <v>Honorarium</v>
      </c>
      <c r="AA117" s="650" t="s">
        <v>3374</v>
      </c>
      <c r="AB117" s="269">
        <v>75000</v>
      </c>
      <c r="AC117" s="269">
        <v>2550000</v>
      </c>
      <c r="AD117" s="267">
        <v>2550000</v>
      </c>
      <c r="AE117" s="270">
        <v>2297297.2972972975</v>
      </c>
      <c r="AF117" s="270">
        <v>2550000</v>
      </c>
      <c r="AG117" s="805" t="s">
        <v>3883</v>
      </c>
      <c r="AH117" s="651" t="e">
        <f>Data2025!W116</f>
        <v>#N/A</v>
      </c>
    </row>
    <row r="118" spans="1:36" ht="16.5" thickTop="1" thickBot="1">
      <c r="A118" s="636">
        <f>Data2025!G117</f>
        <v>29</v>
      </c>
      <c r="B118" s="637" t="str">
        <f>Data2025!K117</f>
        <v>BNU04</v>
      </c>
      <c r="C118" s="638" t="str">
        <f>Data2025!D117</f>
        <v>07. 12. 01.</v>
      </c>
      <c r="D118" s="639" t="str">
        <f>Data2025!C117</f>
        <v>5.1.02.02.01.0013</v>
      </c>
      <c r="E118" s="265">
        <f>Data2025!E117</f>
        <v>45682</v>
      </c>
      <c r="F118" s="640" t="str">
        <f>Data2025!F117</f>
        <v>05/02/2025</v>
      </c>
      <c r="G118" s="265" t="str">
        <f>Data2025!H117</f>
        <v>05/02/2025</v>
      </c>
      <c r="H118" s="265" t="str">
        <f t="shared" si="3"/>
        <v>05/02/2025</v>
      </c>
      <c r="I118" s="641" t="str">
        <f>Data2025!J117</f>
        <v>05/02/2025</v>
      </c>
      <c r="J118" s="381" t="str">
        <f>Data2025!L117</f>
        <v>Noni Alfanita Sarumaha, S.Pd</v>
      </c>
      <c r="K118" s="381" t="str">
        <f>Data2025!M117</f>
        <v>Gaji Guru Tidak Tetap Sekolah</v>
      </c>
      <c r="L118" s="642">
        <f>Data2025!N117</f>
        <v>37</v>
      </c>
      <c r="M118" s="642" t="str">
        <f>Data2025!O117</f>
        <v>jpl</v>
      </c>
      <c r="N118" s="643">
        <f>Data2025!P117</f>
        <v>60000</v>
      </c>
      <c r="O118" s="644">
        <f>Data2025!Q117</f>
        <v>2220000</v>
      </c>
      <c r="P118" s="645" t="s">
        <v>3867</v>
      </c>
      <c r="Q118" s="646" t="e">
        <f>VLOOKUP(K118,Sheet1!$C$1:$D$101,2,)</f>
        <v>#N/A</v>
      </c>
      <c r="R118" s="267">
        <v>2250000</v>
      </c>
      <c r="S118" s="647">
        <v>2310000</v>
      </c>
      <c r="T118" s="648">
        <f>Data2025!T117</f>
        <v>0</v>
      </c>
      <c r="U118" s="268" t="s">
        <v>2531</v>
      </c>
      <c r="V118" s="648" t="e">
        <f>Data2025!V117</f>
        <v>#N/A</v>
      </c>
      <c r="W118" s="648" t="e">
        <f>Data2025!X117</f>
        <v>#N/A</v>
      </c>
      <c r="X118" s="268" t="s">
        <v>2529</v>
      </c>
      <c r="Y118" s="268" t="str">
        <f t="shared" si="4"/>
        <v>Honorarium</v>
      </c>
      <c r="Z118" s="649" t="str">
        <f t="shared" si="5"/>
        <v>Honorarium</v>
      </c>
      <c r="AA118" s="650" t="s">
        <v>3374</v>
      </c>
      <c r="AB118" s="269">
        <v>75000</v>
      </c>
      <c r="AC118" s="269">
        <v>2250000</v>
      </c>
      <c r="AD118" s="267">
        <v>2250000</v>
      </c>
      <c r="AE118" s="270">
        <v>2027027.027027027</v>
      </c>
      <c r="AF118" s="270">
        <v>2250000</v>
      </c>
      <c r="AG118" s="805" t="s">
        <v>3883</v>
      </c>
      <c r="AH118" s="651" t="e">
        <f>Data2025!W117</f>
        <v>#N/A</v>
      </c>
    </row>
    <row r="119" spans="1:36" ht="16.5" thickTop="1" thickBot="1">
      <c r="A119" s="636">
        <f>Data2025!G118</f>
        <v>30</v>
      </c>
      <c r="B119" s="637" t="str">
        <f>Data2025!K118</f>
        <v>BNU05</v>
      </c>
      <c r="C119" s="638" t="str">
        <f>Data2025!D118</f>
        <v>07. 12. 01.</v>
      </c>
      <c r="D119" s="639" t="str">
        <f>Data2025!C118</f>
        <v>5.1.02.02.01.0013</v>
      </c>
      <c r="E119" s="265">
        <f>Data2025!E118</f>
        <v>45682</v>
      </c>
      <c r="F119" s="640" t="str">
        <f>Data2025!F118</f>
        <v>05/02/2025</v>
      </c>
      <c r="G119" s="265" t="str">
        <f>Data2025!H118</f>
        <v>05/02/2025</v>
      </c>
      <c r="H119" s="265" t="str">
        <f t="shared" si="3"/>
        <v>05/02/2025</v>
      </c>
      <c r="I119" s="641" t="str">
        <f>Data2025!J118</f>
        <v>05/02/2025</v>
      </c>
      <c r="J119" s="381" t="str">
        <f>Data2025!L118</f>
        <v>EMILA HAFO</v>
      </c>
      <c r="K119" s="381" t="str">
        <f>Data2025!M118</f>
        <v>Gaji Guru Tidak Tetap Sekolah</v>
      </c>
      <c r="L119" s="642">
        <f>Data2025!N118</f>
        <v>35</v>
      </c>
      <c r="M119" s="642" t="str">
        <f>Data2025!O118</f>
        <v>jpl</v>
      </c>
      <c r="N119" s="643">
        <f>Data2025!P118</f>
        <v>60000</v>
      </c>
      <c r="O119" s="644">
        <f>Data2025!Q118</f>
        <v>2100000</v>
      </c>
      <c r="P119" s="645" t="s">
        <v>3867</v>
      </c>
      <c r="Q119" s="646" t="e">
        <f>VLOOKUP(K119,Sheet1!$C$1:$D$101,2,)</f>
        <v>#N/A</v>
      </c>
      <c r="R119" s="267">
        <v>2475000</v>
      </c>
      <c r="S119" s="647">
        <v>2541000</v>
      </c>
      <c r="T119" s="648">
        <f>Data2025!T118</f>
        <v>0</v>
      </c>
      <c r="U119" s="268" t="s">
        <v>538</v>
      </c>
      <c r="V119" s="648" t="e">
        <f>Data2025!V118</f>
        <v>#N/A</v>
      </c>
      <c r="W119" s="648" t="e">
        <f>Data2025!X118</f>
        <v>#N/A</v>
      </c>
      <c r="X119" s="268" t="s">
        <v>540</v>
      </c>
      <c r="Y119" s="268" t="str">
        <f t="shared" si="4"/>
        <v>Honorarium</v>
      </c>
      <c r="Z119" s="649" t="str">
        <f t="shared" si="5"/>
        <v>Honorarium</v>
      </c>
      <c r="AA119" s="650" t="s">
        <v>3374</v>
      </c>
      <c r="AB119" s="269">
        <v>75000</v>
      </c>
      <c r="AC119" s="269">
        <v>2475000</v>
      </c>
      <c r="AD119" s="267">
        <v>2475000</v>
      </c>
      <c r="AE119" s="270">
        <v>2229729.7297297297</v>
      </c>
      <c r="AF119" s="270">
        <v>2475000</v>
      </c>
      <c r="AG119" s="805" t="s">
        <v>3883</v>
      </c>
      <c r="AH119" s="651" t="e">
        <f>Data2025!W118</f>
        <v>#N/A</v>
      </c>
    </row>
    <row r="120" spans="1:36" ht="16.5" thickTop="1" thickBot="1">
      <c r="A120" s="636">
        <f>Data2025!G119</f>
        <v>31</v>
      </c>
      <c r="B120" s="637" t="str">
        <f>Data2025!K119</f>
        <v>BNU06</v>
      </c>
      <c r="C120" s="638" t="str">
        <f>Data2025!D119</f>
        <v>07. 12. 01.</v>
      </c>
      <c r="D120" s="639" t="str">
        <f>Data2025!C119</f>
        <v>5.1.02.02.01.0013</v>
      </c>
      <c r="E120" s="265">
        <f>Data2025!E119</f>
        <v>45682</v>
      </c>
      <c r="F120" s="640" t="str">
        <f>Data2025!F119</f>
        <v>05/02/2025</v>
      </c>
      <c r="G120" s="265" t="str">
        <f>Data2025!H119</f>
        <v>05/02/2025</v>
      </c>
      <c r="H120" s="265" t="str">
        <f t="shared" si="3"/>
        <v>05/02/2025</v>
      </c>
      <c r="I120" s="641" t="str">
        <f>Data2025!J119</f>
        <v>05/02/2025</v>
      </c>
      <c r="J120" s="381" t="str">
        <f>Data2025!L119</f>
        <v>Asep Nurhidayat</v>
      </c>
      <c r="K120" s="381" t="str">
        <f>Data2025!M119</f>
        <v>Gaji Guru Tidak Tetap Sekolah</v>
      </c>
      <c r="L120" s="642">
        <f>Data2025!N119</f>
        <v>21</v>
      </c>
      <c r="M120" s="642" t="str">
        <f>Data2025!O119</f>
        <v>jpl</v>
      </c>
      <c r="N120" s="643">
        <f>Data2025!P119</f>
        <v>60000</v>
      </c>
      <c r="O120" s="644">
        <f>Data2025!Q119</f>
        <v>1260000</v>
      </c>
      <c r="P120" s="645" t="s">
        <v>3867</v>
      </c>
      <c r="Q120" s="646" t="e">
        <f>VLOOKUP(K120,Sheet1!$C$1:$D$101,2,)</f>
        <v>#N/A</v>
      </c>
      <c r="R120" s="267">
        <v>2100000</v>
      </c>
      <c r="S120" s="647">
        <v>2156000</v>
      </c>
      <c r="T120" s="648">
        <f>Data2025!T119</f>
        <v>0</v>
      </c>
      <c r="U120" s="268" t="s">
        <v>538</v>
      </c>
      <c r="V120" s="648" t="e">
        <f>Data2025!V119</f>
        <v>#N/A</v>
      </c>
      <c r="W120" s="648" t="e">
        <f>Data2025!X119</f>
        <v>#N/A</v>
      </c>
      <c r="X120" s="268" t="s">
        <v>540</v>
      </c>
      <c r="Y120" s="268" t="str">
        <f t="shared" si="4"/>
        <v>Honorarium</v>
      </c>
      <c r="Z120" s="649" t="str">
        <f t="shared" si="5"/>
        <v>Honorarium</v>
      </c>
      <c r="AA120" s="650" t="s">
        <v>3374</v>
      </c>
      <c r="AB120" s="269">
        <v>75000</v>
      </c>
      <c r="AC120" s="269">
        <v>2100000</v>
      </c>
      <c r="AD120" s="267">
        <v>2100000</v>
      </c>
      <c r="AE120" s="270">
        <v>1891891.8918918918</v>
      </c>
      <c r="AF120" s="270">
        <v>2100000</v>
      </c>
      <c r="AG120" s="805" t="s">
        <v>3883</v>
      </c>
      <c r="AH120" s="651" t="e">
        <f>Data2025!W119</f>
        <v>#N/A</v>
      </c>
    </row>
    <row r="121" spans="1:36" ht="16.5" thickTop="1" thickBot="1">
      <c r="A121" s="636">
        <f>Data2025!G120</f>
        <v>32</v>
      </c>
      <c r="B121" s="637" t="str">
        <f>Data2025!K120</f>
        <v>BNU07</v>
      </c>
      <c r="C121" s="638" t="str">
        <f>Data2025!D120</f>
        <v>07. 12. 01.</v>
      </c>
      <c r="D121" s="639" t="str">
        <f>Data2025!C120</f>
        <v>5.1.02.02.01.0013</v>
      </c>
      <c r="E121" s="265">
        <f>Data2025!E120</f>
        <v>45682</v>
      </c>
      <c r="F121" s="640" t="str">
        <f>Data2025!F120</f>
        <v>05/02/2025</v>
      </c>
      <c r="G121" s="265" t="str">
        <f>Data2025!H120</f>
        <v>05/02/2025</v>
      </c>
      <c r="H121" s="265" t="str">
        <f t="shared" si="3"/>
        <v>05/02/2025</v>
      </c>
      <c r="I121" s="641" t="str">
        <f>Data2025!J120</f>
        <v>05/02/2025</v>
      </c>
      <c r="J121" s="381" t="str">
        <f>Data2025!L120</f>
        <v>Amonius Dakhi</v>
      </c>
      <c r="K121" s="381" t="str">
        <f>Data2025!M120</f>
        <v>Gaji Guru Tidak Tetap Sekolah</v>
      </c>
      <c r="L121" s="642">
        <f>Data2025!N120</f>
        <v>24</v>
      </c>
      <c r="M121" s="642" t="str">
        <f>Data2025!O120</f>
        <v>orang / jam pelajaran</v>
      </c>
      <c r="N121" s="643">
        <f>Data2025!P120</f>
        <v>50000</v>
      </c>
      <c r="O121" s="644">
        <f>Data2025!Q120</f>
        <v>1200000</v>
      </c>
      <c r="P121" s="645" t="s">
        <v>3867</v>
      </c>
      <c r="Q121" s="646" t="e">
        <f>VLOOKUP(K121,Sheet1!$C$1:$D$101,2,)</f>
        <v>#N/A</v>
      </c>
      <c r="R121" s="267">
        <v>2475000</v>
      </c>
      <c r="S121" s="647">
        <v>2541000</v>
      </c>
      <c r="T121" s="648">
        <f>Data2025!T120</f>
        <v>0</v>
      </c>
      <c r="U121" s="268" t="s">
        <v>538</v>
      </c>
      <c r="V121" s="648" t="e">
        <f>Data2025!V120</f>
        <v>#N/A</v>
      </c>
      <c r="W121" s="648" t="e">
        <f>Data2025!X120</f>
        <v>#N/A</v>
      </c>
      <c r="X121" s="268" t="s">
        <v>540</v>
      </c>
      <c r="Y121" s="268" t="str">
        <f t="shared" si="4"/>
        <v>Honorarium</v>
      </c>
      <c r="Z121" s="649" t="str">
        <f t="shared" si="5"/>
        <v>Honorarium</v>
      </c>
      <c r="AA121" s="650" t="s">
        <v>3374</v>
      </c>
      <c r="AB121" s="269">
        <v>75000</v>
      </c>
      <c r="AC121" s="269">
        <v>2475000</v>
      </c>
      <c r="AD121" s="267">
        <v>2475000</v>
      </c>
      <c r="AE121" s="270">
        <v>2229729.7297297297</v>
      </c>
      <c r="AF121" s="270">
        <v>2475000</v>
      </c>
      <c r="AG121" s="805" t="s">
        <v>3883</v>
      </c>
      <c r="AH121" s="651" t="e">
        <f>Data2025!W120</f>
        <v>#N/A</v>
      </c>
    </row>
    <row r="122" spans="1:36" ht="16.5" thickTop="1" thickBot="1">
      <c r="A122" s="636">
        <f>Data2025!G121</f>
        <v>33</v>
      </c>
      <c r="B122" s="637" t="str">
        <f>Data2025!K121</f>
        <v>BNU08</v>
      </c>
      <c r="C122" s="638" t="str">
        <f>Data2025!D121</f>
        <v>07. 12. 01.</v>
      </c>
      <c r="D122" s="639" t="str">
        <f>Data2025!C121</f>
        <v>5.1.02.02.01.0013</v>
      </c>
      <c r="E122" s="265">
        <f>Data2025!E121</f>
        <v>45682</v>
      </c>
      <c r="F122" s="640" t="str">
        <f>Data2025!F121</f>
        <v>05/02/2025</v>
      </c>
      <c r="G122" s="265" t="str">
        <f>Data2025!H121</f>
        <v>05/02/2025</v>
      </c>
      <c r="H122" s="265" t="str">
        <f t="shared" si="3"/>
        <v>05/02/2025</v>
      </c>
      <c r="I122" s="641" t="str">
        <f>Data2025!J121</f>
        <v>05/02/2025</v>
      </c>
      <c r="J122" s="381" t="str">
        <f>Data2025!L121</f>
        <v>NELPI KARIANA WATI GOHAE</v>
      </c>
      <c r="K122" s="381" t="str">
        <f>Data2025!M121</f>
        <v>Gaji Guru Tidak Tetap Sekolah</v>
      </c>
      <c r="L122" s="642">
        <f>Data2025!N121</f>
        <v>24</v>
      </c>
      <c r="M122" s="642" t="str">
        <f>Data2025!O121</f>
        <v>orang / jam pelajaran</v>
      </c>
      <c r="N122" s="643">
        <f>Data2025!P121</f>
        <v>50000</v>
      </c>
      <c r="O122" s="644">
        <f>Data2025!Q121</f>
        <v>1200000</v>
      </c>
      <c r="P122" s="645" t="s">
        <v>3867</v>
      </c>
      <c r="Q122" s="646" t="e">
        <f>VLOOKUP(K122,Sheet1!$C$1:$D$101,2,)</f>
        <v>#N/A</v>
      </c>
      <c r="R122" s="267">
        <v>2000000</v>
      </c>
      <c r="S122" s="647">
        <v>2002000</v>
      </c>
      <c r="T122" s="648">
        <f>Data2025!T121</f>
        <v>0</v>
      </c>
      <c r="U122" s="268" t="s">
        <v>538</v>
      </c>
      <c r="V122" s="648" t="e">
        <f>Data2025!V121</f>
        <v>#N/A</v>
      </c>
      <c r="W122" s="648" t="e">
        <f>Data2025!X121</f>
        <v>#N/A</v>
      </c>
      <c r="X122" s="268" t="s">
        <v>540</v>
      </c>
      <c r="Y122" s="268" t="str">
        <f t="shared" si="4"/>
        <v>Honorarium</v>
      </c>
      <c r="Z122" s="649" t="str">
        <f t="shared" si="5"/>
        <v>Honorarium</v>
      </c>
      <c r="AA122" s="650" t="s">
        <v>3373</v>
      </c>
      <c r="AB122" s="269">
        <v>2000000</v>
      </c>
      <c r="AC122" s="269">
        <v>2000000</v>
      </c>
      <c r="AD122" s="267">
        <v>2000000</v>
      </c>
      <c r="AE122" s="270">
        <v>1801801.8018018019</v>
      </c>
      <c r="AF122" s="270">
        <v>2000000</v>
      </c>
      <c r="AG122" s="805" t="s">
        <v>3883</v>
      </c>
      <c r="AH122" s="651" t="e">
        <f>Data2025!W121</f>
        <v>#N/A</v>
      </c>
    </row>
    <row r="123" spans="1:36" ht="26" thickTop="1" thickBot="1">
      <c r="A123" s="636">
        <f>Data2025!G122</f>
        <v>34</v>
      </c>
      <c r="B123" s="637" t="str">
        <f>Data2025!K122</f>
        <v>BNU09</v>
      </c>
      <c r="C123" s="638" t="str">
        <f>Data2025!D122</f>
        <v>07. 12. 01.</v>
      </c>
      <c r="D123" s="639" t="str">
        <f>Data2025!C122</f>
        <v>5.1.02.02.01.0013</v>
      </c>
      <c r="E123" s="265">
        <f>Data2025!E122</f>
        <v>45682</v>
      </c>
      <c r="F123" s="640" t="str">
        <f>Data2025!F122</f>
        <v>05/02/2025</v>
      </c>
      <c r="G123" s="265" t="str">
        <f>Data2025!H122</f>
        <v>05/02/2025</v>
      </c>
      <c r="H123" s="265" t="str">
        <f t="shared" si="3"/>
        <v>05/02/2025</v>
      </c>
      <c r="I123" s="641" t="str">
        <f>Data2025!J122</f>
        <v>05/02/2025</v>
      </c>
      <c r="J123" s="381" t="str">
        <f>Data2025!L122</f>
        <v>MERCY GRACE KARTIKA SARI ZAGOTO (1558776677230122)</v>
      </c>
      <c r="K123" s="381" t="str">
        <f>Data2025!M122</f>
        <v>Gaji Guru Tidak Tetap Sekolah</v>
      </c>
      <c r="L123" s="642">
        <f>Data2025!N122</f>
        <v>35</v>
      </c>
      <c r="M123" s="642" t="str">
        <f>Data2025!O122</f>
        <v>orang / jam pelajaran</v>
      </c>
      <c r="N123" s="643">
        <f>Data2025!P122</f>
        <v>50000</v>
      </c>
      <c r="O123" s="644">
        <f>Data2025!Q122</f>
        <v>1750000</v>
      </c>
      <c r="P123" s="645" t="s">
        <v>3867</v>
      </c>
      <c r="Q123" s="646" t="e">
        <f>VLOOKUP(K123,Sheet1!$C$1:$D$101,2,)</f>
        <v>#N/A</v>
      </c>
      <c r="R123" s="267">
        <v>2000000</v>
      </c>
      <c r="S123" s="647">
        <v>2002000</v>
      </c>
      <c r="T123" s="648">
        <f>Data2025!T122</f>
        <v>0</v>
      </c>
      <c r="U123" s="268" t="s">
        <v>538</v>
      </c>
      <c r="V123" s="648" t="e">
        <f>Data2025!V122</f>
        <v>#N/A</v>
      </c>
      <c r="W123" s="648" t="e">
        <f>Data2025!X122</f>
        <v>#N/A</v>
      </c>
      <c r="X123" s="268" t="s">
        <v>540</v>
      </c>
      <c r="Y123" s="268" t="str">
        <f t="shared" si="4"/>
        <v>Honorarium</v>
      </c>
      <c r="Z123" s="649" t="str">
        <f t="shared" si="5"/>
        <v>Honorarium</v>
      </c>
      <c r="AA123" s="650" t="s">
        <v>3373</v>
      </c>
      <c r="AB123" s="269">
        <v>2000000</v>
      </c>
      <c r="AC123" s="269">
        <v>2000000</v>
      </c>
      <c r="AD123" s="267">
        <v>2000000</v>
      </c>
      <c r="AE123" s="270">
        <v>1801801.8018018019</v>
      </c>
      <c r="AF123" s="270">
        <v>2000000</v>
      </c>
      <c r="AG123" s="805" t="s">
        <v>3883</v>
      </c>
      <c r="AH123" s="651" t="e">
        <f>Data2025!W122</f>
        <v>#N/A</v>
      </c>
    </row>
    <row r="124" spans="1:36" ht="16.5" thickTop="1" thickBot="1">
      <c r="A124" s="636">
        <f>Data2025!G123</f>
        <v>35</v>
      </c>
      <c r="B124" s="637" t="str">
        <f>Data2025!K123</f>
        <v>BNU10</v>
      </c>
      <c r="C124" s="638" t="str">
        <f>Data2025!D123</f>
        <v>07. 12. 02.</v>
      </c>
      <c r="D124" s="639" t="str">
        <f>Data2025!C123</f>
        <v>5.1.02.02.01.0026</v>
      </c>
      <c r="E124" s="265">
        <f>Data2025!E123</f>
        <v>45682</v>
      </c>
      <c r="F124" s="640" t="str">
        <f>Data2025!F123</f>
        <v>05/02/2025</v>
      </c>
      <c r="G124" s="265" t="str">
        <f>Data2025!H123</f>
        <v>05/02/2025</v>
      </c>
      <c r="H124" s="265" t="str">
        <f t="shared" si="3"/>
        <v>05/02/2025</v>
      </c>
      <c r="I124" s="641" t="str">
        <f>Data2025!J123</f>
        <v>05/02/2025</v>
      </c>
      <c r="J124" s="381" t="str">
        <f>Data2025!L123</f>
        <v>Estera Nehe</v>
      </c>
      <c r="K124" s="381" t="str">
        <f>Data2025!M123</f>
        <v>Gaji Pegawai Tidak Tetap Sekolah</v>
      </c>
      <c r="L124" s="642">
        <f>Data2025!N123</f>
        <v>1</v>
      </c>
      <c r="M124" s="642" t="str">
        <f>Data2025!O123</f>
        <v>bulan</v>
      </c>
      <c r="N124" s="643">
        <f>Data2025!P123</f>
        <v>2000000</v>
      </c>
      <c r="O124" s="644">
        <f>Data2025!Q123</f>
        <v>2000000</v>
      </c>
      <c r="P124" s="645" t="s">
        <v>3867</v>
      </c>
      <c r="Q124" s="646" t="e">
        <f>VLOOKUP(K124,Sheet1!$C$1:$D$101,2,)</f>
        <v>#N/A</v>
      </c>
      <c r="R124" s="267">
        <v>2000000</v>
      </c>
      <c r="S124" s="647">
        <v>2002000</v>
      </c>
      <c r="T124" s="648">
        <f>Data2025!T123</f>
        <v>0</v>
      </c>
      <c r="U124" s="268" t="s">
        <v>538</v>
      </c>
      <c r="V124" s="648" t="e">
        <f>Data2025!V123</f>
        <v>#N/A</v>
      </c>
      <c r="W124" s="648" t="e">
        <f>Data2025!X123</f>
        <v>#N/A</v>
      </c>
      <c r="X124" s="268" t="s">
        <v>540</v>
      </c>
      <c r="Y124" s="268" t="str">
        <f t="shared" si="4"/>
        <v>Honorarium</v>
      </c>
      <c r="Z124" s="649" t="str">
        <f t="shared" si="5"/>
        <v>Honorarium</v>
      </c>
      <c r="AA124" s="650" t="s">
        <v>3373</v>
      </c>
      <c r="AB124" s="269">
        <v>2000000</v>
      </c>
      <c r="AC124" s="269">
        <v>2000000</v>
      </c>
      <c r="AD124" s="267">
        <v>2000000</v>
      </c>
      <c r="AE124" s="270">
        <v>1801801.8018018019</v>
      </c>
      <c r="AF124" s="270">
        <v>2000000</v>
      </c>
      <c r="AG124" s="805" t="s">
        <v>3883</v>
      </c>
      <c r="AH124" s="651" t="e">
        <f>Data2025!W123</f>
        <v>#N/A</v>
      </c>
    </row>
    <row r="125" spans="1:36" ht="16.5" thickTop="1" thickBot="1">
      <c r="A125" s="636">
        <f>Data2025!G124</f>
        <v>36</v>
      </c>
      <c r="B125" s="637" t="str">
        <f>Data2025!K124</f>
        <v>BNU11</v>
      </c>
      <c r="C125" s="638" t="str">
        <f>Data2025!D124</f>
        <v>07. 12. 02.</v>
      </c>
      <c r="D125" s="639" t="str">
        <f>Data2025!C124</f>
        <v>5.1.02.02.01.0026</v>
      </c>
      <c r="E125" s="265">
        <f>Data2025!E124</f>
        <v>45682</v>
      </c>
      <c r="F125" s="640" t="str">
        <f>Data2025!F124</f>
        <v>05/02/2025</v>
      </c>
      <c r="G125" s="265" t="str">
        <f>Data2025!H124</f>
        <v>05/02/2025</v>
      </c>
      <c r="H125" s="265" t="str">
        <f t="shared" si="3"/>
        <v>05/02/2025</v>
      </c>
      <c r="I125" s="641" t="str">
        <f>Data2025!J124</f>
        <v>05/02/2025</v>
      </c>
      <c r="J125" s="381" t="str">
        <f>Data2025!L124</f>
        <v>Hatieli Buulolo</v>
      </c>
      <c r="K125" s="381" t="str">
        <f>Data2025!M124</f>
        <v>Gaji Pegawai Tidak Tetap Sekolah</v>
      </c>
      <c r="L125" s="642">
        <f>Data2025!N124</f>
        <v>1</v>
      </c>
      <c r="M125" s="642" t="str">
        <f>Data2025!O124</f>
        <v>bulan</v>
      </c>
      <c r="N125" s="643">
        <f>Data2025!P124</f>
        <v>2500000</v>
      </c>
      <c r="O125" s="644">
        <f>Data2025!Q124</f>
        <v>2500000</v>
      </c>
      <c r="P125" s="645" t="s">
        <v>3867</v>
      </c>
      <c r="Q125" s="646" t="e">
        <f>VLOOKUP(K125,Sheet1!$C$1:$D$101,2,)</f>
        <v>#N/A</v>
      </c>
      <c r="R125" s="267">
        <v>2000000</v>
      </c>
      <c r="S125" s="647">
        <v>2002000</v>
      </c>
      <c r="T125" s="648">
        <f>Data2025!T124</f>
        <v>0</v>
      </c>
      <c r="U125" s="268" t="s">
        <v>538</v>
      </c>
      <c r="V125" s="648" t="e">
        <f>Data2025!V124</f>
        <v>#N/A</v>
      </c>
      <c r="W125" s="648" t="e">
        <f>Data2025!X124</f>
        <v>#N/A</v>
      </c>
      <c r="X125" s="268" t="s">
        <v>540</v>
      </c>
      <c r="Y125" s="268" t="str">
        <f t="shared" si="4"/>
        <v>Honorarium</v>
      </c>
      <c r="Z125" s="649" t="str">
        <f t="shared" si="5"/>
        <v>Honorarium</v>
      </c>
      <c r="AA125" s="650" t="s">
        <v>3373</v>
      </c>
      <c r="AB125" s="269">
        <v>2000000</v>
      </c>
      <c r="AC125" s="269">
        <v>2000000</v>
      </c>
      <c r="AD125" s="267">
        <v>2000000</v>
      </c>
      <c r="AE125" s="270">
        <v>1801801.8018018019</v>
      </c>
      <c r="AF125" s="270">
        <v>2000000</v>
      </c>
      <c r="AG125" s="805" t="s">
        <v>3883</v>
      </c>
      <c r="AH125" s="651" t="e">
        <f>Data2025!W124</f>
        <v>#N/A</v>
      </c>
    </row>
    <row r="126" spans="1:36" ht="16.5" thickTop="1" thickBot="1">
      <c r="A126" s="636">
        <f>Data2025!G125</f>
        <v>37</v>
      </c>
      <c r="B126" s="637" t="str">
        <f>Data2025!K125</f>
        <v>BNU12</v>
      </c>
      <c r="C126" s="638" t="str">
        <f>Data2025!D125</f>
        <v>07. 12. 02.</v>
      </c>
      <c r="D126" s="639" t="str">
        <f>Data2025!C125</f>
        <v>5.1.02.02.01.0026</v>
      </c>
      <c r="E126" s="265">
        <f>Data2025!E125</f>
        <v>45682</v>
      </c>
      <c r="F126" s="640" t="str">
        <f>Data2025!F125</f>
        <v>05/02/2025</v>
      </c>
      <c r="G126" s="265" t="str">
        <f>Data2025!H125</f>
        <v>05/02/2025</v>
      </c>
      <c r="H126" s="265" t="str">
        <f t="shared" si="3"/>
        <v>05/02/2025</v>
      </c>
      <c r="I126" s="641" t="str">
        <f>Data2025!J125</f>
        <v>05/02/2025</v>
      </c>
      <c r="J126" s="381" t="str">
        <f>Data2025!L125</f>
        <v>David J. Sitinjak</v>
      </c>
      <c r="K126" s="381" t="str">
        <f>Data2025!M125</f>
        <v>Gaji Pegawai Tidak Tetap Sekolah</v>
      </c>
      <c r="L126" s="642">
        <f>Data2025!N125</f>
        <v>1</v>
      </c>
      <c r="M126" s="642" t="str">
        <f>Data2025!O125</f>
        <v>bulan</v>
      </c>
      <c r="N126" s="643">
        <f>Data2025!P125</f>
        <v>2500000</v>
      </c>
      <c r="O126" s="644">
        <f>Data2025!Q125</f>
        <v>2500000</v>
      </c>
      <c r="P126" s="645" t="s">
        <v>3867</v>
      </c>
      <c r="Q126" s="646" t="e">
        <f>VLOOKUP(K126,Sheet1!$C$1:$D$101,2,)</f>
        <v>#N/A</v>
      </c>
      <c r="R126" s="267">
        <v>2000000</v>
      </c>
      <c r="S126" s="647">
        <v>2002000</v>
      </c>
      <c r="T126" s="648">
        <f>Data2025!T125</f>
        <v>0</v>
      </c>
      <c r="U126" s="268" t="s">
        <v>538</v>
      </c>
      <c r="V126" s="648" t="e">
        <f>Data2025!V125</f>
        <v>#N/A</v>
      </c>
      <c r="W126" s="648" t="e">
        <f>Data2025!X125</f>
        <v>#N/A</v>
      </c>
      <c r="X126" s="268" t="s">
        <v>540</v>
      </c>
      <c r="Y126" s="268" t="str">
        <f t="shared" si="4"/>
        <v>Honorarium</v>
      </c>
      <c r="Z126" s="649" t="str">
        <f t="shared" si="5"/>
        <v>Honorarium</v>
      </c>
      <c r="AA126" s="650" t="s">
        <v>3373</v>
      </c>
      <c r="AB126" s="269">
        <v>2000000</v>
      </c>
      <c r="AC126" s="269">
        <v>2000000</v>
      </c>
      <c r="AD126" s="267">
        <v>2000000</v>
      </c>
      <c r="AE126" s="270">
        <v>1801801.8018018019</v>
      </c>
      <c r="AF126" s="270">
        <v>2000000</v>
      </c>
      <c r="AG126" s="805" t="s">
        <v>3883</v>
      </c>
      <c r="AH126" s="651" t="e">
        <f>Data2025!W125</f>
        <v>#N/A</v>
      </c>
    </row>
    <row r="127" spans="1:36" ht="16.5" thickTop="1" thickBot="1">
      <c r="A127" s="636">
        <f>Data2025!G126</f>
        <v>38</v>
      </c>
      <c r="B127" s="637" t="str">
        <f>Data2025!K126</f>
        <v>BNU13</v>
      </c>
      <c r="C127" s="638" t="str">
        <f>Data2025!D126</f>
        <v>07. 12. 02.</v>
      </c>
      <c r="D127" s="639" t="str">
        <f>Data2025!C126</f>
        <v>5.1.02.02.01.0026</v>
      </c>
      <c r="E127" s="265">
        <f>Data2025!E126</f>
        <v>45682</v>
      </c>
      <c r="F127" s="640" t="str">
        <f>Data2025!F126</f>
        <v>05/02/2025</v>
      </c>
      <c r="G127" s="265" t="str">
        <f>Data2025!H126</f>
        <v>05/02/2025</v>
      </c>
      <c r="H127" s="265" t="str">
        <f t="shared" si="3"/>
        <v>05/02/2025</v>
      </c>
      <c r="I127" s="641" t="str">
        <f>Data2025!J126</f>
        <v>05/02/2025</v>
      </c>
      <c r="J127" s="381" t="str">
        <f>Data2025!L126</f>
        <v>Siona Ziraluo</v>
      </c>
      <c r="K127" s="381" t="str">
        <f>Data2025!M126</f>
        <v>Gaji Pegawai Tidak Tetap Sekolah</v>
      </c>
      <c r="L127" s="642">
        <f>Data2025!N126</f>
        <v>1</v>
      </c>
      <c r="M127" s="642" t="str">
        <f>Data2025!O126</f>
        <v>bulan</v>
      </c>
      <c r="N127" s="643">
        <f>Data2025!P126</f>
        <v>2000000</v>
      </c>
      <c r="O127" s="644">
        <f>Data2025!Q126</f>
        <v>2000000</v>
      </c>
      <c r="P127" s="645" t="s">
        <v>3867</v>
      </c>
      <c r="Q127" s="646" t="e">
        <f>VLOOKUP(K127,Sheet1!$C$1:$D$101,2,)</f>
        <v>#N/A</v>
      </c>
      <c r="R127" s="267">
        <v>1000000</v>
      </c>
      <c r="S127" s="647">
        <v>1002000</v>
      </c>
      <c r="T127" s="648">
        <f>Data2025!T126</f>
        <v>0</v>
      </c>
      <c r="U127" s="268" t="s">
        <v>538</v>
      </c>
      <c r="V127" s="648" t="e">
        <f>Data2025!V126</f>
        <v>#N/A</v>
      </c>
      <c r="W127" s="648" t="e">
        <f>Data2025!X126</f>
        <v>#N/A</v>
      </c>
      <c r="X127" s="268" t="s">
        <v>540</v>
      </c>
      <c r="Y127" s="268" t="str">
        <f t="shared" si="4"/>
        <v>Honorarium</v>
      </c>
      <c r="Z127" s="649" t="str">
        <f t="shared" si="5"/>
        <v>Honorarium</v>
      </c>
      <c r="AA127" s="650" t="s">
        <v>3373</v>
      </c>
      <c r="AB127" s="269">
        <v>1000000</v>
      </c>
      <c r="AC127" s="269">
        <v>1000000</v>
      </c>
      <c r="AD127" s="267">
        <v>1000000</v>
      </c>
      <c r="AE127" s="270">
        <v>900900.90090090095</v>
      </c>
      <c r="AF127" s="270">
        <v>1000000</v>
      </c>
      <c r="AG127" s="805" t="s">
        <v>3883</v>
      </c>
      <c r="AH127" s="651" t="e">
        <f>Data2025!W126</f>
        <v>#N/A</v>
      </c>
    </row>
    <row r="128" spans="1:36" ht="16.5" thickTop="1" thickBot="1">
      <c r="A128" s="636">
        <f>Data2025!G127</f>
        <v>39</v>
      </c>
      <c r="B128" s="637" t="str">
        <f>Data2025!K127</f>
        <v>BNU14</v>
      </c>
      <c r="C128" s="638" t="str">
        <f>Data2025!D127</f>
        <v>07. 12. 02.</v>
      </c>
      <c r="D128" s="639" t="str">
        <f>Data2025!C127</f>
        <v>5.1.02.02.01.0026</v>
      </c>
      <c r="E128" s="265">
        <f>Data2025!E127</f>
        <v>45682</v>
      </c>
      <c r="F128" s="640" t="str">
        <f>Data2025!F127</f>
        <v>05/02/2025</v>
      </c>
      <c r="G128" s="265" t="str">
        <f>Data2025!H127</f>
        <v>05/02/2025</v>
      </c>
      <c r="H128" s="265" t="str">
        <f t="shared" si="3"/>
        <v>05/02/2025</v>
      </c>
      <c r="I128" s="641" t="str">
        <f>Data2025!J127</f>
        <v>05/02/2025</v>
      </c>
      <c r="J128" s="381" t="str">
        <f>Data2025!L127</f>
        <v>Merdina Ziraluo</v>
      </c>
      <c r="K128" s="381" t="str">
        <f>Data2025!M127</f>
        <v>Gaji Pegawai Tidak Tetap Sekolah</v>
      </c>
      <c r="L128" s="642">
        <f>Data2025!N127</f>
        <v>1</v>
      </c>
      <c r="M128" s="642" t="str">
        <f>Data2025!O127</f>
        <v>bulan</v>
      </c>
      <c r="N128" s="643">
        <f>Data2025!P127</f>
        <v>2500000</v>
      </c>
      <c r="O128" s="644">
        <f>Data2025!Q127</f>
        <v>2500000</v>
      </c>
      <c r="P128" s="645" t="s">
        <v>3867</v>
      </c>
      <c r="Q128" s="646" t="e">
        <f>VLOOKUP(K128,Sheet1!$C$1:$D$101,2,)</f>
        <v>#N/A</v>
      </c>
      <c r="R128" s="267">
        <v>3200000</v>
      </c>
      <c r="S128" s="647">
        <v>3360000</v>
      </c>
      <c r="T128" s="648">
        <f>Data2025!T127</f>
        <v>0</v>
      </c>
      <c r="U128" s="268" t="s">
        <v>2520</v>
      </c>
      <c r="V128" s="648" t="e">
        <f>Data2025!V127</f>
        <v>#N/A</v>
      </c>
      <c r="W128" s="648" t="e">
        <f>Data2025!X127</f>
        <v>#N/A</v>
      </c>
      <c r="X128" s="268" t="s">
        <v>3391</v>
      </c>
      <c r="Y128" s="268" t="str">
        <f t="shared" si="4"/>
        <v>Honorarium</v>
      </c>
      <c r="Z128" s="649" t="str">
        <f t="shared" si="5"/>
        <v>Honorarium</v>
      </c>
      <c r="AA128" s="650" t="s">
        <v>3362</v>
      </c>
      <c r="AB128" s="269">
        <v>40000</v>
      </c>
      <c r="AC128" s="269">
        <v>3200000</v>
      </c>
      <c r="AD128" s="267">
        <v>3200000</v>
      </c>
      <c r="AE128" s="270">
        <v>2882882.8828828828</v>
      </c>
      <c r="AF128" s="270">
        <v>3200000</v>
      </c>
      <c r="AG128" s="805" t="s">
        <v>3883</v>
      </c>
      <c r="AH128" s="651" t="e">
        <f>Data2025!W127</f>
        <v>#N/A</v>
      </c>
    </row>
    <row r="129" spans="1:34" ht="16.5" thickTop="1" thickBot="1">
      <c r="A129" s="636">
        <f>Data2025!G128</f>
        <v>40</v>
      </c>
      <c r="B129" s="637" t="str">
        <f>Data2025!K128</f>
        <v>BNU15</v>
      </c>
      <c r="C129" s="638" t="str">
        <f>Data2025!D128</f>
        <v>07. 12. 02.</v>
      </c>
      <c r="D129" s="639" t="str">
        <f>Data2025!C128</f>
        <v>5.1.02.02.01.0026</v>
      </c>
      <c r="E129" s="265">
        <f>Data2025!E128</f>
        <v>45682</v>
      </c>
      <c r="F129" s="640" t="str">
        <f>Data2025!F128</f>
        <v>05/02/2025</v>
      </c>
      <c r="G129" s="265" t="str">
        <f>Data2025!H128</f>
        <v>05/02/2025</v>
      </c>
      <c r="H129" s="265" t="str">
        <f t="shared" si="3"/>
        <v>05/02/2025</v>
      </c>
      <c r="I129" s="641" t="str">
        <f>Data2025!J128</f>
        <v>05/02/2025</v>
      </c>
      <c r="J129" s="381" t="str">
        <f>Data2025!L128</f>
        <v>Oksilia Buulolo, S.S</v>
      </c>
      <c r="K129" s="381" t="str">
        <f>Data2025!M128</f>
        <v>Gaji Pegawai Tidak Tetap Sekolah</v>
      </c>
      <c r="L129" s="642">
        <f>Data2025!N128</f>
        <v>1</v>
      </c>
      <c r="M129" s="642" t="str">
        <f>Data2025!O128</f>
        <v>bulan/orang</v>
      </c>
      <c r="N129" s="643">
        <f>Data2025!P128</f>
        <v>2000000</v>
      </c>
      <c r="O129" s="644">
        <f>Data2025!Q128</f>
        <v>2000000</v>
      </c>
      <c r="P129" s="645" t="s">
        <v>3867</v>
      </c>
      <c r="Q129" s="646" t="e">
        <f>VLOOKUP(K129,Sheet1!$C$1:$D$101,2,)</f>
        <v>#N/A</v>
      </c>
      <c r="R129" s="267">
        <v>1200000</v>
      </c>
      <c r="S129" s="647">
        <v>1360000</v>
      </c>
      <c r="T129" s="648">
        <f>Data2025!T128</f>
        <v>0</v>
      </c>
      <c r="U129" s="268" t="s">
        <v>2531</v>
      </c>
      <c r="V129" s="648" t="e">
        <f>Data2025!V128</f>
        <v>#N/A</v>
      </c>
      <c r="W129" s="648" t="e">
        <f>Data2025!X128</f>
        <v>#N/A</v>
      </c>
      <c r="X129" s="268" t="s">
        <v>2529</v>
      </c>
      <c r="Y129" s="268" t="str">
        <f t="shared" si="4"/>
        <v>Honorarium</v>
      </c>
      <c r="Z129" s="649" t="str">
        <f t="shared" si="5"/>
        <v>Honorarium</v>
      </c>
      <c r="AA129" s="650" t="s">
        <v>3362</v>
      </c>
      <c r="AB129" s="269">
        <v>15000</v>
      </c>
      <c r="AC129" s="269">
        <v>1200000</v>
      </c>
      <c r="AD129" s="267">
        <v>1200000</v>
      </c>
      <c r="AE129" s="270">
        <v>1081081.0810810812</v>
      </c>
      <c r="AF129" s="270">
        <v>1200000</v>
      </c>
      <c r="AG129" s="805" t="s">
        <v>3883</v>
      </c>
      <c r="AH129" s="651" t="e">
        <f>Data2025!W128</f>
        <v>#N/A</v>
      </c>
    </row>
    <row r="130" spans="1:34" ht="16.5" thickTop="1" thickBot="1">
      <c r="A130" s="636">
        <f>Data2025!G129</f>
        <v>41</v>
      </c>
      <c r="B130" s="637" t="str">
        <f>Data2025!K129</f>
        <v>BNU16</v>
      </c>
      <c r="C130" s="638" t="str">
        <f>Data2025!D129</f>
        <v>07. 12. 02.</v>
      </c>
      <c r="D130" s="639" t="str">
        <f>Data2025!C129</f>
        <v>5.1.02.02.01.0026</v>
      </c>
      <c r="E130" s="265">
        <f>Data2025!E129</f>
        <v>45682</v>
      </c>
      <c r="F130" s="640" t="str">
        <f>Data2025!F129</f>
        <v>05/02/2025</v>
      </c>
      <c r="G130" s="265" t="str">
        <f>Data2025!H129</f>
        <v>05/02/2025</v>
      </c>
      <c r="H130" s="265" t="str">
        <f t="shared" si="3"/>
        <v>05/02/2025</v>
      </c>
      <c r="I130" s="641" t="str">
        <f>Data2025!J129</f>
        <v>05/02/2025</v>
      </c>
      <c r="J130" s="381" t="str">
        <f>Data2025!L129</f>
        <v>Novika Efdimasari Halawa, S.S.I</v>
      </c>
      <c r="K130" s="381" t="str">
        <f>Data2025!M129</f>
        <v>Gaji Pegawai Tidak Tetap Sekolah</v>
      </c>
      <c r="L130" s="642">
        <f>Data2025!N129</f>
        <v>1</v>
      </c>
      <c r="M130" s="642" t="str">
        <f>Data2025!O129</f>
        <v>bulan/orang</v>
      </c>
      <c r="N130" s="643">
        <f>Data2025!P129</f>
        <v>2000000</v>
      </c>
      <c r="O130" s="644">
        <f>Data2025!Q129</f>
        <v>2000000</v>
      </c>
      <c r="P130" s="645" t="s">
        <v>3867</v>
      </c>
      <c r="Q130" s="646" t="e">
        <f>VLOOKUP(K130,Sheet1!$C$1:$D$101,2,)</f>
        <v>#N/A</v>
      </c>
      <c r="R130" s="267">
        <v>900000</v>
      </c>
      <c r="S130" s="647">
        <v>1020000</v>
      </c>
      <c r="T130" s="648">
        <f>Data2025!T129</f>
        <v>0</v>
      </c>
      <c r="U130" s="268" t="s">
        <v>2531</v>
      </c>
      <c r="V130" s="648" t="e">
        <f>Data2025!V129</f>
        <v>#N/A</v>
      </c>
      <c r="W130" s="648" t="e">
        <f>Data2025!X129</f>
        <v>#N/A</v>
      </c>
      <c r="X130" s="268" t="s">
        <v>2529</v>
      </c>
      <c r="Y130" s="268" t="str">
        <f t="shared" si="4"/>
        <v>Honorarium</v>
      </c>
      <c r="Z130" s="649" t="str">
        <f t="shared" si="5"/>
        <v>Honorarium</v>
      </c>
      <c r="AA130" s="650" t="s">
        <v>3363</v>
      </c>
      <c r="AB130" s="269">
        <v>15000</v>
      </c>
      <c r="AC130" s="269">
        <v>900000</v>
      </c>
      <c r="AD130" s="267">
        <v>900000</v>
      </c>
      <c r="AE130" s="270">
        <v>810810.81081081077</v>
      </c>
      <c r="AF130" s="270">
        <v>900000</v>
      </c>
      <c r="AG130" s="805" t="s">
        <v>3883</v>
      </c>
      <c r="AH130" s="651" t="e">
        <f>Data2025!W129</f>
        <v>#N/A</v>
      </c>
    </row>
    <row r="131" spans="1:34" ht="16.5" thickTop="1" thickBot="1">
      <c r="A131" s="636">
        <f>Data2025!G130</f>
        <v>42</v>
      </c>
      <c r="B131" s="637" t="str">
        <f>Data2025!K130</f>
        <v>BNU17</v>
      </c>
      <c r="C131" s="638" t="str">
        <f>Data2025!D130</f>
        <v>07. 12. 04.</v>
      </c>
      <c r="D131" s="639" t="str">
        <f>Data2025!C130</f>
        <v>5.1.02.02.01.0016</v>
      </c>
      <c r="E131" s="265">
        <f>Data2025!E130</f>
        <v>45682</v>
      </c>
      <c r="F131" s="640" t="str">
        <f>Data2025!F130</f>
        <v>05/02/2025</v>
      </c>
      <c r="G131" s="265" t="str">
        <f>Data2025!H130</f>
        <v>05/02/2025</v>
      </c>
      <c r="H131" s="265" t="str">
        <f t="shared" si="3"/>
        <v>05/02/2025</v>
      </c>
      <c r="I131" s="641" t="str">
        <f>Data2025!J130</f>
        <v>05/02/2025</v>
      </c>
      <c r="J131" s="381" t="str">
        <f>Data2025!L130</f>
        <v>Zefrianus Zai</v>
      </c>
      <c r="K131" s="381" t="str">
        <f>Data2025!M130</f>
        <v>Gaji Pegawai Tidak Tetap Sekolah</v>
      </c>
      <c r="L131" s="642">
        <f>Data2025!N130</f>
        <v>1</v>
      </c>
      <c r="M131" s="642" t="str">
        <f>Data2025!O130</f>
        <v>bulan/orang</v>
      </c>
      <c r="N131" s="643">
        <f>Data2025!P130</f>
        <v>2000000</v>
      </c>
      <c r="O131" s="644">
        <f>Data2025!Q130</f>
        <v>2000000</v>
      </c>
      <c r="P131" s="645" t="s">
        <v>3867</v>
      </c>
      <c r="Q131" s="646" t="e">
        <f>VLOOKUP(K131,Sheet1!$C$1:$D$101,2,)</f>
        <v>#N/A</v>
      </c>
      <c r="R131" s="267">
        <v>28000000</v>
      </c>
      <c r="S131" s="647">
        <v>28004000</v>
      </c>
      <c r="T131" s="648">
        <f>Data2025!T130</f>
        <v>0</v>
      </c>
      <c r="U131" s="268" t="s">
        <v>538</v>
      </c>
      <c r="V131" s="648" t="e">
        <f>Data2025!V130</f>
        <v>#N/A</v>
      </c>
      <c r="W131" s="648" t="e">
        <f>Data2025!X130</f>
        <v>#N/A</v>
      </c>
      <c r="X131" s="268" t="s">
        <v>540</v>
      </c>
      <c r="Y131" s="268" t="str">
        <f t="shared" si="4"/>
        <v>Honorarium</v>
      </c>
      <c r="Z131" s="649" t="str">
        <f t="shared" si="5"/>
        <v>Honorarium</v>
      </c>
      <c r="AA131" s="650" t="s">
        <v>3371</v>
      </c>
      <c r="AB131" s="269">
        <v>14000000</v>
      </c>
      <c r="AC131" s="269">
        <v>28000000</v>
      </c>
      <c r="AD131" s="267">
        <v>28000000</v>
      </c>
      <c r="AE131" s="270">
        <v>25225225.225225225</v>
      </c>
      <c r="AF131" s="270">
        <v>28000000</v>
      </c>
      <c r="AG131" s="805" t="s">
        <v>3883</v>
      </c>
      <c r="AH131" s="651" t="e">
        <f>Data2025!W130</f>
        <v>#N/A</v>
      </c>
    </row>
    <row r="132" spans="1:34" ht="16.5" thickTop="1" thickBot="1">
      <c r="A132" s="636">
        <f>Data2025!G131</f>
        <v>43</v>
      </c>
      <c r="B132" s="637" t="str">
        <f>Data2025!K131</f>
        <v>BPU32</v>
      </c>
      <c r="C132" s="638" t="str">
        <f>Data2025!D131</f>
        <v>07. 12. 04.</v>
      </c>
      <c r="D132" s="639" t="str">
        <f>Data2025!C131</f>
        <v>5.1.02.02.01.0030</v>
      </c>
      <c r="E132" s="265">
        <f>Data2025!E131</f>
        <v>45682</v>
      </c>
      <c r="F132" s="640" t="str">
        <f>Data2025!F131</f>
        <v>05/02/2025</v>
      </c>
      <c r="G132" s="265" t="str">
        <f>Data2025!H131</f>
        <v>05/02/2025</v>
      </c>
      <c r="H132" s="265" t="str">
        <f t="shared" si="3"/>
        <v>05/02/2025</v>
      </c>
      <c r="I132" s="641" t="str">
        <f>Data2025!J131</f>
        <v>05/02/2025</v>
      </c>
      <c r="J132" s="381" t="str">
        <f>Data2025!L131</f>
        <v>Thomas Hondro</v>
      </c>
      <c r="K132" s="381" t="str">
        <f>Data2025!M131</f>
        <v>Gaji Pegawai Tidak Tetap Sekolah</v>
      </c>
      <c r="L132" s="642">
        <f>Data2025!N131</f>
        <v>1</v>
      </c>
      <c r="M132" s="642" t="str">
        <f>Data2025!O131</f>
        <v>bulan</v>
      </c>
      <c r="N132" s="643">
        <f>Data2025!P131</f>
        <v>1000000</v>
      </c>
      <c r="O132" s="644">
        <f>Data2025!Q131</f>
        <v>1000000</v>
      </c>
      <c r="P132" s="645" t="s">
        <v>3867</v>
      </c>
      <c r="Q132" s="646" t="e">
        <f>VLOOKUP(K132,Sheet1!$C$1:$D$101,2,)</f>
        <v>#N/A</v>
      </c>
      <c r="R132" s="267">
        <v>15600000</v>
      </c>
      <c r="S132" s="647">
        <v>15604000</v>
      </c>
      <c r="T132" s="648">
        <f>Data2025!T131</f>
        <v>0</v>
      </c>
      <c r="U132" s="268" t="s">
        <v>538</v>
      </c>
      <c r="V132" s="648" t="e">
        <f>Data2025!V131</f>
        <v>#N/A</v>
      </c>
      <c r="W132" s="648" t="e">
        <f>Data2025!X131</f>
        <v>#N/A</v>
      </c>
      <c r="X132" s="268" t="s">
        <v>540</v>
      </c>
      <c r="Y132" s="268" t="str">
        <f t="shared" si="4"/>
        <v>Honorarium</v>
      </c>
      <c r="Z132" s="649" t="str">
        <f t="shared" si="5"/>
        <v>Honorarium</v>
      </c>
      <c r="AA132" s="650" t="s">
        <v>3371</v>
      </c>
      <c r="AB132" s="269">
        <v>7800000</v>
      </c>
      <c r="AC132" s="269">
        <v>15600000</v>
      </c>
      <c r="AD132" s="267">
        <v>15600000</v>
      </c>
      <c r="AE132" s="270">
        <v>14054054.054054054</v>
      </c>
      <c r="AF132" s="270">
        <v>15600000</v>
      </c>
      <c r="AG132" s="805" t="s">
        <v>3883</v>
      </c>
      <c r="AH132" s="651" t="e">
        <f>Data2025!W131</f>
        <v>#N/A</v>
      </c>
    </row>
    <row r="133" spans="1:34" ht="16.5" thickTop="1" thickBot="1">
      <c r="A133" s="636">
        <f>Data2025!G132</f>
        <v>0</v>
      </c>
      <c r="B133" s="637">
        <f>Data2025!K132</f>
        <v>0</v>
      </c>
      <c r="C133" s="638">
        <f>Data2025!D132</f>
        <v>0</v>
      </c>
      <c r="D133" s="639">
        <f>Data2025!C132</f>
        <v>0</v>
      </c>
      <c r="E133" s="265">
        <f>Data2025!E132</f>
        <v>0</v>
      </c>
      <c r="F133" s="640">
        <f>Data2025!F132</f>
        <v>0</v>
      </c>
      <c r="G133" s="265">
        <f>Data2025!H132</f>
        <v>0</v>
      </c>
      <c r="H133" s="265">
        <f t="shared" ref="H133:H196" si="7">G133</f>
        <v>0</v>
      </c>
      <c r="I133" s="641">
        <f>Data2025!J132</f>
        <v>0</v>
      </c>
      <c r="J133" s="381">
        <f>Data2025!L132</f>
        <v>0</v>
      </c>
      <c r="K133" s="381">
        <f>Data2025!M132</f>
        <v>0</v>
      </c>
      <c r="L133" s="642">
        <f>Data2025!N132</f>
        <v>0</v>
      </c>
      <c r="M133" s="642">
        <f>Data2025!O132</f>
        <v>0</v>
      </c>
      <c r="N133" s="643">
        <f>Data2025!P132</f>
        <v>0</v>
      </c>
      <c r="O133" s="644">
        <f>Data2025!Q132</f>
        <v>0</v>
      </c>
      <c r="P133" s="645"/>
      <c r="Q133" s="646" t="e">
        <f>VLOOKUP(K133,Sheet1!$C$1:$D$101,2,)</f>
        <v>#N/A</v>
      </c>
      <c r="R133" s="267">
        <v>55000</v>
      </c>
      <c r="S133" s="647">
        <v>65000</v>
      </c>
      <c r="T133" s="648">
        <f>Data2025!T132</f>
        <v>0</v>
      </c>
      <c r="U133" s="268" t="s">
        <v>538</v>
      </c>
      <c r="V133" s="648" t="e">
        <f>Data2025!V132</f>
        <v>#N/A</v>
      </c>
      <c r="W133" s="648" t="e">
        <f>Data2025!X132</f>
        <v>#N/A</v>
      </c>
      <c r="X133" s="268" t="s">
        <v>541</v>
      </c>
      <c r="Y133" s="268">
        <f t="shared" ref="Y133:Y196" si="8">P133</f>
        <v>0</v>
      </c>
      <c r="Z133" s="649">
        <f t="shared" ref="Z133:Z196" si="9">Y133</f>
        <v>0</v>
      </c>
      <c r="AA133" s="650" t="s">
        <v>3362</v>
      </c>
      <c r="AB133" s="269">
        <v>11000</v>
      </c>
      <c r="AC133" s="269">
        <v>55000</v>
      </c>
      <c r="AD133" s="267">
        <v>55000</v>
      </c>
      <c r="AE133" s="270">
        <v>49549.549549549549</v>
      </c>
      <c r="AF133" s="270">
        <v>55000</v>
      </c>
      <c r="AG133" s="805" t="s">
        <v>3883</v>
      </c>
      <c r="AH133" s="651" t="e">
        <f>Data2025!W132</f>
        <v>#N/A</v>
      </c>
    </row>
    <row r="134" spans="1:34" ht="26" thickTop="1" thickBot="1">
      <c r="A134" s="636">
        <f>Data2025!G133</f>
        <v>100</v>
      </c>
      <c r="B134" s="637" t="str">
        <f>Data2025!K133</f>
        <v>BNU36</v>
      </c>
      <c r="C134" s="638" t="str">
        <f>Data2025!D133</f>
        <v>05. 02. 03.</v>
      </c>
      <c r="D134" s="639" t="str">
        <f>Data2025!C133</f>
        <v>5.2.05.01.01.0001</v>
      </c>
      <c r="E134" s="265">
        <f>Data2025!E133</f>
        <v>45667</v>
      </c>
      <c r="F134" s="640" t="str">
        <f>Data2025!F133</f>
        <v>11/03/2025</v>
      </c>
      <c r="G134" s="265" t="str">
        <f>Data2025!H133</f>
        <v>12/03/2025</v>
      </c>
      <c r="H134" s="265" t="str">
        <f t="shared" si="7"/>
        <v>12/03/2025</v>
      </c>
      <c r="I134" s="641" t="str">
        <f>Data2025!J133</f>
        <v>14/03/2025</v>
      </c>
      <c r="J134" s="381" t="str">
        <f>Data2025!L133</f>
        <v>PROYEK PENGUATAN PROFIL PELAJAR PANCASILA (P5) KELAS 10 SMA</v>
      </c>
      <c r="K134" s="381" t="str">
        <f>Data2025!M133</f>
        <v>Buku Paket</v>
      </c>
      <c r="L134" s="642">
        <f>Data2025!N133</f>
        <v>320</v>
      </c>
      <c r="M134" s="642" t="str">
        <f>Data2025!O133</f>
        <v>eksemplar</v>
      </c>
      <c r="N134" s="643">
        <f>Data2025!P133</f>
        <v>106500</v>
      </c>
      <c r="O134" s="644">
        <f>Data2025!Q133</f>
        <v>34080000</v>
      </c>
      <c r="P134" s="645" t="s">
        <v>3868</v>
      </c>
      <c r="Q134" s="646" t="e">
        <f>VLOOKUP(K134,Sheet1!$C$1:$D$101,2,)</f>
        <v>#N/A</v>
      </c>
      <c r="R134" s="267">
        <v>95000</v>
      </c>
      <c r="S134" s="647">
        <v>97000</v>
      </c>
      <c r="T134" s="648">
        <f>Data2025!T133</f>
        <v>0</v>
      </c>
      <c r="U134" s="268" t="s">
        <v>538</v>
      </c>
      <c r="V134" s="648" t="e">
        <f>Data2025!V133</f>
        <v>#N/A</v>
      </c>
      <c r="W134" s="648" t="e">
        <f>Data2025!X133</f>
        <v>#N/A</v>
      </c>
      <c r="X134" s="268" t="s">
        <v>541</v>
      </c>
      <c r="Y134" s="268" t="str">
        <f t="shared" si="8"/>
        <v>Buku Paket Siswa dan Guru</v>
      </c>
      <c r="Z134" s="649" t="str">
        <f t="shared" si="9"/>
        <v>Buku Paket Siswa dan Guru</v>
      </c>
      <c r="AA134" s="650" t="s">
        <v>3364</v>
      </c>
      <c r="AB134" s="269">
        <v>95000</v>
      </c>
      <c r="AC134" s="269">
        <v>95000</v>
      </c>
      <c r="AD134" s="267">
        <v>95000</v>
      </c>
      <c r="AE134" s="270">
        <v>85585.585585585592</v>
      </c>
      <c r="AF134" s="270">
        <v>95000</v>
      </c>
      <c r="AG134" s="805" t="s">
        <v>3883</v>
      </c>
      <c r="AH134" s="651" t="e">
        <f>Data2025!W133</f>
        <v>#N/A</v>
      </c>
    </row>
    <row r="135" spans="1:34" ht="26" thickTop="1" thickBot="1">
      <c r="A135" s="636">
        <f>Data2025!G134</f>
        <v>101</v>
      </c>
      <c r="B135" s="637" t="str">
        <f>Data2025!K134</f>
        <v>BNU37</v>
      </c>
      <c r="C135" s="638" t="str">
        <f>Data2025!D134</f>
        <v>05. 02. 03.</v>
      </c>
      <c r="D135" s="639" t="str">
        <f>Data2025!C134</f>
        <v>5.2.05.01.01.0001</v>
      </c>
      <c r="E135" s="265">
        <f>Data2025!E134</f>
        <v>45667</v>
      </c>
      <c r="F135" s="640" t="str">
        <f>Data2025!F134</f>
        <v>11/03/2025</v>
      </c>
      <c r="G135" s="265" t="str">
        <f>Data2025!H134</f>
        <v>12/03/2025</v>
      </c>
      <c r="H135" s="265" t="str">
        <f t="shared" si="7"/>
        <v>12/03/2025</v>
      </c>
      <c r="I135" s="641" t="str">
        <f>Data2025!J134</f>
        <v>14/03/2025</v>
      </c>
      <c r="J135" s="381" t="str">
        <f>Data2025!L134</f>
        <v>PROYEK PENGUATAN PROFIL PELAJAR PANCASILA (P5) KELAS 11 SMA</v>
      </c>
      <c r="K135" s="381" t="str">
        <f>Data2025!M134</f>
        <v>Buku Paket</v>
      </c>
      <c r="L135" s="642">
        <f>Data2025!N134</f>
        <v>180</v>
      </c>
      <c r="M135" s="642" t="str">
        <f>Data2025!O134</f>
        <v>eksemplar</v>
      </c>
      <c r="N135" s="643">
        <f>Data2025!P134</f>
        <v>106500</v>
      </c>
      <c r="O135" s="644">
        <f>Data2025!Q134</f>
        <v>19170000</v>
      </c>
      <c r="P135" s="645" t="s">
        <v>3868</v>
      </c>
      <c r="Q135" s="646" t="e">
        <f>VLOOKUP(K135,Sheet1!$C$1:$D$101,2,)</f>
        <v>#N/A</v>
      </c>
      <c r="R135" s="267">
        <v>550000</v>
      </c>
      <c r="S135" s="647">
        <v>750000</v>
      </c>
      <c r="T135" s="648">
        <f>Data2025!T134</f>
        <v>0</v>
      </c>
      <c r="U135" s="268" t="s">
        <v>538</v>
      </c>
      <c r="V135" s="648" t="e">
        <f>Data2025!V134</f>
        <v>#N/A</v>
      </c>
      <c r="W135" s="648" t="e">
        <f>Data2025!X134</f>
        <v>#N/A</v>
      </c>
      <c r="X135" s="268" t="s">
        <v>541</v>
      </c>
      <c r="Y135" s="268" t="str">
        <f t="shared" si="8"/>
        <v>Buku Paket Siswa dan Guru</v>
      </c>
      <c r="Z135" s="649" t="str">
        <f t="shared" si="9"/>
        <v>Buku Paket Siswa dan Guru</v>
      </c>
      <c r="AA135" s="650" t="s">
        <v>3363</v>
      </c>
      <c r="AB135" s="269">
        <v>5500</v>
      </c>
      <c r="AC135" s="269">
        <v>550000</v>
      </c>
      <c r="AD135" s="267">
        <v>550000</v>
      </c>
      <c r="AE135" s="270">
        <v>495495.4954954955</v>
      </c>
      <c r="AF135" s="270">
        <v>550000</v>
      </c>
      <c r="AG135" s="805" t="s">
        <v>3883</v>
      </c>
      <c r="AH135" s="651" t="e">
        <f>Data2025!W134</f>
        <v>#N/A</v>
      </c>
    </row>
    <row r="136" spans="1:34" ht="16.5" thickTop="1" thickBot="1">
      <c r="A136" s="636">
        <f>Data2025!G135</f>
        <v>102</v>
      </c>
      <c r="B136" s="637" t="str">
        <f>Data2025!K135</f>
        <v>BNU35</v>
      </c>
      <c r="C136" s="638" t="str">
        <f>Data2025!D135</f>
        <v>05. 02. 03.</v>
      </c>
      <c r="D136" s="639" t="str">
        <f>Data2025!C135</f>
        <v>5.2.05.01.01.0001</v>
      </c>
      <c r="E136" s="265">
        <f>Data2025!E135</f>
        <v>45667</v>
      </c>
      <c r="F136" s="640" t="str">
        <f>Data2025!F135</f>
        <v>11/03/2025</v>
      </c>
      <c r="G136" s="265" t="str">
        <f>Data2025!H135</f>
        <v>12/03/2025</v>
      </c>
      <c r="H136" s="265" t="str">
        <f t="shared" si="7"/>
        <v>12/03/2025</v>
      </c>
      <c r="I136" s="641" t="str">
        <f>Data2025!J135</f>
        <v>14/03/2025</v>
      </c>
      <c r="J136" s="381" t="str">
        <f>Data2025!L135</f>
        <v>Buku Perpustakaan-Buku Perpustakaan</v>
      </c>
      <c r="K136" s="381" t="str">
        <f>Data2025!M135</f>
        <v>Buku Paket</v>
      </c>
      <c r="L136" s="642">
        <f>Data2025!N135</f>
        <v>224</v>
      </c>
      <c r="M136" s="642" t="str">
        <f>Data2025!O135</f>
        <v>eksemplar</v>
      </c>
      <c r="N136" s="643">
        <f>Data2025!P135</f>
        <v>106500</v>
      </c>
      <c r="O136" s="644">
        <f>Data2025!Q135</f>
        <v>23856000</v>
      </c>
      <c r="P136" s="645" t="s">
        <v>3868</v>
      </c>
      <c r="Q136" s="646" t="e">
        <f>VLOOKUP(K136,Sheet1!$C$1:$D$101,2,)</f>
        <v>#N/A</v>
      </c>
      <c r="R136" s="267">
        <v>120000</v>
      </c>
      <c r="S136" s="647">
        <v>124000</v>
      </c>
      <c r="T136" s="648">
        <f>Data2025!T135</f>
        <v>0</v>
      </c>
      <c r="U136" s="268" t="s">
        <v>538</v>
      </c>
      <c r="V136" s="648" t="e">
        <f>Data2025!V135</f>
        <v>#N/A</v>
      </c>
      <c r="W136" s="648" t="e">
        <f>Data2025!X135</f>
        <v>#N/A</v>
      </c>
      <c r="X136" s="268" t="s">
        <v>541</v>
      </c>
      <c r="Y136" s="268" t="str">
        <f t="shared" si="8"/>
        <v>Buku Paket Siswa dan Guru</v>
      </c>
      <c r="Z136" s="649" t="str">
        <f t="shared" si="9"/>
        <v>Buku Paket Siswa dan Guru</v>
      </c>
      <c r="AA136" s="650" t="s">
        <v>3365</v>
      </c>
      <c r="AB136" s="269">
        <v>60000</v>
      </c>
      <c r="AC136" s="269">
        <v>120000</v>
      </c>
      <c r="AD136" s="267">
        <v>120000</v>
      </c>
      <c r="AE136" s="270">
        <v>108108.10810810811</v>
      </c>
      <c r="AF136" s="270">
        <v>120000</v>
      </c>
      <c r="AG136" s="805" t="s">
        <v>3883</v>
      </c>
      <c r="AH136" s="651" t="e">
        <f>Data2025!W135</f>
        <v>#N/A</v>
      </c>
    </row>
    <row r="137" spans="1:34" ht="16.5" thickTop="1" thickBot="1">
      <c r="A137" s="636">
        <f>Data2025!G136</f>
        <v>0</v>
      </c>
      <c r="B137" s="637" t="e">
        <f>Data2025!K136</f>
        <v>#N/A</v>
      </c>
      <c r="C137" s="638" t="str">
        <f>Data2025!D136</f>
        <v>05. 02. 05.</v>
      </c>
      <c r="D137" s="639" t="str">
        <f>Data2025!C136</f>
        <v>5.2.05.01.01.0007</v>
      </c>
      <c r="E137" s="265">
        <f>Data2025!E136</f>
        <v>45668</v>
      </c>
      <c r="F137" s="640" t="str">
        <f>Data2025!F136</f>
        <v>12/03/2025</v>
      </c>
      <c r="G137" s="265" t="str">
        <f>Data2025!H136</f>
        <v>15/04/2025</v>
      </c>
      <c r="H137" s="265" t="str">
        <f t="shared" si="7"/>
        <v>15/04/2025</v>
      </c>
      <c r="I137" s="641" t="str">
        <f>Data2025!J136</f>
        <v>16/04/2025</v>
      </c>
      <c r="J137" s="381" t="str">
        <f>Data2025!L136</f>
        <v>Buku Literasi - Buku Bacaan Umum SMA/SMK (Paket)</v>
      </c>
      <c r="K137" s="381" t="str">
        <f>Data2025!M136</f>
        <v>Buku Paket</v>
      </c>
      <c r="L137" s="642">
        <f>Data2025!N136</f>
        <v>36</v>
      </c>
      <c r="M137" s="642" t="str">
        <f>Data2025!O136</f>
        <v>paket</v>
      </c>
      <c r="N137" s="643">
        <f>Data2025!P136</f>
        <v>75000</v>
      </c>
      <c r="O137" s="644">
        <f>Data2025!Q136</f>
        <v>2700000</v>
      </c>
      <c r="P137" s="645" t="s">
        <v>3868</v>
      </c>
      <c r="Q137" s="646" t="e">
        <f>VLOOKUP(K137,Sheet1!$C$1:$D$101,2,)</f>
        <v>#N/A</v>
      </c>
      <c r="R137" s="267">
        <v>40000</v>
      </c>
      <c r="S137" s="647">
        <v>44000</v>
      </c>
      <c r="T137" s="648">
        <f>Data2025!T136</f>
        <v>0</v>
      </c>
      <c r="U137" s="268" t="s">
        <v>538</v>
      </c>
      <c r="V137" s="648" t="e">
        <f>Data2025!V136</f>
        <v>#N/A</v>
      </c>
      <c r="W137" s="648" t="e">
        <f>Data2025!X136</f>
        <v>#N/A</v>
      </c>
      <c r="X137" s="268" t="s">
        <v>541</v>
      </c>
      <c r="Y137" s="268" t="str">
        <f t="shared" si="8"/>
        <v>Buku Paket Siswa dan Guru</v>
      </c>
      <c r="Z137" s="649" t="str">
        <f t="shared" si="9"/>
        <v>Buku Paket Siswa dan Guru</v>
      </c>
      <c r="AA137" s="650" t="s">
        <v>3363</v>
      </c>
      <c r="AB137" s="269">
        <v>20000</v>
      </c>
      <c r="AC137" s="269">
        <v>40000</v>
      </c>
      <c r="AD137" s="267">
        <v>40000</v>
      </c>
      <c r="AE137" s="270">
        <v>36036.036036036036</v>
      </c>
      <c r="AF137" s="270">
        <v>40000</v>
      </c>
      <c r="AG137" s="805" t="s">
        <v>3883</v>
      </c>
      <c r="AH137" s="651" t="e">
        <f>Data2025!W136</f>
        <v>#N/A</v>
      </c>
    </row>
    <row r="138" spans="1:34" ht="16.5" thickTop="1" thickBot="1">
      <c r="A138" s="636">
        <f>Data2025!G137</f>
        <v>0</v>
      </c>
      <c r="B138" s="637" t="e">
        <f>Data2025!K137</f>
        <v>#N/A</v>
      </c>
      <c r="C138" s="638" t="str">
        <f>Data2025!D137</f>
        <v>05. 02. 05.</v>
      </c>
      <c r="D138" s="639" t="str">
        <f>Data2025!C137</f>
        <v>5.2.05.01.01.0007</v>
      </c>
      <c r="E138" s="265">
        <f>Data2025!E137</f>
        <v>45668</v>
      </c>
      <c r="F138" s="640" t="str">
        <f>Data2025!F137</f>
        <v>12/03/2025</v>
      </c>
      <c r="G138" s="265" t="str">
        <f>Data2025!H137</f>
        <v>15/04/2025</v>
      </c>
      <c r="H138" s="265" t="str">
        <f t="shared" si="7"/>
        <v>15/04/2025</v>
      </c>
      <c r="I138" s="641" t="str">
        <f>Data2025!J137</f>
        <v>16/04/2025</v>
      </c>
      <c r="J138" s="381" t="str">
        <f>Data2025!L137</f>
        <v>Buku Literasi - Buku Bacaan Umum SMA/SMK (Paket)</v>
      </c>
      <c r="K138" s="381" t="str">
        <f>Data2025!M137</f>
        <v>Buku Paket</v>
      </c>
      <c r="L138" s="642">
        <f>Data2025!N137</f>
        <v>36</v>
      </c>
      <c r="M138" s="642" t="str">
        <f>Data2025!O137</f>
        <v>paket</v>
      </c>
      <c r="N138" s="643">
        <f>Data2025!P137</f>
        <v>138000</v>
      </c>
      <c r="O138" s="644">
        <f>Data2025!Q137</f>
        <v>4968000</v>
      </c>
      <c r="P138" s="645" t="s">
        <v>3868</v>
      </c>
      <c r="Q138" s="646" t="e">
        <f>VLOOKUP(K138,Sheet1!$C$1:$D$101,2,)</f>
        <v>#N/A</v>
      </c>
      <c r="R138" s="267">
        <v>155000</v>
      </c>
      <c r="S138" s="647">
        <v>165000</v>
      </c>
      <c r="T138" s="648">
        <f>Data2025!T137</f>
        <v>0</v>
      </c>
      <c r="U138" s="268" t="s">
        <v>538</v>
      </c>
      <c r="V138" s="648" t="e">
        <f>Data2025!V137</f>
        <v>#N/A</v>
      </c>
      <c r="W138" s="648" t="e">
        <f>Data2025!X137</f>
        <v>#N/A</v>
      </c>
      <c r="X138" s="268" t="s">
        <v>541</v>
      </c>
      <c r="Y138" s="268" t="str">
        <f t="shared" si="8"/>
        <v>Buku Paket Siswa dan Guru</v>
      </c>
      <c r="Z138" s="649" t="str">
        <f t="shared" si="9"/>
        <v>Buku Paket Siswa dan Guru</v>
      </c>
      <c r="AA138" s="650" t="s">
        <v>3365</v>
      </c>
      <c r="AB138" s="269">
        <v>31000</v>
      </c>
      <c r="AC138" s="269">
        <v>155000</v>
      </c>
      <c r="AD138" s="267">
        <v>155000</v>
      </c>
      <c r="AE138" s="270">
        <v>139639.63963963964</v>
      </c>
      <c r="AF138" s="270">
        <v>155000</v>
      </c>
      <c r="AG138" s="805" t="s">
        <v>3883</v>
      </c>
      <c r="AH138" s="651" t="e">
        <f>Data2025!W137</f>
        <v>#N/A</v>
      </c>
    </row>
    <row r="139" spans="1:34" ht="16.5" thickTop="1" thickBot="1">
      <c r="A139" s="636">
        <f>Data2025!G138</f>
        <v>0</v>
      </c>
      <c r="B139" s="637" t="e">
        <f>Data2025!K138</f>
        <v>#N/A</v>
      </c>
      <c r="C139" s="638" t="str">
        <f>Data2025!D138</f>
        <v>05. 02. 05.</v>
      </c>
      <c r="D139" s="639" t="str">
        <f>Data2025!C138</f>
        <v>5.2.05.01.01.0007</v>
      </c>
      <c r="E139" s="265">
        <f>Data2025!E138</f>
        <v>45668</v>
      </c>
      <c r="F139" s="640" t="str">
        <f>Data2025!F138</f>
        <v>12/03/2025</v>
      </c>
      <c r="G139" s="265" t="str">
        <f>Data2025!H138</f>
        <v>15/04/2025</v>
      </c>
      <c r="H139" s="265" t="str">
        <f t="shared" si="7"/>
        <v>15/04/2025</v>
      </c>
      <c r="I139" s="641" t="str">
        <f>Data2025!J138</f>
        <v>16/04/2025</v>
      </c>
      <c r="J139" s="381" t="str">
        <f>Data2025!L138</f>
        <v>Buku Literasi - Buku Bacaan Umum SMA/SMK (Paket)</v>
      </c>
      <c r="K139" s="381" t="str">
        <f>Data2025!M138</f>
        <v>Buku Paket</v>
      </c>
      <c r="L139" s="642">
        <f>Data2025!N138</f>
        <v>36</v>
      </c>
      <c r="M139" s="642" t="str">
        <f>Data2025!O138</f>
        <v>paket</v>
      </c>
      <c r="N139" s="643">
        <f>Data2025!P138</f>
        <v>85000</v>
      </c>
      <c r="O139" s="644">
        <f>Data2025!Q138</f>
        <v>3060000</v>
      </c>
      <c r="P139" s="645" t="s">
        <v>3868</v>
      </c>
      <c r="Q139" s="646" t="e">
        <f>VLOOKUP(K139,Sheet1!$C$1:$D$101,2,)</f>
        <v>#N/A</v>
      </c>
      <c r="R139" s="267">
        <v>40000</v>
      </c>
      <c r="S139" s="647">
        <v>44000</v>
      </c>
      <c r="T139" s="648">
        <f>Data2025!T138</f>
        <v>0</v>
      </c>
      <c r="U139" s="268" t="s">
        <v>538</v>
      </c>
      <c r="V139" s="648" t="e">
        <f>Data2025!V138</f>
        <v>#N/A</v>
      </c>
      <c r="W139" s="648" t="e">
        <f>Data2025!X138</f>
        <v>#N/A</v>
      </c>
      <c r="X139" s="268" t="s">
        <v>541</v>
      </c>
      <c r="Y139" s="268" t="str">
        <f t="shared" si="8"/>
        <v>Buku Paket Siswa dan Guru</v>
      </c>
      <c r="Z139" s="649" t="str">
        <f t="shared" si="9"/>
        <v>Buku Paket Siswa dan Guru</v>
      </c>
      <c r="AA139" s="650" t="s">
        <v>3366</v>
      </c>
      <c r="AB139" s="269">
        <v>20000</v>
      </c>
      <c r="AC139" s="269">
        <v>40000</v>
      </c>
      <c r="AD139" s="267">
        <v>40000</v>
      </c>
      <c r="AE139" s="270">
        <v>36036.036036036036</v>
      </c>
      <c r="AF139" s="270">
        <v>40000</v>
      </c>
      <c r="AG139" s="805" t="s">
        <v>3883</v>
      </c>
      <c r="AH139" s="651" t="e">
        <f>Data2025!W138</f>
        <v>#N/A</v>
      </c>
    </row>
    <row r="140" spans="1:34" ht="16.5" thickTop="1" thickBot="1">
      <c r="A140" s="636">
        <f>Data2025!G139</f>
        <v>0</v>
      </c>
      <c r="B140" s="637">
        <f>Data2025!K139</f>
        <v>0</v>
      </c>
      <c r="C140" s="638">
        <f>Data2025!D139</f>
        <v>0</v>
      </c>
      <c r="D140" s="639">
        <f>Data2025!C139</f>
        <v>0</v>
      </c>
      <c r="E140" s="265">
        <f>Data2025!E139</f>
        <v>0</v>
      </c>
      <c r="F140" s="640">
        <f>Data2025!F139</f>
        <v>0</v>
      </c>
      <c r="G140" s="265">
        <f>Data2025!H139</f>
        <v>0</v>
      </c>
      <c r="H140" s="265">
        <f t="shared" si="7"/>
        <v>0</v>
      </c>
      <c r="I140" s="641">
        <f>Data2025!J139</f>
        <v>0</v>
      </c>
      <c r="J140" s="381">
        <f>Data2025!L139</f>
        <v>0</v>
      </c>
      <c r="K140" s="381">
        <f>Data2025!M139</f>
        <v>0</v>
      </c>
      <c r="L140" s="642">
        <f>Data2025!N139</f>
        <v>0</v>
      </c>
      <c r="M140" s="642">
        <f>Data2025!O139</f>
        <v>0</v>
      </c>
      <c r="N140" s="643">
        <f>Data2025!P139</f>
        <v>0</v>
      </c>
      <c r="O140" s="644">
        <f>Data2025!Q139</f>
        <v>0</v>
      </c>
      <c r="P140" s="645"/>
      <c r="Q140" s="646" t="e">
        <f>VLOOKUP(K140,Sheet1!$C$1:$D$101,2,)</f>
        <v>#N/A</v>
      </c>
      <c r="R140" s="267">
        <v>396000</v>
      </c>
      <c r="S140" s="647">
        <v>420000</v>
      </c>
      <c r="T140" s="648">
        <f>Data2025!T139</f>
        <v>0</v>
      </c>
      <c r="U140" s="268" t="s">
        <v>538</v>
      </c>
      <c r="V140" s="648" t="e">
        <f>Data2025!V139</f>
        <v>#N/A</v>
      </c>
      <c r="W140" s="648" t="e">
        <f>Data2025!X139</f>
        <v>#N/A</v>
      </c>
      <c r="X140" s="268" t="s">
        <v>541</v>
      </c>
      <c r="Y140" s="268">
        <f t="shared" si="8"/>
        <v>0</v>
      </c>
      <c r="Z140" s="649">
        <f t="shared" si="9"/>
        <v>0</v>
      </c>
      <c r="AA140" s="650" t="s">
        <v>3367</v>
      </c>
      <c r="AB140" s="269">
        <v>33000</v>
      </c>
      <c r="AC140" s="269">
        <v>396000</v>
      </c>
      <c r="AD140" s="267">
        <v>396000</v>
      </c>
      <c r="AE140" s="270">
        <v>356756.75675675675</v>
      </c>
      <c r="AF140" s="270">
        <v>396000</v>
      </c>
      <c r="AG140" s="805" t="s">
        <v>3883</v>
      </c>
      <c r="AH140" s="651" t="e">
        <f>Data2025!W139</f>
        <v>#N/A</v>
      </c>
    </row>
    <row r="141" spans="1:34" s="871" customFormat="1" ht="26" thickTop="1" thickBot="1">
      <c r="A141" s="848">
        <f>Data2025!G140</f>
        <v>44</v>
      </c>
      <c r="B141" s="849" t="str">
        <f>Data2025!K140</f>
        <v>BPU26</v>
      </c>
      <c r="C141" s="850" t="str">
        <f>Data2025!D140</f>
        <v>05. 05. 02.</v>
      </c>
      <c r="D141" s="851" t="str">
        <f>Data2025!C140</f>
        <v>5.1.02.01.01.0052</v>
      </c>
      <c r="E141" s="852">
        <f>Data2025!E140</f>
        <v>45687</v>
      </c>
      <c r="F141" s="853" t="str">
        <f>Data2025!F140</f>
        <v>01/02/2025</v>
      </c>
      <c r="G141" s="852" t="str">
        <f>Data2025!H140</f>
        <v>03/02/2025</v>
      </c>
      <c r="H141" s="852" t="str">
        <f t="shared" si="7"/>
        <v>03/02/2025</v>
      </c>
      <c r="I141" s="854" t="str">
        <f>Data2025!J140</f>
        <v>03/02/2025</v>
      </c>
      <c r="J141" s="855" t="str">
        <f>Data2025!L140</f>
        <v>Air Mineral pada pelaksanaan kegiatan bulanan Gerakan Bersih Lingkungan Sekolah</v>
      </c>
      <c r="K141" s="855" t="str">
        <f>Data2025!M140</f>
        <v>Aqua Cup</v>
      </c>
      <c r="L141" s="856">
        <f>Data2025!N140</f>
        <v>25</v>
      </c>
      <c r="M141" s="856" t="str">
        <f>Data2025!O140</f>
        <v>dus</v>
      </c>
      <c r="N141" s="857">
        <f>Data2025!P140</f>
        <v>50000</v>
      </c>
      <c r="O141" s="858">
        <f>Data2025!Q140</f>
        <v>1250000</v>
      </c>
      <c r="P141" s="859" t="s">
        <v>1545</v>
      </c>
      <c r="Q141" s="860" t="str">
        <f>VLOOKUP(K141,Sheet1!$C$1:$D$101,2,)</f>
        <v>Aqua Cup (Diameter: 6.3cm. Tinggi: 9.5cm)</v>
      </c>
      <c r="R141" s="861">
        <v>75000</v>
      </c>
      <c r="S141" s="862">
        <v>85000</v>
      </c>
      <c r="T141" s="863" t="str">
        <f>Data2025!T140</f>
        <v>Rumah Roti Helena</v>
      </c>
      <c r="U141" s="864" t="s">
        <v>538</v>
      </c>
      <c r="V141" s="863" t="str">
        <f>Data2025!V140</f>
        <v>Fudi Supiyanto</v>
      </c>
      <c r="W141" s="863" t="str">
        <f>Data2025!X140</f>
        <v>Jln Ahmad Yani No.89 Kel. Pasar Telukdalam, Nias Selatan</v>
      </c>
      <c r="X141" s="864" t="s">
        <v>541</v>
      </c>
      <c r="Y141" s="864" t="str">
        <f t="shared" si="8"/>
        <v>Air Mineral</v>
      </c>
      <c r="Z141" s="865" t="str">
        <f t="shared" si="9"/>
        <v>Air Mineral</v>
      </c>
      <c r="AA141" s="866" t="s">
        <v>3363</v>
      </c>
      <c r="AB141" s="867">
        <v>15000</v>
      </c>
      <c r="AC141" s="867">
        <v>75000</v>
      </c>
      <c r="AD141" s="861">
        <v>75000</v>
      </c>
      <c r="AE141" s="868">
        <v>67567.567567567574</v>
      </c>
      <c r="AF141" s="868">
        <v>75000</v>
      </c>
      <c r="AG141" s="869" t="s">
        <v>3883</v>
      </c>
      <c r="AH141" s="870" t="str">
        <f>Data2025!W140</f>
        <v>082164895397</v>
      </c>
    </row>
    <row r="142" spans="1:34" s="501" customFormat="1" ht="16.5" thickTop="1" thickBot="1">
      <c r="A142" s="901">
        <f>Data2025!G141</f>
        <v>45</v>
      </c>
      <c r="B142" s="902" t="str">
        <f>Data2025!K141</f>
        <v>BPU27</v>
      </c>
      <c r="C142" s="903" t="str">
        <f>Data2025!D141</f>
        <v>06. 05. 08.</v>
      </c>
      <c r="D142" s="904" t="str">
        <f>Data2025!C141</f>
        <v>5.1.02.01.01.0024</v>
      </c>
      <c r="E142" s="905">
        <f>Data2025!E141</f>
        <v>45687</v>
      </c>
      <c r="F142" s="906" t="str">
        <f>Data2025!F141</f>
        <v>01/02/2025</v>
      </c>
      <c r="G142" s="905" t="str">
        <f>Data2025!H141</f>
        <v>01/02/2025</v>
      </c>
      <c r="H142" s="905" t="str">
        <f t="shared" si="7"/>
        <v>01/02/2025</v>
      </c>
      <c r="I142" s="907" t="str">
        <f>Data2025!J141</f>
        <v>04/02/2025</v>
      </c>
      <c r="J142" s="908" t="str">
        <f>Data2025!L141</f>
        <v>Plastik Mika</v>
      </c>
      <c r="K142" s="908" t="str">
        <f>Data2025!M141</f>
        <v>Plastik Mika</v>
      </c>
      <c r="L142" s="909">
        <f>Data2025!N141</f>
        <v>5</v>
      </c>
      <c r="M142" s="909" t="str">
        <f>Data2025!O141</f>
        <v>bungkus</v>
      </c>
      <c r="N142" s="910">
        <f>Data2025!P141</f>
        <v>60000</v>
      </c>
      <c r="O142" s="911">
        <f>Data2025!Q141</f>
        <v>300000</v>
      </c>
      <c r="P142" s="912" t="s">
        <v>710</v>
      </c>
      <c r="Q142" s="913" t="str">
        <f>VLOOKUP(K142,Sheet1!$C$1:$D$101,2,)</f>
        <v>Plastik Mika Jilid F4 (Length 21.0Cm, Width 33.0Cm, Height 7.0Cm, Weight 548Gr)</v>
      </c>
      <c r="R142" s="496">
        <v>300000</v>
      </c>
      <c r="S142" s="504">
        <v>310000</v>
      </c>
      <c r="T142" s="914" t="str">
        <f>Data2025!T141</f>
        <v>UD. JOSUA</v>
      </c>
      <c r="U142" s="497" t="s">
        <v>538</v>
      </c>
      <c r="V142" s="914" t="str">
        <f>Data2025!V141</f>
        <v>Gestiwan Bazikho</v>
      </c>
      <c r="W142" s="914" t="str">
        <f>Data2025!X141</f>
        <v>Jl. Diponegoro Kel. Pasar Telukdalam - Nias Selatan</v>
      </c>
      <c r="X142" s="497" t="s">
        <v>541</v>
      </c>
      <c r="Y142" s="497" t="str">
        <f t="shared" si="8"/>
        <v>Alat Tulis Kantor (ATK)</v>
      </c>
      <c r="Z142" s="915" t="str">
        <f t="shared" si="9"/>
        <v>Alat Tulis Kantor (ATK)</v>
      </c>
      <c r="AA142" s="498" t="s">
        <v>3365</v>
      </c>
      <c r="AB142" s="499">
        <v>60000</v>
      </c>
      <c r="AC142" s="499">
        <v>300000</v>
      </c>
      <c r="AD142" s="496">
        <v>300000</v>
      </c>
      <c r="AE142" s="500">
        <v>270270.2702702703</v>
      </c>
      <c r="AF142" s="500">
        <v>300000</v>
      </c>
      <c r="AG142" s="916" t="s">
        <v>3883</v>
      </c>
      <c r="AH142" s="917" t="str">
        <f>Data2025!W141</f>
        <v>081375309828</v>
      </c>
    </row>
    <row r="143" spans="1:34" s="501" customFormat="1" ht="26" thickTop="1" thickBot="1">
      <c r="A143" s="901">
        <f>Data2025!G142</f>
        <v>45</v>
      </c>
      <c r="B143" s="902" t="str">
        <f>Data2025!K142</f>
        <v>BPU27</v>
      </c>
      <c r="C143" s="903" t="str">
        <f>Data2025!D142</f>
        <v>06. 05. 08.</v>
      </c>
      <c r="D143" s="904" t="str">
        <f>Data2025!C142</f>
        <v>5.1.02.01.01.0024</v>
      </c>
      <c r="E143" s="905">
        <f>Data2025!E142</f>
        <v>45687</v>
      </c>
      <c r="F143" s="906" t="str">
        <f>Data2025!F142</f>
        <v>01/02/2025</v>
      </c>
      <c r="G143" s="905" t="str">
        <f>Data2025!H142</f>
        <v>01/02/2025</v>
      </c>
      <c r="H143" s="905" t="str">
        <f t="shared" si="7"/>
        <v>01/02/2025</v>
      </c>
      <c r="I143" s="907" t="str">
        <f>Data2025!J142</f>
        <v>04/02/2025</v>
      </c>
      <c r="J143" s="908" t="str">
        <f>Data2025!L142</f>
        <v>Kertas Warna Blank Folio, Ukuran : 8,5 x 14",  70 gram</v>
      </c>
      <c r="K143" s="908" t="str">
        <f>Data2025!M142</f>
        <v>Kertas Warna Blank Folio, Ukuran : 8,5 x 14",  70 gram</v>
      </c>
      <c r="L143" s="909">
        <f>Data2025!N142</f>
        <v>2</v>
      </c>
      <c r="M143" s="909" t="str">
        <f>Data2025!O142</f>
        <v>rim</v>
      </c>
      <c r="N143" s="910">
        <f>Data2025!P142</f>
        <v>90000</v>
      </c>
      <c r="O143" s="911">
        <f>Data2025!Q142</f>
        <v>180000</v>
      </c>
      <c r="P143" s="912" t="s">
        <v>710</v>
      </c>
      <c r="Q143" s="913" t="str">
        <f>VLOOKUP(K143,Sheet1!$C$1:$D$101,2,)</f>
        <v>Kertas Hvs Warna 70 Gsm (Length 21.0Cm, Width 33.0Cm, Height 7.0Cm, Weight 2400Gr)</v>
      </c>
      <c r="R143" s="496">
        <v>37500</v>
      </c>
      <c r="S143" s="504">
        <v>47500</v>
      </c>
      <c r="T143" s="914" t="str">
        <f>Data2025!T142</f>
        <v>UD. JOSUA</v>
      </c>
      <c r="U143" s="497" t="s">
        <v>538</v>
      </c>
      <c r="V143" s="914" t="str">
        <f>Data2025!V142</f>
        <v>Gestiwan Bazikho</v>
      </c>
      <c r="W143" s="914" t="str">
        <f>Data2025!X142</f>
        <v>Jl. Diponegoro Kel. Pasar Telukdalam - Nias Selatan</v>
      </c>
      <c r="X143" s="497" t="s">
        <v>541</v>
      </c>
      <c r="Y143" s="497" t="str">
        <f t="shared" si="8"/>
        <v>Alat Tulis Kantor (ATK)</v>
      </c>
      <c r="Z143" s="915" t="str">
        <f t="shared" si="9"/>
        <v>Alat Tulis Kantor (ATK)</v>
      </c>
      <c r="AA143" s="498" t="s">
        <v>3362</v>
      </c>
      <c r="AB143" s="499">
        <v>7500</v>
      </c>
      <c r="AC143" s="499">
        <v>37500</v>
      </c>
      <c r="AD143" s="496">
        <v>37500</v>
      </c>
      <c r="AE143" s="500">
        <v>33783.783783783787</v>
      </c>
      <c r="AF143" s="500">
        <v>37500</v>
      </c>
      <c r="AG143" s="916" t="s">
        <v>3883</v>
      </c>
      <c r="AH143" s="917" t="str">
        <f>Data2025!W142</f>
        <v>081375309828</v>
      </c>
    </row>
    <row r="144" spans="1:34" s="501" customFormat="1" ht="16.5" thickTop="1" thickBot="1">
      <c r="A144" s="901">
        <f>Data2025!G143</f>
        <v>45</v>
      </c>
      <c r="B144" s="902" t="str">
        <f>Data2025!K143</f>
        <v>BPU27</v>
      </c>
      <c r="C144" s="903" t="str">
        <f>Data2025!D143</f>
        <v>06. 05. 08.</v>
      </c>
      <c r="D144" s="904" t="str">
        <f>Data2025!C143</f>
        <v>5.1.02.01.01.0024</v>
      </c>
      <c r="E144" s="905">
        <f>Data2025!E143</f>
        <v>45687</v>
      </c>
      <c r="F144" s="906" t="str">
        <f>Data2025!F143</f>
        <v>01/02/2025</v>
      </c>
      <c r="G144" s="905" t="str">
        <f>Data2025!H143</f>
        <v>01/02/2025</v>
      </c>
      <c r="H144" s="905" t="str">
        <f t="shared" si="7"/>
        <v>01/02/2025</v>
      </c>
      <c r="I144" s="907" t="str">
        <f>Data2025!J143</f>
        <v>04/02/2025</v>
      </c>
      <c r="J144" s="908" t="str">
        <f>Data2025!L143</f>
        <v>Kertas Lain-Lain Kertas Buffalo</v>
      </c>
      <c r="K144" s="908" t="str">
        <f>Data2025!M143</f>
        <v>Kertas Lain-Lain Kertas Buffalo</v>
      </c>
      <c r="L144" s="909">
        <f>Data2025!N143</f>
        <v>5</v>
      </c>
      <c r="M144" s="909" t="str">
        <f>Data2025!O143</f>
        <v>bungkus</v>
      </c>
      <c r="N144" s="910">
        <f>Data2025!P143</f>
        <v>31000</v>
      </c>
      <c r="O144" s="911">
        <f>Data2025!Q143</f>
        <v>155000</v>
      </c>
      <c r="P144" s="912" t="s">
        <v>710</v>
      </c>
      <c r="Q144" s="913" t="str">
        <f>VLOOKUP(K144,Sheet1!$C$1:$D$101,2,)</f>
        <v>Kertas Buffalo F4 (Length 21.0Cm, Width 33.0Cm, Height 7.0Cm, Weight 1006Gr)</v>
      </c>
      <c r="R144" s="496">
        <v>69000</v>
      </c>
      <c r="S144" s="504">
        <v>75000</v>
      </c>
      <c r="T144" s="914" t="str">
        <f>Data2025!T143</f>
        <v>UD. JOSUA</v>
      </c>
      <c r="U144" s="497" t="s">
        <v>538</v>
      </c>
      <c r="V144" s="914" t="str">
        <f>Data2025!V143</f>
        <v>Gestiwan Bazikho</v>
      </c>
      <c r="W144" s="914" t="str">
        <f>Data2025!X143</f>
        <v>Jl. Diponegoro Kel. Pasar Telukdalam - Nias Selatan</v>
      </c>
      <c r="X144" s="497" t="s">
        <v>541</v>
      </c>
      <c r="Y144" s="497" t="str">
        <f t="shared" si="8"/>
        <v>Alat Tulis Kantor (ATK)</v>
      </c>
      <c r="Z144" s="915" t="str">
        <f t="shared" si="9"/>
        <v>Alat Tulis Kantor (ATK)</v>
      </c>
      <c r="AA144" s="498" t="s">
        <v>3365</v>
      </c>
      <c r="AB144" s="499">
        <v>23000</v>
      </c>
      <c r="AC144" s="499">
        <v>69000</v>
      </c>
      <c r="AD144" s="496">
        <v>69000</v>
      </c>
      <c r="AE144" s="500">
        <v>62162.16216216216</v>
      </c>
      <c r="AF144" s="500">
        <v>69000</v>
      </c>
      <c r="AG144" s="916" t="s">
        <v>3883</v>
      </c>
      <c r="AH144" s="917" t="str">
        <f>Data2025!W143</f>
        <v>081375309828</v>
      </c>
    </row>
    <row r="145" spans="1:34" s="501" customFormat="1" ht="26" thickTop="1" thickBot="1">
      <c r="A145" s="901">
        <f>Data2025!G144</f>
        <v>45</v>
      </c>
      <c r="B145" s="902" t="str">
        <f>Data2025!K144</f>
        <v>BPU27</v>
      </c>
      <c r="C145" s="903" t="str">
        <f>Data2025!D144</f>
        <v>06. 05. 08.</v>
      </c>
      <c r="D145" s="904" t="str">
        <f>Data2025!C144</f>
        <v>5.1.02.01.01.0024</v>
      </c>
      <c r="E145" s="905">
        <f>Data2025!E144</f>
        <v>45687</v>
      </c>
      <c r="F145" s="906" t="str">
        <f>Data2025!F144</f>
        <v>01/02/2025</v>
      </c>
      <c r="G145" s="905" t="str">
        <f>Data2025!H144</f>
        <v>01/02/2025</v>
      </c>
      <c r="H145" s="905" t="str">
        <f t="shared" si="7"/>
        <v>01/02/2025</v>
      </c>
      <c r="I145" s="907" t="str">
        <f>Data2025!J144</f>
        <v>04/02/2025</v>
      </c>
      <c r="J145" s="908" t="str">
        <f>Data2025!L144</f>
        <v>Kertas Post-It Warna Warni  Sign Here</v>
      </c>
      <c r="K145" s="908" t="str">
        <f>Data2025!M144</f>
        <v>Kertas Post-It Warna Warni  Sign Here</v>
      </c>
      <c r="L145" s="909">
        <f>Data2025!N144</f>
        <v>5</v>
      </c>
      <c r="M145" s="909" t="str">
        <f>Data2025!O144</f>
        <v>buah</v>
      </c>
      <c r="N145" s="910">
        <f>Data2025!P144</f>
        <v>22800</v>
      </c>
      <c r="O145" s="911">
        <f>Data2025!Q144</f>
        <v>114000</v>
      </c>
      <c r="P145" s="912" t="s">
        <v>710</v>
      </c>
      <c r="Q145" s="913" t="str">
        <f>VLOOKUP(K145,Sheet1!$C$1:$D$101,2,)</f>
        <v>Post It Warna Warni (Length 7.0Cm, Width 7.0Cm, Height 7.0Cm, Weight 44Gr)</v>
      </c>
      <c r="R145" s="496">
        <v>125000</v>
      </c>
      <c r="S145" s="504">
        <v>135000</v>
      </c>
      <c r="T145" s="914" t="str">
        <f>Data2025!T144</f>
        <v>UD. JOSUA</v>
      </c>
      <c r="U145" s="497" t="s">
        <v>538</v>
      </c>
      <c r="V145" s="914" t="str">
        <f>Data2025!V144</f>
        <v>Gestiwan Bazikho</v>
      </c>
      <c r="W145" s="914" t="str">
        <f>Data2025!X144</f>
        <v>Jl. Diponegoro Kel. Pasar Telukdalam - Nias Selatan</v>
      </c>
      <c r="X145" s="497" t="s">
        <v>541</v>
      </c>
      <c r="Y145" s="497" t="str">
        <f t="shared" si="8"/>
        <v>Alat Tulis Kantor (ATK)</v>
      </c>
      <c r="Z145" s="915" t="str">
        <f t="shared" si="9"/>
        <v>Alat Tulis Kantor (ATK)</v>
      </c>
      <c r="AA145" s="498" t="s">
        <v>3368</v>
      </c>
      <c r="AB145" s="499">
        <v>25000</v>
      </c>
      <c r="AC145" s="499">
        <v>125000</v>
      </c>
      <c r="AD145" s="496">
        <v>125000</v>
      </c>
      <c r="AE145" s="500">
        <v>112612.61261261262</v>
      </c>
      <c r="AF145" s="500">
        <v>125000</v>
      </c>
      <c r="AG145" s="916" t="s">
        <v>3883</v>
      </c>
      <c r="AH145" s="917" t="str">
        <f>Data2025!W144</f>
        <v>081375309828</v>
      </c>
    </row>
    <row r="146" spans="1:34" s="501" customFormat="1" ht="26" thickTop="1" thickBot="1">
      <c r="A146" s="901">
        <f>Data2025!G145</f>
        <v>45</v>
      </c>
      <c r="B146" s="902" t="str">
        <f>Data2025!K145</f>
        <v>BPU27</v>
      </c>
      <c r="C146" s="903" t="str">
        <f>Data2025!D145</f>
        <v>06. 05. 08.</v>
      </c>
      <c r="D146" s="904" t="str">
        <f>Data2025!C145</f>
        <v>5.1.02.01.01.0024</v>
      </c>
      <c r="E146" s="905">
        <f>Data2025!E145</f>
        <v>45687</v>
      </c>
      <c r="F146" s="906" t="str">
        <f>Data2025!F145</f>
        <v>01/02/2025</v>
      </c>
      <c r="G146" s="905" t="str">
        <f>Data2025!H145</f>
        <v>01/02/2025</v>
      </c>
      <c r="H146" s="905" t="str">
        <f t="shared" si="7"/>
        <v>01/02/2025</v>
      </c>
      <c r="I146" s="907" t="str">
        <f>Data2025!J145</f>
        <v>04/02/2025</v>
      </c>
      <c r="J146" s="908" t="str">
        <f>Data2025!L145</f>
        <v>Kertas HVS 60 gram Merk : Paper One HVS F4 uk. 8.27"x11.69"</v>
      </c>
      <c r="K146" s="908" t="str">
        <f>Data2025!M145</f>
        <v>Kertas HVS 60 gram Merk : Paper One HVS F4 uk. 8.27"x11.69"</v>
      </c>
      <c r="L146" s="909">
        <f>Data2025!N145</f>
        <v>10</v>
      </c>
      <c r="M146" s="909" t="str">
        <f>Data2025!O145</f>
        <v>rim</v>
      </c>
      <c r="N146" s="910">
        <f>Data2025!P145</f>
        <v>48500</v>
      </c>
      <c r="O146" s="911">
        <f>Data2025!Q145</f>
        <v>485000</v>
      </c>
      <c r="P146" s="912" t="s">
        <v>710</v>
      </c>
      <c r="Q146" s="913" t="str">
        <f>VLOOKUP(K146,Sheet1!$C$1:$D$101,2,)</f>
        <v>Kertas Hvs 60Gsm Paper One F4 (Length 33.0Cm, Width 21.0Cm, Height 7.0Cm, Weight 1400Gr)</v>
      </c>
      <c r="R146" s="496">
        <v>209000</v>
      </c>
      <c r="S146" s="504">
        <v>229000</v>
      </c>
      <c r="T146" s="914" t="str">
        <f>Data2025!T145</f>
        <v>UD. JOSUA</v>
      </c>
      <c r="U146" s="497" t="s">
        <v>538</v>
      </c>
      <c r="V146" s="914" t="str">
        <f>Data2025!V145</f>
        <v>Gestiwan Bazikho</v>
      </c>
      <c r="W146" s="914" t="str">
        <f>Data2025!X145</f>
        <v>Jl. Diponegoro Kel. Pasar Telukdalam - Nias Selatan</v>
      </c>
      <c r="X146" s="497" t="s">
        <v>541</v>
      </c>
      <c r="Y146" s="497" t="str">
        <f t="shared" si="8"/>
        <v>Alat Tulis Kantor (ATK)</v>
      </c>
      <c r="Z146" s="915" t="str">
        <f t="shared" si="9"/>
        <v>Alat Tulis Kantor (ATK)</v>
      </c>
      <c r="AA146" s="498" t="s">
        <v>3363</v>
      </c>
      <c r="AB146" s="499">
        <v>20900</v>
      </c>
      <c r="AC146" s="499">
        <v>209000</v>
      </c>
      <c r="AD146" s="496">
        <v>209000</v>
      </c>
      <c r="AE146" s="500">
        <v>188288.28828828828</v>
      </c>
      <c r="AF146" s="500">
        <v>209000</v>
      </c>
      <c r="AG146" s="916" t="s">
        <v>3883</v>
      </c>
      <c r="AH146" s="917" t="str">
        <f>Data2025!W145</f>
        <v>081375309828</v>
      </c>
    </row>
    <row r="147" spans="1:34" s="501" customFormat="1" ht="38.5" thickTop="1" thickBot="1">
      <c r="A147" s="901">
        <f>Data2025!G146</f>
        <v>45</v>
      </c>
      <c r="B147" s="902" t="str">
        <f>Data2025!K146</f>
        <v>BPU27</v>
      </c>
      <c r="C147" s="903" t="str">
        <f>Data2025!D146</f>
        <v>06. 05. 08.</v>
      </c>
      <c r="D147" s="904" t="str">
        <f>Data2025!C146</f>
        <v>5.1.02.01.01.0024</v>
      </c>
      <c r="E147" s="905">
        <f>Data2025!E146</f>
        <v>45687</v>
      </c>
      <c r="F147" s="906" t="str">
        <f>Data2025!F146</f>
        <v>01/02/2025</v>
      </c>
      <c r="G147" s="905" t="str">
        <f>Data2025!H146</f>
        <v>01/02/2025</v>
      </c>
      <c r="H147" s="905" t="str">
        <f t="shared" si="7"/>
        <v>01/02/2025</v>
      </c>
      <c r="I147" s="907" t="str">
        <f>Data2025!J146</f>
        <v>04/02/2025</v>
      </c>
      <c r="J147" s="908" t="str">
        <f>Data2025!L146</f>
        <v>Kertas HVS 80 gram Merk : Paper One A4, Ukuran : 8,27" x 11,69", Isi : 500 lembar</v>
      </c>
      <c r="K147" s="908" t="str">
        <f>Data2025!M146</f>
        <v>Kertas HVS 80 gram Merk : Paper One A4, Ukuran : 8,27" x 11,69", Isi : 500 lembar</v>
      </c>
      <c r="L147" s="909">
        <f>Data2025!N146</f>
        <v>40</v>
      </c>
      <c r="M147" s="909" t="str">
        <f>Data2025!O146</f>
        <v>rim</v>
      </c>
      <c r="N147" s="910">
        <f>Data2025!P146</f>
        <v>50000</v>
      </c>
      <c r="O147" s="911">
        <f>Data2025!Q146</f>
        <v>2000000</v>
      </c>
      <c r="P147" s="912" t="s">
        <v>710</v>
      </c>
      <c r="Q147" s="913" t="str">
        <f>VLOOKUP(K147,Sheet1!$C$1:$D$101,2,)</f>
        <v>Kertas Hvs 80 Gram Merk : Paper One A4, Ukuran : 8,27" X 11,69", Isi : 500 Lembar</v>
      </c>
      <c r="R147" s="496">
        <v>10000</v>
      </c>
      <c r="S147" s="504">
        <v>14000</v>
      </c>
      <c r="T147" s="914" t="str">
        <f>Data2025!T146</f>
        <v>UD. JOSUA</v>
      </c>
      <c r="U147" s="497" t="s">
        <v>538</v>
      </c>
      <c r="V147" s="914" t="str">
        <f>Data2025!V146</f>
        <v>Gestiwan Bazikho</v>
      </c>
      <c r="W147" s="914" t="str">
        <f>Data2025!X146</f>
        <v>Jl. Diponegoro Kel. Pasar Telukdalam - Nias Selatan</v>
      </c>
      <c r="X147" s="497" t="s">
        <v>541</v>
      </c>
      <c r="Y147" s="497" t="str">
        <f t="shared" si="8"/>
        <v>Alat Tulis Kantor (ATK)</v>
      </c>
      <c r="Z147" s="915" t="str">
        <f t="shared" si="9"/>
        <v>Alat Tulis Kantor (ATK)</v>
      </c>
      <c r="AA147" s="498" t="s">
        <v>3362</v>
      </c>
      <c r="AB147" s="499">
        <v>5000</v>
      </c>
      <c r="AC147" s="499">
        <v>10000</v>
      </c>
      <c r="AD147" s="496">
        <v>10000</v>
      </c>
      <c r="AE147" s="500">
        <v>9009.0090090090089</v>
      </c>
      <c r="AF147" s="500">
        <v>10000</v>
      </c>
      <c r="AG147" s="916" t="s">
        <v>3883</v>
      </c>
      <c r="AH147" s="917" t="str">
        <f>Data2025!W146</f>
        <v>081375309828</v>
      </c>
    </row>
    <row r="148" spans="1:34" s="501" customFormat="1" ht="16.5" thickTop="1" thickBot="1">
      <c r="A148" s="901">
        <f>Data2025!G147</f>
        <v>45</v>
      </c>
      <c r="B148" s="902" t="str">
        <f>Data2025!K147</f>
        <v>BPU27</v>
      </c>
      <c r="C148" s="903" t="str">
        <f>Data2025!D147</f>
        <v>06. 05. 08.</v>
      </c>
      <c r="D148" s="904" t="str">
        <f>Data2025!C147</f>
        <v>5.1.02.01.01.0024</v>
      </c>
      <c r="E148" s="905">
        <f>Data2025!E147</f>
        <v>45687</v>
      </c>
      <c r="F148" s="906" t="str">
        <f>Data2025!F147</f>
        <v>01/02/2025</v>
      </c>
      <c r="G148" s="905" t="str">
        <f>Data2025!H147</f>
        <v>01/02/2025</v>
      </c>
      <c r="H148" s="905" t="str">
        <f t="shared" si="7"/>
        <v>01/02/2025</v>
      </c>
      <c r="I148" s="907" t="str">
        <f>Data2025!J147</f>
        <v>04/02/2025</v>
      </c>
      <c r="J148" s="908" t="str">
        <f>Data2025!L147</f>
        <v>Kertas StensiI</v>
      </c>
      <c r="K148" s="908" t="str">
        <f>Data2025!M147</f>
        <v>Kertas StensiI</v>
      </c>
      <c r="L148" s="909">
        <f>Data2025!N147</f>
        <v>10</v>
      </c>
      <c r="M148" s="909" t="str">
        <f>Data2025!O147</f>
        <v>bungkus</v>
      </c>
      <c r="N148" s="910">
        <f>Data2025!P147</f>
        <v>50000</v>
      </c>
      <c r="O148" s="911">
        <f>Data2025!Q147</f>
        <v>500000</v>
      </c>
      <c r="P148" s="912" t="s">
        <v>710</v>
      </c>
      <c r="Q148" s="913" t="str">
        <f>VLOOKUP(K148,Sheet1!$C$1:$D$101,2,)</f>
        <v>Kertas Stencil Folio (Length 33.0Cm, Width 21.0Cm, Height 5.0Cm, Weight 1400Gr)</v>
      </c>
      <c r="R148" s="496">
        <v>235000</v>
      </c>
      <c r="S148" s="504">
        <v>237000</v>
      </c>
      <c r="T148" s="914" t="str">
        <f>Data2025!T147</f>
        <v>UD. JOSUA</v>
      </c>
      <c r="U148" s="497" t="s">
        <v>538</v>
      </c>
      <c r="V148" s="914" t="str">
        <f>Data2025!V147</f>
        <v>Gestiwan Bazikho</v>
      </c>
      <c r="W148" s="914" t="str">
        <f>Data2025!X147</f>
        <v>Jl. Diponegoro Kel. Pasar Telukdalam - Nias Selatan</v>
      </c>
      <c r="X148" s="497" t="s">
        <v>541</v>
      </c>
      <c r="Y148" s="497" t="str">
        <f t="shared" si="8"/>
        <v>Alat Tulis Kantor (ATK)</v>
      </c>
      <c r="Z148" s="915" t="str">
        <f t="shared" si="9"/>
        <v>Alat Tulis Kantor (ATK)</v>
      </c>
      <c r="AA148" s="498" t="s">
        <v>3364</v>
      </c>
      <c r="AB148" s="499">
        <v>235000</v>
      </c>
      <c r="AC148" s="499">
        <v>235000</v>
      </c>
      <c r="AD148" s="496">
        <v>235000</v>
      </c>
      <c r="AE148" s="500">
        <v>211711.71171171172</v>
      </c>
      <c r="AF148" s="500">
        <v>235000</v>
      </c>
      <c r="AG148" s="916" t="s">
        <v>3883</v>
      </c>
      <c r="AH148" s="917" t="str">
        <f>Data2025!W147</f>
        <v>081375309828</v>
      </c>
    </row>
    <row r="149" spans="1:34" s="501" customFormat="1" ht="16.5" thickTop="1" thickBot="1">
      <c r="A149" s="901">
        <f>Data2025!G148</f>
        <v>45</v>
      </c>
      <c r="B149" s="902" t="str">
        <f>Data2025!K148</f>
        <v>BPU27</v>
      </c>
      <c r="C149" s="903" t="str">
        <f>Data2025!D148</f>
        <v>06. 05. 08.</v>
      </c>
      <c r="D149" s="904" t="str">
        <f>Data2025!C148</f>
        <v>5.1.02.01.01.0024</v>
      </c>
      <c r="E149" s="905">
        <f>Data2025!E148</f>
        <v>45687</v>
      </c>
      <c r="F149" s="906" t="str">
        <f>Data2025!F148</f>
        <v>01/02/2025</v>
      </c>
      <c r="G149" s="905" t="str">
        <f>Data2025!H148</f>
        <v>01/02/2025</v>
      </c>
      <c r="H149" s="905" t="str">
        <f t="shared" si="7"/>
        <v>01/02/2025</v>
      </c>
      <c r="I149" s="907" t="str">
        <f>Data2025!J148</f>
        <v>04/02/2025</v>
      </c>
      <c r="J149" s="908" t="str">
        <f>Data2025!L148</f>
        <v>Kertas Label</v>
      </c>
      <c r="K149" s="908" t="str">
        <f>Data2025!M148</f>
        <v>Kertas Label</v>
      </c>
      <c r="L149" s="909">
        <f>Data2025!N148</f>
        <v>5</v>
      </c>
      <c r="M149" s="909" t="str">
        <f>Data2025!O148</f>
        <v>lembar</v>
      </c>
      <c r="N149" s="910">
        <f>Data2025!P148</f>
        <v>25000</v>
      </c>
      <c r="O149" s="911">
        <f>Data2025!Q148</f>
        <v>125000</v>
      </c>
      <c r="P149" s="912" t="s">
        <v>710</v>
      </c>
      <c r="Q149" s="913" t="str">
        <f>VLOOKUP(K149,Sheet1!$C$1:$D$101,2,)</f>
        <v>KERTAS LEBEL KOTAK (Length 5.0cm, Width 5.0cm, Height 7.0cm, Weight 5gr)</v>
      </c>
      <c r="R149" s="496">
        <v>440000</v>
      </c>
      <c r="S149" s="504">
        <v>448000</v>
      </c>
      <c r="T149" s="914" t="str">
        <f>Data2025!T148</f>
        <v>UD. JOSUA</v>
      </c>
      <c r="U149" s="497" t="s">
        <v>538</v>
      </c>
      <c r="V149" s="914" t="str">
        <f>Data2025!V148</f>
        <v>Gestiwan Bazikho</v>
      </c>
      <c r="W149" s="914" t="str">
        <f>Data2025!X148</f>
        <v>Jl. Diponegoro Kel. Pasar Telukdalam - Nias Selatan</v>
      </c>
      <c r="X149" s="497" t="s">
        <v>541</v>
      </c>
      <c r="Y149" s="497" t="str">
        <f t="shared" si="8"/>
        <v>Alat Tulis Kantor (ATK)</v>
      </c>
      <c r="Z149" s="915" t="str">
        <f t="shared" si="9"/>
        <v>Alat Tulis Kantor (ATK)</v>
      </c>
      <c r="AA149" s="498" t="s">
        <v>3367</v>
      </c>
      <c r="AB149" s="499">
        <v>110000</v>
      </c>
      <c r="AC149" s="499">
        <v>440000</v>
      </c>
      <c r="AD149" s="496">
        <v>440000</v>
      </c>
      <c r="AE149" s="500">
        <v>396396.39639639639</v>
      </c>
      <c r="AF149" s="500">
        <v>440000</v>
      </c>
      <c r="AG149" s="916" t="s">
        <v>3883</v>
      </c>
      <c r="AH149" s="917" t="str">
        <f>Data2025!W148</f>
        <v>081375309828</v>
      </c>
    </row>
    <row r="150" spans="1:34" s="501" customFormat="1" ht="26" thickTop="1" thickBot="1">
      <c r="A150" s="901">
        <f>Data2025!G149</f>
        <v>45</v>
      </c>
      <c r="B150" s="902" t="str">
        <f>Data2025!K149</f>
        <v>BPU27</v>
      </c>
      <c r="C150" s="903" t="str">
        <f>Data2025!D149</f>
        <v>06. 05. 08.</v>
      </c>
      <c r="D150" s="904" t="str">
        <f>Data2025!C149</f>
        <v>5.1.02.01.01.0024</v>
      </c>
      <c r="E150" s="905">
        <f>Data2025!E149</f>
        <v>45687</v>
      </c>
      <c r="F150" s="906" t="str">
        <f>Data2025!F149</f>
        <v>01/02/2025</v>
      </c>
      <c r="G150" s="905" t="str">
        <f>Data2025!H149</f>
        <v>01/02/2025</v>
      </c>
      <c r="H150" s="905" t="str">
        <f t="shared" si="7"/>
        <v>01/02/2025</v>
      </c>
      <c r="I150" s="907" t="str">
        <f>Data2025!J149</f>
        <v>04/02/2025</v>
      </c>
      <c r="J150" s="908" t="str">
        <f>Data2025!L149</f>
        <v>Amplop Coklat Merk : GSU Ukuran : 1/2 folio, bergaris</v>
      </c>
      <c r="K150" s="908" t="str">
        <f>Data2025!M149</f>
        <v>Amplop Coklat Merk : GSU Ukuran : 1/2 folio, bergaris</v>
      </c>
      <c r="L150" s="909">
        <f>Data2025!N149</f>
        <v>1</v>
      </c>
      <c r="M150" s="909" t="str">
        <f>Data2025!O149</f>
        <v>bungkus</v>
      </c>
      <c r="N150" s="910">
        <f>Data2025!P149</f>
        <v>45000</v>
      </c>
      <c r="O150" s="911">
        <f>Data2025!Q149</f>
        <v>45000</v>
      </c>
      <c r="P150" s="912" t="s">
        <v>710</v>
      </c>
      <c r="Q150" s="913" t="str">
        <f>VLOOKUP(K150,Sheet1!$C$1:$D$101,2,)</f>
        <v>Amplop Coklat (Merk : GSU Ukuran : 1/2 folio, bergaris)</v>
      </c>
      <c r="R150" s="496">
        <v>426000</v>
      </c>
      <c r="S150" s="504">
        <v>450000</v>
      </c>
      <c r="T150" s="914" t="str">
        <f>Data2025!T149</f>
        <v>UD. JOSUA</v>
      </c>
      <c r="U150" s="497" t="s">
        <v>538</v>
      </c>
      <c r="V150" s="914" t="str">
        <f>Data2025!V149</f>
        <v>Gestiwan Bazikho</v>
      </c>
      <c r="W150" s="914" t="str">
        <f>Data2025!X149</f>
        <v>Jl. Diponegoro Kel. Pasar Telukdalam - Nias Selatan</v>
      </c>
      <c r="X150" s="497" t="s">
        <v>541</v>
      </c>
      <c r="Y150" s="497" t="str">
        <f t="shared" si="8"/>
        <v>Alat Tulis Kantor (ATK)</v>
      </c>
      <c r="Z150" s="915" t="str">
        <f t="shared" si="9"/>
        <v>Alat Tulis Kantor (ATK)</v>
      </c>
      <c r="AA150" s="498" t="s">
        <v>3363</v>
      </c>
      <c r="AB150" s="499">
        <v>35500</v>
      </c>
      <c r="AC150" s="499">
        <v>426000</v>
      </c>
      <c r="AD150" s="496">
        <v>426000</v>
      </c>
      <c r="AE150" s="500">
        <v>383783.78378378379</v>
      </c>
      <c r="AF150" s="500">
        <v>426000</v>
      </c>
      <c r="AG150" s="916" t="s">
        <v>3883</v>
      </c>
      <c r="AH150" s="917" t="str">
        <f>Data2025!W149</f>
        <v>081375309828</v>
      </c>
    </row>
    <row r="151" spans="1:34" s="501" customFormat="1" ht="26" thickTop="1" thickBot="1">
      <c r="A151" s="901">
        <f>Data2025!G150</f>
        <v>45</v>
      </c>
      <c r="B151" s="902" t="str">
        <f>Data2025!K150</f>
        <v>BPU27</v>
      </c>
      <c r="C151" s="903" t="str">
        <f>Data2025!D150</f>
        <v>06. 05. 08.</v>
      </c>
      <c r="D151" s="904" t="str">
        <f>Data2025!C150</f>
        <v>5.1.02.01.01.0024</v>
      </c>
      <c r="E151" s="905">
        <f>Data2025!E150</f>
        <v>45687</v>
      </c>
      <c r="F151" s="906" t="str">
        <f>Data2025!F150</f>
        <v>01/02/2025</v>
      </c>
      <c r="G151" s="905" t="str">
        <f>Data2025!H150</f>
        <v>01/02/2025</v>
      </c>
      <c r="H151" s="905" t="str">
        <f t="shared" si="7"/>
        <v>01/02/2025</v>
      </c>
      <c r="I151" s="907" t="str">
        <f>Data2025!J150</f>
        <v>04/02/2025</v>
      </c>
      <c r="J151" s="908" t="str">
        <f>Data2025!L150</f>
        <v>Amplop Coklat Merk : Garda Ukuran Cabinet</v>
      </c>
      <c r="K151" s="908" t="str">
        <f>Data2025!M150</f>
        <v>Amplop Coklat Merk : Garda Ukuran Cabinet</v>
      </c>
      <c r="L151" s="909">
        <f>Data2025!N150</f>
        <v>3</v>
      </c>
      <c r="M151" s="909" t="str">
        <f>Data2025!O150</f>
        <v>bungkus</v>
      </c>
      <c r="N151" s="910">
        <f>Data2025!P150</f>
        <v>23000</v>
      </c>
      <c r="O151" s="911">
        <f>Data2025!Q150</f>
        <v>69000</v>
      </c>
      <c r="P151" s="912" t="s">
        <v>710</v>
      </c>
      <c r="Q151" s="913" t="str">
        <f>VLOOKUP(K151,Sheet1!$C$1:$D$101,2,)</f>
        <v>Amplop (Merk : Amplop Garda Ukuran : Super Kabinet Warna : Coklat polos Isi / Pack :100 pcs Ukuran : 14 cm x 27 cm)</v>
      </c>
      <c r="R151" s="496">
        <v>50000</v>
      </c>
      <c r="S151" s="504">
        <v>54000</v>
      </c>
      <c r="T151" s="914" t="str">
        <f>Data2025!T150</f>
        <v>UD. JOSUA</v>
      </c>
      <c r="U151" s="497" t="s">
        <v>538</v>
      </c>
      <c r="V151" s="914" t="str">
        <f>Data2025!V150</f>
        <v>Gestiwan Bazikho</v>
      </c>
      <c r="W151" s="914" t="str">
        <f>Data2025!X150</f>
        <v>Jl. Diponegoro Kel. Pasar Telukdalam - Nias Selatan</v>
      </c>
      <c r="X151" s="497" t="s">
        <v>541</v>
      </c>
      <c r="Y151" s="497" t="str">
        <f t="shared" si="8"/>
        <v>Alat Tulis Kantor (ATK)</v>
      </c>
      <c r="Z151" s="915" t="str">
        <f t="shared" si="9"/>
        <v>Alat Tulis Kantor (ATK)</v>
      </c>
      <c r="AA151" s="498" t="s">
        <v>3363</v>
      </c>
      <c r="AB151" s="499">
        <v>25000</v>
      </c>
      <c r="AC151" s="499">
        <v>50000</v>
      </c>
      <c r="AD151" s="496">
        <v>50000</v>
      </c>
      <c r="AE151" s="500">
        <v>45045.045045045044</v>
      </c>
      <c r="AF151" s="500">
        <v>50000</v>
      </c>
      <c r="AG151" s="916" t="s">
        <v>3883</v>
      </c>
      <c r="AH151" s="917" t="str">
        <f>Data2025!W150</f>
        <v>081375309828</v>
      </c>
    </row>
    <row r="152" spans="1:34" s="501" customFormat="1" ht="26" thickTop="1" thickBot="1">
      <c r="A152" s="901">
        <f>Data2025!G151</f>
        <v>45</v>
      </c>
      <c r="B152" s="902" t="str">
        <f>Data2025!K151</f>
        <v>BPU27</v>
      </c>
      <c r="C152" s="903" t="str">
        <f>Data2025!D151</f>
        <v>06. 05. 08.</v>
      </c>
      <c r="D152" s="904" t="str">
        <f>Data2025!C151</f>
        <v>5.1.02.01.01.0024</v>
      </c>
      <c r="E152" s="905">
        <f>Data2025!E151</f>
        <v>45687</v>
      </c>
      <c r="F152" s="906" t="str">
        <f>Data2025!F151</f>
        <v>01/02/2025</v>
      </c>
      <c r="G152" s="905" t="str">
        <f>Data2025!H151</f>
        <v>01/02/2025</v>
      </c>
      <c r="H152" s="905" t="str">
        <f t="shared" si="7"/>
        <v>01/02/2025</v>
      </c>
      <c r="I152" s="907" t="str">
        <f>Data2025!J151</f>
        <v>04/02/2025</v>
      </c>
      <c r="J152" s="908" t="str">
        <f>Data2025!L151</f>
        <v>Amplop Coklat Merk : GSU Ukuran Folio polos</v>
      </c>
      <c r="K152" s="908" t="str">
        <f>Data2025!M151</f>
        <v>Amplop Coklat Merk : GSU Ukuran Folio polos</v>
      </c>
      <c r="L152" s="909">
        <f>Data2025!N151</f>
        <v>2</v>
      </c>
      <c r="M152" s="909" t="str">
        <f>Data2025!O151</f>
        <v>bungkus</v>
      </c>
      <c r="N152" s="910">
        <f>Data2025!P151</f>
        <v>60000</v>
      </c>
      <c r="O152" s="911">
        <f>Data2025!Q151</f>
        <v>120000</v>
      </c>
      <c r="P152" s="912" t="s">
        <v>710</v>
      </c>
      <c r="Q152" s="913" t="str">
        <f>VLOOKUP(K152,Sheet1!$C$1:$D$101,2,)</f>
        <v>Amplop Coklat Folio (Berat: 1000 gram. Panjang: 25 cm. Lebar: 5 cm. Tinggi: 35 cm)</v>
      </c>
      <c r="R152" s="496">
        <v>45000</v>
      </c>
      <c r="S152" s="504">
        <v>47000</v>
      </c>
      <c r="T152" s="914" t="str">
        <f>Data2025!T151</f>
        <v>UD. JOSUA</v>
      </c>
      <c r="U152" s="497" t="s">
        <v>538</v>
      </c>
      <c r="V152" s="914" t="str">
        <f>Data2025!V151</f>
        <v>Gestiwan Bazikho</v>
      </c>
      <c r="W152" s="914" t="str">
        <f>Data2025!X151</f>
        <v>Jl. Diponegoro Kel. Pasar Telukdalam - Nias Selatan</v>
      </c>
      <c r="X152" s="497" t="s">
        <v>541</v>
      </c>
      <c r="Y152" s="497" t="str">
        <f t="shared" si="8"/>
        <v>Alat Tulis Kantor (ATK)</v>
      </c>
      <c r="Z152" s="915" t="str">
        <f t="shared" si="9"/>
        <v>Alat Tulis Kantor (ATK)</v>
      </c>
      <c r="AA152" s="498" t="s">
        <v>3365</v>
      </c>
      <c r="AB152" s="499">
        <v>45000</v>
      </c>
      <c r="AC152" s="499">
        <v>45000</v>
      </c>
      <c r="AD152" s="496">
        <v>45000</v>
      </c>
      <c r="AE152" s="500">
        <v>40540.54054054054</v>
      </c>
      <c r="AF152" s="500">
        <v>45000</v>
      </c>
      <c r="AG152" s="916" t="s">
        <v>3883</v>
      </c>
      <c r="AH152" s="917" t="str">
        <f>Data2025!W151</f>
        <v>081375309828</v>
      </c>
    </row>
    <row r="153" spans="1:34" s="501" customFormat="1" ht="26" thickTop="1" thickBot="1">
      <c r="A153" s="901">
        <f>Data2025!G152</f>
        <v>45</v>
      </c>
      <c r="B153" s="902" t="str">
        <f>Data2025!K152</f>
        <v>BPU27</v>
      </c>
      <c r="C153" s="903" t="str">
        <f>Data2025!D152</f>
        <v>06. 05. 08.</v>
      </c>
      <c r="D153" s="904" t="str">
        <f>Data2025!C152</f>
        <v>5.1.02.01.01.0024</v>
      </c>
      <c r="E153" s="905">
        <f>Data2025!E152</f>
        <v>45687</v>
      </c>
      <c r="F153" s="906" t="str">
        <f>Data2025!F152</f>
        <v>01/02/2025</v>
      </c>
      <c r="G153" s="905" t="str">
        <f>Data2025!H152</f>
        <v>01/02/2025</v>
      </c>
      <c r="H153" s="905" t="str">
        <f t="shared" si="7"/>
        <v>01/02/2025</v>
      </c>
      <c r="I153" s="907" t="str">
        <f>Data2025!J152</f>
        <v>04/02/2025</v>
      </c>
      <c r="J153" s="908" t="str">
        <f>Data2025!L152</f>
        <v>Amplop Panjang Putih Polos Merk : Jaya Ukuran : 11 x 23 cm</v>
      </c>
      <c r="K153" s="908" t="str">
        <f>Data2025!M152</f>
        <v>Amplop Panjang Putih Polos Merk : Jaya Ukuran : 11 x 23 cm</v>
      </c>
      <c r="L153" s="909">
        <f>Data2025!N152</f>
        <v>1</v>
      </c>
      <c r="M153" s="909" t="str">
        <f>Data2025!O152</f>
        <v>kotak</v>
      </c>
      <c r="N153" s="910">
        <f>Data2025!P152</f>
        <v>48000</v>
      </c>
      <c r="O153" s="911">
        <f>Data2025!Q152</f>
        <v>48000</v>
      </c>
      <c r="P153" s="912" t="s">
        <v>710</v>
      </c>
      <c r="Q153" s="913" t="str">
        <f>VLOOKUP(K153,Sheet1!$C$1:$D$101,2,)</f>
        <v xml:space="preserve"> Amplop Panjang Putih Polos (Merk : Jaya Ukuran : 11 x 23 cm)</v>
      </c>
      <c r="R153" s="496">
        <v>77500</v>
      </c>
      <c r="S153" s="504">
        <v>87500</v>
      </c>
      <c r="T153" s="914" t="str">
        <f>Data2025!T152</f>
        <v>UD. JOSUA</v>
      </c>
      <c r="U153" s="497" t="s">
        <v>538</v>
      </c>
      <c r="V153" s="914" t="str">
        <f>Data2025!V152</f>
        <v>Gestiwan Bazikho</v>
      </c>
      <c r="W153" s="914" t="str">
        <f>Data2025!X152</f>
        <v>Jl. Diponegoro Kel. Pasar Telukdalam - Nias Selatan</v>
      </c>
      <c r="X153" s="497" t="s">
        <v>541</v>
      </c>
      <c r="Y153" s="497" t="str">
        <f t="shared" si="8"/>
        <v>Alat Tulis Kantor (ATK)</v>
      </c>
      <c r="Z153" s="915" t="str">
        <f t="shared" si="9"/>
        <v>Alat Tulis Kantor (ATK)</v>
      </c>
      <c r="AA153" s="498" t="s">
        <v>3363</v>
      </c>
      <c r="AB153" s="499">
        <v>15500</v>
      </c>
      <c r="AC153" s="499">
        <v>77500</v>
      </c>
      <c r="AD153" s="496">
        <v>77500</v>
      </c>
      <c r="AE153" s="500">
        <v>69819.819819819822</v>
      </c>
      <c r="AF153" s="500">
        <v>77500</v>
      </c>
      <c r="AG153" s="916" t="s">
        <v>3883</v>
      </c>
      <c r="AH153" s="917" t="str">
        <f>Data2025!W152</f>
        <v>081375309828</v>
      </c>
    </row>
    <row r="154" spans="1:34" s="501" customFormat="1" ht="16.5" thickTop="1" thickBot="1">
      <c r="A154" s="901">
        <f>Data2025!G153</f>
        <v>45</v>
      </c>
      <c r="B154" s="902" t="str">
        <f>Data2025!K153</f>
        <v>BPU27</v>
      </c>
      <c r="C154" s="903" t="str">
        <f>Data2025!D153</f>
        <v>06. 05. 08.</v>
      </c>
      <c r="D154" s="904" t="str">
        <f>Data2025!C153</f>
        <v>5.1.02.01.01.0024</v>
      </c>
      <c r="E154" s="905">
        <f>Data2025!E153</f>
        <v>45687</v>
      </c>
      <c r="F154" s="906" t="str">
        <f>Data2025!F153</f>
        <v>01/02/2025</v>
      </c>
      <c r="G154" s="905" t="str">
        <f>Data2025!H153</f>
        <v>01/02/2025</v>
      </c>
      <c r="H154" s="905" t="str">
        <f t="shared" si="7"/>
        <v>01/02/2025</v>
      </c>
      <c r="I154" s="907" t="str">
        <f>Data2025!J153</f>
        <v>04/02/2025</v>
      </c>
      <c r="J154" s="908" t="str">
        <f>Data2025!L153</f>
        <v>Ballpoint Drawing Pen 0,1 Snowman</v>
      </c>
      <c r="K154" s="908" t="str">
        <f>Data2025!M153</f>
        <v>Ballpoint Drawing Pen 0,1 Snowman</v>
      </c>
      <c r="L154" s="909">
        <f>Data2025!N153</f>
        <v>1</v>
      </c>
      <c r="M154" s="909" t="str">
        <f>Data2025!O153</f>
        <v>lusin</v>
      </c>
      <c r="N154" s="910">
        <f>Data2025!P153</f>
        <v>95000</v>
      </c>
      <c r="O154" s="911">
        <f>Data2025!Q153</f>
        <v>95000</v>
      </c>
      <c r="P154" s="912" t="s">
        <v>710</v>
      </c>
      <c r="Q154" s="913" t="str">
        <f>VLOOKUP(K154,Sheet1!$C$1:$D$101,2,)</f>
        <v>Ballpoint Drawing Pen 0,5 Snowman (Length 5.0Cm, Width 5.0Cm, Height 5.0Cm, Weight 5Gr)</v>
      </c>
      <c r="R154" s="496">
        <v>30000</v>
      </c>
      <c r="S154" s="504">
        <v>40000</v>
      </c>
      <c r="T154" s="914" t="str">
        <f>Data2025!T153</f>
        <v>UD. JOSUA</v>
      </c>
      <c r="U154" s="497" t="s">
        <v>538</v>
      </c>
      <c r="V154" s="914" t="str">
        <f>Data2025!V153</f>
        <v>Gestiwan Bazikho</v>
      </c>
      <c r="W154" s="914" t="str">
        <f>Data2025!X153</f>
        <v>Jl. Diponegoro Kel. Pasar Telukdalam - Nias Selatan</v>
      </c>
      <c r="X154" s="497" t="s">
        <v>541</v>
      </c>
      <c r="Y154" s="497" t="str">
        <f t="shared" si="8"/>
        <v>Alat Tulis Kantor (ATK)</v>
      </c>
      <c r="Z154" s="915" t="str">
        <f t="shared" si="9"/>
        <v>Alat Tulis Kantor (ATK)</v>
      </c>
      <c r="AA154" s="498" t="s">
        <v>3362</v>
      </c>
      <c r="AB154" s="499">
        <v>6000</v>
      </c>
      <c r="AC154" s="499">
        <v>30000</v>
      </c>
      <c r="AD154" s="496">
        <v>30000</v>
      </c>
      <c r="AE154" s="500">
        <v>27027.027027027027</v>
      </c>
      <c r="AF154" s="500">
        <v>30000</v>
      </c>
      <c r="AG154" s="916" t="s">
        <v>3883</v>
      </c>
      <c r="AH154" s="917" t="str">
        <f>Data2025!W153</f>
        <v>081375309828</v>
      </c>
    </row>
    <row r="155" spans="1:34" s="501" customFormat="1" ht="16.5" thickTop="1" thickBot="1">
      <c r="A155" s="901">
        <f>Data2025!G154</f>
        <v>45</v>
      </c>
      <c r="B155" s="902" t="str">
        <f>Data2025!K154</f>
        <v>BPU27</v>
      </c>
      <c r="C155" s="903" t="str">
        <f>Data2025!D154</f>
        <v>06. 05. 08.</v>
      </c>
      <c r="D155" s="904" t="str">
        <f>Data2025!C154</f>
        <v>5.1.02.01.01.0024</v>
      </c>
      <c r="E155" s="905">
        <f>Data2025!E154</f>
        <v>45687</v>
      </c>
      <c r="F155" s="906" t="str">
        <f>Data2025!F154</f>
        <v>01/02/2025</v>
      </c>
      <c r="G155" s="905" t="str">
        <f>Data2025!H154</f>
        <v>01/02/2025</v>
      </c>
      <c r="H155" s="905" t="str">
        <f t="shared" si="7"/>
        <v>01/02/2025</v>
      </c>
      <c r="I155" s="907" t="str">
        <f>Data2025!J154</f>
        <v>04/02/2025</v>
      </c>
      <c r="J155" s="908" t="str">
        <f>Data2025!L154</f>
        <v>Ballpoint Standard AE7</v>
      </c>
      <c r="K155" s="908" t="str">
        <f>Data2025!M154</f>
        <v>Ballpoint Standard AE7</v>
      </c>
      <c r="L155" s="909">
        <f>Data2025!N154</f>
        <v>2</v>
      </c>
      <c r="M155" s="909" t="str">
        <f>Data2025!O154</f>
        <v>lusin</v>
      </c>
      <c r="N155" s="910">
        <f>Data2025!P154</f>
        <v>20000</v>
      </c>
      <c r="O155" s="911">
        <f>Data2025!Q154</f>
        <v>40000</v>
      </c>
      <c r="P155" s="912" t="s">
        <v>710</v>
      </c>
      <c r="Q155" s="913" t="str">
        <f>VLOOKUP(K155,Sheet1!$C$1:$D$101,2,)</f>
        <v>Ballpoint Standard AE7 (Jenis Barang: Pulpen Merk: Standard Tipe: AE-7 Ukuran: 0.5 mm; Warna Tinta, hitam)</v>
      </c>
      <c r="R155" s="496">
        <v>125000</v>
      </c>
      <c r="S155" s="504">
        <v>135000</v>
      </c>
      <c r="T155" s="914" t="str">
        <f>Data2025!T154</f>
        <v>UD. JOSUA</v>
      </c>
      <c r="U155" s="497" t="s">
        <v>538</v>
      </c>
      <c r="V155" s="914" t="str">
        <f>Data2025!V154</f>
        <v>Gestiwan Bazikho</v>
      </c>
      <c r="W155" s="914" t="str">
        <f>Data2025!X154</f>
        <v>Jl. Diponegoro Kel. Pasar Telukdalam - Nias Selatan</v>
      </c>
      <c r="X155" s="497" t="s">
        <v>541</v>
      </c>
      <c r="Y155" s="497" t="str">
        <f t="shared" si="8"/>
        <v>Alat Tulis Kantor (ATK)</v>
      </c>
      <c r="Z155" s="915" t="str">
        <f t="shared" si="9"/>
        <v>Alat Tulis Kantor (ATK)</v>
      </c>
      <c r="AA155" s="498" t="s">
        <v>3363</v>
      </c>
      <c r="AB155" s="499">
        <v>25000</v>
      </c>
      <c r="AC155" s="499">
        <v>125000</v>
      </c>
      <c r="AD155" s="496">
        <v>125000</v>
      </c>
      <c r="AE155" s="500">
        <v>112612.61261261262</v>
      </c>
      <c r="AF155" s="500">
        <v>125000</v>
      </c>
      <c r="AG155" s="916" t="s">
        <v>3883</v>
      </c>
      <c r="AH155" s="917" t="str">
        <f>Data2025!W154</f>
        <v>081375309828</v>
      </c>
    </row>
    <row r="156" spans="1:34" s="501" customFormat="1" ht="16.5" thickTop="1" thickBot="1">
      <c r="A156" s="901">
        <f>Data2025!G155</f>
        <v>45</v>
      </c>
      <c r="B156" s="902" t="str">
        <f>Data2025!K155</f>
        <v>BPU27</v>
      </c>
      <c r="C156" s="903" t="str">
        <f>Data2025!D155</f>
        <v>06. 05. 08.</v>
      </c>
      <c r="D156" s="904" t="str">
        <f>Data2025!C155</f>
        <v>5.1.02.01.01.0024</v>
      </c>
      <c r="E156" s="905">
        <f>Data2025!E155</f>
        <v>45687</v>
      </c>
      <c r="F156" s="906" t="str">
        <f>Data2025!F155</f>
        <v>01/02/2025</v>
      </c>
      <c r="G156" s="905" t="str">
        <f>Data2025!H155</f>
        <v>01/02/2025</v>
      </c>
      <c r="H156" s="905" t="str">
        <f t="shared" si="7"/>
        <v>01/02/2025</v>
      </c>
      <c r="I156" s="907" t="str">
        <f>Data2025!J155</f>
        <v>04/02/2025</v>
      </c>
      <c r="J156" s="908" t="str">
        <f>Data2025!L155</f>
        <v>Ballpoint Pilot G2</v>
      </c>
      <c r="K156" s="908" t="str">
        <f>Data2025!M155</f>
        <v>Ballpoint Pilot G2</v>
      </c>
      <c r="L156" s="909">
        <f>Data2025!N155</f>
        <v>1</v>
      </c>
      <c r="M156" s="909" t="str">
        <f>Data2025!O155</f>
        <v>lusin</v>
      </c>
      <c r="N156" s="910">
        <f>Data2025!P155</f>
        <v>235000</v>
      </c>
      <c r="O156" s="911">
        <f>Data2025!Q155</f>
        <v>235000</v>
      </c>
      <c r="P156" s="912" t="s">
        <v>710</v>
      </c>
      <c r="Q156" s="913" t="str">
        <f>VLOOKUP(K156,Sheet1!$C$1:$D$101,2,)</f>
        <v>Ballpoint Pilot G2 (Length 5.0Cm, Width 5.0Cm, Height 5.0Cm, Weight 5Gr)</v>
      </c>
      <c r="R156" s="496">
        <v>500000</v>
      </c>
      <c r="S156" s="504">
        <v>520000</v>
      </c>
      <c r="T156" s="914" t="str">
        <f>Data2025!T155</f>
        <v>UD. JOSUA</v>
      </c>
      <c r="U156" s="497" t="s">
        <v>538</v>
      </c>
      <c r="V156" s="914" t="str">
        <f>Data2025!V155</f>
        <v>Gestiwan Bazikho</v>
      </c>
      <c r="W156" s="914" t="str">
        <f>Data2025!X155</f>
        <v>Jl. Diponegoro Kel. Pasar Telukdalam - Nias Selatan</v>
      </c>
      <c r="X156" s="497" t="s">
        <v>541</v>
      </c>
      <c r="Y156" s="497" t="str">
        <f t="shared" si="8"/>
        <v>Alat Tulis Kantor (ATK)</v>
      </c>
      <c r="Z156" s="915" t="str">
        <f t="shared" si="9"/>
        <v>Alat Tulis Kantor (ATK)</v>
      </c>
      <c r="AA156" s="498" t="s">
        <v>3365</v>
      </c>
      <c r="AB156" s="499">
        <v>50000</v>
      </c>
      <c r="AC156" s="499">
        <v>500000</v>
      </c>
      <c r="AD156" s="496">
        <v>500000</v>
      </c>
      <c r="AE156" s="500">
        <v>450450.45045045047</v>
      </c>
      <c r="AF156" s="500">
        <v>500000</v>
      </c>
      <c r="AG156" s="916" t="s">
        <v>3883</v>
      </c>
      <c r="AH156" s="917" t="str">
        <f>Data2025!W155</f>
        <v>081375309828</v>
      </c>
    </row>
    <row r="157" spans="1:34" s="501" customFormat="1" ht="16.5" thickTop="1" thickBot="1">
      <c r="A157" s="901">
        <f>Data2025!G156</f>
        <v>45</v>
      </c>
      <c r="B157" s="902" t="str">
        <f>Data2025!K156</f>
        <v>BPU27</v>
      </c>
      <c r="C157" s="903" t="str">
        <f>Data2025!D156</f>
        <v>06. 05. 08.</v>
      </c>
      <c r="D157" s="904" t="str">
        <f>Data2025!C156</f>
        <v>5.1.02.01.01.0024</v>
      </c>
      <c r="E157" s="905">
        <f>Data2025!E156</f>
        <v>45687</v>
      </c>
      <c r="F157" s="906" t="str">
        <f>Data2025!F156</f>
        <v>01/02/2025</v>
      </c>
      <c r="G157" s="905" t="str">
        <f>Data2025!H156</f>
        <v>01/02/2025</v>
      </c>
      <c r="H157" s="905" t="str">
        <f t="shared" si="7"/>
        <v>01/02/2025</v>
      </c>
      <c r="I157" s="907" t="str">
        <f>Data2025!J156</f>
        <v>04/02/2025</v>
      </c>
      <c r="J157" s="908" t="str">
        <f>Data2025!L156</f>
        <v>Binder Klip  nomor 107</v>
      </c>
      <c r="K157" s="908" t="str">
        <f>Data2025!M156</f>
        <v>Binder Klip  nomor 107</v>
      </c>
      <c r="L157" s="909">
        <f>Data2025!N156</f>
        <v>5</v>
      </c>
      <c r="M157" s="909" t="str">
        <f>Data2025!O156</f>
        <v>kotak</v>
      </c>
      <c r="N157" s="910">
        <f>Data2025!P156</f>
        <v>7800</v>
      </c>
      <c r="O157" s="911">
        <f>Data2025!Q156</f>
        <v>39000</v>
      </c>
      <c r="P157" s="912" t="s">
        <v>710</v>
      </c>
      <c r="Q157" s="913" t="str">
        <f>VLOOKUP(K157,Sheet1!$C$1:$D$101,2,)</f>
        <v>Binder Clip N0 107 (Length 5.0Cm, Width 5.0Cm, Height 5.0Cm, Weight 5Gr)</v>
      </c>
      <c r="R157" s="496">
        <v>240000</v>
      </c>
      <c r="S157" s="504">
        <v>244000</v>
      </c>
      <c r="T157" s="914" t="str">
        <f>Data2025!T156</f>
        <v>UD. JOSUA</v>
      </c>
      <c r="U157" s="497" t="s">
        <v>538</v>
      </c>
      <c r="V157" s="914" t="str">
        <f>Data2025!V156</f>
        <v>Gestiwan Bazikho</v>
      </c>
      <c r="W157" s="914" t="str">
        <f>Data2025!X156</f>
        <v>Jl. Diponegoro Kel. Pasar Telukdalam - Nias Selatan</v>
      </c>
      <c r="X157" s="497" t="s">
        <v>541</v>
      </c>
      <c r="Y157" s="497" t="str">
        <f t="shared" si="8"/>
        <v>Alat Tulis Kantor (ATK)</v>
      </c>
      <c r="Z157" s="915" t="str">
        <f t="shared" si="9"/>
        <v>Alat Tulis Kantor (ATK)</v>
      </c>
      <c r="AA157" s="498" t="s">
        <v>3364</v>
      </c>
      <c r="AB157" s="499">
        <v>120000</v>
      </c>
      <c r="AC157" s="499">
        <v>240000</v>
      </c>
      <c r="AD157" s="496">
        <v>240000</v>
      </c>
      <c r="AE157" s="500">
        <v>216216.21621621621</v>
      </c>
      <c r="AF157" s="500">
        <v>240000</v>
      </c>
      <c r="AG157" s="916" t="s">
        <v>3883</v>
      </c>
      <c r="AH157" s="917" t="str">
        <f>Data2025!W156</f>
        <v>081375309828</v>
      </c>
    </row>
    <row r="158" spans="1:34" s="501" customFormat="1" ht="16.5" thickTop="1" thickBot="1">
      <c r="A158" s="901">
        <f>Data2025!G157</f>
        <v>45</v>
      </c>
      <c r="B158" s="902" t="str">
        <f>Data2025!K157</f>
        <v>BPU27</v>
      </c>
      <c r="C158" s="903" t="str">
        <f>Data2025!D157</f>
        <v>06. 05. 08.</v>
      </c>
      <c r="D158" s="904" t="str">
        <f>Data2025!C157</f>
        <v>5.1.02.01.01.0024</v>
      </c>
      <c r="E158" s="905">
        <f>Data2025!E157</f>
        <v>45687</v>
      </c>
      <c r="F158" s="906" t="str">
        <f>Data2025!F157</f>
        <v>01/02/2025</v>
      </c>
      <c r="G158" s="905" t="str">
        <f>Data2025!H157</f>
        <v>01/02/2025</v>
      </c>
      <c r="H158" s="905" t="str">
        <f t="shared" si="7"/>
        <v>01/02/2025</v>
      </c>
      <c r="I158" s="907" t="str">
        <f>Data2025!J157</f>
        <v>04/02/2025</v>
      </c>
      <c r="J158" s="908" t="str">
        <f>Data2025!L157</f>
        <v>Binder Klip  nomor 111</v>
      </c>
      <c r="K158" s="908" t="str">
        <f>Data2025!M157</f>
        <v>Binder Klip  nomor 111</v>
      </c>
      <c r="L158" s="909">
        <f>Data2025!N157</f>
        <v>5</v>
      </c>
      <c r="M158" s="909" t="str">
        <f>Data2025!O157</f>
        <v>kotak</v>
      </c>
      <c r="N158" s="910">
        <f>Data2025!P157</f>
        <v>11000</v>
      </c>
      <c r="O158" s="911">
        <f>Data2025!Q157</f>
        <v>55000</v>
      </c>
      <c r="P158" s="912" t="s">
        <v>710</v>
      </c>
      <c r="Q158" s="913" t="str">
        <f>VLOOKUP(K158,Sheet1!$C$1:$D$101,2,)</f>
        <v>Binder Clip No 111 (Length 5.0Cm, Width 5.0Cm, Height 5.0Cm, Weight 5Gr)</v>
      </c>
      <c r="R158" s="496">
        <v>30000</v>
      </c>
      <c r="S158" s="504">
        <v>34000</v>
      </c>
      <c r="T158" s="914" t="str">
        <f>Data2025!T157</f>
        <v>UD. JOSUA</v>
      </c>
      <c r="U158" s="497" t="s">
        <v>538</v>
      </c>
      <c r="V158" s="914" t="str">
        <f>Data2025!V157</f>
        <v>Gestiwan Bazikho</v>
      </c>
      <c r="W158" s="914" t="str">
        <f>Data2025!X157</f>
        <v>Jl. Diponegoro Kel. Pasar Telukdalam - Nias Selatan</v>
      </c>
      <c r="X158" s="497" t="s">
        <v>541</v>
      </c>
      <c r="Y158" s="497" t="str">
        <f t="shared" si="8"/>
        <v>Alat Tulis Kantor (ATK)</v>
      </c>
      <c r="Z158" s="915" t="str">
        <f t="shared" si="9"/>
        <v>Alat Tulis Kantor (ATK)</v>
      </c>
      <c r="AA158" s="498" t="s">
        <v>3363</v>
      </c>
      <c r="AB158" s="499">
        <v>15000</v>
      </c>
      <c r="AC158" s="499">
        <v>30000</v>
      </c>
      <c r="AD158" s="496">
        <v>30000</v>
      </c>
      <c r="AE158" s="500">
        <v>27027.027027027027</v>
      </c>
      <c r="AF158" s="500">
        <v>30000</v>
      </c>
      <c r="AG158" s="916" t="s">
        <v>3883</v>
      </c>
      <c r="AH158" s="917" t="str">
        <f>Data2025!W157</f>
        <v>081375309828</v>
      </c>
    </row>
    <row r="159" spans="1:34" s="501" customFormat="1" ht="16.5" thickTop="1" thickBot="1">
      <c r="A159" s="901">
        <f>Data2025!G158</f>
        <v>45</v>
      </c>
      <c r="B159" s="902" t="str">
        <f>Data2025!K158</f>
        <v>BPU27</v>
      </c>
      <c r="C159" s="903" t="str">
        <f>Data2025!D158</f>
        <v>06. 05. 08.</v>
      </c>
      <c r="D159" s="904" t="str">
        <f>Data2025!C158</f>
        <v>5.1.02.01.01.0024</v>
      </c>
      <c r="E159" s="905">
        <f>Data2025!E158</f>
        <v>45687</v>
      </c>
      <c r="F159" s="906" t="str">
        <f>Data2025!F158</f>
        <v>01/02/2025</v>
      </c>
      <c r="G159" s="905" t="str">
        <f>Data2025!H158</f>
        <v>01/02/2025</v>
      </c>
      <c r="H159" s="905" t="str">
        <f t="shared" si="7"/>
        <v>01/02/2025</v>
      </c>
      <c r="I159" s="907" t="str">
        <f>Data2025!J158</f>
        <v>04/02/2025</v>
      </c>
      <c r="J159" s="908" t="str">
        <f>Data2025!L158</f>
        <v>Binder Klip  nomor 200</v>
      </c>
      <c r="K159" s="908" t="str">
        <f>Data2025!M158</f>
        <v>Binder Klip  nomor 200</v>
      </c>
      <c r="L159" s="909">
        <f>Data2025!N158</f>
        <v>10</v>
      </c>
      <c r="M159" s="909" t="str">
        <f>Data2025!O158</f>
        <v>kotak</v>
      </c>
      <c r="N159" s="910">
        <f>Data2025!P158</f>
        <v>16500</v>
      </c>
      <c r="O159" s="911">
        <f>Data2025!Q158</f>
        <v>165000</v>
      </c>
      <c r="P159" s="912" t="s">
        <v>710</v>
      </c>
      <c r="Q159" s="913" t="str">
        <f>VLOOKUP(K159,Sheet1!$C$1:$D$101,2,)</f>
        <v>Binder Clip Nomor 200 (Length 5.0Cm, Width 5.0Cm, Height 5.0Cm, Weight 5Gr)</v>
      </c>
      <c r="R159" s="496">
        <v>200000</v>
      </c>
      <c r="S159" s="504">
        <v>220000</v>
      </c>
      <c r="T159" s="914" t="str">
        <f>Data2025!T158</f>
        <v>UD. JOSUA</v>
      </c>
      <c r="U159" s="497" t="s">
        <v>538</v>
      </c>
      <c r="V159" s="914" t="str">
        <f>Data2025!V158</f>
        <v>Gestiwan Bazikho</v>
      </c>
      <c r="W159" s="914" t="str">
        <f>Data2025!X158</f>
        <v>Jl. Diponegoro Kel. Pasar Telukdalam - Nias Selatan</v>
      </c>
      <c r="X159" s="497" t="s">
        <v>541</v>
      </c>
      <c r="Y159" s="497" t="str">
        <f t="shared" si="8"/>
        <v>Alat Tulis Kantor (ATK)</v>
      </c>
      <c r="Z159" s="915" t="str">
        <f t="shared" si="9"/>
        <v>Alat Tulis Kantor (ATK)</v>
      </c>
      <c r="AA159" s="498" t="s">
        <v>3362</v>
      </c>
      <c r="AB159" s="499">
        <v>20000</v>
      </c>
      <c r="AC159" s="499">
        <v>200000</v>
      </c>
      <c r="AD159" s="496">
        <v>200000</v>
      </c>
      <c r="AE159" s="500">
        <v>180180.18018018018</v>
      </c>
      <c r="AF159" s="500">
        <v>200000</v>
      </c>
      <c r="AG159" s="916" t="s">
        <v>3883</v>
      </c>
      <c r="AH159" s="917" t="str">
        <f>Data2025!W158</f>
        <v>081375309828</v>
      </c>
    </row>
    <row r="160" spans="1:34" s="501" customFormat="1" ht="16.5" thickTop="1" thickBot="1">
      <c r="A160" s="901">
        <f>Data2025!G159</f>
        <v>45</v>
      </c>
      <c r="B160" s="902" t="str">
        <f>Data2025!K159</f>
        <v>BPU27</v>
      </c>
      <c r="C160" s="903" t="str">
        <f>Data2025!D159</f>
        <v>06. 05. 08.</v>
      </c>
      <c r="D160" s="904" t="str">
        <f>Data2025!C159</f>
        <v>5.1.02.01.01.0024</v>
      </c>
      <c r="E160" s="905">
        <f>Data2025!E159</f>
        <v>45687</v>
      </c>
      <c r="F160" s="906" t="str">
        <f>Data2025!F159</f>
        <v>01/02/2025</v>
      </c>
      <c r="G160" s="905" t="str">
        <f>Data2025!H159</f>
        <v>01/02/2025</v>
      </c>
      <c r="H160" s="905" t="str">
        <f t="shared" si="7"/>
        <v>01/02/2025</v>
      </c>
      <c r="I160" s="907" t="str">
        <f>Data2025!J159</f>
        <v>04/02/2025</v>
      </c>
      <c r="J160" s="908" t="str">
        <f>Data2025!L159</f>
        <v>Binder Klip  nomor 260</v>
      </c>
      <c r="K160" s="908" t="str">
        <f>Data2025!M159</f>
        <v>Binder Klip  nomor 260</v>
      </c>
      <c r="L160" s="909">
        <f>Data2025!N159</f>
        <v>10</v>
      </c>
      <c r="M160" s="909" t="str">
        <f>Data2025!O159</f>
        <v>kotak</v>
      </c>
      <c r="N160" s="910">
        <f>Data2025!P159</f>
        <v>20000</v>
      </c>
      <c r="O160" s="911">
        <f>Data2025!Q159</f>
        <v>200000</v>
      </c>
      <c r="P160" s="912" t="s">
        <v>710</v>
      </c>
      <c r="Q160" s="913" t="str">
        <f>VLOOKUP(K160,Sheet1!$C$1:$D$101,2,)</f>
        <v>Binder Clip No 260 (Length 5.0Cm, Width 5.0Cm, Height 5.0Cm, Weight 5Gr)</v>
      </c>
      <c r="R160" s="496">
        <v>440000</v>
      </c>
      <c r="S160" s="504">
        <v>448000</v>
      </c>
      <c r="T160" s="914" t="str">
        <f>Data2025!T159</f>
        <v>UD. JOSUA</v>
      </c>
      <c r="U160" s="497" t="s">
        <v>538</v>
      </c>
      <c r="V160" s="914" t="str">
        <f>Data2025!V159</f>
        <v>Gestiwan Bazikho</v>
      </c>
      <c r="W160" s="914" t="str">
        <f>Data2025!X159</f>
        <v>Jl. Diponegoro Kel. Pasar Telukdalam - Nias Selatan</v>
      </c>
      <c r="X160" s="497" t="s">
        <v>541</v>
      </c>
      <c r="Y160" s="497" t="str">
        <f t="shared" si="8"/>
        <v>Alat Tulis Kantor (ATK)</v>
      </c>
      <c r="Z160" s="915" t="str">
        <f t="shared" si="9"/>
        <v>Alat Tulis Kantor (ATK)</v>
      </c>
      <c r="AA160" s="498" t="s">
        <v>3367</v>
      </c>
      <c r="AB160" s="499">
        <v>110000</v>
      </c>
      <c r="AC160" s="499">
        <v>440000</v>
      </c>
      <c r="AD160" s="496">
        <v>440000</v>
      </c>
      <c r="AE160" s="500">
        <v>396396.39639639639</v>
      </c>
      <c r="AF160" s="500">
        <v>440000</v>
      </c>
      <c r="AG160" s="916" t="s">
        <v>3883</v>
      </c>
      <c r="AH160" s="917" t="str">
        <f>Data2025!W159</f>
        <v>081375309828</v>
      </c>
    </row>
    <row r="161" spans="1:34" s="501" customFormat="1" ht="26" thickTop="1" thickBot="1">
      <c r="A161" s="901">
        <f>Data2025!G160</f>
        <v>45</v>
      </c>
      <c r="B161" s="902" t="str">
        <f>Data2025!K160</f>
        <v>BPU27</v>
      </c>
      <c r="C161" s="903" t="str">
        <f>Data2025!D160</f>
        <v>06. 05. 08.</v>
      </c>
      <c r="D161" s="904" t="str">
        <f>Data2025!C160</f>
        <v>5.1.02.01.01.0024</v>
      </c>
      <c r="E161" s="905">
        <f>Data2025!E160</f>
        <v>45687</v>
      </c>
      <c r="F161" s="906" t="str">
        <f>Data2025!F160</f>
        <v>01/02/2025</v>
      </c>
      <c r="G161" s="905" t="str">
        <f>Data2025!H160</f>
        <v>01/02/2025</v>
      </c>
      <c r="H161" s="905" t="str">
        <f t="shared" si="7"/>
        <v>01/02/2025</v>
      </c>
      <c r="I161" s="907" t="str">
        <f>Data2025!J160</f>
        <v>04/02/2025</v>
      </c>
      <c r="J161" s="908" t="str">
        <f>Data2025!L160</f>
        <v>Binder Klip Merk : KENKO nomor 105</v>
      </c>
      <c r="K161" s="908" t="str">
        <f>Data2025!M160</f>
        <v>Binder Klip Merk : KENKO nomor 105</v>
      </c>
      <c r="L161" s="909">
        <f>Data2025!N160</f>
        <v>2</v>
      </c>
      <c r="M161" s="909" t="str">
        <f>Data2025!O160</f>
        <v>kotak</v>
      </c>
      <c r="N161" s="910">
        <f>Data2025!P160</f>
        <v>5000</v>
      </c>
      <c r="O161" s="911">
        <f>Data2025!Q160</f>
        <v>10000</v>
      </c>
      <c r="P161" s="912" t="s">
        <v>710</v>
      </c>
      <c r="Q161" s="913" t="str">
        <f>VLOOKUP(K161,Sheet1!$C$1:$D$101,2,)</f>
        <v xml:space="preserve">Binder Clip merk kenko NO 105 (Length 5.0cm, Width 5.0cm, Height 5.0cm, Weight 5gr)  </v>
      </c>
      <c r="R161" s="496">
        <v>25000</v>
      </c>
      <c r="S161" s="504">
        <v>35000</v>
      </c>
      <c r="T161" s="914" t="str">
        <f>Data2025!T160</f>
        <v>UD. JOSUA</v>
      </c>
      <c r="U161" s="497" t="s">
        <v>538</v>
      </c>
      <c r="V161" s="914" t="str">
        <f>Data2025!V160</f>
        <v>Gestiwan Bazikho</v>
      </c>
      <c r="W161" s="914" t="str">
        <f>Data2025!X160</f>
        <v>Jl. Diponegoro Kel. Pasar Telukdalam - Nias Selatan</v>
      </c>
      <c r="X161" s="497" t="s">
        <v>541</v>
      </c>
      <c r="Y161" s="497" t="str">
        <f t="shared" si="8"/>
        <v>Alat Tulis Kantor (ATK)</v>
      </c>
      <c r="Z161" s="915" t="str">
        <f t="shared" si="9"/>
        <v>Alat Tulis Kantor (ATK)</v>
      </c>
      <c r="AA161" s="498" t="s">
        <v>3362</v>
      </c>
      <c r="AB161" s="499">
        <v>5000</v>
      </c>
      <c r="AC161" s="499">
        <v>25000</v>
      </c>
      <c r="AD161" s="496">
        <v>25000</v>
      </c>
      <c r="AE161" s="500">
        <v>22522.522522522522</v>
      </c>
      <c r="AF161" s="500">
        <v>25000</v>
      </c>
      <c r="AG161" s="916" t="s">
        <v>3883</v>
      </c>
      <c r="AH161" s="917" t="str">
        <f>Data2025!W160</f>
        <v>081375309828</v>
      </c>
    </row>
    <row r="162" spans="1:34" s="501" customFormat="1" ht="16.5" thickTop="1" thickBot="1">
      <c r="A162" s="901">
        <f>Data2025!G161</f>
        <v>45</v>
      </c>
      <c r="B162" s="902" t="str">
        <f>Data2025!K161</f>
        <v>BPU27</v>
      </c>
      <c r="C162" s="903" t="str">
        <f>Data2025!D161</f>
        <v>06. 05. 08.</v>
      </c>
      <c r="D162" s="904" t="str">
        <f>Data2025!C161</f>
        <v>5.1.02.01.01.0024</v>
      </c>
      <c r="E162" s="905">
        <f>Data2025!E161</f>
        <v>45687</v>
      </c>
      <c r="F162" s="906" t="str">
        <f>Data2025!F161</f>
        <v>01/02/2025</v>
      </c>
      <c r="G162" s="905" t="str">
        <f>Data2025!H161</f>
        <v>01/02/2025</v>
      </c>
      <c r="H162" s="905" t="str">
        <f t="shared" si="7"/>
        <v>01/02/2025</v>
      </c>
      <c r="I162" s="907" t="str">
        <f>Data2025!J161</f>
        <v>04/02/2025</v>
      </c>
      <c r="J162" s="908" t="str">
        <f>Data2025!L161</f>
        <v>Map Binder</v>
      </c>
      <c r="K162" s="908" t="str">
        <f>Data2025!M161</f>
        <v>Map Binder</v>
      </c>
      <c r="L162" s="909">
        <f>Data2025!N161</f>
        <v>12</v>
      </c>
      <c r="M162" s="909" t="str">
        <f>Data2025!O161</f>
        <v>buah</v>
      </c>
      <c r="N162" s="910">
        <f>Data2025!P161</f>
        <v>35500</v>
      </c>
      <c r="O162" s="911">
        <f>Data2025!Q161</f>
        <v>426000</v>
      </c>
      <c r="P162" s="912" t="s">
        <v>710</v>
      </c>
      <c r="Q162" s="913" t="str">
        <f>VLOOKUP(K162,Sheet1!$C$1:$D$101,2,)</f>
        <v>Map Binder (Length 5.0Cm, Width 5.0Cm, Height 5.0Cm, Weight 5Gr)</v>
      </c>
      <c r="R162" s="496">
        <v>2000000</v>
      </c>
      <c r="S162" s="504">
        <v>2080000</v>
      </c>
      <c r="T162" s="914" t="str">
        <f>Data2025!T161</f>
        <v>UD. JOSUA</v>
      </c>
      <c r="U162" s="497" t="s">
        <v>538</v>
      </c>
      <c r="V162" s="914" t="str">
        <f>Data2025!V161</f>
        <v>Gestiwan Bazikho</v>
      </c>
      <c r="W162" s="914" t="str">
        <f>Data2025!X161</f>
        <v>Jl. Diponegoro Kel. Pasar Telukdalam - Nias Selatan</v>
      </c>
      <c r="X162" s="497" t="s">
        <v>541</v>
      </c>
      <c r="Y162" s="497" t="str">
        <f t="shared" si="8"/>
        <v>Alat Tulis Kantor (ATK)</v>
      </c>
      <c r="Z162" s="915" t="str">
        <f t="shared" si="9"/>
        <v>Alat Tulis Kantor (ATK)</v>
      </c>
      <c r="AA162" s="498" t="s">
        <v>3369</v>
      </c>
      <c r="AB162" s="499">
        <v>50000</v>
      </c>
      <c r="AC162" s="499">
        <v>2000000</v>
      </c>
      <c r="AD162" s="496">
        <v>2000000</v>
      </c>
      <c r="AE162" s="500">
        <v>1801801.8018018019</v>
      </c>
      <c r="AF162" s="500">
        <v>2000000</v>
      </c>
      <c r="AG162" s="916" t="s">
        <v>3883</v>
      </c>
      <c r="AH162" s="917" t="str">
        <f>Data2025!W161</f>
        <v>081375309828</v>
      </c>
    </row>
    <row r="163" spans="1:34" s="501" customFormat="1" ht="16.5" thickTop="1" thickBot="1">
      <c r="A163" s="901">
        <f>Data2025!G162</f>
        <v>45</v>
      </c>
      <c r="B163" s="902" t="str">
        <f>Data2025!K162</f>
        <v>BPU27</v>
      </c>
      <c r="C163" s="903" t="str">
        <f>Data2025!D162</f>
        <v>06. 05. 08.</v>
      </c>
      <c r="D163" s="904" t="str">
        <f>Data2025!C162</f>
        <v>5.1.02.01.01.0024</v>
      </c>
      <c r="E163" s="905">
        <f>Data2025!E162</f>
        <v>45687</v>
      </c>
      <c r="F163" s="906" t="str">
        <f>Data2025!F162</f>
        <v>01/02/2025</v>
      </c>
      <c r="G163" s="905" t="str">
        <f>Data2025!H162</f>
        <v>01/02/2025</v>
      </c>
      <c r="H163" s="905" t="str">
        <f t="shared" si="7"/>
        <v>01/02/2025</v>
      </c>
      <c r="I163" s="907" t="str">
        <f>Data2025!J162</f>
        <v>04/02/2025</v>
      </c>
      <c r="J163" s="908" t="str">
        <f>Data2025!L162</f>
        <v>Stofmap Kertas</v>
      </c>
      <c r="K163" s="908" t="str">
        <f>Data2025!M162</f>
        <v>Stofmap Kertas</v>
      </c>
      <c r="L163" s="909">
        <f>Data2025!N162</f>
        <v>1</v>
      </c>
      <c r="M163" s="909" t="str">
        <f>Data2025!O162</f>
        <v>pak</v>
      </c>
      <c r="N163" s="910">
        <f>Data2025!P162</f>
        <v>88000</v>
      </c>
      <c r="O163" s="911">
        <f>Data2025!Q162</f>
        <v>88000</v>
      </c>
      <c r="P163" s="912" t="s">
        <v>710</v>
      </c>
      <c r="Q163" s="913" t="str">
        <f>VLOOKUP(K163,Sheet1!$C$1:$D$101,2,)</f>
        <v>Stofmap Kertas (Length 5.0Cm, Width 5.0Cm, Height 5.0Cm, Weight 5Gr)</v>
      </c>
      <c r="R163" s="496">
        <v>550000</v>
      </c>
      <c r="S163" s="504">
        <v>750000</v>
      </c>
      <c r="T163" s="914" t="str">
        <f>Data2025!T162</f>
        <v>UD. JOSUA</v>
      </c>
      <c r="U163" s="497" t="s">
        <v>538</v>
      </c>
      <c r="V163" s="914" t="str">
        <f>Data2025!V162</f>
        <v>Gestiwan Bazikho</v>
      </c>
      <c r="W163" s="914" t="str">
        <f>Data2025!X162</f>
        <v>Jl. Diponegoro Kel. Pasar Telukdalam - Nias Selatan</v>
      </c>
      <c r="X163" s="497" t="s">
        <v>541</v>
      </c>
      <c r="Y163" s="497" t="str">
        <f t="shared" si="8"/>
        <v>Alat Tulis Kantor (ATK)</v>
      </c>
      <c r="Z163" s="915" t="str">
        <f t="shared" si="9"/>
        <v>Alat Tulis Kantor (ATK)</v>
      </c>
      <c r="AA163" s="498" t="s">
        <v>3363</v>
      </c>
      <c r="AB163" s="499">
        <v>5500</v>
      </c>
      <c r="AC163" s="499">
        <v>550000</v>
      </c>
      <c r="AD163" s="496">
        <v>550000</v>
      </c>
      <c r="AE163" s="500">
        <v>495495.4954954955</v>
      </c>
      <c r="AF163" s="500">
        <v>550000</v>
      </c>
      <c r="AG163" s="916" t="s">
        <v>3883</v>
      </c>
      <c r="AH163" s="917" t="str">
        <f>Data2025!W162</f>
        <v>081375309828</v>
      </c>
    </row>
    <row r="164" spans="1:34" s="501" customFormat="1" ht="16.5" thickTop="1" thickBot="1">
      <c r="A164" s="901">
        <f>Data2025!G163</f>
        <v>45</v>
      </c>
      <c r="B164" s="902" t="str">
        <f>Data2025!K163</f>
        <v>BPU27</v>
      </c>
      <c r="C164" s="903" t="str">
        <f>Data2025!D163</f>
        <v>06. 05. 08.</v>
      </c>
      <c r="D164" s="904" t="str">
        <f>Data2025!C163</f>
        <v>5.1.02.01.01.0024</v>
      </c>
      <c r="E164" s="905">
        <f>Data2025!E163</f>
        <v>45687</v>
      </c>
      <c r="F164" s="906" t="str">
        <f>Data2025!F163</f>
        <v>01/02/2025</v>
      </c>
      <c r="G164" s="905" t="str">
        <f>Data2025!H163</f>
        <v>01/02/2025</v>
      </c>
      <c r="H164" s="905" t="str">
        <f t="shared" si="7"/>
        <v>01/02/2025</v>
      </c>
      <c r="I164" s="907" t="str">
        <f>Data2025!J163</f>
        <v>04/02/2025</v>
      </c>
      <c r="J164" s="908" t="str">
        <f>Data2025!L163</f>
        <v>Stofmap Transparan tali</v>
      </c>
      <c r="K164" s="908" t="str">
        <f>Data2025!M163</f>
        <v>Stofmap Transparan tali</v>
      </c>
      <c r="L164" s="909">
        <f>Data2025!N163</f>
        <v>100</v>
      </c>
      <c r="M164" s="909" t="str">
        <f>Data2025!O163</f>
        <v>buah</v>
      </c>
      <c r="N164" s="910">
        <f>Data2025!P163</f>
        <v>5500</v>
      </c>
      <c r="O164" s="911">
        <f>Data2025!Q163</f>
        <v>550000</v>
      </c>
      <c r="P164" s="912" t="s">
        <v>710</v>
      </c>
      <c r="Q164" s="913" t="str">
        <f>VLOOKUP(K164,Sheet1!$C$1:$D$101,2,)</f>
        <v>Stofmap Transparan tali (Merk : Jenia Tipe : 2 Kancing + Tali Ukuran : 255 x 375 mm Bahan : Plastik PP 0,14 Micron)</v>
      </c>
      <c r="R164" s="496">
        <v>48000</v>
      </c>
      <c r="S164" s="504">
        <v>50000</v>
      </c>
      <c r="T164" s="914" t="str">
        <f>Data2025!T163</f>
        <v>UD. JOSUA</v>
      </c>
      <c r="U164" s="497" t="s">
        <v>538</v>
      </c>
      <c r="V164" s="914" t="str">
        <f>Data2025!V163</f>
        <v>Gestiwan Bazikho</v>
      </c>
      <c r="W164" s="914" t="str">
        <f>Data2025!X163</f>
        <v>Jl. Diponegoro Kel. Pasar Telukdalam - Nias Selatan</v>
      </c>
      <c r="X164" s="497" t="s">
        <v>541</v>
      </c>
      <c r="Y164" s="497" t="str">
        <f t="shared" si="8"/>
        <v>Alat Tulis Kantor (ATK)</v>
      </c>
      <c r="Z164" s="915" t="str">
        <f t="shared" si="9"/>
        <v>Alat Tulis Kantor (ATK)</v>
      </c>
      <c r="AA164" s="498" t="s">
        <v>3362</v>
      </c>
      <c r="AB164" s="499">
        <v>48000</v>
      </c>
      <c r="AC164" s="499">
        <v>48000</v>
      </c>
      <c r="AD164" s="496">
        <v>48000</v>
      </c>
      <c r="AE164" s="500">
        <v>43243.243243243247</v>
      </c>
      <c r="AF164" s="500">
        <v>48000</v>
      </c>
      <c r="AG164" s="916" t="s">
        <v>3883</v>
      </c>
      <c r="AH164" s="917" t="str">
        <f>Data2025!W163</f>
        <v>081375309828</v>
      </c>
    </row>
    <row r="165" spans="1:34" s="501" customFormat="1" ht="16.5" thickTop="1" thickBot="1">
      <c r="A165" s="901">
        <f>Data2025!G164</f>
        <v>45</v>
      </c>
      <c r="B165" s="902" t="str">
        <f>Data2025!K164</f>
        <v>BPU27</v>
      </c>
      <c r="C165" s="903" t="str">
        <f>Data2025!D164</f>
        <v>06. 05. 08.</v>
      </c>
      <c r="D165" s="904" t="str">
        <f>Data2025!C164</f>
        <v>5.1.02.01.01.0024</v>
      </c>
      <c r="E165" s="905">
        <f>Data2025!E164</f>
        <v>45687</v>
      </c>
      <c r="F165" s="906" t="str">
        <f>Data2025!F164</f>
        <v>01/02/2025</v>
      </c>
      <c r="G165" s="905" t="str">
        <f>Data2025!H164</f>
        <v>01/02/2025</v>
      </c>
      <c r="H165" s="905" t="str">
        <f t="shared" si="7"/>
        <v>01/02/2025</v>
      </c>
      <c r="I165" s="907" t="str">
        <f>Data2025!J164</f>
        <v>04/02/2025</v>
      </c>
      <c r="J165" s="908" t="str">
        <f>Data2025!L164</f>
        <v>Stofmap Transparan</v>
      </c>
      <c r="K165" s="908" t="str">
        <f>Data2025!M164</f>
        <v>Stofmap Transparan</v>
      </c>
      <c r="L165" s="909">
        <f>Data2025!N164</f>
        <v>100</v>
      </c>
      <c r="M165" s="909" t="str">
        <f>Data2025!O164</f>
        <v>buah</v>
      </c>
      <c r="N165" s="910">
        <f>Data2025!P164</f>
        <v>5500</v>
      </c>
      <c r="O165" s="911">
        <f>Data2025!Q164</f>
        <v>550000</v>
      </c>
      <c r="P165" s="912" t="s">
        <v>710</v>
      </c>
      <c r="Q165" s="913" t="str">
        <f>VLOOKUP(K165,Sheet1!$C$1:$D$101,2,)</f>
        <v>Stofmap Transparan (Length 5.0Cm, Width 5.0Cm, Height 5.0Cm, Weight 5Gr)</v>
      </c>
      <c r="R165" s="496">
        <v>114000</v>
      </c>
      <c r="S165" s="504">
        <v>124000</v>
      </c>
      <c r="T165" s="914" t="str">
        <f>Data2025!T164</f>
        <v>UD. JOSUA</v>
      </c>
      <c r="U165" s="497" t="s">
        <v>538</v>
      </c>
      <c r="V165" s="914" t="str">
        <f>Data2025!V164</f>
        <v>Gestiwan Bazikho</v>
      </c>
      <c r="W165" s="914" t="str">
        <f>Data2025!X164</f>
        <v>Jl. Diponegoro Kel. Pasar Telukdalam - Nias Selatan</v>
      </c>
      <c r="X165" s="497" t="s">
        <v>541</v>
      </c>
      <c r="Y165" s="497" t="str">
        <f t="shared" si="8"/>
        <v>Alat Tulis Kantor (ATK)</v>
      </c>
      <c r="Z165" s="915" t="str">
        <f t="shared" si="9"/>
        <v>Alat Tulis Kantor (ATK)</v>
      </c>
      <c r="AA165" s="498" t="s">
        <v>3363</v>
      </c>
      <c r="AB165" s="499">
        <v>22800</v>
      </c>
      <c r="AC165" s="499">
        <v>114000</v>
      </c>
      <c r="AD165" s="496">
        <v>114000</v>
      </c>
      <c r="AE165" s="500">
        <v>102702.70270270271</v>
      </c>
      <c r="AF165" s="500">
        <v>114000</v>
      </c>
      <c r="AG165" s="916" t="s">
        <v>3883</v>
      </c>
      <c r="AH165" s="917" t="str">
        <f>Data2025!W164</f>
        <v>081375309828</v>
      </c>
    </row>
    <row r="166" spans="1:34" s="501" customFormat="1" ht="16.5" thickTop="1" thickBot="1">
      <c r="A166" s="901">
        <f>Data2025!G165</f>
        <v>45</v>
      </c>
      <c r="B166" s="902" t="str">
        <f>Data2025!K165</f>
        <v>BPU27</v>
      </c>
      <c r="C166" s="903" t="str">
        <f>Data2025!D165</f>
        <v>06. 05. 08.</v>
      </c>
      <c r="D166" s="904" t="str">
        <f>Data2025!C165</f>
        <v>5.1.02.01.01.0024</v>
      </c>
      <c r="E166" s="905">
        <f>Data2025!E165</f>
        <v>45687</v>
      </c>
      <c r="F166" s="906" t="str">
        <f>Data2025!F165</f>
        <v>01/02/2025</v>
      </c>
      <c r="G166" s="905" t="str">
        <f>Data2025!H165</f>
        <v>01/02/2025</v>
      </c>
      <c r="H166" s="905" t="str">
        <f t="shared" si="7"/>
        <v>01/02/2025</v>
      </c>
      <c r="I166" s="907" t="str">
        <f>Data2025!J165</f>
        <v>04/02/2025</v>
      </c>
      <c r="J166" s="908" t="str">
        <f>Data2025!L165</f>
        <v>Binder Klip Ordner</v>
      </c>
      <c r="K166" s="908" t="str">
        <f>Data2025!M165</f>
        <v>Binder Klip Ordner</v>
      </c>
      <c r="L166" s="909">
        <f>Data2025!N165</f>
        <v>6</v>
      </c>
      <c r="M166" s="909" t="str">
        <f>Data2025!O165</f>
        <v>buah</v>
      </c>
      <c r="N166" s="910">
        <f>Data2025!P165</f>
        <v>49500</v>
      </c>
      <c r="O166" s="911">
        <f>Data2025!Q165</f>
        <v>297000</v>
      </c>
      <c r="P166" s="912" t="s">
        <v>710</v>
      </c>
      <c r="Q166" s="913" t="str">
        <f>VLOOKUP(K166,Sheet1!$C$1:$D$101,2,)</f>
        <v>Binder Klip Ordner (Length 5.0Cm, Width 5.0Cm, Height 5.0Cm, Weight 5Gr)</v>
      </c>
      <c r="R166" s="496">
        <v>50000</v>
      </c>
      <c r="S166" s="504">
        <v>60000</v>
      </c>
      <c r="T166" s="914" t="str">
        <f>Data2025!T165</f>
        <v>UD. JOSUA</v>
      </c>
      <c r="U166" s="497" t="s">
        <v>538</v>
      </c>
      <c r="V166" s="914" t="str">
        <f>Data2025!V165</f>
        <v>Gestiwan Bazikho</v>
      </c>
      <c r="W166" s="914" t="str">
        <f>Data2025!X165</f>
        <v>Jl. Diponegoro Kel. Pasar Telukdalam - Nias Selatan</v>
      </c>
      <c r="X166" s="497" t="s">
        <v>541</v>
      </c>
      <c r="Y166" s="497" t="str">
        <f t="shared" si="8"/>
        <v>Alat Tulis Kantor (ATK)</v>
      </c>
      <c r="Z166" s="915" t="str">
        <f t="shared" si="9"/>
        <v>Alat Tulis Kantor (ATK)</v>
      </c>
      <c r="AA166" s="498" t="s">
        <v>3363</v>
      </c>
      <c r="AB166" s="499">
        <v>10000</v>
      </c>
      <c r="AC166" s="499">
        <v>50000</v>
      </c>
      <c r="AD166" s="496">
        <v>50000</v>
      </c>
      <c r="AE166" s="500">
        <v>45045.045045045044</v>
      </c>
      <c r="AF166" s="500">
        <v>50000</v>
      </c>
      <c r="AG166" s="916" t="s">
        <v>3883</v>
      </c>
      <c r="AH166" s="917" t="str">
        <f>Data2025!W165</f>
        <v>081375309828</v>
      </c>
    </row>
    <row r="167" spans="1:34" s="501" customFormat="1" ht="26" thickTop="1" thickBot="1">
      <c r="A167" s="901">
        <f>Data2025!G166</f>
        <v>45</v>
      </c>
      <c r="B167" s="902" t="str">
        <f>Data2025!K166</f>
        <v>BPU27</v>
      </c>
      <c r="C167" s="903" t="str">
        <f>Data2025!D166</f>
        <v>06. 05. 08.</v>
      </c>
      <c r="D167" s="904" t="str">
        <f>Data2025!C166</f>
        <v>5.1.02.01.01.0024</v>
      </c>
      <c r="E167" s="905">
        <f>Data2025!E166</f>
        <v>45687</v>
      </c>
      <c r="F167" s="906" t="str">
        <f>Data2025!F166</f>
        <v>01/02/2025</v>
      </c>
      <c r="G167" s="905" t="str">
        <f>Data2025!H166</f>
        <v>01/02/2025</v>
      </c>
      <c r="H167" s="905" t="str">
        <f t="shared" si="7"/>
        <v>01/02/2025</v>
      </c>
      <c r="I167" s="907" t="str">
        <f>Data2025!J166</f>
        <v>04/02/2025</v>
      </c>
      <c r="J167" s="908" t="str">
        <f>Data2025!L166</f>
        <v>Box File Merk : Bantex Ukuran : 115x270x325 mm</v>
      </c>
      <c r="K167" s="908" t="str">
        <f>Data2025!M166</f>
        <v>Box File Merk : Bantex Ukuran : 115x270x325 mm</v>
      </c>
      <c r="L167" s="909">
        <f>Data2025!N166</f>
        <v>4</v>
      </c>
      <c r="M167" s="909" t="str">
        <f>Data2025!O166</f>
        <v>buah</v>
      </c>
      <c r="N167" s="910">
        <f>Data2025!P166</f>
        <v>59000</v>
      </c>
      <c r="O167" s="911">
        <f>Data2025!Q166</f>
        <v>236000</v>
      </c>
      <c r="P167" s="912" t="s">
        <v>710</v>
      </c>
      <c r="Q167" s="913" t="str">
        <f>VLOOKUP(K167,Sheet1!$C$1:$D$101,2,)</f>
        <v>Box File (Length 5.0Cm, Width 5.0Cm, Height 5.0Cm, Weight 5Gr)</v>
      </c>
      <c r="R167" s="496">
        <v>165000</v>
      </c>
      <c r="S167" s="504">
        <v>185000</v>
      </c>
      <c r="T167" s="914" t="str">
        <f>Data2025!T166</f>
        <v>UD. JOSUA</v>
      </c>
      <c r="U167" s="497" t="s">
        <v>538</v>
      </c>
      <c r="V167" s="914" t="str">
        <f>Data2025!V166</f>
        <v>Gestiwan Bazikho</v>
      </c>
      <c r="W167" s="914" t="str">
        <f>Data2025!X166</f>
        <v>Jl. Diponegoro Kel. Pasar Telukdalam - Nias Selatan</v>
      </c>
      <c r="X167" s="497" t="s">
        <v>541</v>
      </c>
      <c r="Y167" s="497" t="str">
        <f t="shared" si="8"/>
        <v>Alat Tulis Kantor (ATK)</v>
      </c>
      <c r="Z167" s="915" t="str">
        <f t="shared" si="9"/>
        <v>Alat Tulis Kantor (ATK)</v>
      </c>
      <c r="AA167" s="498" t="s">
        <v>3362</v>
      </c>
      <c r="AB167" s="499">
        <v>16500</v>
      </c>
      <c r="AC167" s="499">
        <v>165000</v>
      </c>
      <c r="AD167" s="496">
        <v>165000</v>
      </c>
      <c r="AE167" s="500">
        <v>148648.64864864864</v>
      </c>
      <c r="AF167" s="500">
        <v>165000</v>
      </c>
      <c r="AG167" s="916" t="s">
        <v>3883</v>
      </c>
      <c r="AH167" s="917" t="str">
        <f>Data2025!W166</f>
        <v>081375309828</v>
      </c>
    </row>
    <row r="168" spans="1:34" s="501" customFormat="1" ht="16.5" thickTop="1" thickBot="1">
      <c r="A168" s="901">
        <f>Data2025!G167</f>
        <v>45</v>
      </c>
      <c r="B168" s="902" t="str">
        <f>Data2025!K167</f>
        <v>BPU27</v>
      </c>
      <c r="C168" s="903" t="str">
        <f>Data2025!D167</f>
        <v>06. 05. 08.</v>
      </c>
      <c r="D168" s="904" t="str">
        <f>Data2025!C167</f>
        <v>5.1.02.01.01.0024</v>
      </c>
      <c r="E168" s="905">
        <f>Data2025!E167</f>
        <v>45687</v>
      </c>
      <c r="F168" s="906" t="str">
        <f>Data2025!F167</f>
        <v>01/02/2025</v>
      </c>
      <c r="G168" s="905" t="str">
        <f>Data2025!H167</f>
        <v>01/02/2025</v>
      </c>
      <c r="H168" s="905" t="str">
        <f t="shared" si="7"/>
        <v>01/02/2025</v>
      </c>
      <c r="I168" s="907" t="str">
        <f>Data2025!J167</f>
        <v>04/02/2025</v>
      </c>
      <c r="J168" s="908" t="str">
        <f>Data2025!L167</f>
        <v>Sampul Plastik</v>
      </c>
      <c r="K168" s="908" t="str">
        <f>Data2025!M167</f>
        <v>Sampul Plastik</v>
      </c>
      <c r="L168" s="909">
        <f>Data2025!N167</f>
        <v>5</v>
      </c>
      <c r="M168" s="909" t="str">
        <f>Data2025!O167</f>
        <v>bungkus</v>
      </c>
      <c r="N168" s="910">
        <f>Data2025!P167</f>
        <v>65000</v>
      </c>
      <c r="O168" s="911">
        <f>Data2025!Q167</f>
        <v>325000</v>
      </c>
      <c r="P168" s="912" t="s">
        <v>710</v>
      </c>
      <c r="Q168" s="913" t="str">
        <f>VLOOKUP(K168,Sheet1!$C$1:$D$101,2,)</f>
        <v>Sampul Plastik (Length 5.0Cm, Width 5.0Cm, Height 5.0Cm, Weight 5Gr)</v>
      </c>
      <c r="R168" s="496">
        <v>510000</v>
      </c>
      <c r="S168" s="504">
        <v>522000</v>
      </c>
      <c r="T168" s="914" t="str">
        <f>Data2025!T167</f>
        <v>UD. JOSUA</v>
      </c>
      <c r="U168" s="497" t="s">
        <v>538</v>
      </c>
      <c r="V168" s="914" t="str">
        <f>Data2025!V167</f>
        <v>Gestiwan Bazikho</v>
      </c>
      <c r="W168" s="914" t="str">
        <f>Data2025!X167</f>
        <v>Jl. Diponegoro Kel. Pasar Telukdalam - Nias Selatan</v>
      </c>
      <c r="X168" s="497" t="s">
        <v>541</v>
      </c>
      <c r="Y168" s="497" t="str">
        <f t="shared" si="8"/>
        <v>Alat Tulis Kantor (ATK)</v>
      </c>
      <c r="Z168" s="915" t="str">
        <f t="shared" si="9"/>
        <v>Alat Tulis Kantor (ATK)</v>
      </c>
      <c r="AA168" s="498" t="s">
        <v>3367</v>
      </c>
      <c r="AB168" s="499">
        <v>85000</v>
      </c>
      <c r="AC168" s="499">
        <v>510000</v>
      </c>
      <c r="AD168" s="496">
        <v>510000</v>
      </c>
      <c r="AE168" s="500">
        <v>459459.45945945947</v>
      </c>
      <c r="AF168" s="500">
        <v>510000</v>
      </c>
      <c r="AG168" s="916" t="s">
        <v>3883</v>
      </c>
      <c r="AH168" s="917" t="str">
        <f>Data2025!W167</f>
        <v>081375309828</v>
      </c>
    </row>
    <row r="169" spans="1:34" s="501" customFormat="1" ht="26" thickTop="1" thickBot="1">
      <c r="A169" s="901">
        <f>Data2025!G168</f>
        <v>45</v>
      </c>
      <c r="B169" s="902" t="str">
        <f>Data2025!K168</f>
        <v>BPU27</v>
      </c>
      <c r="C169" s="903" t="str">
        <f>Data2025!D168</f>
        <v>06. 05. 08.</v>
      </c>
      <c r="D169" s="904" t="str">
        <f>Data2025!C168</f>
        <v>5.1.02.01.01.0024</v>
      </c>
      <c r="E169" s="905">
        <f>Data2025!E168</f>
        <v>45687</v>
      </c>
      <c r="F169" s="906" t="str">
        <f>Data2025!F168</f>
        <v>01/02/2025</v>
      </c>
      <c r="G169" s="905" t="str">
        <f>Data2025!H168</f>
        <v>01/02/2025</v>
      </c>
      <c r="H169" s="905" t="str">
        <f t="shared" si="7"/>
        <v>01/02/2025</v>
      </c>
      <c r="I169" s="907" t="str">
        <f>Data2025!J168</f>
        <v>04/02/2025</v>
      </c>
      <c r="J169" s="908" t="str">
        <f>Data2025!L168</f>
        <v>Tinta Printer Canon 740 Hitam-740 Hitam</v>
      </c>
      <c r="K169" s="908" t="str">
        <f>Data2025!M168</f>
        <v>Tinta Printer Canon 740 Hitam-740 Hitam</v>
      </c>
      <c r="L169" s="909">
        <f>Data2025!N168</f>
        <v>8</v>
      </c>
      <c r="M169" s="909" t="str">
        <f>Data2025!O168</f>
        <v>botol</v>
      </c>
      <c r="N169" s="910">
        <f>Data2025!P168</f>
        <v>30000</v>
      </c>
      <c r="O169" s="911">
        <f>Data2025!Q168</f>
        <v>240000</v>
      </c>
      <c r="P169" s="912" t="s">
        <v>710</v>
      </c>
      <c r="Q169" s="913" t="str">
        <f>VLOOKUP(K169,Sheet1!$C$1:$D$101,2,)</f>
        <v>Tinta Printer Canon Aiflo Hitam (Length 5.0cm, Width 5.0cm, Height 5.0cm, Weight 5gr)</v>
      </c>
      <c r="R169" s="496">
        <v>180000</v>
      </c>
      <c r="S169" s="504">
        <v>184000</v>
      </c>
      <c r="T169" s="914" t="str">
        <f>Data2025!T168</f>
        <v>UD. JOSUA</v>
      </c>
      <c r="U169" s="497" t="s">
        <v>538</v>
      </c>
      <c r="V169" s="914" t="str">
        <f>Data2025!V168</f>
        <v>Gestiwan Bazikho</v>
      </c>
      <c r="W169" s="914" t="str">
        <f>Data2025!X168</f>
        <v>Jl. Diponegoro Kel. Pasar Telukdalam - Nias Selatan</v>
      </c>
      <c r="X169" s="497" t="s">
        <v>541</v>
      </c>
      <c r="Y169" s="497" t="str">
        <f t="shared" si="8"/>
        <v>Alat Tulis Kantor (ATK)</v>
      </c>
      <c r="Z169" s="915" t="str">
        <f t="shared" si="9"/>
        <v>Alat Tulis Kantor (ATK)</v>
      </c>
      <c r="AA169" s="498" t="s">
        <v>3369</v>
      </c>
      <c r="AB169" s="499">
        <v>90000</v>
      </c>
      <c r="AC169" s="499">
        <v>180000</v>
      </c>
      <c r="AD169" s="496">
        <v>180000</v>
      </c>
      <c r="AE169" s="500">
        <v>162162.16216216216</v>
      </c>
      <c r="AF169" s="500">
        <v>180000</v>
      </c>
      <c r="AG169" s="916" t="s">
        <v>3883</v>
      </c>
      <c r="AH169" s="917" t="str">
        <f>Data2025!W168</f>
        <v>081375309828</v>
      </c>
    </row>
    <row r="170" spans="1:34" s="501" customFormat="1" ht="26" thickTop="1" thickBot="1">
      <c r="A170" s="901">
        <f>Data2025!G169</f>
        <v>45</v>
      </c>
      <c r="B170" s="902" t="str">
        <f>Data2025!K169</f>
        <v>BPU27</v>
      </c>
      <c r="C170" s="903" t="str">
        <f>Data2025!D169</f>
        <v>06. 05. 08.</v>
      </c>
      <c r="D170" s="904" t="str">
        <f>Data2025!C169</f>
        <v>5.1.02.01.01.0024</v>
      </c>
      <c r="E170" s="905">
        <f>Data2025!E169</f>
        <v>45687</v>
      </c>
      <c r="F170" s="906" t="str">
        <f>Data2025!F169</f>
        <v>01/02/2025</v>
      </c>
      <c r="G170" s="905" t="str">
        <f>Data2025!H169</f>
        <v>01/02/2025</v>
      </c>
      <c r="H170" s="905" t="str">
        <f t="shared" si="7"/>
        <v>01/02/2025</v>
      </c>
      <c r="I170" s="907" t="str">
        <f>Data2025!J169</f>
        <v>04/02/2025</v>
      </c>
      <c r="J170" s="908" t="str">
        <f>Data2025!L169</f>
        <v>Tinta Printer Canon 741 Warna-741 Warna</v>
      </c>
      <c r="K170" s="908" t="str">
        <f>Data2025!M169</f>
        <v>Tinta Printer Canon 741 Warna-741 Warna</v>
      </c>
      <c r="L170" s="909">
        <f>Data2025!N169</f>
        <v>12</v>
      </c>
      <c r="M170" s="909" t="str">
        <f>Data2025!O169</f>
        <v>botol</v>
      </c>
      <c r="N170" s="910">
        <f>Data2025!P169</f>
        <v>33000</v>
      </c>
      <c r="O170" s="911">
        <f>Data2025!Q169</f>
        <v>396000</v>
      </c>
      <c r="P170" s="912" t="s">
        <v>710</v>
      </c>
      <c r="Q170" s="913" t="str">
        <f>VLOOKUP(K170,Sheet1!$C$1:$D$101,2,)</f>
        <v>Tinta Printer Canon Aiflo Warna (Length 5.0cm, Width 5.0cm, Height 5.0cm, Weight 5gr)</v>
      </c>
      <c r="R170" s="496">
        <v>325000</v>
      </c>
      <c r="S170" s="504">
        <v>335000</v>
      </c>
      <c r="T170" s="914" t="str">
        <f>Data2025!T169</f>
        <v>UD. JOSUA</v>
      </c>
      <c r="U170" s="497" t="s">
        <v>538</v>
      </c>
      <c r="V170" s="914" t="str">
        <f>Data2025!V169</f>
        <v>Gestiwan Bazikho</v>
      </c>
      <c r="W170" s="914" t="str">
        <f>Data2025!X169</f>
        <v>Jl. Diponegoro Kel. Pasar Telukdalam - Nias Selatan</v>
      </c>
      <c r="X170" s="497" t="s">
        <v>541</v>
      </c>
      <c r="Y170" s="497" t="str">
        <f t="shared" si="8"/>
        <v>Alat Tulis Kantor (ATK)</v>
      </c>
      <c r="Z170" s="915" t="str">
        <f t="shared" si="9"/>
        <v>Alat Tulis Kantor (ATK)</v>
      </c>
      <c r="AA170" s="498" t="s">
        <v>3365</v>
      </c>
      <c r="AB170" s="499">
        <v>65000</v>
      </c>
      <c r="AC170" s="499">
        <v>325000</v>
      </c>
      <c r="AD170" s="496">
        <v>325000</v>
      </c>
      <c r="AE170" s="500">
        <v>292792.79279279278</v>
      </c>
      <c r="AF170" s="500">
        <v>325000</v>
      </c>
      <c r="AG170" s="916" t="s">
        <v>3883</v>
      </c>
      <c r="AH170" s="917" t="str">
        <f>Data2025!W169</f>
        <v>081375309828</v>
      </c>
    </row>
    <row r="171" spans="1:34" s="501" customFormat="1" ht="26" thickTop="1" thickBot="1">
      <c r="A171" s="901">
        <f>Data2025!G170</f>
        <v>45</v>
      </c>
      <c r="B171" s="902" t="str">
        <f>Data2025!K170</f>
        <v>BPU27</v>
      </c>
      <c r="C171" s="903" t="str">
        <f>Data2025!D170</f>
        <v>06. 05. 08.</v>
      </c>
      <c r="D171" s="904" t="str">
        <f>Data2025!C170</f>
        <v>5.1.02.01.01.0024</v>
      </c>
      <c r="E171" s="905">
        <f>Data2025!E170</f>
        <v>45687</v>
      </c>
      <c r="F171" s="906" t="str">
        <f>Data2025!F170</f>
        <v>01/02/2025</v>
      </c>
      <c r="G171" s="905" t="str">
        <f>Data2025!H170</f>
        <v>01/02/2025</v>
      </c>
      <c r="H171" s="905" t="str">
        <f t="shared" si="7"/>
        <v>01/02/2025</v>
      </c>
      <c r="I171" s="907" t="str">
        <f>Data2025!J170</f>
        <v>04/02/2025</v>
      </c>
      <c r="J171" s="908" t="str">
        <f>Data2025!L170</f>
        <v>C. Tinta Printer EPSON Toner Epson 664 Black</v>
      </c>
      <c r="K171" s="908" t="str">
        <f>Data2025!M170</f>
        <v>C. Tinta Printer EPSON Toner Epson 664 Black</v>
      </c>
      <c r="L171" s="909">
        <f>Data2025!N170</f>
        <v>6</v>
      </c>
      <c r="M171" s="909" t="str">
        <f>Data2025!O170</f>
        <v>botol</v>
      </c>
      <c r="N171" s="910">
        <f>Data2025!P170</f>
        <v>85000</v>
      </c>
      <c r="O171" s="911">
        <f>Data2025!Q170</f>
        <v>510000</v>
      </c>
      <c r="P171" s="912" t="s">
        <v>710</v>
      </c>
      <c r="Q171" s="913" t="str">
        <f>VLOOKUP(K171,Sheet1!$C$1:$D$101,2,)</f>
        <v>Tinta Printer Epson 664 Hitam (Length 5.0Cm, Width 5.0Cm, Height 5.0Cm, Weight 5Gr)</v>
      </c>
      <c r="R171" s="496">
        <v>239200</v>
      </c>
      <c r="S171" s="504">
        <v>247200</v>
      </c>
      <c r="T171" s="914" t="str">
        <f>Data2025!T170</f>
        <v>UD. JOSUA</v>
      </c>
      <c r="U171" s="497" t="s">
        <v>538</v>
      </c>
      <c r="V171" s="914" t="str">
        <f>Data2025!V170</f>
        <v>Gestiwan Bazikho</v>
      </c>
      <c r="W171" s="914" t="str">
        <f>Data2025!X170</f>
        <v>Jl. Diponegoro Kel. Pasar Telukdalam - Nias Selatan</v>
      </c>
      <c r="X171" s="497" t="s">
        <v>541</v>
      </c>
      <c r="Y171" s="497" t="str">
        <f t="shared" si="8"/>
        <v>Alat Tulis Kantor (ATK)</v>
      </c>
      <c r="Z171" s="915" t="str">
        <f t="shared" si="9"/>
        <v>Alat Tulis Kantor (ATK)</v>
      </c>
      <c r="AA171" s="498" t="s">
        <v>3363</v>
      </c>
      <c r="AB171" s="499">
        <v>59800</v>
      </c>
      <c r="AC171" s="499">
        <v>239200</v>
      </c>
      <c r="AD171" s="496">
        <v>239200</v>
      </c>
      <c r="AE171" s="500">
        <v>215495.4954954955</v>
      </c>
      <c r="AF171" s="500">
        <v>239200</v>
      </c>
      <c r="AG171" s="916" t="s">
        <v>3883</v>
      </c>
      <c r="AH171" s="917" t="str">
        <f>Data2025!W170</f>
        <v>081375309828</v>
      </c>
    </row>
    <row r="172" spans="1:34" s="501" customFormat="1" ht="26" thickTop="1" thickBot="1">
      <c r="A172" s="901">
        <f>Data2025!G171</f>
        <v>45</v>
      </c>
      <c r="B172" s="902" t="str">
        <f>Data2025!K171</f>
        <v>BPU27</v>
      </c>
      <c r="C172" s="903" t="str">
        <f>Data2025!D171</f>
        <v>06. 05. 08.</v>
      </c>
      <c r="D172" s="904" t="str">
        <f>Data2025!C171</f>
        <v>5.1.02.01.01.0024</v>
      </c>
      <c r="E172" s="905">
        <f>Data2025!E171</f>
        <v>45687</v>
      </c>
      <c r="F172" s="906" t="str">
        <f>Data2025!F171</f>
        <v>01/02/2025</v>
      </c>
      <c r="G172" s="905" t="str">
        <f>Data2025!H171</f>
        <v>01/02/2025</v>
      </c>
      <c r="H172" s="905" t="str">
        <f t="shared" si="7"/>
        <v>01/02/2025</v>
      </c>
      <c r="I172" s="907" t="str">
        <f>Data2025!J171</f>
        <v>04/02/2025</v>
      </c>
      <c r="J172" s="908" t="str">
        <f>Data2025!L171</f>
        <v>C. Tinta Printer EPSON Tinta Printer Epson Yellow</v>
      </c>
      <c r="K172" s="908" t="str">
        <f>Data2025!M171</f>
        <v>C. Tinta Printer EPSON Tinta Printer Epson Yellow</v>
      </c>
      <c r="L172" s="909">
        <f>Data2025!N171</f>
        <v>4</v>
      </c>
      <c r="M172" s="909" t="str">
        <f>Data2025!O171</f>
        <v>botol</v>
      </c>
      <c r="N172" s="910">
        <f>Data2025!P171</f>
        <v>110000</v>
      </c>
      <c r="O172" s="911">
        <f>Data2025!Q171</f>
        <v>440000</v>
      </c>
      <c r="P172" s="912" t="s">
        <v>710</v>
      </c>
      <c r="Q172" s="913" t="str">
        <f>VLOOKUP(K172,Sheet1!$C$1:$D$101,2,)</f>
        <v>Tinta Printer Epson 664 Kuning (Length 5.0Cm, Width 5.0Cm, Height 5.0Cm, Weight 5Gr)</v>
      </c>
      <c r="R172" s="496">
        <v>60000</v>
      </c>
      <c r="S172" s="504">
        <v>66000</v>
      </c>
      <c r="T172" s="914" t="str">
        <f>Data2025!T171</f>
        <v>UD. JOSUA</v>
      </c>
      <c r="U172" s="497" t="s">
        <v>538</v>
      </c>
      <c r="V172" s="914" t="str">
        <f>Data2025!V171</f>
        <v>Gestiwan Bazikho</v>
      </c>
      <c r="W172" s="914" t="str">
        <f>Data2025!X171</f>
        <v>Jl. Diponegoro Kel. Pasar Telukdalam - Nias Selatan</v>
      </c>
      <c r="X172" s="497" t="s">
        <v>541</v>
      </c>
      <c r="Y172" s="497" t="str">
        <f t="shared" si="8"/>
        <v>Alat Tulis Kantor (ATK)</v>
      </c>
      <c r="Z172" s="915" t="str">
        <f t="shared" si="9"/>
        <v>Alat Tulis Kantor (ATK)</v>
      </c>
      <c r="AA172" s="498" t="s">
        <v>3363</v>
      </c>
      <c r="AB172" s="499">
        <v>20000</v>
      </c>
      <c r="AC172" s="499">
        <v>60000</v>
      </c>
      <c r="AD172" s="496">
        <v>60000</v>
      </c>
      <c r="AE172" s="500">
        <v>54054.054054054053</v>
      </c>
      <c r="AF172" s="500">
        <v>60000</v>
      </c>
      <c r="AG172" s="916" t="s">
        <v>3883</v>
      </c>
      <c r="AH172" s="917" t="str">
        <f>Data2025!W171</f>
        <v>081375309828</v>
      </c>
    </row>
    <row r="173" spans="1:34" s="501" customFormat="1" ht="26" thickTop="1" thickBot="1">
      <c r="A173" s="901">
        <f>Data2025!G172</f>
        <v>45</v>
      </c>
      <c r="B173" s="902" t="str">
        <f>Data2025!K172</f>
        <v>BPU27</v>
      </c>
      <c r="C173" s="903" t="str">
        <f>Data2025!D172</f>
        <v>06. 05. 08.</v>
      </c>
      <c r="D173" s="904" t="str">
        <f>Data2025!C172</f>
        <v>5.1.02.01.01.0024</v>
      </c>
      <c r="E173" s="905">
        <f>Data2025!E172</f>
        <v>45687</v>
      </c>
      <c r="F173" s="906" t="str">
        <f>Data2025!F172</f>
        <v>01/02/2025</v>
      </c>
      <c r="G173" s="905" t="str">
        <f>Data2025!H172</f>
        <v>01/02/2025</v>
      </c>
      <c r="H173" s="905" t="str">
        <f t="shared" si="7"/>
        <v>01/02/2025</v>
      </c>
      <c r="I173" s="907" t="str">
        <f>Data2025!J172</f>
        <v>04/02/2025</v>
      </c>
      <c r="J173" s="908" t="str">
        <f>Data2025!L172</f>
        <v>C. Tinta Printer EPSON Tinta Printer Epson Blue</v>
      </c>
      <c r="K173" s="908" t="str">
        <f>Data2025!M172</f>
        <v>C. Tinta Printer EPSON Tinta Printer Epson Blue</v>
      </c>
      <c r="L173" s="909">
        <f>Data2025!N172</f>
        <v>4</v>
      </c>
      <c r="M173" s="909" t="str">
        <f>Data2025!O172</f>
        <v>botol</v>
      </c>
      <c r="N173" s="910">
        <f>Data2025!P172</f>
        <v>110000</v>
      </c>
      <c r="O173" s="911">
        <f>Data2025!Q172</f>
        <v>440000</v>
      </c>
      <c r="P173" s="912" t="s">
        <v>710</v>
      </c>
      <c r="Q173" s="913" t="str">
        <f>VLOOKUP(K173,Sheet1!$C$1:$D$101,2,)</f>
        <v>Tinta Printer Epson 664 Biru (Length 5.0Cm, Width 5.0Cm, Height 5.0Cm, Weight 5Gr)</v>
      </c>
      <c r="R173" s="496">
        <v>40000</v>
      </c>
      <c r="S173" s="504">
        <v>44000</v>
      </c>
      <c r="T173" s="914" t="str">
        <f>Data2025!T172</f>
        <v>UD. JOSUA</v>
      </c>
      <c r="U173" s="497" t="s">
        <v>538</v>
      </c>
      <c r="V173" s="914" t="str">
        <f>Data2025!V172</f>
        <v>Gestiwan Bazikho</v>
      </c>
      <c r="W173" s="914" t="str">
        <f>Data2025!X172</f>
        <v>Jl. Diponegoro Kel. Pasar Telukdalam - Nias Selatan</v>
      </c>
      <c r="X173" s="497" t="s">
        <v>541</v>
      </c>
      <c r="Y173" s="497" t="str">
        <f t="shared" si="8"/>
        <v>Alat Tulis Kantor (ATK)</v>
      </c>
      <c r="Z173" s="915" t="str">
        <f t="shared" si="9"/>
        <v>Alat Tulis Kantor (ATK)</v>
      </c>
      <c r="AA173" s="498" t="s">
        <v>3363</v>
      </c>
      <c r="AB173" s="499">
        <v>20000</v>
      </c>
      <c r="AC173" s="499">
        <v>40000</v>
      </c>
      <c r="AD173" s="496">
        <v>40000</v>
      </c>
      <c r="AE173" s="500">
        <v>36036.036036036036</v>
      </c>
      <c r="AF173" s="500">
        <v>40000</v>
      </c>
      <c r="AG173" s="916" t="s">
        <v>3883</v>
      </c>
      <c r="AH173" s="917" t="str">
        <f>Data2025!W172</f>
        <v>081375309828</v>
      </c>
    </row>
    <row r="174" spans="1:34" s="501" customFormat="1" ht="26" thickTop="1" thickBot="1">
      <c r="A174" s="901">
        <f>Data2025!G173</f>
        <v>45</v>
      </c>
      <c r="B174" s="902" t="str">
        <f>Data2025!K173</f>
        <v>BPU27</v>
      </c>
      <c r="C174" s="903" t="str">
        <f>Data2025!D173</f>
        <v>06. 05. 08.</v>
      </c>
      <c r="D174" s="904" t="str">
        <f>Data2025!C173</f>
        <v>5.1.02.01.01.0024</v>
      </c>
      <c r="E174" s="905">
        <f>Data2025!E173</f>
        <v>45687</v>
      </c>
      <c r="F174" s="906" t="str">
        <f>Data2025!F173</f>
        <v>01/02/2025</v>
      </c>
      <c r="G174" s="905" t="str">
        <f>Data2025!H173</f>
        <v>01/02/2025</v>
      </c>
      <c r="H174" s="905" t="str">
        <f t="shared" si="7"/>
        <v>01/02/2025</v>
      </c>
      <c r="I174" s="907" t="str">
        <f>Data2025!J173</f>
        <v>04/02/2025</v>
      </c>
      <c r="J174" s="908" t="str">
        <f>Data2025!L173</f>
        <v>C. Tinta Printer EPSON Tinta Printer Epson Read</v>
      </c>
      <c r="K174" s="908" t="str">
        <f>Data2025!M173</f>
        <v>C. Tinta Printer EPSON Tinta Printer Epson Read</v>
      </c>
      <c r="L174" s="909">
        <f>Data2025!N173</f>
        <v>4</v>
      </c>
      <c r="M174" s="909" t="str">
        <f>Data2025!O173</f>
        <v>botol</v>
      </c>
      <c r="N174" s="910">
        <f>Data2025!P173</f>
        <v>110000</v>
      </c>
      <c r="O174" s="911">
        <f>Data2025!Q173</f>
        <v>440000</v>
      </c>
      <c r="P174" s="912" t="s">
        <v>710</v>
      </c>
      <c r="Q174" s="913" t="str">
        <f>VLOOKUP(K174,Sheet1!$C$1:$D$101,2,)</f>
        <v>Tinta Printer Epson 664 Merah (Length 5.0Cm, Width 5.0Cm, Height 5.0Cm, Weight 5Gr)</v>
      </c>
      <c r="R174" s="496">
        <v>40000</v>
      </c>
      <c r="S174" s="504">
        <v>44000</v>
      </c>
      <c r="T174" s="914" t="str">
        <f>Data2025!T173</f>
        <v>UD. JOSUA</v>
      </c>
      <c r="U174" s="497" t="s">
        <v>538</v>
      </c>
      <c r="V174" s="914" t="str">
        <f>Data2025!V173</f>
        <v>Gestiwan Bazikho</v>
      </c>
      <c r="W174" s="914" t="str">
        <f>Data2025!X173</f>
        <v>Jl. Diponegoro Kel. Pasar Telukdalam - Nias Selatan</v>
      </c>
      <c r="X174" s="497" t="s">
        <v>541</v>
      </c>
      <c r="Y174" s="497" t="str">
        <f t="shared" si="8"/>
        <v>Alat Tulis Kantor (ATK)</v>
      </c>
      <c r="Z174" s="915" t="str">
        <f t="shared" si="9"/>
        <v>Alat Tulis Kantor (ATK)</v>
      </c>
      <c r="AA174" s="498" t="s">
        <v>3364</v>
      </c>
      <c r="AB174" s="499">
        <v>20000</v>
      </c>
      <c r="AC174" s="499">
        <v>40000</v>
      </c>
      <c r="AD174" s="496">
        <v>40000</v>
      </c>
      <c r="AE174" s="500">
        <v>36036.036036036036</v>
      </c>
      <c r="AF174" s="500">
        <v>40000</v>
      </c>
      <c r="AG174" s="916" t="s">
        <v>3883</v>
      </c>
      <c r="AH174" s="917" t="str">
        <f>Data2025!W173</f>
        <v>081375309828</v>
      </c>
    </row>
    <row r="175" spans="1:34" s="501" customFormat="1" ht="16.5" thickTop="1" thickBot="1">
      <c r="A175" s="901">
        <f>Data2025!G174</f>
        <v>45</v>
      </c>
      <c r="B175" s="902" t="str">
        <f>Data2025!K174</f>
        <v>BPU27</v>
      </c>
      <c r="C175" s="903" t="str">
        <f>Data2025!D174</f>
        <v>06. 05. 08.</v>
      </c>
      <c r="D175" s="904" t="str">
        <f>Data2025!C174</f>
        <v>5.1.02.01.01.0024</v>
      </c>
      <c r="E175" s="905">
        <f>Data2025!E174</f>
        <v>45687</v>
      </c>
      <c r="F175" s="906" t="str">
        <f>Data2025!F174</f>
        <v>01/02/2025</v>
      </c>
      <c r="G175" s="905" t="str">
        <f>Data2025!H174</f>
        <v>01/02/2025</v>
      </c>
      <c r="H175" s="905" t="str">
        <f t="shared" si="7"/>
        <v>01/02/2025</v>
      </c>
      <c r="I175" s="907" t="str">
        <f>Data2025!J174</f>
        <v>04/02/2025</v>
      </c>
      <c r="J175" s="908" t="str">
        <f>Data2025!L174</f>
        <v>Lakban Besar</v>
      </c>
      <c r="K175" s="908" t="str">
        <f>Data2025!M174</f>
        <v>Lakban Besar</v>
      </c>
      <c r="L175" s="909">
        <f>Data2025!N174</f>
        <v>5</v>
      </c>
      <c r="M175" s="909" t="str">
        <f>Data2025!O174</f>
        <v>buah</v>
      </c>
      <c r="N175" s="910">
        <f>Data2025!P174</f>
        <v>25000</v>
      </c>
      <c r="O175" s="911">
        <f>Data2025!Q174</f>
        <v>125000</v>
      </c>
      <c r="P175" s="912" t="s">
        <v>710</v>
      </c>
      <c r="Q175" s="913" t="str">
        <f>VLOOKUP(K175,Sheet1!$C$1:$D$101,2,)</f>
        <v>Lakban Hitam Besar (Brand : Daimaru • Ukuran : 48 mm x 109 Yard)</v>
      </c>
      <c r="R175" s="496">
        <v>440000</v>
      </c>
      <c r="S175" s="504">
        <v>448000</v>
      </c>
      <c r="T175" s="914" t="str">
        <f>Data2025!T174</f>
        <v>UD. JOSUA</v>
      </c>
      <c r="U175" s="497" t="s">
        <v>538</v>
      </c>
      <c r="V175" s="914" t="str">
        <f>Data2025!V174</f>
        <v>Gestiwan Bazikho</v>
      </c>
      <c r="W175" s="914" t="str">
        <f>Data2025!X174</f>
        <v>Jl. Diponegoro Kel. Pasar Telukdalam - Nias Selatan</v>
      </c>
      <c r="X175" s="497" t="s">
        <v>541</v>
      </c>
      <c r="Y175" s="497" t="str">
        <f t="shared" si="8"/>
        <v>Alat Tulis Kantor (ATK)</v>
      </c>
      <c r="Z175" s="915" t="str">
        <f t="shared" si="9"/>
        <v>Alat Tulis Kantor (ATK)</v>
      </c>
      <c r="AA175" s="498" t="s">
        <v>3367</v>
      </c>
      <c r="AB175" s="499">
        <v>110000</v>
      </c>
      <c r="AC175" s="499">
        <v>440000</v>
      </c>
      <c r="AD175" s="496">
        <v>440000</v>
      </c>
      <c r="AE175" s="500">
        <v>396396.39639639639</v>
      </c>
      <c r="AF175" s="500">
        <v>440000</v>
      </c>
      <c r="AG175" s="916" t="s">
        <v>3883</v>
      </c>
      <c r="AH175" s="917" t="str">
        <f>Data2025!W174</f>
        <v>081375309828</v>
      </c>
    </row>
    <row r="176" spans="1:34" s="501" customFormat="1" ht="16.5" thickTop="1" thickBot="1">
      <c r="A176" s="901">
        <f>Data2025!G175</f>
        <v>45</v>
      </c>
      <c r="B176" s="902" t="str">
        <f>Data2025!K175</f>
        <v>BPU27</v>
      </c>
      <c r="C176" s="903" t="str">
        <f>Data2025!D175</f>
        <v>06. 05. 08.</v>
      </c>
      <c r="D176" s="904" t="str">
        <f>Data2025!C175</f>
        <v>5.1.02.01.01.0024</v>
      </c>
      <c r="E176" s="905">
        <f>Data2025!E175</f>
        <v>45687</v>
      </c>
      <c r="F176" s="906" t="str">
        <f>Data2025!F175</f>
        <v>01/02/2025</v>
      </c>
      <c r="G176" s="905" t="str">
        <f>Data2025!H175</f>
        <v>01/02/2025</v>
      </c>
      <c r="H176" s="905" t="str">
        <f t="shared" si="7"/>
        <v>01/02/2025</v>
      </c>
      <c r="I176" s="907" t="str">
        <f>Data2025!J175</f>
        <v>04/02/2025</v>
      </c>
      <c r="J176" s="908" t="str">
        <f>Data2025!L175</f>
        <v>Lakban Bening Sedang</v>
      </c>
      <c r="K176" s="908" t="str">
        <f>Data2025!M175</f>
        <v>Lakban Bening Sedang</v>
      </c>
      <c r="L176" s="909">
        <f>Data2025!N175</f>
        <v>5</v>
      </c>
      <c r="M176" s="909" t="str">
        <f>Data2025!O175</f>
        <v>buah</v>
      </c>
      <c r="N176" s="910">
        <f>Data2025!P175</f>
        <v>15000</v>
      </c>
      <c r="O176" s="911">
        <f>Data2025!Q175</f>
        <v>75000</v>
      </c>
      <c r="P176" s="912" t="s">
        <v>710</v>
      </c>
      <c r="Q176" s="913" t="str">
        <f>VLOOKUP(K176,Sheet1!$C$1:$D$101,2,)</f>
        <v>Lakban 45 MM x 50 Meter daimaru / 2 Inch x 50 M</v>
      </c>
      <c r="R176" s="496">
        <v>87500</v>
      </c>
      <c r="S176" s="504">
        <v>89500</v>
      </c>
      <c r="T176" s="914" t="str">
        <f>Data2025!T175</f>
        <v>UD. JOSUA</v>
      </c>
      <c r="U176" s="497" t="s">
        <v>538</v>
      </c>
      <c r="V176" s="914" t="str">
        <f>Data2025!V175</f>
        <v>Gestiwan Bazikho</v>
      </c>
      <c r="W176" s="914" t="str">
        <f>Data2025!X175</f>
        <v>Jl. Diponegoro Kel. Pasar Telukdalam - Nias Selatan</v>
      </c>
      <c r="X176" s="497" t="s">
        <v>541</v>
      </c>
      <c r="Y176" s="497" t="str">
        <f t="shared" si="8"/>
        <v>Alat Tulis Kantor (ATK)</v>
      </c>
      <c r="Z176" s="915" t="str">
        <f t="shared" si="9"/>
        <v>Alat Tulis Kantor (ATK)</v>
      </c>
      <c r="AA176" s="498" t="s">
        <v>3370</v>
      </c>
      <c r="AB176" s="499">
        <v>87500</v>
      </c>
      <c r="AC176" s="499">
        <v>87500</v>
      </c>
      <c r="AD176" s="496">
        <v>87500</v>
      </c>
      <c r="AE176" s="500">
        <v>78828.828828828831</v>
      </c>
      <c r="AF176" s="500">
        <v>87500</v>
      </c>
      <c r="AG176" s="916" t="s">
        <v>3883</v>
      </c>
      <c r="AH176" s="917" t="str">
        <f>Data2025!W175</f>
        <v>081375309828</v>
      </c>
    </row>
    <row r="177" spans="1:36" s="501" customFormat="1" ht="16.5" thickTop="1" thickBot="1">
      <c r="A177" s="901">
        <f>Data2025!G176</f>
        <v>45</v>
      </c>
      <c r="B177" s="902" t="str">
        <f>Data2025!K176</f>
        <v>BPU27</v>
      </c>
      <c r="C177" s="903" t="str">
        <f>Data2025!D176</f>
        <v>06. 05. 08.</v>
      </c>
      <c r="D177" s="904" t="str">
        <f>Data2025!C176</f>
        <v>5.1.02.01.01.0024</v>
      </c>
      <c r="E177" s="905">
        <f>Data2025!E176</f>
        <v>45687</v>
      </c>
      <c r="F177" s="906" t="str">
        <f>Data2025!F176</f>
        <v>01/02/2025</v>
      </c>
      <c r="G177" s="905" t="str">
        <f>Data2025!H176</f>
        <v>01/02/2025</v>
      </c>
      <c r="H177" s="905" t="str">
        <f t="shared" si="7"/>
        <v>01/02/2025</v>
      </c>
      <c r="I177" s="907" t="str">
        <f>Data2025!J176</f>
        <v>04/02/2025</v>
      </c>
      <c r="J177" s="908" t="str">
        <f>Data2025!L176</f>
        <v>Lakban Bening</v>
      </c>
      <c r="K177" s="908" t="str">
        <f>Data2025!M176</f>
        <v>Lakban Bening</v>
      </c>
      <c r="L177" s="909">
        <f>Data2025!N176</f>
        <v>5</v>
      </c>
      <c r="M177" s="909" t="str">
        <f>Data2025!O176</f>
        <v>buah</v>
      </c>
      <c r="N177" s="910">
        <f>Data2025!P176</f>
        <v>10000</v>
      </c>
      <c r="O177" s="911">
        <f>Data2025!Q176</f>
        <v>50000</v>
      </c>
      <c r="P177" s="912" t="s">
        <v>710</v>
      </c>
      <c r="Q177" s="913" t="str">
        <f>VLOOKUP(K177,Sheet1!$C$1:$D$101,2,)</f>
        <v>Isolasi Bening Sedang Mpi Solatip 24 X 72 Yard 1 Inc</v>
      </c>
      <c r="R177" s="496">
        <v>50000</v>
      </c>
      <c r="S177" s="504">
        <v>58000</v>
      </c>
      <c r="T177" s="914" t="str">
        <f>Data2025!T176</f>
        <v>UD. JOSUA</v>
      </c>
      <c r="U177" s="497" t="s">
        <v>538</v>
      </c>
      <c r="V177" s="914" t="str">
        <f>Data2025!V176</f>
        <v>Gestiwan Bazikho</v>
      </c>
      <c r="W177" s="914" t="str">
        <f>Data2025!X176</f>
        <v>Jl. Diponegoro Kel. Pasar Telukdalam - Nias Selatan</v>
      </c>
      <c r="X177" s="497" t="s">
        <v>541</v>
      </c>
      <c r="Y177" s="497" t="str">
        <f t="shared" si="8"/>
        <v>Alat Tulis Kantor (ATK)</v>
      </c>
      <c r="Z177" s="915" t="str">
        <f t="shared" si="9"/>
        <v>Alat Tulis Kantor (ATK)</v>
      </c>
      <c r="AA177" s="498" t="s">
        <v>3363</v>
      </c>
      <c r="AB177" s="499">
        <v>12500</v>
      </c>
      <c r="AC177" s="499">
        <v>50000</v>
      </c>
      <c r="AD177" s="496">
        <v>50000</v>
      </c>
      <c r="AE177" s="500">
        <v>45045.045045045044</v>
      </c>
      <c r="AF177" s="500">
        <v>50000</v>
      </c>
      <c r="AG177" s="916" t="s">
        <v>3883</v>
      </c>
      <c r="AH177" s="917" t="str">
        <f>Data2025!W176</f>
        <v>081375309828</v>
      </c>
    </row>
    <row r="178" spans="1:36" s="501" customFormat="1" ht="16.5" thickTop="1" thickBot="1">
      <c r="A178" s="901">
        <f>Data2025!G177</f>
        <v>45</v>
      </c>
      <c r="B178" s="902" t="str">
        <f>Data2025!K177</f>
        <v>BPU27</v>
      </c>
      <c r="C178" s="903" t="str">
        <f>Data2025!D177</f>
        <v>06. 05. 08.</v>
      </c>
      <c r="D178" s="904" t="str">
        <f>Data2025!C177</f>
        <v>5.1.02.01.01.0024</v>
      </c>
      <c r="E178" s="905">
        <f>Data2025!E177</f>
        <v>45687</v>
      </c>
      <c r="F178" s="906" t="str">
        <f>Data2025!F177</f>
        <v>01/02/2025</v>
      </c>
      <c r="G178" s="905" t="str">
        <f>Data2025!H177</f>
        <v>01/02/2025</v>
      </c>
      <c r="H178" s="905" t="str">
        <f t="shared" si="7"/>
        <v>01/02/2025</v>
      </c>
      <c r="I178" s="907" t="str">
        <f>Data2025!J177</f>
        <v>04/02/2025</v>
      </c>
      <c r="J178" s="908" t="str">
        <f>Data2025!L177</f>
        <v>Lakban Hitam--</v>
      </c>
      <c r="K178" s="908" t="str">
        <f>Data2025!M177</f>
        <v>Lakban Hitam--</v>
      </c>
      <c r="L178" s="909">
        <f>Data2025!N177</f>
        <v>5</v>
      </c>
      <c r="M178" s="909" t="str">
        <f>Data2025!O177</f>
        <v>buah</v>
      </c>
      <c r="N178" s="910">
        <f>Data2025!P177</f>
        <v>15000</v>
      </c>
      <c r="O178" s="911">
        <f>Data2025!Q177</f>
        <v>75000</v>
      </c>
      <c r="P178" s="912" t="s">
        <v>710</v>
      </c>
      <c r="Q178" s="913" t="str">
        <f>VLOOKUP(K178,Sheet1!$C$1:$D$101,2,)</f>
        <v>Lakban Hitam (Length 5.0Cm, Width 5.0Cm, Height 5.0Cm, Weight 5Gr)</v>
      </c>
      <c r="R178" s="496">
        <v>125000</v>
      </c>
      <c r="S178" s="504">
        <v>135000</v>
      </c>
      <c r="T178" s="914" t="str">
        <f>Data2025!T177</f>
        <v>UD. JOSUA</v>
      </c>
      <c r="U178" s="497" t="s">
        <v>538</v>
      </c>
      <c r="V178" s="914" t="str">
        <f>Data2025!V177</f>
        <v>Gestiwan Bazikho</v>
      </c>
      <c r="W178" s="914" t="str">
        <f>Data2025!X177</f>
        <v>Jl. Diponegoro Kel. Pasar Telukdalam - Nias Selatan</v>
      </c>
      <c r="X178" s="497" t="s">
        <v>541</v>
      </c>
      <c r="Y178" s="497" t="str">
        <f t="shared" si="8"/>
        <v>Alat Tulis Kantor (ATK)</v>
      </c>
      <c r="Z178" s="915" t="str">
        <f t="shared" si="9"/>
        <v>Alat Tulis Kantor (ATK)</v>
      </c>
      <c r="AA178" s="498" t="s">
        <v>3363</v>
      </c>
      <c r="AB178" s="499">
        <v>25000</v>
      </c>
      <c r="AC178" s="499">
        <v>125000</v>
      </c>
      <c r="AD178" s="496">
        <v>125000</v>
      </c>
      <c r="AE178" s="500">
        <v>112612.61261261262</v>
      </c>
      <c r="AF178" s="500">
        <v>125000</v>
      </c>
      <c r="AG178" s="916" t="s">
        <v>3883</v>
      </c>
      <c r="AH178" s="917" t="str">
        <f>Data2025!W177</f>
        <v>081375309828</v>
      </c>
    </row>
    <row r="179" spans="1:36" s="501" customFormat="1" ht="26" thickTop="1" thickBot="1">
      <c r="A179" s="901">
        <f>Data2025!G178</f>
        <v>45</v>
      </c>
      <c r="B179" s="902" t="str">
        <f>Data2025!K178</f>
        <v>BPU27</v>
      </c>
      <c r="C179" s="903" t="str">
        <f>Data2025!D178</f>
        <v>06. 05. 08.</v>
      </c>
      <c r="D179" s="904" t="str">
        <f>Data2025!C178</f>
        <v>5.1.02.01.01.0024</v>
      </c>
      <c r="E179" s="905">
        <f>Data2025!E178</f>
        <v>45687</v>
      </c>
      <c r="F179" s="906" t="str">
        <f>Data2025!F178</f>
        <v>01/02/2025</v>
      </c>
      <c r="G179" s="905" t="str">
        <f>Data2025!H178</f>
        <v>01/02/2025</v>
      </c>
      <c r="H179" s="905" t="str">
        <f t="shared" si="7"/>
        <v>01/02/2025</v>
      </c>
      <c r="I179" s="907" t="str">
        <f>Data2025!J178</f>
        <v>04/02/2025</v>
      </c>
      <c r="J179" s="908" t="str">
        <f>Data2025!L178</f>
        <v>lakban hitam-ukuran : lebar 2 inch, panjang 12m, bahan : kain</v>
      </c>
      <c r="K179" s="908" t="str">
        <f>Data2025!M178</f>
        <v>lakban hitam-ukuran : lebar 2 inch, panjang 12m, bahan : kain</v>
      </c>
      <c r="L179" s="909">
        <f>Data2025!N178</f>
        <v>4</v>
      </c>
      <c r="M179" s="909" t="str">
        <f>Data2025!O178</f>
        <v>buah</v>
      </c>
      <c r="N179" s="910">
        <f>Data2025!P178</f>
        <v>12500</v>
      </c>
      <c r="O179" s="911">
        <f>Data2025!Q178</f>
        <v>50000</v>
      </c>
      <c r="P179" s="912" t="s">
        <v>710</v>
      </c>
      <c r="Q179" s="913" t="str">
        <f>VLOOKUP(K179,Sheet1!$C$1:$D$101,2,)</f>
        <v>Lakban Hitam Kecil (ukuran : lebar 2 inch, panjang 12m, bahan : kain)</v>
      </c>
      <c r="R179" s="496">
        <v>240000</v>
      </c>
      <c r="S179" s="504">
        <v>256000</v>
      </c>
      <c r="T179" s="914" t="str">
        <f>Data2025!T178</f>
        <v>UD. JOSUA</v>
      </c>
      <c r="U179" s="497" t="s">
        <v>538</v>
      </c>
      <c r="V179" s="914" t="str">
        <f>Data2025!V178</f>
        <v>Gestiwan Bazikho</v>
      </c>
      <c r="W179" s="914" t="str">
        <f>Data2025!X178</f>
        <v>Jl. Diponegoro Kel. Pasar Telukdalam - Nias Selatan</v>
      </c>
      <c r="X179" s="497" t="s">
        <v>541</v>
      </c>
      <c r="Y179" s="497" t="str">
        <f t="shared" si="8"/>
        <v>Alat Tulis Kantor (ATK)</v>
      </c>
      <c r="Z179" s="915" t="str">
        <f t="shared" si="9"/>
        <v>Alat Tulis Kantor (ATK)</v>
      </c>
      <c r="AA179" s="498" t="s">
        <v>3367</v>
      </c>
      <c r="AB179" s="499">
        <v>30000</v>
      </c>
      <c r="AC179" s="499">
        <v>240000</v>
      </c>
      <c r="AD179" s="496">
        <v>240000</v>
      </c>
      <c r="AE179" s="500">
        <v>216216.21621621621</v>
      </c>
      <c r="AF179" s="500">
        <v>240000</v>
      </c>
      <c r="AG179" s="916" t="s">
        <v>3883</v>
      </c>
      <c r="AH179" s="917" t="str">
        <f>Data2025!W178</f>
        <v>081375309828</v>
      </c>
      <c r="AI179" s="502"/>
      <c r="AJ179" s="502"/>
    </row>
    <row r="180" spans="1:36" s="501" customFormat="1" ht="26" thickTop="1" thickBot="1">
      <c r="A180" s="901">
        <f>Data2025!G179</f>
        <v>45</v>
      </c>
      <c r="B180" s="902" t="str">
        <f>Data2025!K179</f>
        <v>BPU27</v>
      </c>
      <c r="C180" s="903" t="str">
        <f>Data2025!D179</f>
        <v>06. 05. 08.</v>
      </c>
      <c r="D180" s="904" t="str">
        <f>Data2025!C179</f>
        <v>5.1.02.01.01.0024</v>
      </c>
      <c r="E180" s="905">
        <f>Data2025!E179</f>
        <v>45687</v>
      </c>
      <c r="F180" s="906" t="str">
        <f>Data2025!F179</f>
        <v>01/02/2025</v>
      </c>
      <c r="G180" s="905" t="str">
        <f>Data2025!H179</f>
        <v>01/02/2025</v>
      </c>
      <c r="H180" s="905" t="str">
        <f t="shared" si="7"/>
        <v>01/02/2025</v>
      </c>
      <c r="I180" s="907" t="str">
        <f>Data2025!J179</f>
        <v>04/02/2025</v>
      </c>
      <c r="J180" s="908" t="str">
        <f>Data2025!L179</f>
        <v>Lakban Hitam uk 2 " Warna hitam uk. 2 "</v>
      </c>
      <c r="K180" s="908" t="str">
        <f>Data2025!M179</f>
        <v>Lakban Hitam uk 2 " Warna hitam uk. 2 "</v>
      </c>
      <c r="L180" s="909">
        <f>Data2025!N179</f>
        <v>5</v>
      </c>
      <c r="M180" s="909" t="str">
        <f>Data2025!O179</f>
        <v>buah</v>
      </c>
      <c r="N180" s="910">
        <f>Data2025!P179</f>
        <v>25000</v>
      </c>
      <c r="O180" s="911">
        <f>Data2025!Q179</f>
        <v>125000</v>
      </c>
      <c r="P180" s="912" t="s">
        <v>710</v>
      </c>
      <c r="Q180" s="913" t="str">
        <f>VLOOKUP(K180,Sheet1!$C$1:$D$101,2,)</f>
        <v>Lakban Warna Uk 2" Warna Hitam (Ukuran 90Yard Lebar : 48Mm)</v>
      </c>
      <c r="R180" s="496">
        <v>485000</v>
      </c>
      <c r="S180" s="504">
        <v>505000</v>
      </c>
      <c r="T180" s="914" t="str">
        <f>Data2025!T179</f>
        <v>UD. JOSUA</v>
      </c>
      <c r="U180" s="497" t="s">
        <v>538</v>
      </c>
      <c r="V180" s="914" t="str">
        <f>Data2025!V179</f>
        <v>Gestiwan Bazikho</v>
      </c>
      <c r="W180" s="914" t="str">
        <f>Data2025!X179</f>
        <v>Jl. Diponegoro Kel. Pasar Telukdalam - Nias Selatan</v>
      </c>
      <c r="X180" s="497" t="s">
        <v>541</v>
      </c>
      <c r="Y180" s="497" t="str">
        <f t="shared" si="8"/>
        <v>Alat Tulis Kantor (ATK)</v>
      </c>
      <c r="Z180" s="915" t="str">
        <f t="shared" si="9"/>
        <v>Alat Tulis Kantor (ATK)</v>
      </c>
      <c r="AA180" s="498" t="s">
        <v>3369</v>
      </c>
      <c r="AB180" s="499">
        <v>48500</v>
      </c>
      <c r="AC180" s="499">
        <v>485000</v>
      </c>
      <c r="AD180" s="496">
        <v>485000</v>
      </c>
      <c r="AE180" s="500">
        <v>436936.93693693692</v>
      </c>
      <c r="AF180" s="500">
        <v>485000</v>
      </c>
      <c r="AG180" s="916" t="s">
        <v>3883</v>
      </c>
      <c r="AH180" s="917" t="str">
        <f>Data2025!W179</f>
        <v>081375309828</v>
      </c>
    </row>
    <row r="181" spans="1:36" s="501" customFormat="1" ht="26" thickTop="1" thickBot="1">
      <c r="A181" s="901">
        <f>Data2025!G180</f>
        <v>45</v>
      </c>
      <c r="B181" s="902" t="str">
        <f>Data2025!K180</f>
        <v>BPU27</v>
      </c>
      <c r="C181" s="903" t="str">
        <f>Data2025!D180</f>
        <v>06. 05. 08.</v>
      </c>
      <c r="D181" s="904" t="str">
        <f>Data2025!C180</f>
        <v>5.1.02.01.01.0024</v>
      </c>
      <c r="E181" s="905">
        <f>Data2025!E180</f>
        <v>45687</v>
      </c>
      <c r="F181" s="906" t="str">
        <f>Data2025!F180</f>
        <v>01/02/2025</v>
      </c>
      <c r="G181" s="905" t="str">
        <f>Data2025!H180</f>
        <v>01/02/2025</v>
      </c>
      <c r="H181" s="905" t="str">
        <f t="shared" si="7"/>
        <v>01/02/2025</v>
      </c>
      <c r="I181" s="907" t="str">
        <f>Data2025!J180</f>
        <v>04/02/2025</v>
      </c>
      <c r="J181" s="908" t="str">
        <f>Data2025!L180</f>
        <v>Lakban warna Uk 2" Warna Coklat Cofiie</v>
      </c>
      <c r="K181" s="908" t="str">
        <f>Data2025!M180</f>
        <v>Lakban warna Uk 2" Warna Coklat Cofiie</v>
      </c>
      <c r="L181" s="909">
        <f>Data2025!N180</f>
        <v>3</v>
      </c>
      <c r="M181" s="909" t="str">
        <f>Data2025!O180</f>
        <v>buah</v>
      </c>
      <c r="N181" s="910">
        <f>Data2025!P180</f>
        <v>20000</v>
      </c>
      <c r="O181" s="911">
        <f>Data2025!Q180</f>
        <v>60000</v>
      </c>
      <c r="P181" s="912" t="s">
        <v>710</v>
      </c>
      <c r="Q181" s="913" t="str">
        <f>VLOOKUP(K181,Sheet1!$C$1:$D$101,2,)</f>
        <v>Lakban Warna Uk 2" Warna Coklat Cofiie (Ukuran 90Yard Lebar : 48Mm)</v>
      </c>
      <c r="R181" s="496">
        <v>297000</v>
      </c>
      <c r="S181" s="504">
        <v>309000</v>
      </c>
      <c r="T181" s="914" t="str">
        <f>Data2025!T180</f>
        <v>UD. JOSUA</v>
      </c>
      <c r="U181" s="497" t="s">
        <v>538</v>
      </c>
      <c r="V181" s="914" t="str">
        <f>Data2025!V180</f>
        <v>Gestiwan Bazikho</v>
      </c>
      <c r="W181" s="914" t="str">
        <f>Data2025!X180</f>
        <v>Jl. Diponegoro Kel. Pasar Telukdalam - Nias Selatan</v>
      </c>
      <c r="X181" s="497" t="s">
        <v>541</v>
      </c>
      <c r="Y181" s="497" t="str">
        <f t="shared" si="8"/>
        <v>Alat Tulis Kantor (ATK)</v>
      </c>
      <c r="Z181" s="915" t="str">
        <f t="shared" si="9"/>
        <v>Alat Tulis Kantor (ATK)</v>
      </c>
      <c r="AA181" s="498" t="s">
        <v>3363</v>
      </c>
      <c r="AB181" s="499">
        <v>49500</v>
      </c>
      <c r="AC181" s="499">
        <v>297000</v>
      </c>
      <c r="AD181" s="496">
        <v>297000</v>
      </c>
      <c r="AE181" s="500">
        <v>267567.56756756757</v>
      </c>
      <c r="AF181" s="500">
        <v>297000</v>
      </c>
      <c r="AG181" s="916" t="s">
        <v>3883</v>
      </c>
      <c r="AH181" s="917" t="str">
        <f>Data2025!W180</f>
        <v>081375309828</v>
      </c>
    </row>
    <row r="182" spans="1:36" s="501" customFormat="1" ht="26" thickTop="1" thickBot="1">
      <c r="A182" s="901">
        <f>Data2025!G181</f>
        <v>45</v>
      </c>
      <c r="B182" s="902" t="str">
        <f>Data2025!K181</f>
        <v>BPU27</v>
      </c>
      <c r="C182" s="903" t="str">
        <f>Data2025!D181</f>
        <v>06. 05. 08.</v>
      </c>
      <c r="D182" s="904" t="str">
        <f>Data2025!C181</f>
        <v>5.1.02.01.01.0024</v>
      </c>
      <c r="E182" s="905">
        <f>Data2025!E181</f>
        <v>45687</v>
      </c>
      <c r="F182" s="906" t="str">
        <f>Data2025!F181</f>
        <v>01/02/2025</v>
      </c>
      <c r="G182" s="905" t="str">
        <f>Data2025!H181</f>
        <v>01/02/2025</v>
      </c>
      <c r="H182" s="905" t="str">
        <f t="shared" si="7"/>
        <v>01/02/2025</v>
      </c>
      <c r="I182" s="907" t="str">
        <f>Data2025!J181</f>
        <v>04/02/2025</v>
      </c>
      <c r="J182" s="908" t="str">
        <f>Data2025!L181</f>
        <v>Spidol Refil Spidol White Board Snowman</v>
      </c>
      <c r="K182" s="908" t="str">
        <f>Data2025!M181</f>
        <v>Spidol Refil Spidol White Board Snowman</v>
      </c>
      <c r="L182" s="909">
        <f>Data2025!N181</f>
        <v>10</v>
      </c>
      <c r="M182" s="909" t="str">
        <f>Data2025!O181</f>
        <v>buah</v>
      </c>
      <c r="N182" s="910">
        <f>Data2025!P181</f>
        <v>20900</v>
      </c>
      <c r="O182" s="911">
        <f>Data2025!Q181</f>
        <v>209000</v>
      </c>
      <c r="P182" s="912" t="s">
        <v>710</v>
      </c>
      <c r="Q182" s="913" t="str">
        <f>VLOOKUP(K182,Sheet1!$C$1:$D$101,2,)</f>
        <v>Spidol Refil Spidol White Board Snowman (Panjang. : 10 Cm ; Lebar. : 5 Cm ; Tinggi. : 7 Cm ; Berat. : 500 Gr)</v>
      </c>
      <c r="R182" s="496">
        <v>335000</v>
      </c>
      <c r="S182" s="504">
        <v>345000</v>
      </c>
      <c r="T182" s="914" t="str">
        <f>Data2025!T181</f>
        <v>UD. JOSUA</v>
      </c>
      <c r="U182" s="497" t="s">
        <v>538</v>
      </c>
      <c r="V182" s="914" t="str">
        <f>Data2025!V181</f>
        <v>Gestiwan Bazikho</v>
      </c>
      <c r="W182" s="914" t="str">
        <f>Data2025!X181</f>
        <v>Jl. Diponegoro Kel. Pasar Telukdalam - Nias Selatan</v>
      </c>
      <c r="X182" s="497" t="s">
        <v>541</v>
      </c>
      <c r="Y182" s="497" t="str">
        <f t="shared" si="8"/>
        <v>Alat Tulis Kantor (ATK)</v>
      </c>
      <c r="Z182" s="915" t="str">
        <f t="shared" si="9"/>
        <v>Alat Tulis Kantor (ATK)</v>
      </c>
      <c r="AA182" s="498" t="s">
        <v>3367</v>
      </c>
      <c r="AB182" s="499">
        <v>67000</v>
      </c>
      <c r="AC182" s="499">
        <v>335000</v>
      </c>
      <c r="AD182" s="496">
        <v>335000</v>
      </c>
      <c r="AE182" s="500">
        <v>301801.80180180183</v>
      </c>
      <c r="AF182" s="500">
        <v>335000</v>
      </c>
      <c r="AG182" s="916" t="s">
        <v>3883</v>
      </c>
      <c r="AH182" s="917" t="str">
        <f>Data2025!W181</f>
        <v>081375309828</v>
      </c>
    </row>
    <row r="183" spans="1:36" s="501" customFormat="1" ht="16.5" thickTop="1" thickBot="1">
      <c r="A183" s="901">
        <f>Data2025!G182</f>
        <v>45</v>
      </c>
      <c r="B183" s="902" t="str">
        <f>Data2025!K182</f>
        <v>BPU27</v>
      </c>
      <c r="C183" s="903" t="str">
        <f>Data2025!D182</f>
        <v>06. 05. 08.</v>
      </c>
      <c r="D183" s="904" t="str">
        <f>Data2025!C182</f>
        <v>5.1.02.01.01.0024</v>
      </c>
      <c r="E183" s="905">
        <f>Data2025!E182</f>
        <v>45687</v>
      </c>
      <c r="F183" s="906" t="str">
        <f>Data2025!F182</f>
        <v>01/02/2025</v>
      </c>
      <c r="G183" s="905" t="str">
        <f>Data2025!H182</f>
        <v>01/02/2025</v>
      </c>
      <c r="H183" s="905" t="str">
        <f t="shared" si="7"/>
        <v>01/02/2025</v>
      </c>
      <c r="I183" s="907" t="str">
        <f>Data2025!J182</f>
        <v>04/02/2025</v>
      </c>
      <c r="J183" s="908" t="str">
        <f>Data2025!L182</f>
        <v>Spidol White board</v>
      </c>
      <c r="K183" s="908" t="str">
        <f>Data2025!M182</f>
        <v>Spidol White board</v>
      </c>
      <c r="L183" s="909">
        <f>Data2025!N182</f>
        <v>2</v>
      </c>
      <c r="M183" s="909" t="str">
        <f>Data2025!O182</f>
        <v>lusin</v>
      </c>
      <c r="N183" s="910">
        <f>Data2025!P182</f>
        <v>120000</v>
      </c>
      <c r="O183" s="911">
        <f>Data2025!Q182</f>
        <v>240000</v>
      </c>
      <c r="P183" s="912" t="s">
        <v>710</v>
      </c>
      <c r="Q183" s="913" t="str">
        <f>VLOOKUP(K183,Sheet1!$C$1:$D$101,2,)</f>
        <v>Spidol White Board (Berat Produk 0.5 Kg, Panjang Produk 10 Cm, Lebar Produk 3 Cm, Tinggi Produk 10 Cm)</v>
      </c>
      <c r="R183" s="496">
        <v>205500</v>
      </c>
      <c r="S183" s="504">
        <v>235500</v>
      </c>
      <c r="T183" s="914" t="str">
        <f>Data2025!T182</f>
        <v>UD. JOSUA</v>
      </c>
      <c r="U183" s="497" t="s">
        <v>538</v>
      </c>
      <c r="V183" s="914" t="str">
        <f>Data2025!V182</f>
        <v>Gestiwan Bazikho</v>
      </c>
      <c r="W183" s="914" t="str">
        <f>Data2025!X182</f>
        <v>Jl. Diponegoro Kel. Pasar Telukdalam - Nias Selatan</v>
      </c>
      <c r="X183" s="497" t="s">
        <v>541</v>
      </c>
      <c r="Y183" s="497" t="str">
        <f t="shared" si="8"/>
        <v>Alat Tulis Kantor (ATK)</v>
      </c>
      <c r="Z183" s="915" t="str">
        <f t="shared" si="9"/>
        <v>Alat Tulis Kantor (ATK)</v>
      </c>
      <c r="AA183" s="498" t="s">
        <v>3363</v>
      </c>
      <c r="AB183" s="499">
        <v>13700</v>
      </c>
      <c r="AC183" s="499">
        <v>205500</v>
      </c>
      <c r="AD183" s="496">
        <v>205500</v>
      </c>
      <c r="AE183" s="500">
        <v>185135.13513513515</v>
      </c>
      <c r="AF183" s="500">
        <v>205500</v>
      </c>
      <c r="AG183" s="916" t="s">
        <v>3883</v>
      </c>
      <c r="AH183" s="917" t="str">
        <f>Data2025!W182</f>
        <v>081375309828</v>
      </c>
      <c r="AI183" s="502"/>
      <c r="AJ183" s="502"/>
    </row>
    <row r="184" spans="1:36" s="501" customFormat="1" ht="16.5" thickTop="1" thickBot="1">
      <c r="A184" s="901">
        <f>Data2025!G183</f>
        <v>45</v>
      </c>
      <c r="B184" s="902" t="str">
        <f>Data2025!K183</f>
        <v>BPU27</v>
      </c>
      <c r="C184" s="903" t="str">
        <f>Data2025!D183</f>
        <v>06. 05. 08.</v>
      </c>
      <c r="D184" s="904" t="str">
        <f>Data2025!C183</f>
        <v>5.1.02.01.01.0024</v>
      </c>
      <c r="E184" s="905">
        <f>Data2025!E183</f>
        <v>45687</v>
      </c>
      <c r="F184" s="906" t="str">
        <f>Data2025!F183</f>
        <v>01/02/2025</v>
      </c>
      <c r="G184" s="905" t="str">
        <f>Data2025!H183</f>
        <v>01/02/2025</v>
      </c>
      <c r="H184" s="905" t="str">
        <f t="shared" si="7"/>
        <v>01/02/2025</v>
      </c>
      <c r="I184" s="907" t="str">
        <f>Data2025!J183</f>
        <v>04/02/2025</v>
      </c>
      <c r="J184" s="908" t="str">
        <f>Data2025!L183</f>
        <v>Stapler HD-10--</v>
      </c>
      <c r="K184" s="908" t="str">
        <f>Data2025!M183</f>
        <v>Stapler HD-10--</v>
      </c>
      <c r="L184" s="909">
        <f>Data2025!N183</f>
        <v>2</v>
      </c>
      <c r="M184" s="909" t="str">
        <f>Data2025!O183</f>
        <v>buah</v>
      </c>
      <c r="N184" s="910">
        <f>Data2025!P183</f>
        <v>20000</v>
      </c>
      <c r="O184" s="911">
        <f>Data2025!Q183</f>
        <v>40000</v>
      </c>
      <c r="P184" s="912" t="s">
        <v>710</v>
      </c>
      <c r="Q184" s="913" t="str">
        <f>VLOOKUP(K184,Sheet1!$C$1:$D$101,2,)</f>
        <v>Stapler HD-10 (Merk : MAX Ukuran : 3.5 x 10 cm)</v>
      </c>
      <c r="R184" s="496">
        <v>121000</v>
      </c>
      <c r="S184" s="504">
        <v>141000</v>
      </c>
      <c r="T184" s="914" t="str">
        <f>Data2025!T183</f>
        <v>UD. JOSUA</v>
      </c>
      <c r="U184" s="497" t="s">
        <v>538</v>
      </c>
      <c r="V184" s="914" t="str">
        <f>Data2025!V183</f>
        <v>Gestiwan Bazikho</v>
      </c>
      <c r="W184" s="914" t="str">
        <f>Data2025!X183</f>
        <v>Jl. Diponegoro Kel. Pasar Telukdalam - Nias Selatan</v>
      </c>
      <c r="X184" s="497" t="s">
        <v>541</v>
      </c>
      <c r="Y184" s="497" t="str">
        <f t="shared" si="8"/>
        <v>Alat Tulis Kantor (ATK)</v>
      </c>
      <c r="Z184" s="915" t="str">
        <f t="shared" si="9"/>
        <v>Alat Tulis Kantor (ATK)</v>
      </c>
      <c r="AA184" s="498" t="s">
        <v>3363</v>
      </c>
      <c r="AB184" s="499">
        <v>12100</v>
      </c>
      <c r="AC184" s="499">
        <v>121000</v>
      </c>
      <c r="AD184" s="496">
        <v>121000</v>
      </c>
      <c r="AE184" s="500">
        <v>109009.00900900901</v>
      </c>
      <c r="AF184" s="500">
        <v>121000</v>
      </c>
      <c r="AG184" s="916" t="s">
        <v>3883</v>
      </c>
      <c r="AH184" s="917" t="str">
        <f>Data2025!W183</f>
        <v>081375309828</v>
      </c>
    </row>
    <row r="185" spans="1:36" s="501" customFormat="1" ht="16.5" thickTop="1" thickBot="1">
      <c r="A185" s="901">
        <f>Data2025!G184</f>
        <v>45</v>
      </c>
      <c r="B185" s="902" t="str">
        <f>Data2025!K184</f>
        <v>BPU27</v>
      </c>
      <c r="C185" s="903" t="str">
        <f>Data2025!D184</f>
        <v>06. 05. 08.</v>
      </c>
      <c r="D185" s="904" t="str">
        <f>Data2025!C184</f>
        <v>5.1.02.01.01.0024</v>
      </c>
      <c r="E185" s="905">
        <f>Data2025!E184</f>
        <v>45687</v>
      </c>
      <c r="F185" s="906" t="str">
        <f>Data2025!F184</f>
        <v>01/02/2025</v>
      </c>
      <c r="G185" s="905" t="str">
        <f>Data2025!H184</f>
        <v>01/02/2025</v>
      </c>
      <c r="H185" s="905" t="str">
        <f t="shared" si="7"/>
        <v>01/02/2025</v>
      </c>
      <c r="I185" s="907" t="str">
        <f>Data2025!J184</f>
        <v>04/02/2025</v>
      </c>
      <c r="J185" s="908" t="str">
        <f>Data2025!L184</f>
        <v>Stapler Stapler No, 50 MAX</v>
      </c>
      <c r="K185" s="908" t="str">
        <f>Data2025!M184</f>
        <v>Stapler Stapler No, 50 MAX</v>
      </c>
      <c r="L185" s="909">
        <f>Data2025!N184</f>
        <v>2</v>
      </c>
      <c r="M185" s="909" t="str">
        <f>Data2025!O184</f>
        <v>buah</v>
      </c>
      <c r="N185" s="910">
        <f>Data2025!P184</f>
        <v>25000</v>
      </c>
      <c r="O185" s="911">
        <f>Data2025!Q184</f>
        <v>50000</v>
      </c>
      <c r="P185" s="912" t="s">
        <v>710</v>
      </c>
      <c r="Q185" s="913" t="str">
        <f>VLOOKUP(K185,Sheet1!$C$1:$D$101,2,)</f>
        <v>Stapler 50 (Length 5.0Cm, Width 5.0Cm, Height 5.0Cm, Weight 5Gr)</v>
      </c>
      <c r="R185" s="496">
        <v>45000</v>
      </c>
      <c r="S185" s="504">
        <v>51000</v>
      </c>
      <c r="T185" s="914" t="str">
        <f>Data2025!T184</f>
        <v>UD. JOSUA</v>
      </c>
      <c r="U185" s="497" t="s">
        <v>538</v>
      </c>
      <c r="V185" s="914" t="str">
        <f>Data2025!V184</f>
        <v>Gestiwan Bazikho</v>
      </c>
      <c r="W185" s="914" t="str">
        <f>Data2025!X184</f>
        <v>Jl. Diponegoro Kel. Pasar Telukdalam - Nias Selatan</v>
      </c>
      <c r="X185" s="497" t="s">
        <v>541</v>
      </c>
      <c r="Y185" s="497" t="str">
        <f t="shared" si="8"/>
        <v>Alat Tulis Kantor (ATK)</v>
      </c>
      <c r="Z185" s="915" t="str">
        <f t="shared" si="9"/>
        <v>Alat Tulis Kantor (ATK)</v>
      </c>
      <c r="AA185" s="498" t="s">
        <v>3363</v>
      </c>
      <c r="AB185" s="499">
        <v>15000</v>
      </c>
      <c r="AC185" s="499">
        <v>45000</v>
      </c>
      <c r="AD185" s="496">
        <v>45000</v>
      </c>
      <c r="AE185" s="500">
        <v>40540.54054054054</v>
      </c>
      <c r="AF185" s="500">
        <v>45000</v>
      </c>
      <c r="AG185" s="916" t="s">
        <v>3883</v>
      </c>
      <c r="AH185" s="917" t="str">
        <f>Data2025!W184</f>
        <v>081375309828</v>
      </c>
    </row>
    <row r="186" spans="1:36" s="501" customFormat="1" ht="16.5" thickTop="1" thickBot="1">
      <c r="A186" s="901">
        <f>Data2025!G185</f>
        <v>45</v>
      </c>
      <c r="B186" s="902" t="str">
        <f>Data2025!K185</f>
        <v>BPU27</v>
      </c>
      <c r="C186" s="903" t="str">
        <f>Data2025!D185</f>
        <v>06. 05. 08.</v>
      </c>
      <c r="D186" s="904" t="str">
        <f>Data2025!C185</f>
        <v>5.1.02.01.01.0024</v>
      </c>
      <c r="E186" s="905">
        <f>Data2025!E185</f>
        <v>45687</v>
      </c>
      <c r="F186" s="906" t="str">
        <f>Data2025!F185</f>
        <v>01/02/2025</v>
      </c>
      <c r="G186" s="905" t="str">
        <f>Data2025!H185</f>
        <v>01/02/2025</v>
      </c>
      <c r="H186" s="905" t="str">
        <f t="shared" si="7"/>
        <v>01/02/2025</v>
      </c>
      <c r="I186" s="907" t="str">
        <f>Data2025!J185</f>
        <v>04/02/2025</v>
      </c>
      <c r="J186" s="908" t="str">
        <f>Data2025!L185</f>
        <v>PAPER CLIP  Paper Clip No 1</v>
      </c>
      <c r="K186" s="908" t="str">
        <f>Data2025!M185</f>
        <v>PAPER CLIP  Paper Clip No 1</v>
      </c>
      <c r="L186" s="909">
        <f>Data2025!N185</f>
        <v>5</v>
      </c>
      <c r="M186" s="909" t="str">
        <f>Data2025!O185</f>
        <v>kotak</v>
      </c>
      <c r="N186" s="910">
        <f>Data2025!P185</f>
        <v>6000</v>
      </c>
      <c r="O186" s="911">
        <f>Data2025!Q185</f>
        <v>30000</v>
      </c>
      <c r="P186" s="912" t="s">
        <v>710</v>
      </c>
      <c r="Q186" s="913" t="str">
        <f>VLOOKUP(K186,Sheet1!$C$1:$D$101,2,)</f>
        <v>Paper Clip No 1 (Length 5.0Cm, Width 5.0Cm, Height 5.0Cm, Weight 5Gr)</v>
      </c>
      <c r="R186" s="496">
        <v>300000</v>
      </c>
      <c r="S186" s="504">
        <v>320000</v>
      </c>
      <c r="T186" s="914" t="str">
        <f>Data2025!T185</f>
        <v>UD. JOSUA</v>
      </c>
      <c r="U186" s="497" t="s">
        <v>538</v>
      </c>
      <c r="V186" s="914" t="str">
        <f>Data2025!V185</f>
        <v>Gestiwan Bazikho</v>
      </c>
      <c r="W186" s="914" t="str">
        <f>Data2025!X185</f>
        <v>Jl. Diponegoro Kel. Pasar Telukdalam - Nias Selatan</v>
      </c>
      <c r="X186" s="497" t="s">
        <v>541</v>
      </c>
      <c r="Y186" s="497" t="str">
        <f t="shared" si="8"/>
        <v>Alat Tulis Kantor (ATK)</v>
      </c>
      <c r="Z186" s="915" t="str">
        <f t="shared" si="9"/>
        <v>Alat Tulis Kantor (ATK)</v>
      </c>
      <c r="AA186" s="498" t="s">
        <v>3367</v>
      </c>
      <c r="AB186" s="499">
        <v>30000</v>
      </c>
      <c r="AC186" s="499">
        <v>300000</v>
      </c>
      <c r="AD186" s="496">
        <v>300000</v>
      </c>
      <c r="AE186" s="500">
        <v>270270.2702702703</v>
      </c>
      <c r="AF186" s="500">
        <v>300000</v>
      </c>
      <c r="AG186" s="916" t="s">
        <v>3883</v>
      </c>
      <c r="AH186" s="917" t="str">
        <f>Data2025!W185</f>
        <v>081375309828</v>
      </c>
      <c r="AI186" s="502"/>
      <c r="AJ186" s="502"/>
    </row>
    <row r="187" spans="1:36" s="501" customFormat="1" ht="16.5" thickTop="1" thickBot="1">
      <c r="A187" s="901">
        <f>Data2025!G186</f>
        <v>45</v>
      </c>
      <c r="B187" s="902" t="str">
        <f>Data2025!K186</f>
        <v>BPU27</v>
      </c>
      <c r="C187" s="903" t="str">
        <f>Data2025!D186</f>
        <v>06. 05. 08.</v>
      </c>
      <c r="D187" s="904" t="str">
        <f>Data2025!C186</f>
        <v>5.1.02.01.01.0024</v>
      </c>
      <c r="E187" s="905">
        <f>Data2025!E186</f>
        <v>45687</v>
      </c>
      <c r="F187" s="906" t="str">
        <f>Data2025!F186</f>
        <v>01/02/2025</v>
      </c>
      <c r="G187" s="905" t="str">
        <f>Data2025!H186</f>
        <v>01/02/2025</v>
      </c>
      <c r="H187" s="905" t="str">
        <f t="shared" si="7"/>
        <v>01/02/2025</v>
      </c>
      <c r="I187" s="907" t="str">
        <f>Data2025!J186</f>
        <v>04/02/2025</v>
      </c>
      <c r="J187" s="908" t="str">
        <f>Data2025!L186</f>
        <v>Paper Clip No 1  Paper Clip No 3</v>
      </c>
      <c r="K187" s="908" t="str">
        <f>Data2025!M186</f>
        <v>Paper Clip No 1  Paper Clip No 3</v>
      </c>
      <c r="L187" s="909">
        <f>Data2025!N186</f>
        <v>5</v>
      </c>
      <c r="M187" s="909" t="str">
        <f>Data2025!O186</f>
        <v>kotak</v>
      </c>
      <c r="N187" s="910">
        <f>Data2025!P186</f>
        <v>6000</v>
      </c>
      <c r="O187" s="911">
        <f>Data2025!Q186</f>
        <v>30000</v>
      </c>
      <c r="P187" s="912" t="s">
        <v>710</v>
      </c>
      <c r="Q187" s="913" t="str">
        <f>VLOOKUP(K187,Sheet1!$C$1:$D$101,2,)</f>
        <v>Paper Clip No 3 (Length 5.0Cm, Width 5.0Cm, Height 5.0Cm, Weight 5Gr)</v>
      </c>
      <c r="R187" s="496">
        <v>60000</v>
      </c>
      <c r="S187" s="504">
        <v>70000</v>
      </c>
      <c r="T187" s="914" t="str">
        <f>Data2025!T186</f>
        <v>UD. JOSUA</v>
      </c>
      <c r="U187" s="497" t="s">
        <v>538</v>
      </c>
      <c r="V187" s="914" t="str">
        <f>Data2025!V186</f>
        <v>Gestiwan Bazikho</v>
      </c>
      <c r="W187" s="914" t="str">
        <f>Data2025!X186</f>
        <v>Jl. Diponegoro Kel. Pasar Telukdalam - Nias Selatan</v>
      </c>
      <c r="X187" s="497" t="s">
        <v>541</v>
      </c>
      <c r="Y187" s="497" t="str">
        <f t="shared" si="8"/>
        <v>Alat Tulis Kantor (ATK)</v>
      </c>
      <c r="Z187" s="915" t="str">
        <f t="shared" si="9"/>
        <v>Alat Tulis Kantor (ATK)</v>
      </c>
      <c r="AA187" s="498" t="s">
        <v>3363</v>
      </c>
      <c r="AB187" s="499">
        <v>12000</v>
      </c>
      <c r="AC187" s="499">
        <v>60000</v>
      </c>
      <c r="AD187" s="496">
        <v>60000</v>
      </c>
      <c r="AE187" s="500">
        <v>54054.054054054053</v>
      </c>
      <c r="AF187" s="500">
        <v>60000</v>
      </c>
      <c r="AG187" s="916" t="s">
        <v>3883</v>
      </c>
      <c r="AH187" s="917" t="str">
        <f>Data2025!W186</f>
        <v>081375309828</v>
      </c>
    </row>
    <row r="188" spans="1:36" s="501" customFormat="1" ht="26" thickTop="1" thickBot="1">
      <c r="A188" s="901">
        <f>Data2025!G187</f>
        <v>45</v>
      </c>
      <c r="B188" s="902" t="str">
        <f>Data2025!K187</f>
        <v>BPU27</v>
      </c>
      <c r="C188" s="903" t="str">
        <f>Data2025!D187</f>
        <v>06. 05. 08.</v>
      </c>
      <c r="D188" s="904" t="str">
        <f>Data2025!C187</f>
        <v>5.1.02.01.01.0024</v>
      </c>
      <c r="E188" s="905">
        <f>Data2025!E187</f>
        <v>45687</v>
      </c>
      <c r="F188" s="906" t="str">
        <f>Data2025!F187</f>
        <v>01/02/2025</v>
      </c>
      <c r="G188" s="905" t="str">
        <f>Data2025!H187</f>
        <v>01/02/2025</v>
      </c>
      <c r="H188" s="905" t="str">
        <f t="shared" si="7"/>
        <v>01/02/2025</v>
      </c>
      <c r="I188" s="907" t="str">
        <f>Data2025!J187</f>
        <v>04/02/2025</v>
      </c>
      <c r="J188" s="908" t="str">
        <f>Data2025!L187</f>
        <v>gunting kertas-ukuran : panjang 21cm x lebar 8cm, stainless steel</v>
      </c>
      <c r="K188" s="908" t="str">
        <f>Data2025!M187</f>
        <v>gunting kertas-ukuran : panjang 21cm x lebar 8cm, stainless steel</v>
      </c>
      <c r="L188" s="909">
        <f>Data2025!N187</f>
        <v>2</v>
      </c>
      <c r="M188" s="909" t="str">
        <f>Data2025!O187</f>
        <v>buah</v>
      </c>
      <c r="N188" s="910">
        <f>Data2025!P187</f>
        <v>20000</v>
      </c>
      <c r="O188" s="911">
        <f>Data2025!Q187</f>
        <v>40000</v>
      </c>
      <c r="P188" s="912" t="s">
        <v>710</v>
      </c>
      <c r="Q188" s="913" t="str">
        <f>VLOOKUP(K188,Sheet1!$C$1:$D$101,2,)</f>
        <v>Gunting Besar (Length 5.0Cm, Width 5.0Cm, Height 5.0Cm, Weight 5Gr)</v>
      </c>
      <c r="R188" s="496">
        <v>150000</v>
      </c>
      <c r="S188" s="504">
        <v>174000</v>
      </c>
      <c r="T188" s="914" t="str">
        <f>Data2025!T187</f>
        <v>UD. JOSUA</v>
      </c>
      <c r="U188" s="497" t="s">
        <v>538</v>
      </c>
      <c r="V188" s="914" t="str">
        <f>Data2025!V187</f>
        <v>Gestiwan Bazikho</v>
      </c>
      <c r="W188" s="914" t="str">
        <f>Data2025!X187</f>
        <v>Jl. Diponegoro Kel. Pasar Telukdalam - Nias Selatan</v>
      </c>
      <c r="X188" s="497" t="s">
        <v>541</v>
      </c>
      <c r="Y188" s="497" t="str">
        <f t="shared" si="8"/>
        <v>Alat Tulis Kantor (ATK)</v>
      </c>
      <c r="Z188" s="915" t="str">
        <f t="shared" si="9"/>
        <v>Alat Tulis Kantor (ATK)</v>
      </c>
      <c r="AA188" s="498" t="s">
        <v>3363</v>
      </c>
      <c r="AB188" s="499">
        <v>12500</v>
      </c>
      <c r="AC188" s="499">
        <v>150000</v>
      </c>
      <c r="AD188" s="496">
        <v>150000</v>
      </c>
      <c r="AE188" s="500">
        <v>135135.13513513515</v>
      </c>
      <c r="AF188" s="500">
        <v>150000</v>
      </c>
      <c r="AG188" s="916" t="s">
        <v>3883</v>
      </c>
      <c r="AH188" s="917" t="str">
        <f>Data2025!W187</f>
        <v>081375309828</v>
      </c>
      <c r="AI188" s="502"/>
      <c r="AJ188" s="502"/>
    </row>
    <row r="189" spans="1:36" s="501" customFormat="1" ht="16.5" thickTop="1" thickBot="1">
      <c r="A189" s="901">
        <f>Data2025!G188</f>
        <v>45</v>
      </c>
      <c r="B189" s="902" t="str">
        <f>Data2025!K188</f>
        <v>BPU27</v>
      </c>
      <c r="C189" s="903" t="str">
        <f>Data2025!D188</f>
        <v>06. 05. 08.</v>
      </c>
      <c r="D189" s="904" t="str">
        <f>Data2025!C188</f>
        <v>5.1.02.01.01.0024</v>
      </c>
      <c r="E189" s="905">
        <f>Data2025!E188</f>
        <v>45687</v>
      </c>
      <c r="F189" s="906" t="str">
        <f>Data2025!F188</f>
        <v>01/02/2025</v>
      </c>
      <c r="G189" s="905" t="str">
        <f>Data2025!H188</f>
        <v>01/02/2025</v>
      </c>
      <c r="H189" s="905" t="str">
        <f t="shared" si="7"/>
        <v>01/02/2025</v>
      </c>
      <c r="I189" s="907" t="str">
        <f>Data2025!J188</f>
        <v>04/02/2025</v>
      </c>
      <c r="J189" s="908" t="str">
        <f>Data2025!L188</f>
        <v>Pisau Cutter Kenko L-500</v>
      </c>
      <c r="K189" s="908" t="str">
        <f>Data2025!M188</f>
        <v>Pisau Cutter Kenko L-500</v>
      </c>
      <c r="L189" s="909">
        <f>Data2025!N188</f>
        <v>2</v>
      </c>
      <c r="M189" s="909" t="str">
        <f>Data2025!O188</f>
        <v>buah</v>
      </c>
      <c r="N189" s="910">
        <f>Data2025!P188</f>
        <v>15000</v>
      </c>
      <c r="O189" s="911">
        <f>Data2025!Q188</f>
        <v>30000</v>
      </c>
      <c r="P189" s="912" t="s">
        <v>710</v>
      </c>
      <c r="Q189" s="913" t="str">
        <f>VLOOKUP(K189,Sheet1!$C$1:$D$101,2,)</f>
        <v>Cutter L500 (Length 5.0Cm, Width 5.0Cm, Height 5.0Cm, Weight 5Gr)</v>
      </c>
      <c r="R189" s="496">
        <v>60000</v>
      </c>
      <c r="S189" s="504">
        <v>70000</v>
      </c>
      <c r="T189" s="914" t="str">
        <f>Data2025!T188</f>
        <v>UD. JOSUA</v>
      </c>
      <c r="U189" s="497" t="s">
        <v>538</v>
      </c>
      <c r="V189" s="914" t="str">
        <f>Data2025!V188</f>
        <v>Gestiwan Bazikho</v>
      </c>
      <c r="W189" s="914" t="str">
        <f>Data2025!X188</f>
        <v>Jl. Diponegoro Kel. Pasar Telukdalam - Nias Selatan</v>
      </c>
      <c r="X189" s="497" t="s">
        <v>541</v>
      </c>
      <c r="Y189" s="497" t="str">
        <f t="shared" si="8"/>
        <v>Alat Tulis Kantor (ATK)</v>
      </c>
      <c r="Z189" s="915" t="str">
        <f t="shared" si="9"/>
        <v>Alat Tulis Kantor (ATK)</v>
      </c>
      <c r="AA189" s="498" t="s">
        <v>3363</v>
      </c>
      <c r="AB189" s="499">
        <v>12000</v>
      </c>
      <c r="AC189" s="499">
        <v>60000</v>
      </c>
      <c r="AD189" s="496">
        <v>60000</v>
      </c>
      <c r="AE189" s="500">
        <v>54054.054054054053</v>
      </c>
      <c r="AF189" s="500">
        <v>60000</v>
      </c>
      <c r="AG189" s="916" t="s">
        <v>3883</v>
      </c>
      <c r="AH189" s="917" t="str">
        <f>Data2025!W188</f>
        <v>081375309828</v>
      </c>
    </row>
    <row r="190" spans="1:36" s="501" customFormat="1" ht="16.5" thickTop="1" thickBot="1">
      <c r="A190" s="901">
        <f>Data2025!G189</f>
        <v>45</v>
      </c>
      <c r="B190" s="902" t="str">
        <f>Data2025!K189</f>
        <v>BPU27</v>
      </c>
      <c r="C190" s="903" t="str">
        <f>Data2025!D189</f>
        <v>06. 05. 08.</v>
      </c>
      <c r="D190" s="904" t="str">
        <f>Data2025!C189</f>
        <v>5.1.02.01.01.0024</v>
      </c>
      <c r="E190" s="905">
        <f>Data2025!E189</f>
        <v>45687</v>
      </c>
      <c r="F190" s="906" t="str">
        <f>Data2025!F189</f>
        <v>01/02/2025</v>
      </c>
      <c r="G190" s="905" t="str">
        <f>Data2025!H189</f>
        <v>01/02/2025</v>
      </c>
      <c r="H190" s="905" t="str">
        <f t="shared" si="7"/>
        <v>01/02/2025</v>
      </c>
      <c r="I190" s="907" t="str">
        <f>Data2025!J189</f>
        <v>04/02/2025</v>
      </c>
      <c r="J190" s="908" t="str">
        <f>Data2025!L189</f>
        <v>Baterey Kecil</v>
      </c>
      <c r="K190" s="908" t="str">
        <f>Data2025!M189</f>
        <v>Baterey Kecil</v>
      </c>
      <c r="L190" s="909">
        <f>Data2025!N189</f>
        <v>5</v>
      </c>
      <c r="M190" s="909" t="str">
        <f>Data2025!O189</f>
        <v>pasang</v>
      </c>
      <c r="N190" s="910">
        <f>Data2025!P189</f>
        <v>20000</v>
      </c>
      <c r="O190" s="911">
        <f>Data2025!Q189</f>
        <v>100000</v>
      </c>
      <c r="P190" s="912" t="s">
        <v>710</v>
      </c>
      <c r="Q190" s="913" t="str">
        <f>VLOOKUP(K190,Sheet1!$C$1:$D$101,2,)</f>
        <v>Baterey Kecil (Type: Aa; Tegangan: 1.5 Volt; Ukuran: 14 X 50 Mm)</v>
      </c>
      <c r="R190" s="496">
        <v>350000</v>
      </c>
      <c r="S190" s="504">
        <v>360000</v>
      </c>
      <c r="T190" s="914" t="str">
        <f>Data2025!T189</f>
        <v>UD. JOSUA</v>
      </c>
      <c r="U190" s="497" t="s">
        <v>538</v>
      </c>
      <c r="V190" s="914" t="str">
        <f>Data2025!V189</f>
        <v>Gestiwan Bazikho</v>
      </c>
      <c r="W190" s="914" t="str">
        <f>Data2025!X189</f>
        <v>Jl. Diponegoro Kel. Pasar Telukdalam - Nias Selatan</v>
      </c>
      <c r="X190" s="497" t="s">
        <v>541</v>
      </c>
      <c r="Y190" s="497" t="str">
        <f t="shared" si="8"/>
        <v>Alat Tulis Kantor (ATK)</v>
      </c>
      <c r="Z190" s="915" t="str">
        <f t="shared" si="9"/>
        <v>Alat Tulis Kantor (ATK)</v>
      </c>
      <c r="AA190" s="498" t="s">
        <v>3371</v>
      </c>
      <c r="AB190" s="499">
        <v>70000</v>
      </c>
      <c r="AC190" s="499">
        <v>350000</v>
      </c>
      <c r="AD190" s="496">
        <v>350000</v>
      </c>
      <c r="AE190" s="500">
        <v>315315.31531531533</v>
      </c>
      <c r="AF190" s="500">
        <v>350000</v>
      </c>
      <c r="AG190" s="916" t="s">
        <v>3883</v>
      </c>
      <c r="AH190" s="917" t="str">
        <f>Data2025!W189</f>
        <v>081375309828</v>
      </c>
    </row>
    <row r="191" spans="1:36" s="659" customFormat="1" ht="16.5" thickTop="1" thickBot="1">
      <c r="A191" s="636">
        <f>Data2025!G190</f>
        <v>46</v>
      </c>
      <c r="B191" s="637" t="str">
        <f>Data2025!K190</f>
        <v>BPU28</v>
      </c>
      <c r="C191" s="638" t="str">
        <f>Data2025!D190</f>
        <v>06. 05. 08.</v>
      </c>
      <c r="D191" s="639" t="str">
        <f>Data2025!C190</f>
        <v>5.1.02.01.01.0026</v>
      </c>
      <c r="E191" s="265">
        <f>Data2025!E190</f>
        <v>45687</v>
      </c>
      <c r="F191" s="640" t="str">
        <f>Data2025!F190</f>
        <v>01/02/2025</v>
      </c>
      <c r="G191" s="265" t="str">
        <f>Data2025!H190</f>
        <v>01/02/2025</v>
      </c>
      <c r="H191" s="265" t="str">
        <f t="shared" si="7"/>
        <v>01/02/2025</v>
      </c>
      <c r="I191" s="641" t="str">
        <f>Data2025!J190</f>
        <v>04/02/2025</v>
      </c>
      <c r="J191" s="381" t="str">
        <f>Data2025!L190</f>
        <v>Foto Copy Filio dan Kuarto</v>
      </c>
      <c r="K191" s="381" t="str">
        <f>Data2025!M190</f>
        <v>Foto Copy Filio dan Kuarto</v>
      </c>
      <c r="L191" s="642">
        <f>Data2025!N190</f>
        <v>4900</v>
      </c>
      <c r="M191" s="642" t="str">
        <f>Data2025!O190</f>
        <v>lembar</v>
      </c>
      <c r="N191" s="643">
        <f>Data2025!P190</f>
        <v>350</v>
      </c>
      <c r="O191" s="644">
        <f>Data2025!Q190</f>
        <v>1715000</v>
      </c>
      <c r="P191" s="645" t="s">
        <v>710</v>
      </c>
      <c r="Q191" s="646" t="str">
        <f>VLOOKUP(K191,Sheet1!$C$1:$D$101,2,)</f>
        <v>Kertas HVS 70 gram Sinar Dunia A4, Ukuran : 8,27" x 11,69"</v>
      </c>
      <c r="R191" s="653">
        <v>21600000</v>
      </c>
      <c r="S191" s="654">
        <v>21604000</v>
      </c>
      <c r="T191" s="648" t="str">
        <f>Data2025!T190</f>
        <v>UD. JOSUA</v>
      </c>
      <c r="U191" s="655" t="s">
        <v>538</v>
      </c>
      <c r="V191" s="648" t="str">
        <f>Data2025!V190</f>
        <v>Gestiwan Bazikho</v>
      </c>
      <c r="W191" s="648" t="str">
        <f>Data2025!X190</f>
        <v>Jl. Diponegoro Kel. Pasar Telukdalam - Nias Selatan</v>
      </c>
      <c r="X191" s="655" t="s">
        <v>540</v>
      </c>
      <c r="Y191" s="268" t="str">
        <f t="shared" si="8"/>
        <v>Alat Tulis Kantor (ATK)</v>
      </c>
      <c r="Z191" s="649" t="str">
        <f t="shared" si="9"/>
        <v>Alat Tulis Kantor (ATK)</v>
      </c>
      <c r="AA191" s="656" t="s">
        <v>3371</v>
      </c>
      <c r="AB191" s="657">
        <v>10800000</v>
      </c>
      <c r="AC191" s="657">
        <v>21600000</v>
      </c>
      <c r="AD191" s="653">
        <v>21600000</v>
      </c>
      <c r="AE191" s="658">
        <v>19459459.459459461</v>
      </c>
      <c r="AF191" s="658">
        <v>21600000</v>
      </c>
      <c r="AG191" s="805" t="s">
        <v>3883</v>
      </c>
      <c r="AH191" s="651" t="str">
        <f>Data2025!W190</f>
        <v>081375309828</v>
      </c>
    </row>
    <row r="192" spans="1:36" s="659" customFormat="1" ht="16.5" thickTop="1" thickBot="1">
      <c r="A192" s="636">
        <f>Data2025!G191</f>
        <v>47</v>
      </c>
      <c r="B192" s="637" t="str">
        <f>Data2025!K191</f>
        <v>BPU29</v>
      </c>
      <c r="C192" s="638" t="str">
        <f>Data2025!D191</f>
        <v>06. 05. 09.</v>
      </c>
      <c r="D192" s="639" t="str">
        <f>Data2025!C191</f>
        <v>5.1.02.01.01.0030</v>
      </c>
      <c r="E192" s="265">
        <f>Data2025!E191</f>
        <v>45687</v>
      </c>
      <c r="F192" s="640" t="str">
        <f>Data2025!F191</f>
        <v>01/02/2025</v>
      </c>
      <c r="G192" s="265" t="str">
        <f>Data2025!H191</f>
        <v>01/02/2025</v>
      </c>
      <c r="H192" s="265" t="str">
        <f t="shared" si="7"/>
        <v>01/02/2025</v>
      </c>
      <c r="I192" s="641" t="str">
        <f>Data2025!J191</f>
        <v>04/02/2025</v>
      </c>
      <c r="J192" s="381" t="str">
        <f>Data2025!L191</f>
        <v>Tisu--</v>
      </c>
      <c r="K192" s="381" t="str">
        <f>Data2025!M191</f>
        <v>Tisu--</v>
      </c>
      <c r="L192" s="642">
        <f>Data2025!N191</f>
        <v>12</v>
      </c>
      <c r="M192" s="642" t="str">
        <f>Data2025!O191</f>
        <v>buah</v>
      </c>
      <c r="N192" s="643">
        <f>Data2025!P191</f>
        <v>12500</v>
      </c>
      <c r="O192" s="644">
        <f>Data2025!Q191</f>
        <v>150000</v>
      </c>
      <c r="P192" s="645" t="s">
        <v>710</v>
      </c>
      <c r="Q192" s="646" t="str">
        <f>VLOOKUP(K192,Sheet1!$C$1:$D$101,2,)</f>
        <v>Tissue (Merk JOLLY 250 Sheets 2 Ply, Berat Volume = 285 gr)</v>
      </c>
      <c r="R192" s="653">
        <v>2900000</v>
      </c>
      <c r="S192" s="654">
        <v>2904000</v>
      </c>
      <c r="T192" s="648" t="str">
        <f>Data2025!T191</f>
        <v>UD. JOSUA</v>
      </c>
      <c r="U192" s="655" t="s">
        <v>538</v>
      </c>
      <c r="V192" s="648" t="str">
        <f>Data2025!V191</f>
        <v>Gestiwan Bazikho</v>
      </c>
      <c r="W192" s="648" t="str">
        <f>Data2025!X191</f>
        <v>Jl. Diponegoro Kel. Pasar Telukdalam - Nias Selatan</v>
      </c>
      <c r="X192" s="655" t="s">
        <v>540</v>
      </c>
      <c r="Y192" s="268" t="str">
        <f t="shared" si="8"/>
        <v>Alat Tulis Kantor (ATK)</v>
      </c>
      <c r="Z192" s="649" t="str">
        <f t="shared" si="9"/>
        <v>Alat Tulis Kantor (ATK)</v>
      </c>
      <c r="AA192" s="656" t="s">
        <v>3363</v>
      </c>
      <c r="AB192" s="657">
        <v>1450000</v>
      </c>
      <c r="AC192" s="657">
        <v>2900000</v>
      </c>
      <c r="AD192" s="653">
        <v>2900000</v>
      </c>
      <c r="AE192" s="658">
        <v>2612612.6126126125</v>
      </c>
      <c r="AF192" s="658">
        <v>2900000</v>
      </c>
      <c r="AG192" s="805" t="s">
        <v>3883</v>
      </c>
      <c r="AH192" s="651" t="str">
        <f>Data2025!W191</f>
        <v>081375309828</v>
      </c>
      <c r="AI192" s="660"/>
      <c r="AJ192" s="660"/>
    </row>
    <row r="193" spans="1:34" s="659" customFormat="1" ht="16.5" thickTop="1" thickBot="1">
      <c r="A193" s="636">
        <f>Data2025!G192</f>
        <v>47</v>
      </c>
      <c r="B193" s="637" t="str">
        <f>Data2025!K192</f>
        <v>BPU29</v>
      </c>
      <c r="C193" s="638" t="str">
        <f>Data2025!D192</f>
        <v>06. 05. 09.</v>
      </c>
      <c r="D193" s="639" t="str">
        <f>Data2025!C192</f>
        <v>5.1.02.01.01.0030</v>
      </c>
      <c r="E193" s="265">
        <f>Data2025!E192</f>
        <v>45687</v>
      </c>
      <c r="F193" s="640" t="str">
        <f>Data2025!F192</f>
        <v>01/02/2025</v>
      </c>
      <c r="G193" s="265" t="str">
        <f>Data2025!H192</f>
        <v>01/02/2025</v>
      </c>
      <c r="H193" s="265" t="str">
        <f t="shared" si="7"/>
        <v>01/02/2025</v>
      </c>
      <c r="I193" s="641" t="str">
        <f>Data2025!J192</f>
        <v>04/02/2025</v>
      </c>
      <c r="J193" s="381" t="str">
        <f>Data2025!L192</f>
        <v>vixal 500ml</v>
      </c>
      <c r="K193" s="381" t="str">
        <f>Data2025!M192</f>
        <v>vixal 500ml</v>
      </c>
      <c r="L193" s="642">
        <f>Data2025!N192</f>
        <v>10</v>
      </c>
      <c r="M193" s="642" t="str">
        <f>Data2025!O192</f>
        <v>botol</v>
      </c>
      <c r="N193" s="643">
        <f>Data2025!P192</f>
        <v>30000</v>
      </c>
      <c r="O193" s="644">
        <f>Data2025!Q192</f>
        <v>300000</v>
      </c>
      <c r="P193" s="645" t="s">
        <v>2609</v>
      </c>
      <c r="Q193" s="646" t="str">
        <f>VLOOKUP(K193,Sheet1!$C$1:$D$101,2,)</f>
        <v>Pembersih Lantai (Merk vixal, Kemasan Botol, isi  500ml)</v>
      </c>
      <c r="R193" s="653">
        <v>7498800</v>
      </c>
      <c r="S193" s="654">
        <v>7522800</v>
      </c>
      <c r="T193" s="648" t="str">
        <f>Data2025!T192</f>
        <v>UD. JOSUA</v>
      </c>
      <c r="U193" s="655" t="s">
        <v>538</v>
      </c>
      <c r="V193" s="648" t="str">
        <f>Data2025!V192</f>
        <v>Gestiwan Bazikho</v>
      </c>
      <c r="W193" s="648" t="str">
        <f>Data2025!X192</f>
        <v>Jl. Diponegoro Kel. Pasar Telukdalam - Nias Selatan</v>
      </c>
      <c r="X193" s="655" t="s">
        <v>540</v>
      </c>
      <c r="Y193" s="268" t="str">
        <f t="shared" si="8"/>
        <v>Alat Kebersihan</v>
      </c>
      <c r="Z193" s="649" t="str">
        <f t="shared" si="9"/>
        <v>Alat Kebersihan</v>
      </c>
      <c r="AA193" s="656" t="s">
        <v>3371</v>
      </c>
      <c r="AB193" s="657">
        <v>624900</v>
      </c>
      <c r="AC193" s="657">
        <v>7498800</v>
      </c>
      <c r="AD193" s="653">
        <v>7498800</v>
      </c>
      <c r="AE193" s="658">
        <v>6755675.6756756762</v>
      </c>
      <c r="AF193" s="658">
        <v>7498800</v>
      </c>
      <c r="AG193" s="805" t="s">
        <v>3883</v>
      </c>
      <c r="AH193" s="651" t="str">
        <f>Data2025!W192</f>
        <v>081375309828</v>
      </c>
    </row>
    <row r="194" spans="1:34" s="659" customFormat="1" ht="26" thickTop="1" thickBot="1">
      <c r="A194" s="636">
        <f>Data2025!G193</f>
        <v>47</v>
      </c>
      <c r="B194" s="637" t="str">
        <f>Data2025!K193</f>
        <v>BPU29</v>
      </c>
      <c r="C194" s="638" t="str">
        <f>Data2025!D193</f>
        <v>06. 05. 09.</v>
      </c>
      <c r="D194" s="639" t="str">
        <f>Data2025!C193</f>
        <v>5.1.02.01.01.0030</v>
      </c>
      <c r="E194" s="265">
        <f>Data2025!E193</f>
        <v>45687</v>
      </c>
      <c r="F194" s="640" t="str">
        <f>Data2025!F193</f>
        <v>01/02/2025</v>
      </c>
      <c r="G194" s="265" t="str">
        <f>Data2025!H193</f>
        <v>01/02/2025</v>
      </c>
      <c r="H194" s="265" t="str">
        <f t="shared" si="7"/>
        <v>01/02/2025</v>
      </c>
      <c r="I194" s="641" t="str">
        <f>Data2025!J193</f>
        <v>04/02/2025</v>
      </c>
      <c r="J194" s="381" t="str">
        <f>Data2025!L193</f>
        <v>Perlengkapan Kebersihan Pembersih Lantai Super Pel Varian 800ml</v>
      </c>
      <c r="K194" s="381" t="str">
        <f>J194</f>
        <v>Perlengkapan Kebersihan Pembersih Lantai Super Pel Varian 800ml</v>
      </c>
      <c r="L194" s="642">
        <f>Data2025!N193</f>
        <v>15</v>
      </c>
      <c r="M194" s="642" t="str">
        <f>Data2025!O193</f>
        <v>buah</v>
      </c>
      <c r="N194" s="643">
        <f>Data2025!P193</f>
        <v>13500</v>
      </c>
      <c r="O194" s="644">
        <f>Data2025!Q193</f>
        <v>202500</v>
      </c>
      <c r="P194" s="645" t="s">
        <v>2609</v>
      </c>
      <c r="Q194" s="646" t="str">
        <f>VLOOKUP(K194,Sheet1!$C$1:$D$101,2,)</f>
        <v>Super Pel (Merek: Super Pel, Varian 800ml/Refill)</v>
      </c>
      <c r="R194" s="653">
        <v>9750000</v>
      </c>
      <c r="S194" s="654">
        <v>9780000</v>
      </c>
      <c r="T194" s="648" t="str">
        <f>Data2025!T193</f>
        <v>UD. JOSUA</v>
      </c>
      <c r="U194" s="655" t="s">
        <v>538</v>
      </c>
      <c r="V194" s="648" t="str">
        <f>Data2025!V193</f>
        <v>Gestiwan Bazikho</v>
      </c>
      <c r="W194" s="648" t="str">
        <f>Data2025!X193</f>
        <v>Jl. Diponegoro Kel. Pasar Telukdalam - Nias Selatan</v>
      </c>
      <c r="X194" s="655" t="s">
        <v>540</v>
      </c>
      <c r="Y194" s="268" t="str">
        <f t="shared" si="8"/>
        <v>Alat Kebersihan</v>
      </c>
      <c r="Z194" s="649" t="str">
        <f t="shared" si="9"/>
        <v>Alat Kebersihan</v>
      </c>
      <c r="AA194" s="656" t="s">
        <v>3363</v>
      </c>
      <c r="AB194" s="657">
        <v>650000</v>
      </c>
      <c r="AC194" s="657">
        <v>9750000</v>
      </c>
      <c r="AD194" s="653">
        <v>9750000</v>
      </c>
      <c r="AE194" s="658">
        <v>8783783.7837837841</v>
      </c>
      <c r="AF194" s="658">
        <v>9750000</v>
      </c>
      <c r="AG194" s="805" t="s">
        <v>3883</v>
      </c>
      <c r="AH194" s="651" t="str">
        <f>Data2025!W193</f>
        <v>081375309828</v>
      </c>
    </row>
    <row r="195" spans="1:34" ht="16.5" thickTop="1" thickBot="1">
      <c r="A195" s="636">
        <f>Data2025!G194</f>
        <v>47</v>
      </c>
      <c r="B195" s="637" t="str">
        <f>Data2025!K194</f>
        <v>BPU29</v>
      </c>
      <c r="C195" s="638" t="str">
        <f>Data2025!D194</f>
        <v>06. 05. 09.</v>
      </c>
      <c r="D195" s="639" t="str">
        <f>Data2025!C194</f>
        <v>5.1.02.01.01.0030</v>
      </c>
      <c r="E195" s="265">
        <f>Data2025!E194</f>
        <v>45687</v>
      </c>
      <c r="F195" s="640" t="str">
        <f>Data2025!F194</f>
        <v>01/02/2025</v>
      </c>
      <c r="G195" s="265" t="str">
        <f>Data2025!H194</f>
        <v>01/02/2025</v>
      </c>
      <c r="H195" s="265" t="str">
        <f t="shared" si="7"/>
        <v>01/02/2025</v>
      </c>
      <c r="I195" s="641" t="str">
        <f>Data2025!J194</f>
        <v>04/02/2025</v>
      </c>
      <c r="J195" s="381" t="str">
        <f>Data2025!L194</f>
        <v>Cairan Pembersih Kaca</v>
      </c>
      <c r="K195" s="381" t="str">
        <f t="shared" ref="K195:K200" si="10">J195</f>
        <v>Cairan Pembersih Kaca</v>
      </c>
      <c r="L195" s="642">
        <f>Data2025!N194</f>
        <v>5</v>
      </c>
      <c r="M195" s="642" t="str">
        <f>Data2025!O194</f>
        <v>buah</v>
      </c>
      <c r="N195" s="643">
        <f>Data2025!P194</f>
        <v>12000</v>
      </c>
      <c r="O195" s="644">
        <f>Data2025!Q194</f>
        <v>60000</v>
      </c>
      <c r="P195" s="645" t="s">
        <v>2609</v>
      </c>
      <c r="Q195" s="646" t="str">
        <f>VLOOKUP(K195,Sheet1!$C$1:$D$101,2,)</f>
        <v>Cling (Merek: Cling, Varian: Ocean Fresh 425 ml)</v>
      </c>
      <c r="R195" s="267">
        <v>1350000</v>
      </c>
      <c r="S195" s="647">
        <v>1530000</v>
      </c>
      <c r="T195" s="648" t="str">
        <f>Data2025!T194</f>
        <v>UD. JOSUA</v>
      </c>
      <c r="U195" s="268" t="s">
        <v>2531</v>
      </c>
      <c r="V195" s="648" t="str">
        <f>Data2025!V194</f>
        <v>Gestiwan Bazikho</v>
      </c>
      <c r="W195" s="648" t="str">
        <f>Data2025!X194</f>
        <v>Jl. Diponegoro Kel. Pasar Telukdalam - Nias Selatan</v>
      </c>
      <c r="X195" s="268" t="s">
        <v>2529</v>
      </c>
      <c r="Y195" s="268" t="str">
        <f t="shared" si="8"/>
        <v>Alat Kebersihan</v>
      </c>
      <c r="Z195" s="649" t="str">
        <f t="shared" si="9"/>
        <v>Alat Kebersihan</v>
      </c>
      <c r="AA195" s="650" t="s">
        <v>3362</v>
      </c>
      <c r="AB195" s="269">
        <v>15000</v>
      </c>
      <c r="AC195" s="269">
        <v>1350000</v>
      </c>
      <c r="AD195" s="267">
        <v>1350000</v>
      </c>
      <c r="AE195" s="270">
        <v>1216216.2162162163</v>
      </c>
      <c r="AF195" s="270">
        <v>1350000</v>
      </c>
      <c r="AG195" s="805" t="s">
        <v>3883</v>
      </c>
      <c r="AH195" s="651" t="str">
        <f>Data2025!W194</f>
        <v>081375309828</v>
      </c>
    </row>
    <row r="196" spans="1:34" ht="26" thickTop="1" thickBot="1">
      <c r="A196" s="636">
        <f>Data2025!G195</f>
        <v>47</v>
      </c>
      <c r="B196" s="637" t="str">
        <f>Data2025!K195</f>
        <v>BPU29</v>
      </c>
      <c r="C196" s="638" t="str">
        <f>Data2025!D195</f>
        <v>06. 05. 09.</v>
      </c>
      <c r="D196" s="639" t="str">
        <f>Data2025!C195</f>
        <v>5.1.02.01.01.0030</v>
      </c>
      <c r="E196" s="265">
        <f>Data2025!E195</f>
        <v>45687</v>
      </c>
      <c r="F196" s="640" t="str">
        <f>Data2025!F195</f>
        <v>01/02/2025</v>
      </c>
      <c r="G196" s="265" t="str">
        <f>Data2025!H195</f>
        <v>01/02/2025</v>
      </c>
      <c r="H196" s="265" t="str">
        <f t="shared" si="7"/>
        <v>01/02/2025</v>
      </c>
      <c r="I196" s="641" t="str">
        <f>Data2025!J195</f>
        <v>04/02/2025</v>
      </c>
      <c r="J196" s="381" t="str">
        <f>Data2025!L195</f>
        <v>Perlengkapan Kebersihan Pembersih Pakaian Sunlight Refil 800ml</v>
      </c>
      <c r="K196" s="381" t="str">
        <f t="shared" si="10"/>
        <v>Perlengkapan Kebersihan Pembersih Pakaian Sunlight Refil 800ml</v>
      </c>
      <c r="L196" s="642">
        <f>Data2025!N195</f>
        <v>3</v>
      </c>
      <c r="M196" s="642" t="str">
        <f>Data2025!O195</f>
        <v>buah</v>
      </c>
      <c r="N196" s="643">
        <f>Data2025!P195</f>
        <v>15000</v>
      </c>
      <c r="O196" s="644">
        <f>Data2025!Q195</f>
        <v>45000</v>
      </c>
      <c r="P196" s="645" t="s">
        <v>2609</v>
      </c>
      <c r="Q196" s="646" t="str">
        <f>VLOOKUP(K196,Sheet1!$C$1:$D$101,2,)</f>
        <v>Sunlight (Merk: Sunlight, Varian 800ml/Refill)</v>
      </c>
      <c r="R196" s="267">
        <v>3600000</v>
      </c>
      <c r="S196" s="647">
        <v>3780000</v>
      </c>
      <c r="T196" s="648" t="str">
        <f>Data2025!T195</f>
        <v>UD. JOSUA</v>
      </c>
      <c r="U196" s="268" t="s">
        <v>2520</v>
      </c>
      <c r="V196" s="648" t="str">
        <f>Data2025!V195</f>
        <v>Gestiwan Bazikho</v>
      </c>
      <c r="W196" s="648" t="str">
        <f>Data2025!X195</f>
        <v>Jl. Diponegoro Kel. Pasar Telukdalam - Nias Selatan</v>
      </c>
      <c r="X196" s="268" t="s">
        <v>3391</v>
      </c>
      <c r="Y196" s="268" t="str">
        <f t="shared" si="8"/>
        <v>Alat Kebersihan</v>
      </c>
      <c r="Z196" s="649" t="str">
        <f t="shared" si="9"/>
        <v>Alat Kebersihan</v>
      </c>
      <c r="AA196" s="650" t="s">
        <v>3362</v>
      </c>
      <c r="AB196" s="269">
        <v>40000</v>
      </c>
      <c r="AC196" s="269">
        <v>3600000</v>
      </c>
      <c r="AD196" s="267">
        <v>3600000</v>
      </c>
      <c r="AE196" s="270">
        <v>3243243.2432432431</v>
      </c>
      <c r="AF196" s="270">
        <v>3600000</v>
      </c>
      <c r="AG196" s="805" t="s">
        <v>3883</v>
      </c>
      <c r="AH196" s="651" t="str">
        <f>Data2025!W195</f>
        <v>081375309828</v>
      </c>
    </row>
    <row r="197" spans="1:34" ht="30" thickTop="1" thickBot="1">
      <c r="A197" s="636">
        <f>Data2025!G196</f>
        <v>47</v>
      </c>
      <c r="B197" s="637" t="str">
        <f>Data2025!K196</f>
        <v>BPU29</v>
      </c>
      <c r="C197" s="638" t="str">
        <f>Data2025!D196</f>
        <v>06. 05. 09.</v>
      </c>
      <c r="D197" s="639" t="str">
        <f>Data2025!C196</f>
        <v>5.1.02.01.01.0030</v>
      </c>
      <c r="E197" s="265">
        <f>Data2025!E196</f>
        <v>45687</v>
      </c>
      <c r="F197" s="640" t="str">
        <f>Data2025!F196</f>
        <v>01/02/2025</v>
      </c>
      <c r="G197" s="265" t="str">
        <f>Data2025!H196</f>
        <v>01/02/2025</v>
      </c>
      <c r="H197" s="265" t="str">
        <f t="shared" ref="H197:H260" si="11">G197</f>
        <v>01/02/2025</v>
      </c>
      <c r="I197" s="641" t="str">
        <f>Data2025!J196</f>
        <v>04/02/2025</v>
      </c>
      <c r="J197" s="381" t="str">
        <f>Data2025!L196</f>
        <v>Spon Cuci</v>
      </c>
      <c r="K197" s="381" t="str">
        <f t="shared" si="10"/>
        <v>Spon Cuci</v>
      </c>
      <c r="L197" s="642">
        <f>Data2025!N196</f>
        <v>5</v>
      </c>
      <c r="M197" s="642" t="str">
        <f>Data2025!O196</f>
        <v>buah</v>
      </c>
      <c r="N197" s="643">
        <f>Data2025!P196</f>
        <v>12000</v>
      </c>
      <c r="O197" s="644">
        <f>Data2025!Q196</f>
        <v>60000</v>
      </c>
      <c r="P197" s="645" t="s">
        <v>2609</v>
      </c>
      <c r="Q197" s="646" t="str">
        <f>VLOOKUP(K197,Sheet1!$C$1:$D$101,2,)</f>
        <v>Spon Cuci (ukuran tebal 3 cm, panjang 7cm x 9cm)</v>
      </c>
      <c r="R197" s="267">
        <v>600000</v>
      </c>
      <c r="S197" s="647">
        <v>604000</v>
      </c>
      <c r="T197" s="648" t="str">
        <f>Data2025!T196</f>
        <v>UD. JOSUA</v>
      </c>
      <c r="U197" s="268" t="s">
        <v>1040</v>
      </c>
      <c r="V197" s="648" t="str">
        <f>Data2025!V196</f>
        <v>Gestiwan Bazikho</v>
      </c>
      <c r="W197" s="648" t="str">
        <f>Data2025!X196</f>
        <v>Jl. Diponegoro Kel. Pasar Telukdalam - Nias Selatan</v>
      </c>
      <c r="X197" s="523" t="s">
        <v>541</v>
      </c>
      <c r="Y197" s="268" t="str">
        <f t="shared" ref="Y197:Y260" si="12">P197</f>
        <v>Alat Kebersihan</v>
      </c>
      <c r="Z197" s="649" t="str">
        <f t="shared" ref="Z197:Z260" si="13">Y197</f>
        <v>Alat Kebersihan</v>
      </c>
      <c r="AA197" s="650" t="s">
        <v>3363</v>
      </c>
      <c r="AB197" s="269">
        <v>300000</v>
      </c>
      <c r="AC197" s="269">
        <v>600000</v>
      </c>
      <c r="AD197" s="267">
        <v>600000</v>
      </c>
      <c r="AE197" s="270">
        <v>540540.54054054059</v>
      </c>
      <c r="AF197" s="270">
        <v>600000</v>
      </c>
      <c r="AG197" s="805" t="s">
        <v>3883</v>
      </c>
      <c r="AH197" s="651" t="str">
        <f>Data2025!W196</f>
        <v>081375309828</v>
      </c>
    </row>
    <row r="198" spans="1:34" ht="16.5" thickTop="1" thickBot="1">
      <c r="A198" s="636">
        <f>Data2025!G197</f>
        <v>47</v>
      </c>
      <c r="B198" s="637" t="str">
        <f>Data2025!K197</f>
        <v>BPU29</v>
      </c>
      <c r="C198" s="638" t="str">
        <f>Data2025!D197</f>
        <v>06. 05. 09.</v>
      </c>
      <c r="D198" s="639" t="str">
        <f>Data2025!C197</f>
        <v>5.1.02.01.01.0030</v>
      </c>
      <c r="E198" s="265">
        <f>Data2025!E197</f>
        <v>45687</v>
      </c>
      <c r="F198" s="640" t="str">
        <f>Data2025!F197</f>
        <v>01/02/2025</v>
      </c>
      <c r="G198" s="265" t="str">
        <f>Data2025!H197</f>
        <v>01/02/2025</v>
      </c>
      <c r="H198" s="265" t="str">
        <f t="shared" si="11"/>
        <v>01/02/2025</v>
      </c>
      <c r="I198" s="641" t="str">
        <f>Data2025!J197</f>
        <v>04/02/2025</v>
      </c>
      <c r="J198" s="381" t="str">
        <f>Data2025!L197</f>
        <v>Handsoap/Pencuci Tangan</v>
      </c>
      <c r="K198" s="381" t="str">
        <f t="shared" si="10"/>
        <v>Handsoap/Pencuci Tangan</v>
      </c>
      <c r="L198" s="642">
        <f>Data2025!N197</f>
        <v>5</v>
      </c>
      <c r="M198" s="642" t="str">
        <f>Data2025!O197</f>
        <v>botol</v>
      </c>
      <c r="N198" s="643">
        <f>Data2025!P197</f>
        <v>67000</v>
      </c>
      <c r="O198" s="644">
        <f>Data2025!Q197</f>
        <v>335000</v>
      </c>
      <c r="P198" s="645" t="s">
        <v>2609</v>
      </c>
      <c r="Q198" s="646" t="str">
        <f>VLOOKUP(K198,Sheet1!$C$1:$D$101,2,)</f>
        <v>Handsoap/Pencuci Tangan (Antibacterial Hand Soap - 250ml, ekstrak aloevera)</v>
      </c>
      <c r="R198" s="267">
        <v>5400000</v>
      </c>
      <c r="S198" s="647">
        <v>6120000</v>
      </c>
      <c r="T198" s="648" t="str">
        <f>Data2025!T197</f>
        <v>UD. JOSUA</v>
      </c>
      <c r="U198" s="268" t="s">
        <v>2531</v>
      </c>
      <c r="V198" s="648" t="str">
        <f>Data2025!V197</f>
        <v>Gestiwan Bazikho</v>
      </c>
      <c r="W198" s="648" t="str">
        <f>Data2025!X197</f>
        <v>Jl. Diponegoro Kel. Pasar Telukdalam - Nias Selatan</v>
      </c>
      <c r="X198" s="268" t="s">
        <v>2529</v>
      </c>
      <c r="Y198" s="268" t="str">
        <f t="shared" si="12"/>
        <v>Alat Kebersihan</v>
      </c>
      <c r="Z198" s="649" t="str">
        <f t="shared" si="13"/>
        <v>Alat Kebersihan</v>
      </c>
      <c r="AA198" s="650" t="s">
        <v>3362</v>
      </c>
      <c r="AB198" s="269">
        <v>15000</v>
      </c>
      <c r="AC198" s="269">
        <v>5400000</v>
      </c>
      <c r="AD198" s="267">
        <v>5400000</v>
      </c>
      <c r="AE198" s="270">
        <v>4864864.8648648653</v>
      </c>
      <c r="AF198" s="270">
        <v>5400000</v>
      </c>
      <c r="AG198" s="805" t="s">
        <v>3883</v>
      </c>
      <c r="AH198" s="651" t="str">
        <f>Data2025!W197</f>
        <v>081375309828</v>
      </c>
    </row>
    <row r="199" spans="1:34" ht="16.5" thickTop="1" thickBot="1">
      <c r="A199" s="636">
        <f>Data2025!G198</f>
        <v>47</v>
      </c>
      <c r="B199" s="637" t="str">
        <f>Data2025!K198</f>
        <v>BPU29</v>
      </c>
      <c r="C199" s="638" t="str">
        <f>Data2025!D198</f>
        <v>06. 05. 09.</v>
      </c>
      <c r="D199" s="639" t="str">
        <f>Data2025!C198</f>
        <v>5.1.02.01.01.0030</v>
      </c>
      <c r="E199" s="265">
        <f>Data2025!E198</f>
        <v>45687</v>
      </c>
      <c r="F199" s="640" t="str">
        <f>Data2025!F198</f>
        <v>01/02/2025</v>
      </c>
      <c r="G199" s="265" t="str">
        <f>Data2025!H198</f>
        <v>01/02/2025</v>
      </c>
      <c r="H199" s="265" t="str">
        <f t="shared" si="11"/>
        <v>01/02/2025</v>
      </c>
      <c r="I199" s="641" t="str">
        <f>Data2025!J198</f>
        <v>04/02/2025</v>
      </c>
      <c r="J199" s="381" t="str">
        <f>Data2025!L198</f>
        <v>Pengharum Ruangan</v>
      </c>
      <c r="K199" s="381" t="str">
        <f t="shared" si="10"/>
        <v>Pengharum Ruangan</v>
      </c>
      <c r="L199" s="642">
        <f>Data2025!N198</f>
        <v>10</v>
      </c>
      <c r="M199" s="642" t="str">
        <f>Data2025!O198</f>
        <v>buah</v>
      </c>
      <c r="N199" s="643">
        <f>Data2025!P198</f>
        <v>12100</v>
      </c>
      <c r="O199" s="644">
        <f>Data2025!Q198</f>
        <v>121000</v>
      </c>
      <c r="P199" s="645" t="s">
        <v>2609</v>
      </c>
      <c r="Q199" s="646" t="str">
        <f>VLOOKUP(K199,Sheet1!$C$1:$D$101,2,)</f>
        <v>Pengharum Ruangan (Stella Pengharum Ruangan Gantung Lavender 42 g)</v>
      </c>
      <c r="R199" s="267">
        <v>7200000</v>
      </c>
      <c r="S199" s="647">
        <v>7560000</v>
      </c>
      <c r="T199" s="648" t="str">
        <f>Data2025!T198</f>
        <v>UD. JOSUA</v>
      </c>
      <c r="U199" s="268" t="s">
        <v>2520</v>
      </c>
      <c r="V199" s="648" t="str">
        <f>Data2025!V198</f>
        <v>Gestiwan Bazikho</v>
      </c>
      <c r="W199" s="648" t="str">
        <f>Data2025!X198</f>
        <v>Jl. Diponegoro Kel. Pasar Telukdalam - Nias Selatan</v>
      </c>
      <c r="X199" s="268" t="s">
        <v>3391</v>
      </c>
      <c r="Y199" s="268" t="str">
        <f t="shared" si="12"/>
        <v>Alat Kebersihan</v>
      </c>
      <c r="Z199" s="649" t="str">
        <f t="shared" si="13"/>
        <v>Alat Kebersihan</v>
      </c>
      <c r="AA199" s="650" t="s">
        <v>3362</v>
      </c>
      <c r="AB199" s="269">
        <v>40000</v>
      </c>
      <c r="AC199" s="269">
        <v>7200000</v>
      </c>
      <c r="AD199" s="267">
        <v>7200000</v>
      </c>
      <c r="AE199" s="270">
        <v>6486486.4864864862</v>
      </c>
      <c r="AF199" s="270">
        <v>7200000</v>
      </c>
      <c r="AG199" s="805" t="s">
        <v>3883</v>
      </c>
      <c r="AH199" s="651" t="str">
        <f>Data2025!W198</f>
        <v>081375309828</v>
      </c>
    </row>
    <row r="200" spans="1:34" ht="16.5" thickTop="1" thickBot="1">
      <c r="A200" s="636">
        <f>Data2025!G199</f>
        <v>47</v>
      </c>
      <c r="B200" s="637" t="str">
        <f>Data2025!K199</f>
        <v>BPU29</v>
      </c>
      <c r="C200" s="638" t="str">
        <f>Data2025!D199</f>
        <v>06. 05. 09.</v>
      </c>
      <c r="D200" s="639" t="str">
        <f>Data2025!C199</f>
        <v>5.1.02.01.01.0030</v>
      </c>
      <c r="E200" s="265">
        <f>Data2025!E199</f>
        <v>45687</v>
      </c>
      <c r="F200" s="640" t="str">
        <f>Data2025!F199</f>
        <v>01/02/2025</v>
      </c>
      <c r="G200" s="265" t="str">
        <f>Data2025!H199</f>
        <v>01/02/2025</v>
      </c>
      <c r="H200" s="265" t="str">
        <f t="shared" si="11"/>
        <v>01/02/2025</v>
      </c>
      <c r="I200" s="641" t="str">
        <f>Data2025!J199</f>
        <v>04/02/2025</v>
      </c>
      <c r="J200" s="381" t="str">
        <f>Data2025!L199</f>
        <v>Hand Sanitizer-Unit</v>
      </c>
      <c r="K200" s="381" t="str">
        <f t="shared" si="10"/>
        <v>Hand Sanitizer-Unit</v>
      </c>
      <c r="L200" s="642">
        <f>Data2025!N199</f>
        <v>5</v>
      </c>
      <c r="M200" s="642" t="str">
        <f>Data2025!O199</f>
        <v>unit</v>
      </c>
      <c r="N200" s="643">
        <f>Data2025!P199</f>
        <v>70000</v>
      </c>
      <c r="O200" s="644">
        <f>Data2025!Q199</f>
        <v>350000</v>
      </c>
      <c r="P200" s="645" t="s">
        <v>2609</v>
      </c>
      <c r="Q200" s="646" t="str">
        <f>VLOOKUP(K200,Sheet1!$C$1:$D$101,2,)</f>
        <v>Hand Sanitizer (Kemasan Botol 500ml)</v>
      </c>
      <c r="R200" s="267">
        <v>1360780</v>
      </c>
      <c r="S200" s="647">
        <v>2002000</v>
      </c>
      <c r="T200" s="648" t="str">
        <f>Data2025!T199</f>
        <v>UD. JOSUA</v>
      </c>
      <c r="U200" s="268" t="s">
        <v>2531</v>
      </c>
      <c r="V200" s="648" t="str">
        <f>Data2025!V199</f>
        <v>Gestiwan Bazikho</v>
      </c>
      <c r="W200" s="648" t="str">
        <f>Data2025!X199</f>
        <v>Jl. Diponegoro Kel. Pasar Telukdalam - Nias Selatan</v>
      </c>
      <c r="X200" s="268" t="s">
        <v>2529</v>
      </c>
      <c r="Y200" s="268" t="str">
        <f t="shared" si="12"/>
        <v>Alat Kebersihan</v>
      </c>
      <c r="Z200" s="649" t="str">
        <f t="shared" si="13"/>
        <v>Alat Kebersihan</v>
      </c>
      <c r="AA200" s="650" t="s">
        <v>3373</v>
      </c>
      <c r="AB200" s="269">
        <v>2000000</v>
      </c>
      <c r="AC200" s="269">
        <v>2000000</v>
      </c>
      <c r="AD200" s="267">
        <v>1360780</v>
      </c>
      <c r="AE200" s="270">
        <v>1225927.927927928</v>
      </c>
      <c r="AF200" s="270">
        <v>1360780</v>
      </c>
      <c r="AG200" s="805" t="s">
        <v>3883</v>
      </c>
      <c r="AH200" s="651" t="str">
        <f>Data2025!W199</f>
        <v>081375309828</v>
      </c>
    </row>
    <row r="201" spans="1:34" s="871" customFormat="1" ht="26" thickTop="1" thickBot="1">
      <c r="A201" s="848">
        <f>Data2025!G200</f>
        <v>48</v>
      </c>
      <c r="B201" s="849" t="str">
        <f>Data2025!K200</f>
        <v>BPU30</v>
      </c>
      <c r="C201" s="850" t="str">
        <f>Data2025!D200</f>
        <v>03. 03. 08.</v>
      </c>
      <c r="D201" s="851" t="str">
        <f>Data2025!C200</f>
        <v>5.1.02.01.01.0052</v>
      </c>
      <c r="E201" s="852">
        <f>Data2025!E200</f>
        <v>45689</v>
      </c>
      <c r="F201" s="853" t="str">
        <f>Data2025!F200</f>
        <v>03/02/2025</v>
      </c>
      <c r="G201" s="852" t="str">
        <f>Data2025!H200</f>
        <v>04/02/2025</v>
      </c>
      <c r="H201" s="852" t="str">
        <f t="shared" si="11"/>
        <v>04/02/2025</v>
      </c>
      <c r="I201" s="854" t="str">
        <f>Data2025!J200</f>
        <v>04/02/2025</v>
      </c>
      <c r="J201" s="855" t="str">
        <f>Data2025!L200</f>
        <v>Kudapan pada Kegiatan Rapat Penyusunan Program Kesiswaan TP 2024/2025</v>
      </c>
      <c r="K201" s="855" t="str">
        <f>Data2025!M200</f>
        <v>Kue Besar</v>
      </c>
      <c r="L201" s="856">
        <f>Data2025!N200</f>
        <v>90</v>
      </c>
      <c r="M201" s="856" t="str">
        <f>Data2025!O200</f>
        <v>kotak</v>
      </c>
      <c r="N201" s="857">
        <f>Data2025!P200</f>
        <v>15000</v>
      </c>
      <c r="O201" s="858">
        <f>Data2025!Q200</f>
        <v>1350000</v>
      </c>
      <c r="P201" s="859" t="s">
        <v>280</v>
      </c>
      <c r="Q201" s="860" t="str">
        <f>VLOOKUP(K201,Sheet1!$C$1:$D$101,2,)</f>
        <v>Kue (bahan tepung terigu, gula, telur, mentega; berat 100gr, panjang 15cm, lebar 8 cm)</v>
      </c>
      <c r="R201" s="861">
        <v>1179100</v>
      </c>
      <c r="S201" s="862">
        <v>1502000</v>
      </c>
      <c r="T201" s="863" t="str">
        <f>Data2025!T200</f>
        <v>Rumah Roti Helena</v>
      </c>
      <c r="U201" s="864" t="s">
        <v>2520</v>
      </c>
      <c r="V201" s="863" t="str">
        <f>Data2025!V200</f>
        <v>Fudi Supiyanto</v>
      </c>
      <c r="W201" s="863" t="str">
        <f>Data2025!X200</f>
        <v>Jln Ahmad Yani No.89 Kel. Pasar Telukdalam, Nias Selatan</v>
      </c>
      <c r="X201" s="864" t="s">
        <v>3391</v>
      </c>
      <c r="Y201" s="864" t="str">
        <f t="shared" si="12"/>
        <v>Kudapan</v>
      </c>
      <c r="Z201" s="865" t="str">
        <f t="shared" si="13"/>
        <v>Kudapan</v>
      </c>
      <c r="AA201" s="866" t="s">
        <v>3373</v>
      </c>
      <c r="AB201" s="867">
        <v>1500000</v>
      </c>
      <c r="AC201" s="867">
        <v>1500000</v>
      </c>
      <c r="AD201" s="861">
        <v>1179100</v>
      </c>
      <c r="AE201" s="868">
        <v>1062252.2522522523</v>
      </c>
      <c r="AF201" s="868">
        <v>1179100</v>
      </c>
      <c r="AG201" s="869" t="s">
        <v>3883</v>
      </c>
      <c r="AH201" s="870" t="str">
        <f>Data2025!W200</f>
        <v>082164895397</v>
      </c>
    </row>
    <row r="202" spans="1:34" ht="26" thickTop="1" thickBot="1">
      <c r="A202" s="636">
        <f>Data2025!G201</f>
        <v>49</v>
      </c>
      <c r="B202" s="637" t="str">
        <f>Data2025!K201</f>
        <v>BPU31</v>
      </c>
      <c r="C202" s="638" t="str">
        <f>Data2025!D201</f>
        <v>03. 03. 08.</v>
      </c>
      <c r="D202" s="639" t="str">
        <f>Data2025!C201</f>
        <v>5.1.02.01.01.0052</v>
      </c>
      <c r="E202" s="265">
        <f>Data2025!E201</f>
        <v>45689</v>
      </c>
      <c r="F202" s="640" t="str">
        <f>Data2025!F201</f>
        <v>03/02/2025</v>
      </c>
      <c r="G202" s="265" t="str">
        <f>Data2025!H201</f>
        <v>04/02/2025</v>
      </c>
      <c r="H202" s="265" t="str">
        <f t="shared" si="11"/>
        <v>04/02/2025</v>
      </c>
      <c r="I202" s="641" t="str">
        <f>Data2025!J201</f>
        <v>04/02/2025</v>
      </c>
      <c r="J202" s="381" t="str">
        <f>Data2025!L201</f>
        <v>Konsumsi pada Kegiatan Rapat Penyusunan Program Kesiswaan TP 2024/2025</v>
      </c>
      <c r="K202" s="381" t="str">
        <f>Data2025!M201</f>
        <v>Nasi Kotak</v>
      </c>
      <c r="L202" s="642">
        <f>Data2025!N201</f>
        <v>90</v>
      </c>
      <c r="M202" s="642" t="str">
        <f>Data2025!O201</f>
        <v>kotak</v>
      </c>
      <c r="N202" s="643">
        <f>Data2025!P201</f>
        <v>40000</v>
      </c>
      <c r="O202" s="644">
        <f>Data2025!Q201</f>
        <v>3600000</v>
      </c>
      <c r="P202" s="645" t="s">
        <v>8</v>
      </c>
      <c r="Q202" s="646" t="str">
        <f>VLOOKUP(K202,Sheet1!$C$1:$D$101,2,)</f>
        <v>Nasi Kotak (isi: Nasi putih;Sop daging; Sayur; Berat 1000gr; Dimensi; (PxLxT) 25cmx25cmx10cm)</v>
      </c>
      <c r="R202" s="267">
        <v>1732500</v>
      </c>
      <c r="S202" s="647">
        <v>11136650</v>
      </c>
      <c r="T202" s="648" t="str">
        <f>Data2025!T201</f>
        <v>Resto JFC Esther</v>
      </c>
      <c r="U202" s="268" t="s">
        <v>538</v>
      </c>
      <c r="V202" s="648" t="str">
        <f>Data2025!V201</f>
        <v>Limaati Daeli</v>
      </c>
      <c r="W202" s="648" t="str">
        <f>Data2025!X201</f>
        <v>Jl. Saonigeho Km. 2 Telukdalam - Nias Selatan</v>
      </c>
      <c r="X202" s="268" t="s">
        <v>541</v>
      </c>
      <c r="Y202" s="268" t="str">
        <f t="shared" si="12"/>
        <v>Konsumsi</v>
      </c>
      <c r="Z202" s="649" t="str">
        <f t="shared" si="13"/>
        <v>Konsumsi</v>
      </c>
      <c r="AA202" s="650" t="s">
        <v>3368</v>
      </c>
      <c r="AB202" s="269">
        <v>350</v>
      </c>
      <c r="AC202" s="269">
        <v>1658650</v>
      </c>
      <c r="AD202" s="267">
        <v>1732500</v>
      </c>
      <c r="AE202" s="270">
        <v>1560810.8108108109</v>
      </c>
      <c r="AF202" s="270">
        <v>1732500</v>
      </c>
      <c r="AG202" s="805" t="s">
        <v>3883</v>
      </c>
      <c r="AH202" s="651" t="str">
        <f>Data2025!W201</f>
        <v>085297578868</v>
      </c>
    </row>
    <row r="203" spans="1:34" ht="16.5" thickTop="1" thickBot="1">
      <c r="A203" s="636">
        <f>Data2025!G202</f>
        <v>70</v>
      </c>
      <c r="B203" s="637" t="str">
        <f>Data2025!K202</f>
        <v>BPU33</v>
      </c>
      <c r="C203" s="638" t="str">
        <f>Data2025!D202</f>
        <v>06. 07. 01.</v>
      </c>
      <c r="D203" s="639" t="str">
        <f>Data2025!C202</f>
        <v>5.1.02.02.01.0061</v>
      </c>
      <c r="E203" s="265">
        <f>Data2025!E202</f>
        <v>45706</v>
      </c>
      <c r="F203" s="640" t="str">
        <f>Data2025!F202</f>
        <v>20/02/2025</v>
      </c>
      <c r="G203" s="265" t="str">
        <f>Data2025!H202</f>
        <v>20/02/2025</v>
      </c>
      <c r="H203" s="265" t="str">
        <f t="shared" si="11"/>
        <v>20/02/2025</v>
      </c>
      <c r="I203" s="641" t="str">
        <f>Data2025!J202</f>
        <v>20/02/2025</v>
      </c>
      <c r="J203" s="381" t="str">
        <f>Data2025!L202</f>
        <v>Biaya Rekening Listrik--</v>
      </c>
      <c r="K203" s="381" t="str">
        <f>Data2025!M202</f>
        <v>Jasa Langganan Listrik</v>
      </c>
      <c r="L203" s="642">
        <f>Data2025!N202</f>
        <v>1</v>
      </c>
      <c r="M203" s="642" t="str">
        <f>Data2025!O202</f>
        <v>bulan</v>
      </c>
      <c r="N203" s="643">
        <f>Data2025!P202</f>
        <v>2000000</v>
      </c>
      <c r="O203" s="644">
        <f>Data2025!Q202</f>
        <v>2000000</v>
      </c>
      <c r="P203" s="645" t="s">
        <v>2664</v>
      </c>
      <c r="Q203" s="646" t="e">
        <f>VLOOKUP(K203,Sheet1!$C$1:$D$101,2,)</f>
        <v>#N/A</v>
      </c>
      <c r="R203" s="267">
        <v>1250000</v>
      </c>
      <c r="S203" s="647">
        <v>1300000</v>
      </c>
      <c r="T203" s="648">
        <f>Data2025!T202</f>
        <v>0</v>
      </c>
      <c r="U203" s="268" t="s">
        <v>2531</v>
      </c>
      <c r="V203" s="648" t="e">
        <f>Data2025!V202</f>
        <v>#N/A</v>
      </c>
      <c r="W203" s="648" t="e">
        <f>Data2025!X202</f>
        <v>#N/A</v>
      </c>
      <c r="X203" s="268" t="s">
        <v>2529</v>
      </c>
      <c r="Y203" s="268" t="str">
        <f t="shared" si="12"/>
        <v>Jasa PLN</v>
      </c>
      <c r="Z203" s="649" t="str">
        <f t="shared" si="13"/>
        <v>Jasa PLN</v>
      </c>
      <c r="AA203" s="650" t="s">
        <v>3372</v>
      </c>
      <c r="AB203" s="269">
        <v>50000</v>
      </c>
      <c r="AC203" s="269">
        <v>1250000</v>
      </c>
      <c r="AD203" s="267">
        <v>1250000</v>
      </c>
      <c r="AE203" s="270">
        <v>1126126.1261261262</v>
      </c>
      <c r="AF203" s="270">
        <v>1250000</v>
      </c>
      <c r="AG203" s="805" t="s">
        <v>3883</v>
      </c>
      <c r="AH203" s="651" t="e">
        <f>Data2025!W202</f>
        <v>#N/A</v>
      </c>
    </row>
    <row r="204" spans="1:34" ht="16.5" thickTop="1" thickBot="1">
      <c r="A204" s="636">
        <f>Data2025!G203</f>
        <v>71</v>
      </c>
      <c r="B204" s="637" t="str">
        <f>Data2025!K203</f>
        <v>BPU34</v>
      </c>
      <c r="C204" s="638" t="str">
        <f>Data2025!D203</f>
        <v>06. 07. 05.</v>
      </c>
      <c r="D204" s="639" t="str">
        <f>Data2025!C203</f>
        <v>5.1.02.02.01.0063</v>
      </c>
      <c r="E204" s="265">
        <f>Data2025!E203</f>
        <v>45706</v>
      </c>
      <c r="F204" s="640" t="str">
        <f>Data2025!F203</f>
        <v>20/02/2025</v>
      </c>
      <c r="G204" s="265" t="str">
        <f>Data2025!H203</f>
        <v>20/02/2025</v>
      </c>
      <c r="H204" s="265" t="str">
        <f t="shared" si="11"/>
        <v>20/02/2025</v>
      </c>
      <c r="I204" s="641" t="str">
        <f>Data2025!J203</f>
        <v>20/02/2025</v>
      </c>
      <c r="J204" s="381" t="str">
        <f>Data2025!L203</f>
        <v>Biaya Langganan Internet--</v>
      </c>
      <c r="K204" s="381" t="str">
        <f>Data2025!M203</f>
        <v>Jasa Langganan Indihome</v>
      </c>
      <c r="L204" s="642">
        <f>Data2025!N203</f>
        <v>1</v>
      </c>
      <c r="M204" s="642" t="str">
        <f>Data2025!O203</f>
        <v>bulan</v>
      </c>
      <c r="N204" s="643">
        <f>Data2025!P203</f>
        <v>1500000</v>
      </c>
      <c r="O204" s="644">
        <f>Data2025!Q203</f>
        <v>1500000</v>
      </c>
      <c r="P204" s="645" t="s">
        <v>2668</v>
      </c>
      <c r="Q204" s="646" t="e">
        <f>VLOOKUP(K204,Sheet1!$C$1:$D$101,2,)</f>
        <v>#N/A</v>
      </c>
      <c r="R204" s="267">
        <v>1000000</v>
      </c>
      <c r="S204" s="647">
        <v>1002000</v>
      </c>
      <c r="T204" s="648">
        <f>Data2025!T203</f>
        <v>0</v>
      </c>
      <c r="U204" s="268" t="s">
        <v>538</v>
      </c>
      <c r="V204" s="648" t="e">
        <f>Data2025!V203</f>
        <v>#N/A</v>
      </c>
      <c r="W204" s="648" t="e">
        <f>Data2025!X203</f>
        <v>#N/A</v>
      </c>
      <c r="X204" s="268" t="s">
        <v>541</v>
      </c>
      <c r="Y204" s="268" t="str">
        <f t="shared" si="12"/>
        <v>Jasa Internet</v>
      </c>
      <c r="Z204" s="649" t="str">
        <f t="shared" si="13"/>
        <v>Jasa Internet</v>
      </c>
      <c r="AA204" s="650" t="s">
        <v>3373</v>
      </c>
      <c r="AB204" s="269">
        <v>1000000</v>
      </c>
      <c r="AC204" s="269">
        <v>1000000</v>
      </c>
      <c r="AD204" s="267">
        <v>1000000</v>
      </c>
      <c r="AE204" s="270">
        <v>900900.90090090095</v>
      </c>
      <c r="AF204" s="270">
        <v>1000000</v>
      </c>
      <c r="AG204" s="805" t="s">
        <v>3883</v>
      </c>
      <c r="AH204" s="651" t="e">
        <f>Data2025!W203</f>
        <v>#N/A</v>
      </c>
    </row>
    <row r="205" spans="1:34" s="871" customFormat="1" ht="16.5" thickTop="1" thickBot="1">
      <c r="A205" s="848">
        <f>Data2025!G204</f>
        <v>72</v>
      </c>
      <c r="B205" s="849" t="str">
        <f>Data2025!K204</f>
        <v>BPU35</v>
      </c>
      <c r="C205" s="850" t="str">
        <f>Data2025!D204</f>
        <v>03. 03. 14.</v>
      </c>
      <c r="D205" s="851" t="str">
        <f>Data2025!C204</f>
        <v>5.1.02.01.01.0052</v>
      </c>
      <c r="E205" s="852">
        <f>Data2025!E204</f>
        <v>45707</v>
      </c>
      <c r="F205" s="853" t="str">
        <f>Data2025!F204</f>
        <v>21/02/2025</v>
      </c>
      <c r="G205" s="852" t="str">
        <f>Data2025!H204</f>
        <v>22/02/2025</v>
      </c>
      <c r="H205" s="852" t="str">
        <f t="shared" si="11"/>
        <v>22/02/2025</v>
      </c>
      <c r="I205" s="854" t="str">
        <f>Data2025!J204</f>
        <v>22/02/2025</v>
      </c>
      <c r="J205" s="855" t="str">
        <f>Data2025!L204</f>
        <v>Kudapan pada Kegiatan rubrik/Ibadah Bulanan</v>
      </c>
      <c r="K205" s="855" t="str">
        <f>Data2025!M204</f>
        <v>Kue Besar</v>
      </c>
      <c r="L205" s="856">
        <f>Data2025!N204</f>
        <v>100</v>
      </c>
      <c r="M205" s="856" t="str">
        <f>Data2025!O204</f>
        <v>kotak</v>
      </c>
      <c r="N205" s="857">
        <f>Data2025!P204</f>
        <v>15000</v>
      </c>
      <c r="O205" s="858">
        <f>Data2025!Q204</f>
        <v>1500000</v>
      </c>
      <c r="P205" s="859" t="s">
        <v>280</v>
      </c>
      <c r="Q205" s="860" t="str">
        <f>VLOOKUP(K205,Sheet1!$C$1:$D$101,2,)</f>
        <v>Kue (bahan tepung terigu, gula, telur, mentega; berat 100gr, panjang 15cm, lebar 8 cm)</v>
      </c>
      <c r="R205" s="861">
        <v>2475000</v>
      </c>
      <c r="S205" s="862">
        <v>2541000</v>
      </c>
      <c r="T205" s="863" t="str">
        <f>Data2025!T204</f>
        <v>Rumah Roti Helena</v>
      </c>
      <c r="U205" s="864" t="s">
        <v>538</v>
      </c>
      <c r="V205" s="863" t="str">
        <f>Data2025!V204</f>
        <v>Fudi Supiyanto</v>
      </c>
      <c r="W205" s="863" t="str">
        <f>Data2025!X204</f>
        <v>Jln Ahmad Yani No.89 Kel. Pasar Telukdalam, Nias Selatan</v>
      </c>
      <c r="X205" s="864" t="s">
        <v>540</v>
      </c>
      <c r="Y205" s="864" t="str">
        <f t="shared" si="12"/>
        <v>Kudapan</v>
      </c>
      <c r="Z205" s="865" t="str">
        <f t="shared" si="13"/>
        <v>Kudapan</v>
      </c>
      <c r="AA205" s="866" t="s">
        <v>3374</v>
      </c>
      <c r="AB205" s="867">
        <v>75000</v>
      </c>
      <c r="AC205" s="867">
        <v>2475000</v>
      </c>
      <c r="AD205" s="861">
        <v>2475000</v>
      </c>
      <c r="AE205" s="868">
        <v>2229729.7297297297</v>
      </c>
      <c r="AF205" s="868">
        <v>2475000</v>
      </c>
      <c r="AG205" s="869" t="s">
        <v>3883</v>
      </c>
      <c r="AH205" s="870" t="str">
        <f>Data2025!W204</f>
        <v>082164895397</v>
      </c>
    </row>
    <row r="206" spans="1:34" ht="16.5" thickTop="1" thickBot="1">
      <c r="A206" s="636">
        <f>Data2025!G205</f>
        <v>73</v>
      </c>
      <c r="B206" s="637" t="str">
        <f>Data2025!K205</f>
        <v>BPU36</v>
      </c>
      <c r="C206" s="638" t="str">
        <f>Data2025!D205</f>
        <v>03. 03. 21.</v>
      </c>
      <c r="D206" s="639" t="str">
        <f>Data2025!C205</f>
        <v>5.1.02.01.01.0026</v>
      </c>
      <c r="E206" s="265">
        <f>Data2025!E205</f>
        <v>45708</v>
      </c>
      <c r="F206" s="640" t="str">
        <f>Data2025!F205</f>
        <v>22/02/2025</v>
      </c>
      <c r="G206" s="265" t="str">
        <f>Data2025!H205</f>
        <v>24/02/2025</v>
      </c>
      <c r="H206" s="265" t="str">
        <f t="shared" si="11"/>
        <v>24/02/2025</v>
      </c>
      <c r="I206" s="641" t="str">
        <f>Data2025!J205</f>
        <v>24/02/2025</v>
      </c>
      <c r="J206" s="381" t="str">
        <f>Data2025!L205</f>
        <v>Spanduk Uk. 1 x 6 meter-</v>
      </c>
      <c r="K206" s="381" t="str">
        <f>Data2025!M205</f>
        <v>Spanduk Uk. 1 x 6 meter-</v>
      </c>
      <c r="L206" s="642">
        <f>Data2025!N205</f>
        <v>2</v>
      </c>
      <c r="M206" s="642" t="str">
        <f>Data2025!O205</f>
        <v>buah</v>
      </c>
      <c r="N206" s="643">
        <f>Data2025!P205</f>
        <v>300000</v>
      </c>
      <c r="O206" s="644">
        <f>Data2025!Q205</f>
        <v>600000</v>
      </c>
      <c r="P206" s="645" t="s">
        <v>296</v>
      </c>
      <c r="Q206" s="646" t="e">
        <f>VLOOKUP(K206,Sheet1!$C$1:$D$101,2,)</f>
        <v>#N/A</v>
      </c>
      <c r="R206" s="267">
        <v>2550000</v>
      </c>
      <c r="S206" s="647">
        <v>2618000</v>
      </c>
      <c r="T206" s="648" t="str">
        <f>Data2025!T205</f>
        <v>UD. BALIZATO</v>
      </c>
      <c r="U206" s="268" t="s">
        <v>538</v>
      </c>
      <c r="V206" s="648" t="str">
        <f>Data2025!V205</f>
        <v>Pieter B.P. Loi</v>
      </c>
      <c r="W206" s="648" t="str">
        <f>Data2025!X205</f>
        <v>Jl. Diponegoro Kel. Pasar Telukdalam - Nias Selatan</v>
      </c>
      <c r="X206" s="268" t="s">
        <v>540</v>
      </c>
      <c r="Y206" s="268" t="str">
        <f t="shared" si="12"/>
        <v>Spanduk</v>
      </c>
      <c r="Z206" s="649" t="str">
        <f t="shared" si="13"/>
        <v>Spanduk</v>
      </c>
      <c r="AA206" s="650" t="s">
        <v>3374</v>
      </c>
      <c r="AB206" s="269">
        <v>75000</v>
      </c>
      <c r="AC206" s="269">
        <v>2550000</v>
      </c>
      <c r="AD206" s="267">
        <v>2550000</v>
      </c>
      <c r="AE206" s="270">
        <v>2297297.2972972975</v>
      </c>
      <c r="AF206" s="270">
        <v>2550000</v>
      </c>
      <c r="AG206" s="805" t="s">
        <v>3883</v>
      </c>
      <c r="AH206" s="651" t="str">
        <f>Data2025!W205</f>
        <v>082166506229</v>
      </c>
    </row>
    <row r="207" spans="1:34" s="871" customFormat="1" ht="38.5" thickTop="1" thickBot="1">
      <c r="A207" s="848">
        <f>Data2025!G206</f>
        <v>74</v>
      </c>
      <c r="B207" s="849" t="str">
        <f>Data2025!K206</f>
        <v>BPU37</v>
      </c>
      <c r="C207" s="850" t="str">
        <f>Data2025!D206</f>
        <v>04. 06. 07.</v>
      </c>
      <c r="D207" s="851" t="str">
        <f>Data2025!C206</f>
        <v>5.1.02.01.01.0052</v>
      </c>
      <c r="E207" s="852">
        <f>Data2025!E206</f>
        <v>45708</v>
      </c>
      <c r="F207" s="853" t="str">
        <f>Data2025!F206</f>
        <v>22/02/2025</v>
      </c>
      <c r="G207" s="852" t="str">
        <f>Data2025!H206</f>
        <v>24/02/2025</v>
      </c>
      <c r="H207" s="852" t="str">
        <f t="shared" si="11"/>
        <v>24/02/2025</v>
      </c>
      <c r="I207" s="854" t="str">
        <f>Data2025!J206</f>
        <v>24/02/2025</v>
      </c>
      <c r="J207" s="855" t="str">
        <f>Data2025!L206</f>
        <v>Kudapan pada Kegiatan Bimtek Tenaga Pelaksana Sekolah (Tenaga Ekstrakurikuler, TU, Laboratorium, Perustakaan, dan UKS)</v>
      </c>
      <c r="K207" s="855" t="str">
        <f>Data2025!M206</f>
        <v>Kue Besar</v>
      </c>
      <c r="L207" s="856">
        <f>Data2025!N206</f>
        <v>288</v>
      </c>
      <c r="M207" s="856" t="str">
        <f>Data2025!O206</f>
        <v>kotak</v>
      </c>
      <c r="N207" s="857">
        <f>Data2025!P206</f>
        <v>15000</v>
      </c>
      <c r="O207" s="858">
        <f>Data2025!Q206</f>
        <v>4320000</v>
      </c>
      <c r="P207" s="859" t="s">
        <v>280</v>
      </c>
      <c r="Q207" s="860" t="str">
        <f>VLOOKUP(K207,Sheet1!$C$1:$D$101,2,)</f>
        <v>Kue (bahan tepung terigu, gula, telur, mentega; berat 100gr, panjang 15cm, lebar 8 cm)</v>
      </c>
      <c r="R207" s="861">
        <v>2250000</v>
      </c>
      <c r="S207" s="862">
        <v>2310000</v>
      </c>
      <c r="T207" s="863" t="str">
        <f>Data2025!T206</f>
        <v>Rumah Roti Helena</v>
      </c>
      <c r="U207" s="864" t="s">
        <v>538</v>
      </c>
      <c r="V207" s="863" t="str">
        <f>Data2025!V206</f>
        <v>Fudi Supiyanto</v>
      </c>
      <c r="W207" s="863" t="str">
        <f>Data2025!X206</f>
        <v>Jln Ahmad Yani No.89 Kel. Pasar Telukdalam, Nias Selatan</v>
      </c>
      <c r="X207" s="864" t="s">
        <v>540</v>
      </c>
      <c r="Y207" s="864" t="str">
        <f t="shared" si="12"/>
        <v>Kudapan</v>
      </c>
      <c r="Z207" s="865" t="str">
        <f t="shared" si="13"/>
        <v>Kudapan</v>
      </c>
      <c r="AA207" s="866" t="s">
        <v>3374</v>
      </c>
      <c r="AB207" s="867">
        <v>75000</v>
      </c>
      <c r="AC207" s="867">
        <v>2250000</v>
      </c>
      <c r="AD207" s="861">
        <v>2250000</v>
      </c>
      <c r="AE207" s="868">
        <v>2027027.027027027</v>
      </c>
      <c r="AF207" s="868">
        <v>2250000</v>
      </c>
      <c r="AG207" s="869" t="s">
        <v>3883</v>
      </c>
      <c r="AH207" s="870" t="str">
        <f>Data2025!W206</f>
        <v>082164895397</v>
      </c>
    </row>
    <row r="208" spans="1:34" s="871" customFormat="1" ht="16.5" thickTop="1" thickBot="1">
      <c r="A208" s="848">
        <f>Data2025!G207</f>
        <v>75</v>
      </c>
      <c r="B208" s="849" t="str">
        <f>Data2025!K207</f>
        <v>BPU38</v>
      </c>
      <c r="C208" s="850" t="str">
        <f>Data2025!D207</f>
        <v>06. 05. 02.</v>
      </c>
      <c r="D208" s="851" t="str">
        <f>Data2025!C207</f>
        <v>5.1.02.01.01.0052</v>
      </c>
      <c r="E208" s="852">
        <f>Data2025!E207</f>
        <v>45713</v>
      </c>
      <c r="F208" s="853" t="str">
        <f>Data2025!F207</f>
        <v>27/02/2025</v>
      </c>
      <c r="G208" s="852" t="str">
        <f>Data2025!H207</f>
        <v>28/02/2025</v>
      </c>
      <c r="H208" s="852" t="str">
        <f t="shared" si="11"/>
        <v>28/02/2025</v>
      </c>
      <c r="I208" s="854" t="str">
        <f>Data2025!J207</f>
        <v>28/02/2025</v>
      </c>
      <c r="J208" s="855" t="str">
        <f>Data2025!L207</f>
        <v>Kudapan Rapat Rutin Bulanan</v>
      </c>
      <c r="K208" s="855" t="str">
        <f>Data2025!M207</f>
        <v>Kue Besar</v>
      </c>
      <c r="L208" s="856">
        <f>Data2025!N207</f>
        <v>60</v>
      </c>
      <c r="M208" s="856" t="str">
        <f>Data2025!O207</f>
        <v>buah</v>
      </c>
      <c r="N208" s="857">
        <f>Data2025!P207</f>
        <v>15000</v>
      </c>
      <c r="O208" s="858">
        <f>Data2025!Q207</f>
        <v>900000</v>
      </c>
      <c r="P208" s="859" t="s">
        <v>280</v>
      </c>
      <c r="Q208" s="860" t="str">
        <f>VLOOKUP(K208,Sheet1!$C$1:$D$101,2,)</f>
        <v>Kue (bahan tepung terigu, gula, telur, mentega; berat 100gr, panjang 15cm, lebar 8 cm)</v>
      </c>
      <c r="R208" s="861">
        <v>2475000</v>
      </c>
      <c r="S208" s="862">
        <v>2541000</v>
      </c>
      <c r="T208" s="863" t="str">
        <f>Data2025!T207</f>
        <v>Rumah Roti Helena</v>
      </c>
      <c r="U208" s="864" t="s">
        <v>538</v>
      </c>
      <c r="V208" s="863" t="str">
        <f>Data2025!V207</f>
        <v>Fudi Supiyanto</v>
      </c>
      <c r="W208" s="863" t="str">
        <f>Data2025!X207</f>
        <v>Jln Ahmad Yani No.89 Kel. Pasar Telukdalam, Nias Selatan</v>
      </c>
      <c r="X208" s="864" t="s">
        <v>540</v>
      </c>
      <c r="Y208" s="864" t="str">
        <f t="shared" si="12"/>
        <v>Kudapan</v>
      </c>
      <c r="Z208" s="865" t="str">
        <f t="shared" si="13"/>
        <v>Kudapan</v>
      </c>
      <c r="AA208" s="866" t="s">
        <v>3374</v>
      </c>
      <c r="AB208" s="867">
        <v>75000</v>
      </c>
      <c r="AC208" s="867">
        <v>2475000</v>
      </c>
      <c r="AD208" s="861">
        <v>2475000</v>
      </c>
      <c r="AE208" s="868">
        <v>2229729.7297297297</v>
      </c>
      <c r="AF208" s="868">
        <v>2475000</v>
      </c>
      <c r="AG208" s="869" t="s">
        <v>3883</v>
      </c>
      <c r="AH208" s="870" t="str">
        <f>Data2025!W207</f>
        <v>082164895397</v>
      </c>
    </row>
    <row r="209" spans="1:34" ht="16.5" thickTop="1" thickBot="1">
      <c r="A209" s="636">
        <f>Data2025!G208</f>
        <v>76</v>
      </c>
      <c r="B209" s="637" t="str">
        <f>Data2025!K208</f>
        <v>BNU18</v>
      </c>
      <c r="C209" s="638" t="str">
        <f>Data2025!D208</f>
        <v>07. 12. 01.</v>
      </c>
      <c r="D209" s="639" t="str">
        <f>Data2025!C208</f>
        <v>5.1.02.02.01.0013</v>
      </c>
      <c r="E209" s="265">
        <f>Data2025!E208</f>
        <v>45714</v>
      </c>
      <c r="F209" s="640" t="str">
        <f>Data2025!F208</f>
        <v>28/02/2025</v>
      </c>
      <c r="G209" s="265" t="str">
        <f>Data2025!H208</f>
        <v>28/02/2025</v>
      </c>
      <c r="H209" s="265" t="str">
        <f t="shared" si="11"/>
        <v>28/02/2025</v>
      </c>
      <c r="I209" s="641" t="str">
        <f>Data2025!J208</f>
        <v>28/02/2025</v>
      </c>
      <c r="J209" s="381" t="str">
        <f>Data2025!L208</f>
        <v>Selatieli Nehe</v>
      </c>
      <c r="K209" s="381" t="str">
        <f>Data2025!M208</f>
        <v>Gaji Guru Tidak Tetap Sekolah</v>
      </c>
      <c r="L209" s="642">
        <f>Data2025!N208</f>
        <v>41</v>
      </c>
      <c r="M209" s="642" t="str">
        <f>Data2025!O208</f>
        <v>jpl</v>
      </c>
      <c r="N209" s="643">
        <f>Data2025!P208</f>
        <v>60000</v>
      </c>
      <c r="O209" s="644">
        <f>Data2025!Q208</f>
        <v>2460000</v>
      </c>
      <c r="P209" s="645" t="s">
        <v>3867</v>
      </c>
      <c r="Q209" s="646" t="e">
        <f>VLOOKUP(K209,Sheet1!$C$1:$D$101,2,)</f>
        <v>#N/A</v>
      </c>
      <c r="R209" s="267">
        <v>2100000</v>
      </c>
      <c r="S209" s="647">
        <v>2156000</v>
      </c>
      <c r="T209" s="648">
        <f>Data2025!T208</f>
        <v>0</v>
      </c>
      <c r="U209" s="268" t="s">
        <v>538</v>
      </c>
      <c r="V209" s="648" t="e">
        <f>Data2025!V208</f>
        <v>#N/A</v>
      </c>
      <c r="W209" s="648" t="e">
        <f>Data2025!X208</f>
        <v>#N/A</v>
      </c>
      <c r="X209" s="268" t="s">
        <v>540</v>
      </c>
      <c r="Y209" s="268" t="str">
        <f t="shared" si="12"/>
        <v>Honorarium</v>
      </c>
      <c r="Z209" s="649" t="str">
        <f t="shared" si="13"/>
        <v>Honorarium</v>
      </c>
      <c r="AA209" s="650" t="s">
        <v>3374</v>
      </c>
      <c r="AB209" s="269">
        <v>75000</v>
      </c>
      <c r="AC209" s="269">
        <v>2100000</v>
      </c>
      <c r="AD209" s="267">
        <v>2100000</v>
      </c>
      <c r="AE209" s="270">
        <v>1891891.8918918918</v>
      </c>
      <c r="AF209" s="270">
        <v>2100000</v>
      </c>
      <c r="AG209" s="805" t="s">
        <v>3883</v>
      </c>
      <c r="AH209" s="651" t="e">
        <f>Data2025!W208</f>
        <v>#N/A</v>
      </c>
    </row>
    <row r="210" spans="1:34" ht="16.5" thickTop="1" thickBot="1">
      <c r="A210" s="636">
        <f>Data2025!G209</f>
        <v>77</v>
      </c>
      <c r="B210" s="637" t="str">
        <f>Data2025!K209</f>
        <v>BNU19</v>
      </c>
      <c r="C210" s="638" t="str">
        <f>Data2025!D209</f>
        <v>07. 12. 01.</v>
      </c>
      <c r="D210" s="639" t="str">
        <f>Data2025!C209</f>
        <v>5.1.02.02.01.0013</v>
      </c>
      <c r="E210" s="265">
        <f>Data2025!E209</f>
        <v>45714</v>
      </c>
      <c r="F210" s="640" t="str">
        <f>Data2025!F209</f>
        <v>28/02/2025</v>
      </c>
      <c r="G210" s="265" t="str">
        <f>Data2025!H209</f>
        <v>28/02/2025</v>
      </c>
      <c r="H210" s="265" t="str">
        <f t="shared" si="11"/>
        <v>28/02/2025</v>
      </c>
      <c r="I210" s="641" t="str">
        <f>Data2025!J209</f>
        <v>28/02/2025</v>
      </c>
      <c r="J210" s="381" t="str">
        <f>Data2025!L209</f>
        <v>Arifin Metodi Bate'e</v>
      </c>
      <c r="K210" s="381" t="str">
        <f>Data2025!M209</f>
        <v>Gaji Guru Tidak Tetap Sekolah</v>
      </c>
      <c r="L210" s="642">
        <f>Data2025!N209</f>
        <v>34</v>
      </c>
      <c r="M210" s="642" t="str">
        <f>Data2025!O209</f>
        <v>jpl</v>
      </c>
      <c r="N210" s="643">
        <f>Data2025!P209</f>
        <v>60000</v>
      </c>
      <c r="O210" s="644">
        <f>Data2025!Q209</f>
        <v>2040000</v>
      </c>
      <c r="P210" s="645" t="s">
        <v>3867</v>
      </c>
      <c r="Q210" s="646" t="e">
        <f>VLOOKUP(K210,Sheet1!$C$1:$D$101,2,)</f>
        <v>#N/A</v>
      </c>
      <c r="R210" s="267">
        <v>2475000</v>
      </c>
      <c r="S210" s="647">
        <v>2541000</v>
      </c>
      <c r="T210" s="648">
        <f>Data2025!T209</f>
        <v>0</v>
      </c>
      <c r="U210" s="268" t="s">
        <v>538</v>
      </c>
      <c r="V210" s="648" t="e">
        <f>Data2025!V209</f>
        <v>#N/A</v>
      </c>
      <c r="W210" s="648" t="e">
        <f>Data2025!X209</f>
        <v>#N/A</v>
      </c>
      <c r="X210" s="268" t="s">
        <v>540</v>
      </c>
      <c r="Y210" s="268" t="str">
        <f t="shared" si="12"/>
        <v>Honorarium</v>
      </c>
      <c r="Z210" s="649" t="str">
        <f t="shared" si="13"/>
        <v>Honorarium</v>
      </c>
      <c r="AA210" s="650" t="s">
        <v>3374</v>
      </c>
      <c r="AB210" s="269">
        <v>75000</v>
      </c>
      <c r="AC210" s="269">
        <v>2475000</v>
      </c>
      <c r="AD210" s="267">
        <v>2475000</v>
      </c>
      <c r="AE210" s="270">
        <v>2229729.7297297297</v>
      </c>
      <c r="AF210" s="270">
        <v>2475000</v>
      </c>
      <c r="AG210" s="805" t="s">
        <v>3883</v>
      </c>
      <c r="AH210" s="651" t="e">
        <f>Data2025!W209</f>
        <v>#N/A</v>
      </c>
    </row>
    <row r="211" spans="1:34" ht="16.5" thickTop="1" thickBot="1">
      <c r="A211" s="636">
        <f>Data2025!G210</f>
        <v>78</v>
      </c>
      <c r="B211" s="637" t="str">
        <f>Data2025!K210</f>
        <v>BNU20</v>
      </c>
      <c r="C211" s="638" t="str">
        <f>Data2025!D210</f>
        <v>07. 12. 01.</v>
      </c>
      <c r="D211" s="639" t="str">
        <f>Data2025!C210</f>
        <v>5.1.02.02.01.0013</v>
      </c>
      <c r="E211" s="265">
        <f>Data2025!E210</f>
        <v>45714</v>
      </c>
      <c r="F211" s="640" t="str">
        <f>Data2025!F210</f>
        <v>28/02/2025</v>
      </c>
      <c r="G211" s="265" t="str">
        <f>Data2025!H210</f>
        <v>28/02/2025</v>
      </c>
      <c r="H211" s="265" t="str">
        <f t="shared" si="11"/>
        <v>28/02/2025</v>
      </c>
      <c r="I211" s="641" t="str">
        <f>Data2025!J210</f>
        <v>28/02/2025</v>
      </c>
      <c r="J211" s="381" t="str">
        <f>Data2025!L210</f>
        <v>Ferdiwati Wau</v>
      </c>
      <c r="K211" s="381" t="str">
        <f>Data2025!M210</f>
        <v>Gaji Guru Tidak Tetap Sekolah</v>
      </c>
      <c r="L211" s="642">
        <f>Data2025!N210</f>
        <v>34</v>
      </c>
      <c r="M211" s="642" t="str">
        <f>Data2025!O210</f>
        <v>jpl</v>
      </c>
      <c r="N211" s="643">
        <f>Data2025!P210</f>
        <v>60000</v>
      </c>
      <c r="O211" s="644">
        <f>Data2025!Q210</f>
        <v>2040000</v>
      </c>
      <c r="P211" s="645" t="s">
        <v>3867</v>
      </c>
      <c r="Q211" s="646" t="e">
        <f>VLOOKUP(K211,Sheet1!$C$1:$D$101,2,)</f>
        <v>#N/A</v>
      </c>
      <c r="R211" s="267">
        <v>2000000</v>
      </c>
      <c r="S211" s="647">
        <v>2002000</v>
      </c>
      <c r="T211" s="648">
        <f>Data2025!T210</f>
        <v>0</v>
      </c>
      <c r="U211" s="268" t="s">
        <v>538</v>
      </c>
      <c r="V211" s="648" t="e">
        <f>Data2025!V210</f>
        <v>#N/A</v>
      </c>
      <c r="W211" s="648" t="e">
        <f>Data2025!X210</f>
        <v>#N/A</v>
      </c>
      <c r="X211" s="268" t="s">
        <v>540</v>
      </c>
      <c r="Y211" s="268" t="str">
        <f t="shared" si="12"/>
        <v>Honorarium</v>
      </c>
      <c r="Z211" s="649" t="str">
        <f t="shared" si="13"/>
        <v>Honorarium</v>
      </c>
      <c r="AA211" s="650" t="s">
        <v>3373</v>
      </c>
      <c r="AB211" s="269">
        <v>2000000</v>
      </c>
      <c r="AC211" s="269">
        <v>2000000</v>
      </c>
      <c r="AD211" s="267">
        <v>2000000</v>
      </c>
      <c r="AE211" s="270">
        <v>1801801.8018018019</v>
      </c>
      <c r="AF211" s="270">
        <v>2000000</v>
      </c>
      <c r="AG211" s="805" t="s">
        <v>3883</v>
      </c>
      <c r="AH211" s="651" t="e">
        <f>Data2025!W210</f>
        <v>#N/A</v>
      </c>
    </row>
    <row r="212" spans="1:34" ht="16.5" thickTop="1" thickBot="1">
      <c r="A212" s="636">
        <f>Data2025!G211</f>
        <v>79</v>
      </c>
      <c r="B212" s="637" t="str">
        <f>Data2025!K211</f>
        <v>BNU21</v>
      </c>
      <c r="C212" s="638" t="str">
        <f>Data2025!D211</f>
        <v>07. 12. 01.</v>
      </c>
      <c r="D212" s="639" t="str">
        <f>Data2025!C211</f>
        <v>5.1.02.02.01.0013</v>
      </c>
      <c r="E212" s="265">
        <f>Data2025!E211</f>
        <v>45714</v>
      </c>
      <c r="F212" s="640" t="str">
        <f>Data2025!F211</f>
        <v>28/02/2025</v>
      </c>
      <c r="G212" s="265" t="str">
        <f>Data2025!H211</f>
        <v>28/02/2025</v>
      </c>
      <c r="H212" s="265" t="str">
        <f t="shared" si="11"/>
        <v>28/02/2025</v>
      </c>
      <c r="I212" s="641" t="str">
        <f>Data2025!J211</f>
        <v>28/02/2025</v>
      </c>
      <c r="J212" s="381" t="str">
        <f>Data2025!L211</f>
        <v>Noni Alfanita Sarumaha, S.Pd</v>
      </c>
      <c r="K212" s="381" t="str">
        <f>Data2025!M211</f>
        <v>Gaji Guru Tidak Tetap Sekolah</v>
      </c>
      <c r="L212" s="642">
        <f>Data2025!N211</f>
        <v>37</v>
      </c>
      <c r="M212" s="642" t="str">
        <f>Data2025!O211</f>
        <v>jpl</v>
      </c>
      <c r="N212" s="643">
        <f>Data2025!P211</f>
        <v>60000</v>
      </c>
      <c r="O212" s="644">
        <f>Data2025!Q211</f>
        <v>2220000</v>
      </c>
      <c r="P212" s="645" t="s">
        <v>3867</v>
      </c>
      <c r="Q212" s="646" t="e">
        <f>VLOOKUP(K212,Sheet1!$C$1:$D$101,2,)</f>
        <v>#N/A</v>
      </c>
      <c r="R212" s="267">
        <v>2000000</v>
      </c>
      <c r="S212" s="647">
        <v>2002000</v>
      </c>
      <c r="T212" s="648">
        <f>Data2025!T211</f>
        <v>0</v>
      </c>
      <c r="U212" s="268" t="s">
        <v>538</v>
      </c>
      <c r="V212" s="648" t="e">
        <f>Data2025!V211</f>
        <v>#N/A</v>
      </c>
      <c r="W212" s="648" t="e">
        <f>Data2025!X211</f>
        <v>#N/A</v>
      </c>
      <c r="X212" s="268" t="s">
        <v>540</v>
      </c>
      <c r="Y212" s="268" t="str">
        <f t="shared" si="12"/>
        <v>Honorarium</v>
      </c>
      <c r="Z212" s="649" t="str">
        <f t="shared" si="13"/>
        <v>Honorarium</v>
      </c>
      <c r="AA212" s="650" t="s">
        <v>3373</v>
      </c>
      <c r="AB212" s="269">
        <v>2000000</v>
      </c>
      <c r="AC212" s="269">
        <v>2000000</v>
      </c>
      <c r="AD212" s="267">
        <v>2000000</v>
      </c>
      <c r="AE212" s="270">
        <v>1801801.8018018019</v>
      </c>
      <c r="AF212" s="270">
        <v>2000000</v>
      </c>
      <c r="AG212" s="805" t="s">
        <v>3883</v>
      </c>
      <c r="AH212" s="651" t="e">
        <f>Data2025!W211</f>
        <v>#N/A</v>
      </c>
    </row>
    <row r="213" spans="1:34" ht="16.5" thickTop="1" thickBot="1">
      <c r="A213" s="636">
        <f>Data2025!G212</f>
        <v>80</v>
      </c>
      <c r="B213" s="637" t="str">
        <f>Data2025!K212</f>
        <v>BNU22</v>
      </c>
      <c r="C213" s="638" t="str">
        <f>Data2025!D212</f>
        <v>07. 12. 01.</v>
      </c>
      <c r="D213" s="639" t="str">
        <f>Data2025!C212</f>
        <v>5.1.02.02.01.0013</v>
      </c>
      <c r="E213" s="265">
        <f>Data2025!E212</f>
        <v>45714</v>
      </c>
      <c r="F213" s="640" t="str">
        <f>Data2025!F212</f>
        <v>28/02/2025</v>
      </c>
      <c r="G213" s="265" t="str">
        <f>Data2025!H212</f>
        <v>28/02/2025</v>
      </c>
      <c r="H213" s="265" t="str">
        <f t="shared" si="11"/>
        <v>28/02/2025</v>
      </c>
      <c r="I213" s="641" t="str">
        <f>Data2025!J212</f>
        <v>28/02/2025</v>
      </c>
      <c r="J213" s="381" t="str">
        <f>Data2025!L212</f>
        <v>EMILA HAFO</v>
      </c>
      <c r="K213" s="381" t="str">
        <f>Data2025!M212</f>
        <v>Gaji Guru Tidak Tetap Sekolah</v>
      </c>
      <c r="L213" s="642">
        <f>Data2025!N212</f>
        <v>35</v>
      </c>
      <c r="M213" s="642" t="str">
        <f>Data2025!O212</f>
        <v>jpl</v>
      </c>
      <c r="N213" s="643">
        <f>Data2025!P212</f>
        <v>60000</v>
      </c>
      <c r="O213" s="644">
        <f>Data2025!Q212</f>
        <v>2100000</v>
      </c>
      <c r="P213" s="645" t="s">
        <v>3867</v>
      </c>
      <c r="Q213" s="646" t="e">
        <f>VLOOKUP(K213,Sheet1!$C$1:$D$101,2,)</f>
        <v>#N/A</v>
      </c>
      <c r="R213" s="267">
        <v>2000000</v>
      </c>
      <c r="S213" s="647">
        <v>2002000</v>
      </c>
      <c r="T213" s="648">
        <f>Data2025!T212</f>
        <v>0</v>
      </c>
      <c r="U213" s="268" t="s">
        <v>538</v>
      </c>
      <c r="V213" s="648" t="e">
        <f>Data2025!V212</f>
        <v>#N/A</v>
      </c>
      <c r="W213" s="648" t="e">
        <f>Data2025!X212</f>
        <v>#N/A</v>
      </c>
      <c r="X213" s="268" t="s">
        <v>540</v>
      </c>
      <c r="Y213" s="268" t="str">
        <f t="shared" si="12"/>
        <v>Honorarium</v>
      </c>
      <c r="Z213" s="649" t="str">
        <f t="shared" si="13"/>
        <v>Honorarium</v>
      </c>
      <c r="AA213" s="650" t="s">
        <v>3373</v>
      </c>
      <c r="AB213" s="269">
        <v>2000000</v>
      </c>
      <c r="AC213" s="269">
        <v>2000000</v>
      </c>
      <c r="AD213" s="267">
        <v>2000000</v>
      </c>
      <c r="AE213" s="270">
        <v>1801801.8018018019</v>
      </c>
      <c r="AF213" s="270">
        <v>2000000</v>
      </c>
      <c r="AG213" s="805" t="s">
        <v>3883</v>
      </c>
      <c r="AH213" s="651" t="e">
        <f>Data2025!W212</f>
        <v>#N/A</v>
      </c>
    </row>
    <row r="214" spans="1:34" ht="16.5" thickTop="1" thickBot="1">
      <c r="A214" s="636">
        <f>Data2025!G213</f>
        <v>81</v>
      </c>
      <c r="B214" s="637" t="str">
        <f>Data2025!K213</f>
        <v>BNU23</v>
      </c>
      <c r="C214" s="638" t="str">
        <f>Data2025!D213</f>
        <v>07. 12. 01.</v>
      </c>
      <c r="D214" s="639" t="str">
        <f>Data2025!C213</f>
        <v>5.1.02.02.01.0013</v>
      </c>
      <c r="E214" s="265">
        <f>Data2025!E213</f>
        <v>45714</v>
      </c>
      <c r="F214" s="640" t="str">
        <f>Data2025!F213</f>
        <v>28/02/2025</v>
      </c>
      <c r="G214" s="265" t="str">
        <f>Data2025!H213</f>
        <v>28/02/2025</v>
      </c>
      <c r="H214" s="265" t="str">
        <f t="shared" si="11"/>
        <v>28/02/2025</v>
      </c>
      <c r="I214" s="641" t="str">
        <f>Data2025!J213</f>
        <v>28/02/2025</v>
      </c>
      <c r="J214" s="381" t="str">
        <f>Data2025!L213</f>
        <v>Asep Nurhidayat</v>
      </c>
      <c r="K214" s="381" t="str">
        <f>Data2025!M213</f>
        <v>Gaji Guru Tidak Tetap Sekolah</v>
      </c>
      <c r="L214" s="642">
        <f>Data2025!N213</f>
        <v>21</v>
      </c>
      <c r="M214" s="642" t="str">
        <f>Data2025!O213</f>
        <v>jpl</v>
      </c>
      <c r="N214" s="643">
        <f>Data2025!P213</f>
        <v>60000</v>
      </c>
      <c r="O214" s="644">
        <f>Data2025!Q213</f>
        <v>1260000</v>
      </c>
      <c r="P214" s="645" t="s">
        <v>3867</v>
      </c>
      <c r="Q214" s="646" t="e">
        <f>VLOOKUP(K214,Sheet1!$C$1:$D$101,2,)</f>
        <v>#N/A</v>
      </c>
      <c r="R214" s="267">
        <v>2000000</v>
      </c>
      <c r="S214" s="647">
        <v>2002000</v>
      </c>
      <c r="T214" s="648">
        <f>Data2025!T213</f>
        <v>0</v>
      </c>
      <c r="U214" s="268" t="s">
        <v>538</v>
      </c>
      <c r="V214" s="648" t="e">
        <f>Data2025!V213</f>
        <v>#N/A</v>
      </c>
      <c r="W214" s="648" t="e">
        <f>Data2025!X213</f>
        <v>#N/A</v>
      </c>
      <c r="X214" s="268" t="s">
        <v>540</v>
      </c>
      <c r="Y214" s="268" t="str">
        <f t="shared" si="12"/>
        <v>Honorarium</v>
      </c>
      <c r="Z214" s="649" t="str">
        <f t="shared" si="13"/>
        <v>Honorarium</v>
      </c>
      <c r="AA214" s="650" t="s">
        <v>3373</v>
      </c>
      <c r="AB214" s="269">
        <v>2000000</v>
      </c>
      <c r="AC214" s="269">
        <v>2000000</v>
      </c>
      <c r="AD214" s="267">
        <v>2000000</v>
      </c>
      <c r="AE214" s="270">
        <v>1801801.8018018019</v>
      </c>
      <c r="AF214" s="270">
        <v>2000000</v>
      </c>
      <c r="AG214" s="805" t="s">
        <v>3883</v>
      </c>
      <c r="AH214" s="651" t="e">
        <f>Data2025!W213</f>
        <v>#N/A</v>
      </c>
    </row>
    <row r="215" spans="1:34" ht="16.5" thickTop="1" thickBot="1">
      <c r="A215" s="636">
        <f>Data2025!G214</f>
        <v>82</v>
      </c>
      <c r="B215" s="637" t="str">
        <f>Data2025!K214</f>
        <v>BNU24</v>
      </c>
      <c r="C215" s="638" t="str">
        <f>Data2025!D214</f>
        <v>07. 12. 01.</v>
      </c>
      <c r="D215" s="639" t="str">
        <f>Data2025!C214</f>
        <v>5.1.02.02.01.0013</v>
      </c>
      <c r="E215" s="265">
        <f>Data2025!E214</f>
        <v>45714</v>
      </c>
      <c r="F215" s="640" t="str">
        <f>Data2025!F214</f>
        <v>28/02/2025</v>
      </c>
      <c r="G215" s="265" t="str">
        <f>Data2025!H214</f>
        <v>28/02/2025</v>
      </c>
      <c r="H215" s="265" t="str">
        <f t="shared" si="11"/>
        <v>28/02/2025</v>
      </c>
      <c r="I215" s="641" t="str">
        <f>Data2025!J214</f>
        <v>28/02/2025</v>
      </c>
      <c r="J215" s="381" t="str">
        <f>Data2025!L214</f>
        <v>Amonius Dakhi</v>
      </c>
      <c r="K215" s="381" t="str">
        <f>Data2025!M214</f>
        <v>Gaji Guru Tidak Tetap Sekolah</v>
      </c>
      <c r="L215" s="642">
        <f>Data2025!N214</f>
        <v>24</v>
      </c>
      <c r="M215" s="642" t="str">
        <f>Data2025!O214</f>
        <v>orang / jam pelajaran</v>
      </c>
      <c r="N215" s="643">
        <f>Data2025!P214</f>
        <v>50000</v>
      </c>
      <c r="O215" s="644">
        <f>Data2025!Q214</f>
        <v>1200000</v>
      </c>
      <c r="P215" s="645" t="s">
        <v>3867</v>
      </c>
      <c r="Q215" s="646" t="e">
        <f>VLOOKUP(K215,Sheet1!$C$1:$D$101,2,)</f>
        <v>#N/A</v>
      </c>
      <c r="R215" s="267">
        <v>2000000</v>
      </c>
      <c r="S215" s="647">
        <v>2002000</v>
      </c>
      <c r="T215" s="648">
        <f>Data2025!T214</f>
        <v>0</v>
      </c>
      <c r="U215" s="268" t="s">
        <v>538</v>
      </c>
      <c r="V215" s="648" t="e">
        <f>Data2025!V214</f>
        <v>#N/A</v>
      </c>
      <c r="W215" s="648" t="e">
        <f>Data2025!X214</f>
        <v>#N/A</v>
      </c>
      <c r="X215" s="268" t="s">
        <v>540</v>
      </c>
      <c r="Y215" s="268" t="str">
        <f t="shared" si="12"/>
        <v>Honorarium</v>
      </c>
      <c r="Z215" s="649" t="str">
        <f t="shared" si="13"/>
        <v>Honorarium</v>
      </c>
      <c r="AA215" s="650" t="s">
        <v>3373</v>
      </c>
      <c r="AB215" s="269">
        <v>2000000</v>
      </c>
      <c r="AC215" s="269">
        <v>2000000</v>
      </c>
      <c r="AD215" s="267">
        <v>2000000</v>
      </c>
      <c r="AE215" s="270">
        <v>1801801.8018018019</v>
      </c>
      <c r="AF215" s="270">
        <v>2000000</v>
      </c>
      <c r="AG215" s="805" t="s">
        <v>3883</v>
      </c>
      <c r="AH215" s="651" t="e">
        <f>Data2025!W214</f>
        <v>#N/A</v>
      </c>
    </row>
    <row r="216" spans="1:34" ht="16.5" thickTop="1" thickBot="1">
      <c r="A216" s="636">
        <f>Data2025!G215</f>
        <v>83</v>
      </c>
      <c r="B216" s="637" t="str">
        <f>Data2025!K215</f>
        <v>BNU25</v>
      </c>
      <c r="C216" s="638" t="str">
        <f>Data2025!D215</f>
        <v>07. 12. 01.</v>
      </c>
      <c r="D216" s="639" t="str">
        <f>Data2025!C215</f>
        <v>5.1.02.02.01.0013</v>
      </c>
      <c r="E216" s="265">
        <f>Data2025!E215</f>
        <v>45714</v>
      </c>
      <c r="F216" s="640" t="str">
        <f>Data2025!F215</f>
        <v>28/02/2025</v>
      </c>
      <c r="G216" s="265" t="str">
        <f>Data2025!H215</f>
        <v>28/02/2025</v>
      </c>
      <c r="H216" s="265" t="str">
        <f t="shared" si="11"/>
        <v>28/02/2025</v>
      </c>
      <c r="I216" s="641" t="str">
        <f>Data2025!J215</f>
        <v>28/02/2025</v>
      </c>
      <c r="J216" s="381" t="str">
        <f>Data2025!L215</f>
        <v>NELPI KARIANA WATI GOHAE</v>
      </c>
      <c r="K216" s="381" t="str">
        <f>Data2025!M215</f>
        <v>Gaji Guru Tidak Tetap Sekolah</v>
      </c>
      <c r="L216" s="642">
        <f>Data2025!N215</f>
        <v>24</v>
      </c>
      <c r="M216" s="642" t="str">
        <f>Data2025!O215</f>
        <v>orang / jam pelajaran</v>
      </c>
      <c r="N216" s="643">
        <f>Data2025!P215</f>
        <v>50000</v>
      </c>
      <c r="O216" s="644">
        <f>Data2025!Q215</f>
        <v>1200000</v>
      </c>
      <c r="P216" s="645" t="s">
        <v>3867</v>
      </c>
      <c r="Q216" s="646" t="e">
        <f>VLOOKUP(K216,Sheet1!$C$1:$D$101,2,)</f>
        <v>#N/A</v>
      </c>
      <c r="R216" s="267">
        <v>1000000</v>
      </c>
      <c r="S216" s="647">
        <v>1002000</v>
      </c>
      <c r="T216" s="648">
        <f>Data2025!T215</f>
        <v>0</v>
      </c>
      <c r="U216" s="268" t="s">
        <v>538</v>
      </c>
      <c r="V216" s="648" t="e">
        <f>Data2025!V215</f>
        <v>#N/A</v>
      </c>
      <c r="W216" s="648" t="e">
        <f>Data2025!X215</f>
        <v>#N/A</v>
      </c>
      <c r="X216" s="268" t="s">
        <v>540</v>
      </c>
      <c r="Y216" s="268" t="str">
        <f t="shared" si="12"/>
        <v>Honorarium</v>
      </c>
      <c r="Z216" s="649" t="str">
        <f t="shared" si="13"/>
        <v>Honorarium</v>
      </c>
      <c r="AA216" s="650" t="s">
        <v>3373</v>
      </c>
      <c r="AB216" s="269">
        <v>1000000</v>
      </c>
      <c r="AC216" s="269">
        <v>1000000</v>
      </c>
      <c r="AD216" s="267">
        <v>1000000</v>
      </c>
      <c r="AE216" s="270">
        <v>900900.90090090095</v>
      </c>
      <c r="AF216" s="270">
        <v>1000000</v>
      </c>
      <c r="AG216" s="805" t="s">
        <v>3883</v>
      </c>
      <c r="AH216" s="651" t="e">
        <f>Data2025!W215</f>
        <v>#N/A</v>
      </c>
    </row>
    <row r="217" spans="1:34" ht="26" thickTop="1" thickBot="1">
      <c r="A217" s="636">
        <f>Data2025!G216</f>
        <v>84</v>
      </c>
      <c r="B217" s="637" t="str">
        <f>Data2025!K216</f>
        <v>BNU26</v>
      </c>
      <c r="C217" s="638" t="str">
        <f>Data2025!D216</f>
        <v>07. 12. 01.</v>
      </c>
      <c r="D217" s="639" t="str">
        <f>Data2025!C216</f>
        <v>5.1.02.02.01.0013</v>
      </c>
      <c r="E217" s="265">
        <f>Data2025!E216</f>
        <v>45714</v>
      </c>
      <c r="F217" s="640" t="str">
        <f>Data2025!F216</f>
        <v>28/02/2025</v>
      </c>
      <c r="G217" s="265" t="str">
        <f>Data2025!H216</f>
        <v>28/02/2025</v>
      </c>
      <c r="H217" s="265" t="str">
        <f t="shared" si="11"/>
        <v>28/02/2025</v>
      </c>
      <c r="I217" s="641" t="str">
        <f>Data2025!J216</f>
        <v>28/02/2025</v>
      </c>
      <c r="J217" s="381" t="str">
        <f>Data2025!L216</f>
        <v>MERCY GRACE KARTIKA SARI ZAGOTO (1558776677230122)</v>
      </c>
      <c r="K217" s="381" t="str">
        <f>Data2025!M216</f>
        <v>Gaji Guru Tidak Tetap Sekolah</v>
      </c>
      <c r="L217" s="642">
        <f>Data2025!N216</f>
        <v>35</v>
      </c>
      <c r="M217" s="642" t="str">
        <f>Data2025!O216</f>
        <v>orang / jam pelajaran</v>
      </c>
      <c r="N217" s="643">
        <f>Data2025!P216</f>
        <v>50000</v>
      </c>
      <c r="O217" s="644">
        <f>Data2025!Q216</f>
        <v>1750000</v>
      </c>
      <c r="P217" s="645" t="s">
        <v>3867</v>
      </c>
      <c r="Q217" s="646" t="e">
        <f>VLOOKUP(K217,Sheet1!$C$1:$D$101,2,)</f>
        <v>#N/A</v>
      </c>
      <c r="R217" s="267">
        <v>1500000</v>
      </c>
      <c r="S217" s="647">
        <v>1510000</v>
      </c>
      <c r="T217" s="648">
        <f>Data2025!T216</f>
        <v>0</v>
      </c>
      <c r="U217" s="268" t="s">
        <v>538</v>
      </c>
      <c r="V217" s="648" t="e">
        <f>Data2025!V216</f>
        <v>#N/A</v>
      </c>
      <c r="W217" s="648" t="e">
        <f>Data2025!X216</f>
        <v>#N/A</v>
      </c>
      <c r="X217" s="268" t="s">
        <v>540</v>
      </c>
      <c r="Y217" s="268" t="str">
        <f t="shared" si="12"/>
        <v>Honorarium</v>
      </c>
      <c r="Z217" s="649" t="str">
        <f t="shared" si="13"/>
        <v>Honorarium</v>
      </c>
      <c r="AA217" s="650" t="s">
        <v>3375</v>
      </c>
      <c r="AB217" s="269">
        <v>300000</v>
      </c>
      <c r="AC217" s="269">
        <v>1500000</v>
      </c>
      <c r="AD217" s="267">
        <v>1500000</v>
      </c>
      <c r="AE217" s="270">
        <v>1351351.3513513515</v>
      </c>
      <c r="AF217" s="270">
        <v>1500000</v>
      </c>
      <c r="AG217" s="805" t="s">
        <v>3883</v>
      </c>
      <c r="AH217" s="651" t="e">
        <f>Data2025!W216</f>
        <v>#N/A</v>
      </c>
    </row>
    <row r="218" spans="1:34" ht="16.5" thickTop="1" thickBot="1">
      <c r="A218" s="636">
        <f>Data2025!G217</f>
        <v>85</v>
      </c>
      <c r="B218" s="637" t="str">
        <f>Data2025!K217</f>
        <v>BNU27</v>
      </c>
      <c r="C218" s="638" t="str">
        <f>Data2025!D217</f>
        <v>07. 12. 02.</v>
      </c>
      <c r="D218" s="639" t="str">
        <f>Data2025!C217</f>
        <v>5.1.02.02.01.0026</v>
      </c>
      <c r="E218" s="265">
        <f>Data2025!E217</f>
        <v>45714</v>
      </c>
      <c r="F218" s="640" t="str">
        <f>Data2025!F217</f>
        <v>28/02/2025</v>
      </c>
      <c r="G218" s="265" t="str">
        <f>Data2025!H217</f>
        <v>28/02/2025</v>
      </c>
      <c r="H218" s="265" t="str">
        <f t="shared" si="11"/>
        <v>28/02/2025</v>
      </c>
      <c r="I218" s="641" t="str">
        <f>Data2025!J217</f>
        <v>28/02/2025</v>
      </c>
      <c r="J218" s="381" t="str">
        <f>Data2025!L217</f>
        <v>Estera Nehe</v>
      </c>
      <c r="K218" s="381" t="str">
        <f>Data2025!M217</f>
        <v>Gaji Pegawai Tidak Tetap Sekolah</v>
      </c>
      <c r="L218" s="642">
        <f>Data2025!N217</f>
        <v>1</v>
      </c>
      <c r="M218" s="642" t="str">
        <f>Data2025!O217</f>
        <v>bulan</v>
      </c>
      <c r="N218" s="643">
        <f>Data2025!P217</f>
        <v>2000000</v>
      </c>
      <c r="O218" s="644">
        <f>Data2025!Q217</f>
        <v>2000000</v>
      </c>
      <c r="P218" s="645" t="s">
        <v>3867</v>
      </c>
      <c r="Q218" s="646" t="e">
        <f>VLOOKUP(K218,Sheet1!$C$1:$D$101,2,)</f>
        <v>#N/A</v>
      </c>
      <c r="R218" s="267">
        <v>900000</v>
      </c>
      <c r="S218" s="647">
        <v>1020000</v>
      </c>
      <c r="T218" s="648">
        <f>Data2025!T217</f>
        <v>0</v>
      </c>
      <c r="U218" s="268" t="s">
        <v>2531</v>
      </c>
      <c r="V218" s="648" t="e">
        <f>Data2025!V217</f>
        <v>#N/A</v>
      </c>
      <c r="W218" s="648" t="e">
        <f>Data2025!X217</f>
        <v>#N/A</v>
      </c>
      <c r="X218" s="268" t="s">
        <v>2529</v>
      </c>
      <c r="Y218" s="268" t="str">
        <f t="shared" si="12"/>
        <v>Honorarium</v>
      </c>
      <c r="Z218" s="649" t="str">
        <f t="shared" si="13"/>
        <v>Honorarium</v>
      </c>
      <c r="AA218" s="650" t="s">
        <v>3363</v>
      </c>
      <c r="AB218" s="269">
        <v>15000</v>
      </c>
      <c r="AC218" s="269">
        <v>900000</v>
      </c>
      <c r="AD218" s="267">
        <v>900000</v>
      </c>
      <c r="AE218" s="270">
        <v>810810.81081081077</v>
      </c>
      <c r="AF218" s="270">
        <v>900000</v>
      </c>
      <c r="AG218" s="805" t="s">
        <v>3883</v>
      </c>
      <c r="AH218" s="651" t="e">
        <f>Data2025!W217</f>
        <v>#N/A</v>
      </c>
    </row>
    <row r="219" spans="1:34" ht="16.5" thickTop="1" thickBot="1">
      <c r="A219" s="636">
        <f>Data2025!G218</f>
        <v>86</v>
      </c>
      <c r="B219" s="637" t="str">
        <f>Data2025!K218</f>
        <v>BNU28</v>
      </c>
      <c r="C219" s="638" t="str">
        <f>Data2025!D218</f>
        <v>07. 12. 02.</v>
      </c>
      <c r="D219" s="639" t="str">
        <f>Data2025!C218</f>
        <v>5.1.02.02.01.0026</v>
      </c>
      <c r="E219" s="265">
        <f>Data2025!E218</f>
        <v>45714</v>
      </c>
      <c r="F219" s="640" t="str">
        <f>Data2025!F218</f>
        <v>28/02/2025</v>
      </c>
      <c r="G219" s="265" t="str">
        <f>Data2025!H218</f>
        <v>28/02/2025</v>
      </c>
      <c r="H219" s="265" t="str">
        <f t="shared" si="11"/>
        <v>28/02/2025</v>
      </c>
      <c r="I219" s="641" t="str">
        <f>Data2025!J218</f>
        <v>28/02/2025</v>
      </c>
      <c r="J219" s="381" t="str">
        <f>Data2025!L218</f>
        <v>Hatieli Buulolo</v>
      </c>
      <c r="K219" s="381" t="str">
        <f>Data2025!M218</f>
        <v>Gaji Pegawai Tidak Tetap Sekolah</v>
      </c>
      <c r="L219" s="642">
        <f>Data2025!N218</f>
        <v>1</v>
      </c>
      <c r="M219" s="642" t="str">
        <f>Data2025!O218</f>
        <v>bulan</v>
      </c>
      <c r="N219" s="643">
        <f>Data2025!P218</f>
        <v>2500000</v>
      </c>
      <c r="O219" s="644">
        <f>Data2025!Q218</f>
        <v>2500000</v>
      </c>
      <c r="P219" s="645" t="s">
        <v>3867</v>
      </c>
      <c r="Q219" s="646" t="e">
        <f>VLOOKUP(K219,Sheet1!$C$1:$D$101,2,)</f>
        <v>#N/A</v>
      </c>
      <c r="R219" s="267">
        <v>1200000</v>
      </c>
      <c r="S219" s="647">
        <v>1400000</v>
      </c>
      <c r="T219" s="648">
        <f>Data2025!T218</f>
        <v>0</v>
      </c>
      <c r="U219" s="268" t="s">
        <v>538</v>
      </c>
      <c r="V219" s="648" t="e">
        <f>Data2025!V218</f>
        <v>#N/A</v>
      </c>
      <c r="W219" s="648" t="e">
        <f>Data2025!X218</f>
        <v>#N/A</v>
      </c>
      <c r="X219" s="268" t="s">
        <v>541</v>
      </c>
      <c r="Y219" s="268" t="str">
        <f t="shared" si="12"/>
        <v>Honorarium</v>
      </c>
      <c r="Z219" s="649" t="str">
        <f t="shared" si="13"/>
        <v>Honorarium</v>
      </c>
      <c r="AA219" s="650" t="s">
        <v>3363</v>
      </c>
      <c r="AB219" s="269">
        <v>12000</v>
      </c>
      <c r="AC219" s="269">
        <v>1200000</v>
      </c>
      <c r="AD219" s="267">
        <v>1200000</v>
      </c>
      <c r="AE219" s="270">
        <v>1081081.0810810812</v>
      </c>
      <c r="AF219" s="270">
        <v>1200000</v>
      </c>
      <c r="AG219" s="805" t="s">
        <v>3883</v>
      </c>
      <c r="AH219" s="651" t="e">
        <f>Data2025!W218</f>
        <v>#N/A</v>
      </c>
    </row>
    <row r="220" spans="1:34" ht="16.5" thickTop="1" thickBot="1">
      <c r="A220" s="636">
        <f>Data2025!G219</f>
        <v>87</v>
      </c>
      <c r="B220" s="637" t="str">
        <f>Data2025!K219</f>
        <v>BNU29</v>
      </c>
      <c r="C220" s="638" t="str">
        <f>Data2025!D219</f>
        <v>07. 12. 02.</v>
      </c>
      <c r="D220" s="639" t="str">
        <f>Data2025!C219</f>
        <v>5.1.02.02.01.0026</v>
      </c>
      <c r="E220" s="265">
        <f>Data2025!E219</f>
        <v>45714</v>
      </c>
      <c r="F220" s="640" t="str">
        <f>Data2025!F219</f>
        <v>28/02/2025</v>
      </c>
      <c r="G220" s="265" t="str">
        <f>Data2025!H219</f>
        <v>28/02/2025</v>
      </c>
      <c r="H220" s="265" t="str">
        <f t="shared" si="11"/>
        <v>28/02/2025</v>
      </c>
      <c r="I220" s="641" t="str">
        <f>Data2025!J219</f>
        <v>28/02/2025</v>
      </c>
      <c r="J220" s="381" t="str">
        <f>Data2025!L219</f>
        <v>David J. Sitinjak</v>
      </c>
      <c r="K220" s="381" t="str">
        <f>Data2025!M219</f>
        <v>Gaji Pegawai Tidak Tetap Sekolah</v>
      </c>
      <c r="L220" s="642">
        <f>Data2025!N219</f>
        <v>1</v>
      </c>
      <c r="M220" s="642" t="str">
        <f>Data2025!O219</f>
        <v>bulan</v>
      </c>
      <c r="N220" s="643">
        <f>Data2025!P219</f>
        <v>2500000</v>
      </c>
      <c r="O220" s="644">
        <f>Data2025!Q219</f>
        <v>2500000</v>
      </c>
      <c r="P220" s="645" t="s">
        <v>3867</v>
      </c>
      <c r="Q220" s="646" t="e">
        <f>VLOOKUP(K220,Sheet1!$C$1:$D$101,2,)</f>
        <v>#N/A</v>
      </c>
      <c r="R220" s="267">
        <v>1575000</v>
      </c>
      <c r="S220" s="647">
        <v>11136650</v>
      </c>
      <c r="T220" s="648">
        <f>Data2025!T219</f>
        <v>0</v>
      </c>
      <c r="U220" s="268" t="s">
        <v>538</v>
      </c>
      <c r="V220" s="648" t="e">
        <f>Data2025!V219</f>
        <v>#N/A</v>
      </c>
      <c r="W220" s="648" t="e">
        <f>Data2025!X219</f>
        <v>#N/A</v>
      </c>
      <c r="X220" s="268" t="s">
        <v>541</v>
      </c>
      <c r="Y220" s="268" t="str">
        <f t="shared" si="12"/>
        <v>Honorarium</v>
      </c>
      <c r="Z220" s="649" t="str">
        <f t="shared" si="13"/>
        <v>Honorarium</v>
      </c>
      <c r="AA220" s="650" t="s">
        <v>3368</v>
      </c>
      <c r="AB220" s="269">
        <v>350</v>
      </c>
      <c r="AC220" s="269">
        <v>1658650</v>
      </c>
      <c r="AD220" s="267">
        <v>1575000</v>
      </c>
      <c r="AE220" s="270">
        <v>1418918.9189189191</v>
      </c>
      <c r="AF220" s="270">
        <v>1575000</v>
      </c>
      <c r="AG220" s="805" t="s">
        <v>3883</v>
      </c>
      <c r="AH220" s="651" t="e">
        <f>Data2025!W219</f>
        <v>#N/A</v>
      </c>
    </row>
    <row r="221" spans="1:34" ht="16.5" thickTop="1" thickBot="1">
      <c r="A221" s="636">
        <f>Data2025!G220</f>
        <v>88</v>
      </c>
      <c r="B221" s="637" t="str">
        <f>Data2025!K220</f>
        <v>BNU30</v>
      </c>
      <c r="C221" s="638" t="str">
        <f>Data2025!D220</f>
        <v>07. 12. 02.</v>
      </c>
      <c r="D221" s="639" t="str">
        <f>Data2025!C220</f>
        <v>5.1.02.02.01.0026</v>
      </c>
      <c r="E221" s="265">
        <f>Data2025!E220</f>
        <v>45714</v>
      </c>
      <c r="F221" s="640" t="str">
        <f>Data2025!F220</f>
        <v>28/02/2025</v>
      </c>
      <c r="G221" s="265" t="str">
        <f>Data2025!H220</f>
        <v>28/02/2025</v>
      </c>
      <c r="H221" s="265" t="str">
        <f t="shared" si="11"/>
        <v>28/02/2025</v>
      </c>
      <c r="I221" s="641" t="str">
        <f>Data2025!J220</f>
        <v>28/02/2025</v>
      </c>
      <c r="J221" s="381" t="str">
        <f>Data2025!L220</f>
        <v>Siona Ziraluo</v>
      </c>
      <c r="K221" s="381" t="str">
        <f>Data2025!M220</f>
        <v>Gaji Pegawai Tidak Tetap Sekolah</v>
      </c>
      <c r="L221" s="642">
        <f>Data2025!N220</f>
        <v>1</v>
      </c>
      <c r="M221" s="642" t="str">
        <f>Data2025!O220</f>
        <v>bulan</v>
      </c>
      <c r="N221" s="643">
        <f>Data2025!P220</f>
        <v>2000000</v>
      </c>
      <c r="O221" s="644">
        <f>Data2025!Q220</f>
        <v>2000000</v>
      </c>
      <c r="P221" s="645" t="s">
        <v>3867</v>
      </c>
      <c r="Q221" s="646" t="e">
        <f>VLOOKUP(K221,Sheet1!$C$1:$D$101,2,)</f>
        <v>#N/A</v>
      </c>
      <c r="R221" s="267">
        <v>335000</v>
      </c>
      <c r="S221" s="647">
        <v>345000</v>
      </c>
      <c r="T221" s="648">
        <f>Data2025!T220</f>
        <v>0</v>
      </c>
      <c r="U221" s="268" t="s">
        <v>538</v>
      </c>
      <c r="V221" s="648" t="e">
        <f>Data2025!V220</f>
        <v>#N/A</v>
      </c>
      <c r="W221" s="648" t="e">
        <f>Data2025!X220</f>
        <v>#N/A</v>
      </c>
      <c r="X221" s="268" t="s">
        <v>541</v>
      </c>
      <c r="Y221" s="268" t="str">
        <f t="shared" si="12"/>
        <v>Honorarium</v>
      </c>
      <c r="Z221" s="649" t="str">
        <f t="shared" si="13"/>
        <v>Honorarium</v>
      </c>
      <c r="AA221" s="650" t="s">
        <v>3367</v>
      </c>
      <c r="AB221" s="269">
        <v>67000</v>
      </c>
      <c r="AC221" s="269">
        <v>335000</v>
      </c>
      <c r="AD221" s="267">
        <v>335000</v>
      </c>
      <c r="AE221" s="270">
        <v>301801.80180180183</v>
      </c>
      <c r="AF221" s="270">
        <v>335000</v>
      </c>
      <c r="AG221" s="805" t="s">
        <v>3883</v>
      </c>
      <c r="AH221" s="651" t="e">
        <f>Data2025!W220</f>
        <v>#N/A</v>
      </c>
    </row>
    <row r="222" spans="1:34" ht="16.5" thickTop="1" thickBot="1">
      <c r="A222" s="636">
        <f>Data2025!G221</f>
        <v>89</v>
      </c>
      <c r="B222" s="637" t="str">
        <f>Data2025!K221</f>
        <v>BNU31</v>
      </c>
      <c r="C222" s="638" t="str">
        <f>Data2025!D221</f>
        <v>07. 12. 02.</v>
      </c>
      <c r="D222" s="639" t="str">
        <f>Data2025!C221</f>
        <v>5.1.02.02.01.0026</v>
      </c>
      <c r="E222" s="265">
        <f>Data2025!E221</f>
        <v>45714</v>
      </c>
      <c r="F222" s="640" t="str">
        <f>Data2025!F221</f>
        <v>28/02/2025</v>
      </c>
      <c r="G222" s="265" t="str">
        <f>Data2025!H221</f>
        <v>28/02/2025</v>
      </c>
      <c r="H222" s="265" t="str">
        <f t="shared" si="11"/>
        <v>28/02/2025</v>
      </c>
      <c r="I222" s="641" t="str">
        <f>Data2025!J221</f>
        <v>28/02/2025</v>
      </c>
      <c r="J222" s="381" t="str">
        <f>Data2025!L221</f>
        <v>Merdina Ziraluo</v>
      </c>
      <c r="K222" s="381" t="str">
        <f>Data2025!M221</f>
        <v>Gaji Pegawai Tidak Tetap Sekolah</v>
      </c>
      <c r="L222" s="642">
        <f>Data2025!N221</f>
        <v>1</v>
      </c>
      <c r="M222" s="642" t="str">
        <f>Data2025!O221</f>
        <v>bulan</v>
      </c>
      <c r="N222" s="643">
        <f>Data2025!P221</f>
        <v>2500000</v>
      </c>
      <c r="O222" s="644">
        <f>Data2025!Q221</f>
        <v>2500000</v>
      </c>
      <c r="P222" s="645" t="s">
        <v>3867</v>
      </c>
      <c r="Q222" s="646" t="e">
        <f>VLOOKUP(K222,Sheet1!$C$1:$D$101,2,)</f>
        <v>#N/A</v>
      </c>
      <c r="R222" s="267">
        <v>205500</v>
      </c>
      <c r="S222" s="647">
        <v>235500</v>
      </c>
      <c r="T222" s="648">
        <f>Data2025!T221</f>
        <v>0</v>
      </c>
      <c r="U222" s="268" t="s">
        <v>538</v>
      </c>
      <c r="V222" s="648" t="e">
        <f>Data2025!V221</f>
        <v>#N/A</v>
      </c>
      <c r="W222" s="648" t="e">
        <f>Data2025!X221</f>
        <v>#N/A</v>
      </c>
      <c r="X222" s="268" t="s">
        <v>541</v>
      </c>
      <c r="Y222" s="268" t="str">
        <f t="shared" si="12"/>
        <v>Honorarium</v>
      </c>
      <c r="Z222" s="649" t="str">
        <f t="shared" si="13"/>
        <v>Honorarium</v>
      </c>
      <c r="AA222" s="650" t="s">
        <v>3363</v>
      </c>
      <c r="AB222" s="269">
        <v>13700</v>
      </c>
      <c r="AC222" s="269">
        <v>205500</v>
      </c>
      <c r="AD222" s="267">
        <v>205500</v>
      </c>
      <c r="AE222" s="270">
        <v>185135.13513513515</v>
      </c>
      <c r="AF222" s="270">
        <v>205500</v>
      </c>
      <c r="AG222" s="805" t="s">
        <v>3883</v>
      </c>
      <c r="AH222" s="651" t="e">
        <f>Data2025!W221</f>
        <v>#N/A</v>
      </c>
    </row>
    <row r="223" spans="1:34" ht="16.5" thickTop="1" thickBot="1">
      <c r="A223" s="636">
        <f>Data2025!G222</f>
        <v>90</v>
      </c>
      <c r="B223" s="637" t="str">
        <f>Data2025!K222</f>
        <v>BNU32</v>
      </c>
      <c r="C223" s="638" t="str">
        <f>Data2025!D222</f>
        <v>07. 12. 02.</v>
      </c>
      <c r="D223" s="639" t="str">
        <f>Data2025!C222</f>
        <v>5.1.02.02.01.0026</v>
      </c>
      <c r="E223" s="265">
        <f>Data2025!E222</f>
        <v>45714</v>
      </c>
      <c r="F223" s="640" t="str">
        <f>Data2025!F222</f>
        <v>28/02/2025</v>
      </c>
      <c r="G223" s="265" t="str">
        <f>Data2025!H222</f>
        <v>28/02/2025</v>
      </c>
      <c r="H223" s="265" t="str">
        <f t="shared" si="11"/>
        <v>28/02/2025</v>
      </c>
      <c r="I223" s="641" t="str">
        <f>Data2025!J222</f>
        <v>28/02/2025</v>
      </c>
      <c r="J223" s="381" t="str">
        <f>Data2025!L222</f>
        <v>Oksilia Buulolo, S.S</v>
      </c>
      <c r="K223" s="381" t="str">
        <f>Data2025!M222</f>
        <v>Gaji Pegawai Tidak Tetap Sekolah</v>
      </c>
      <c r="L223" s="642">
        <f>Data2025!N222</f>
        <v>1</v>
      </c>
      <c r="M223" s="642" t="str">
        <f>Data2025!O222</f>
        <v>bulan/orang</v>
      </c>
      <c r="N223" s="643">
        <f>Data2025!P222</f>
        <v>2000000</v>
      </c>
      <c r="O223" s="644">
        <f>Data2025!Q222</f>
        <v>2000000</v>
      </c>
      <c r="P223" s="645" t="s">
        <v>3867</v>
      </c>
      <c r="Q223" s="646" t="e">
        <f>VLOOKUP(K223,Sheet1!$C$1:$D$101,2,)</f>
        <v>#N/A</v>
      </c>
      <c r="R223" s="267">
        <v>121000</v>
      </c>
      <c r="S223" s="647">
        <v>141000</v>
      </c>
      <c r="T223" s="648">
        <f>Data2025!T222</f>
        <v>0</v>
      </c>
      <c r="U223" s="268" t="s">
        <v>538</v>
      </c>
      <c r="V223" s="648" t="e">
        <f>Data2025!V222</f>
        <v>#N/A</v>
      </c>
      <c r="W223" s="648" t="e">
        <f>Data2025!X222</f>
        <v>#N/A</v>
      </c>
      <c r="X223" s="268" t="s">
        <v>541</v>
      </c>
      <c r="Y223" s="268" t="str">
        <f t="shared" si="12"/>
        <v>Honorarium</v>
      </c>
      <c r="Z223" s="649" t="str">
        <f t="shared" si="13"/>
        <v>Honorarium</v>
      </c>
      <c r="AA223" s="650" t="s">
        <v>3363</v>
      </c>
      <c r="AB223" s="269">
        <v>12100</v>
      </c>
      <c r="AC223" s="269">
        <v>121000</v>
      </c>
      <c r="AD223" s="267">
        <v>121000</v>
      </c>
      <c r="AE223" s="270">
        <v>109009.00900900901</v>
      </c>
      <c r="AF223" s="270">
        <v>121000</v>
      </c>
      <c r="AG223" s="805" t="s">
        <v>3883</v>
      </c>
      <c r="AH223" s="651" t="e">
        <f>Data2025!W222</f>
        <v>#N/A</v>
      </c>
    </row>
    <row r="224" spans="1:34" ht="16.5" thickTop="1" thickBot="1">
      <c r="A224" s="636">
        <f>Data2025!G223</f>
        <v>91</v>
      </c>
      <c r="B224" s="637" t="str">
        <f>Data2025!K223</f>
        <v>BNU33</v>
      </c>
      <c r="C224" s="638" t="str">
        <f>Data2025!D223</f>
        <v>07. 12. 02.</v>
      </c>
      <c r="D224" s="639" t="str">
        <f>Data2025!C223</f>
        <v>5.1.02.02.01.0026</v>
      </c>
      <c r="E224" s="265">
        <f>Data2025!E223</f>
        <v>45714</v>
      </c>
      <c r="F224" s="640" t="str">
        <f>Data2025!F223</f>
        <v>28/02/2025</v>
      </c>
      <c r="G224" s="265" t="str">
        <f>Data2025!H223</f>
        <v>28/02/2025</v>
      </c>
      <c r="H224" s="265" t="str">
        <f t="shared" si="11"/>
        <v>28/02/2025</v>
      </c>
      <c r="I224" s="641" t="str">
        <f>Data2025!J223</f>
        <v>28/02/2025</v>
      </c>
      <c r="J224" s="381" t="str">
        <f>Data2025!L223</f>
        <v>Novika Efdimasari Halawa, S.S.I</v>
      </c>
      <c r="K224" s="381" t="str">
        <f>Data2025!M223</f>
        <v>Gaji Pegawai Tidak Tetap Sekolah</v>
      </c>
      <c r="L224" s="642">
        <f>Data2025!N223</f>
        <v>1</v>
      </c>
      <c r="M224" s="642" t="str">
        <f>Data2025!O223</f>
        <v>bulan/orang</v>
      </c>
      <c r="N224" s="643">
        <f>Data2025!P223</f>
        <v>2000000</v>
      </c>
      <c r="O224" s="644">
        <f>Data2025!Q223</f>
        <v>2000000</v>
      </c>
      <c r="P224" s="645" t="s">
        <v>3867</v>
      </c>
      <c r="Q224" s="646" t="e">
        <f>VLOOKUP(K224,Sheet1!$C$1:$D$101,2,)</f>
        <v>#N/A</v>
      </c>
      <c r="R224" s="267">
        <v>45000</v>
      </c>
      <c r="S224" s="647">
        <v>51000</v>
      </c>
      <c r="T224" s="648">
        <f>Data2025!T223</f>
        <v>0</v>
      </c>
      <c r="U224" s="268" t="s">
        <v>538</v>
      </c>
      <c r="V224" s="648" t="e">
        <f>Data2025!V223</f>
        <v>#N/A</v>
      </c>
      <c r="W224" s="648" t="e">
        <f>Data2025!X223</f>
        <v>#N/A</v>
      </c>
      <c r="X224" s="268" t="s">
        <v>541</v>
      </c>
      <c r="Y224" s="268" t="str">
        <f t="shared" si="12"/>
        <v>Honorarium</v>
      </c>
      <c r="Z224" s="649" t="str">
        <f t="shared" si="13"/>
        <v>Honorarium</v>
      </c>
      <c r="AA224" s="650" t="s">
        <v>3363</v>
      </c>
      <c r="AB224" s="269">
        <v>15000</v>
      </c>
      <c r="AC224" s="269">
        <v>45000</v>
      </c>
      <c r="AD224" s="267">
        <v>45000</v>
      </c>
      <c r="AE224" s="270">
        <v>40540.54054054054</v>
      </c>
      <c r="AF224" s="270">
        <v>45000</v>
      </c>
      <c r="AG224" s="805" t="s">
        <v>3883</v>
      </c>
      <c r="AH224" s="651" t="e">
        <f>Data2025!W223</f>
        <v>#N/A</v>
      </c>
    </row>
    <row r="225" spans="1:34" ht="16.5" thickTop="1" thickBot="1">
      <c r="A225" s="636">
        <f>Data2025!G224</f>
        <v>92</v>
      </c>
      <c r="B225" s="637" t="str">
        <f>Data2025!K224</f>
        <v>BNU34</v>
      </c>
      <c r="C225" s="638" t="str">
        <f>Data2025!D224</f>
        <v>07. 12. 04.</v>
      </c>
      <c r="D225" s="639" t="str">
        <f>Data2025!C224</f>
        <v>5.1.02.02.01.0016</v>
      </c>
      <c r="E225" s="265">
        <f>Data2025!E224</f>
        <v>45714</v>
      </c>
      <c r="F225" s="640" t="str">
        <f>Data2025!F224</f>
        <v>28/02/2025</v>
      </c>
      <c r="G225" s="265" t="str">
        <f>Data2025!H224</f>
        <v>28/02/2025</v>
      </c>
      <c r="H225" s="265" t="str">
        <f t="shared" si="11"/>
        <v>28/02/2025</v>
      </c>
      <c r="I225" s="641" t="str">
        <f>Data2025!J224</f>
        <v>28/02/2025</v>
      </c>
      <c r="J225" s="381" t="str">
        <f>Data2025!L224</f>
        <v>Zefrianus Zai</v>
      </c>
      <c r="K225" s="381" t="str">
        <f>Data2025!M224</f>
        <v>Gaji Pegawai Tidak Tetap Sekolah</v>
      </c>
      <c r="L225" s="642">
        <f>Data2025!N224</f>
        <v>1</v>
      </c>
      <c r="M225" s="642" t="str">
        <f>Data2025!O224</f>
        <v>bulan/orang</v>
      </c>
      <c r="N225" s="643">
        <f>Data2025!P224</f>
        <v>2000000</v>
      </c>
      <c r="O225" s="644">
        <f>Data2025!Q224</f>
        <v>2000000</v>
      </c>
      <c r="P225" s="645" t="s">
        <v>3867</v>
      </c>
      <c r="Q225" s="646" t="e">
        <f>VLOOKUP(K225,Sheet1!$C$1:$D$101,2,)</f>
        <v>#N/A</v>
      </c>
      <c r="R225" s="267">
        <v>300000</v>
      </c>
      <c r="S225" s="647">
        <v>320000</v>
      </c>
      <c r="T225" s="648">
        <f>Data2025!T224</f>
        <v>0</v>
      </c>
      <c r="U225" s="268" t="s">
        <v>538</v>
      </c>
      <c r="V225" s="648" t="e">
        <f>Data2025!V224</f>
        <v>#N/A</v>
      </c>
      <c r="W225" s="648" t="e">
        <f>Data2025!X224</f>
        <v>#N/A</v>
      </c>
      <c r="X225" s="268" t="s">
        <v>541</v>
      </c>
      <c r="Y225" s="268" t="str">
        <f t="shared" si="12"/>
        <v>Honorarium</v>
      </c>
      <c r="Z225" s="649" t="str">
        <f t="shared" si="13"/>
        <v>Honorarium</v>
      </c>
      <c r="AA225" s="650" t="s">
        <v>3367</v>
      </c>
      <c r="AB225" s="269">
        <v>30000</v>
      </c>
      <c r="AC225" s="269">
        <v>300000</v>
      </c>
      <c r="AD225" s="267">
        <v>300000</v>
      </c>
      <c r="AE225" s="270">
        <v>270270.2702702703</v>
      </c>
      <c r="AF225" s="270">
        <v>300000</v>
      </c>
      <c r="AG225" s="805" t="s">
        <v>3883</v>
      </c>
      <c r="AH225" s="651" t="e">
        <f>Data2025!W224</f>
        <v>#N/A</v>
      </c>
    </row>
    <row r="226" spans="1:34" ht="16.5" thickTop="1" thickBot="1">
      <c r="A226" s="636">
        <f>Data2025!G225</f>
        <v>93</v>
      </c>
      <c r="B226" s="637" t="str">
        <f>Data2025!K225</f>
        <v>BPU39</v>
      </c>
      <c r="C226" s="638" t="str">
        <f>Data2025!D225</f>
        <v>07. 12. 04.</v>
      </c>
      <c r="D226" s="639" t="str">
        <f>Data2025!C225</f>
        <v>5.1.02.02.01.0030</v>
      </c>
      <c r="E226" s="265">
        <f>Data2025!E225</f>
        <v>45714</v>
      </c>
      <c r="F226" s="640" t="str">
        <f>Data2025!F225</f>
        <v>28/02/2025</v>
      </c>
      <c r="G226" s="265" t="str">
        <f>Data2025!H225</f>
        <v>28/02/2025</v>
      </c>
      <c r="H226" s="265" t="str">
        <f t="shared" si="11"/>
        <v>28/02/2025</v>
      </c>
      <c r="I226" s="641" t="str">
        <f>Data2025!J225</f>
        <v>28/02/2025</v>
      </c>
      <c r="J226" s="381" t="str">
        <f>Data2025!L225</f>
        <v>Thomas Hondro</v>
      </c>
      <c r="K226" s="381" t="str">
        <f>Data2025!M225</f>
        <v>Gaji Pegawai Tidak Tetap Sekolah</v>
      </c>
      <c r="L226" s="642">
        <f>Data2025!N225</f>
        <v>1</v>
      </c>
      <c r="M226" s="642" t="str">
        <f>Data2025!O225</f>
        <v>bulan</v>
      </c>
      <c r="N226" s="643">
        <f>Data2025!P225</f>
        <v>1000000</v>
      </c>
      <c r="O226" s="644">
        <f>Data2025!Q225</f>
        <v>1000000</v>
      </c>
      <c r="P226" s="645" t="s">
        <v>3867</v>
      </c>
      <c r="Q226" s="646" t="e">
        <f>VLOOKUP(K226,Sheet1!$C$1:$D$101,2,)</f>
        <v>#N/A</v>
      </c>
      <c r="R226" s="267">
        <v>60000</v>
      </c>
      <c r="S226" s="647">
        <v>70000</v>
      </c>
      <c r="T226" s="648">
        <f>Data2025!T225</f>
        <v>0</v>
      </c>
      <c r="U226" s="268" t="s">
        <v>538</v>
      </c>
      <c r="V226" s="648" t="e">
        <f>Data2025!V225</f>
        <v>#N/A</v>
      </c>
      <c r="W226" s="648" t="e">
        <f>Data2025!X225</f>
        <v>#N/A</v>
      </c>
      <c r="X226" s="268" t="s">
        <v>541</v>
      </c>
      <c r="Y226" s="268" t="str">
        <f t="shared" si="12"/>
        <v>Honorarium</v>
      </c>
      <c r="Z226" s="649" t="str">
        <f t="shared" si="13"/>
        <v>Honorarium</v>
      </c>
      <c r="AA226" s="650" t="s">
        <v>3363</v>
      </c>
      <c r="AB226" s="269">
        <v>12000</v>
      </c>
      <c r="AC226" s="269">
        <v>60000</v>
      </c>
      <c r="AD226" s="267">
        <v>60000</v>
      </c>
      <c r="AE226" s="270">
        <v>54054.054054054053</v>
      </c>
      <c r="AF226" s="270">
        <v>60000</v>
      </c>
      <c r="AG226" s="805" t="s">
        <v>3883</v>
      </c>
      <c r="AH226" s="651" t="e">
        <f>Data2025!W225</f>
        <v>#N/A</v>
      </c>
    </row>
    <row r="227" spans="1:34" ht="16.5" thickTop="1" thickBot="1">
      <c r="A227" s="636">
        <f>Data2025!G226</f>
        <v>0</v>
      </c>
      <c r="B227" s="637" t="e">
        <f>Data2025!K226</f>
        <v>#N/A</v>
      </c>
      <c r="C227" s="638" t="str">
        <f>Data2025!D226</f>
        <v>05. 08. 02.</v>
      </c>
      <c r="D227" s="639" t="str">
        <f>Data2025!C226</f>
        <v>5.1.02.01.01.0036</v>
      </c>
      <c r="E227" s="265">
        <f>Data2025!E226</f>
        <v>45687</v>
      </c>
      <c r="F227" s="640" t="str">
        <f>Data2025!F226</f>
        <v>01/02/2025</v>
      </c>
      <c r="G227" s="265" t="str">
        <f>Data2025!H226</f>
        <v>09/04/2025</v>
      </c>
      <c r="H227" s="265" t="str">
        <f t="shared" si="11"/>
        <v>09/04/2025</v>
      </c>
      <c r="I227" s="641" t="str">
        <f>Data2025!J226</f>
        <v>10/04/2025</v>
      </c>
      <c r="J227" s="381" t="str">
        <f>Data2025!L226</f>
        <v>Meja Siswa</v>
      </c>
      <c r="K227" s="381" t="str">
        <f>Data2025!M226</f>
        <v>Meja Siswa</v>
      </c>
      <c r="L227" s="642">
        <f>Data2025!N226</f>
        <v>148</v>
      </c>
      <c r="M227" s="642" t="str">
        <f>Data2025!O226</f>
        <v>unit</v>
      </c>
      <c r="N227" s="643">
        <f>Data2025!P226</f>
        <v>400000</v>
      </c>
      <c r="O227" s="644">
        <f>Data2025!Q226</f>
        <v>59200000</v>
      </c>
      <c r="P227" s="645" t="s">
        <v>3869</v>
      </c>
      <c r="Q227" s="646" t="e">
        <f>VLOOKUP(K227,Sheet1!$C$1:$D$101,2,)</f>
        <v>#N/A</v>
      </c>
      <c r="R227" s="267">
        <v>150000</v>
      </c>
      <c r="S227" s="647">
        <v>174000</v>
      </c>
      <c r="T227" s="648">
        <f>Data2025!T226</f>
        <v>0</v>
      </c>
      <c r="U227" s="268" t="s">
        <v>538</v>
      </c>
      <c r="V227" s="648" t="e">
        <f>Data2025!V226</f>
        <v>#N/A</v>
      </c>
      <c r="W227" s="648" t="e">
        <f>Data2025!X226</f>
        <v>#N/A</v>
      </c>
      <c r="X227" s="268" t="s">
        <v>541</v>
      </c>
      <c r="Y227" s="268" t="str">
        <f t="shared" si="12"/>
        <v>Peralatan Sekolah</v>
      </c>
      <c r="Z227" s="649" t="str">
        <f t="shared" si="13"/>
        <v>Peralatan Sekolah</v>
      </c>
      <c r="AA227" s="650" t="s">
        <v>3363</v>
      </c>
      <c r="AB227" s="269">
        <v>12500</v>
      </c>
      <c r="AC227" s="269">
        <v>150000</v>
      </c>
      <c r="AD227" s="267">
        <v>150000</v>
      </c>
      <c r="AE227" s="270">
        <v>135135.13513513515</v>
      </c>
      <c r="AF227" s="270">
        <v>150000</v>
      </c>
      <c r="AG227" s="805" t="s">
        <v>3883</v>
      </c>
      <c r="AH227" s="651" t="e">
        <f>Data2025!W226</f>
        <v>#N/A</v>
      </c>
    </row>
    <row r="228" spans="1:34" ht="16.5" thickTop="1" thickBot="1">
      <c r="A228" s="636">
        <f>Data2025!G227</f>
        <v>0</v>
      </c>
      <c r="B228" s="637" t="e">
        <f>Data2025!K227</f>
        <v>#N/A</v>
      </c>
      <c r="C228" s="638" t="str">
        <f>Data2025!D227</f>
        <v>05. 08. 02.</v>
      </c>
      <c r="D228" s="639" t="str">
        <f>Data2025!C227</f>
        <v>5.1.02.01.01.0036</v>
      </c>
      <c r="E228" s="265">
        <f>Data2025!E227</f>
        <v>45754</v>
      </c>
      <c r="F228" s="640" t="str">
        <f>Data2025!F227</f>
        <v>09/04/2025</v>
      </c>
      <c r="G228" s="265" t="str">
        <f>Data2025!H227</f>
        <v>09/04/2025</v>
      </c>
      <c r="H228" s="265" t="str">
        <f t="shared" si="11"/>
        <v>09/04/2025</v>
      </c>
      <c r="I228" s="641" t="str">
        <f>Data2025!J227</f>
        <v>10/04/2025</v>
      </c>
      <c r="J228" s="381" t="str">
        <f>Data2025!L227</f>
        <v>Jasa Angkutan Meja Siswa</v>
      </c>
      <c r="K228" s="381" t="str">
        <f>Data2025!M227</f>
        <v>Bayar Jasa angkut meja siswa</v>
      </c>
      <c r="L228" s="642">
        <f>Data2025!N227</f>
        <v>1</v>
      </c>
      <c r="M228" s="642" t="str">
        <f>Data2025!O227</f>
        <v>kegiatan</v>
      </c>
      <c r="N228" s="643">
        <f>Data2025!P227</f>
        <v>4500000</v>
      </c>
      <c r="O228" s="644">
        <f>Data2025!Q227</f>
        <v>4500000</v>
      </c>
      <c r="P228" s="645" t="s">
        <v>3866</v>
      </c>
      <c r="Q228" s="646" t="e">
        <f>VLOOKUP(K228,Sheet1!$C$1:$D$101,2,)</f>
        <v>#N/A</v>
      </c>
      <c r="R228" s="267">
        <v>60000</v>
      </c>
      <c r="S228" s="647">
        <v>70000</v>
      </c>
      <c r="T228" s="648">
        <f>Data2025!T227</f>
        <v>0</v>
      </c>
      <c r="U228" s="268" t="s">
        <v>538</v>
      </c>
      <c r="V228" s="648" t="e">
        <f>Data2025!V227</f>
        <v>#N/A</v>
      </c>
      <c r="W228" s="648" t="e">
        <f>Data2025!X227</f>
        <v>#N/A</v>
      </c>
      <c r="X228" s="268" t="s">
        <v>541</v>
      </c>
      <c r="Y228" s="268" t="str">
        <f t="shared" si="12"/>
        <v>Jasa Angkutan</v>
      </c>
      <c r="Z228" s="649" t="str">
        <f t="shared" si="13"/>
        <v>Jasa Angkutan</v>
      </c>
      <c r="AA228" s="650" t="s">
        <v>3363</v>
      </c>
      <c r="AB228" s="269">
        <v>12000</v>
      </c>
      <c r="AC228" s="269">
        <v>60000</v>
      </c>
      <c r="AD228" s="267">
        <v>60000</v>
      </c>
      <c r="AE228" s="270">
        <v>54054.054054054053</v>
      </c>
      <c r="AF228" s="270">
        <v>60000</v>
      </c>
      <c r="AG228" s="805" t="s">
        <v>3883</v>
      </c>
      <c r="AH228" s="651" t="e">
        <f>Data2025!W227</f>
        <v>#N/A</v>
      </c>
    </row>
    <row r="229" spans="1:34" ht="16.5" thickTop="1" thickBot="1">
      <c r="A229" s="636">
        <f>Data2025!G228</f>
        <v>0</v>
      </c>
      <c r="B229" s="637">
        <f>Data2025!K228</f>
        <v>0</v>
      </c>
      <c r="C229" s="638">
        <f>Data2025!D228</f>
        <v>0</v>
      </c>
      <c r="D229" s="639">
        <f>Data2025!C228</f>
        <v>0</v>
      </c>
      <c r="E229" s="265">
        <f>Data2025!E228</f>
        <v>0</v>
      </c>
      <c r="F229" s="640">
        <f>Data2025!F228</f>
        <v>0</v>
      </c>
      <c r="G229" s="265">
        <f>Data2025!H228</f>
        <v>0</v>
      </c>
      <c r="H229" s="265">
        <f t="shared" si="11"/>
        <v>0</v>
      </c>
      <c r="I229" s="641">
        <f>Data2025!J228</f>
        <v>0</v>
      </c>
      <c r="J229" s="381">
        <f>Data2025!L228</f>
        <v>0</v>
      </c>
      <c r="K229" s="381">
        <f>Data2025!M228</f>
        <v>0</v>
      </c>
      <c r="L229" s="642">
        <f>Data2025!N228</f>
        <v>0</v>
      </c>
      <c r="M229" s="642">
        <f>Data2025!O228</f>
        <v>0</v>
      </c>
      <c r="N229" s="643">
        <f>Data2025!P228</f>
        <v>0</v>
      </c>
      <c r="O229" s="644">
        <f>Data2025!Q228</f>
        <v>0</v>
      </c>
      <c r="P229" s="645" t="s">
        <v>2609</v>
      </c>
      <c r="Q229" s="646" t="e">
        <f>VLOOKUP(K229,Sheet1!$C$1:$D$101,2,)</f>
        <v>#N/A</v>
      </c>
      <c r="R229" s="267">
        <v>350000</v>
      </c>
      <c r="S229" s="647">
        <v>360000</v>
      </c>
      <c r="T229" s="648">
        <f>Data2025!T228</f>
        <v>0</v>
      </c>
      <c r="U229" s="268" t="s">
        <v>538</v>
      </c>
      <c r="V229" s="648" t="e">
        <f>Data2025!V228</f>
        <v>#N/A</v>
      </c>
      <c r="W229" s="648" t="e">
        <f>Data2025!X228</f>
        <v>#N/A</v>
      </c>
      <c r="X229" s="268" t="s">
        <v>541</v>
      </c>
      <c r="Y229" s="268" t="str">
        <f t="shared" si="12"/>
        <v>Alat Kebersihan</v>
      </c>
      <c r="Z229" s="649" t="str">
        <f t="shared" si="13"/>
        <v>Alat Kebersihan</v>
      </c>
      <c r="AA229" s="650" t="s">
        <v>3371</v>
      </c>
      <c r="AB229" s="269">
        <v>70000</v>
      </c>
      <c r="AC229" s="269">
        <v>350000</v>
      </c>
      <c r="AD229" s="267">
        <v>350000</v>
      </c>
      <c r="AE229" s="270">
        <v>315315.31531531533</v>
      </c>
      <c r="AF229" s="270">
        <v>350000</v>
      </c>
      <c r="AG229" s="805" t="s">
        <v>3883</v>
      </c>
      <c r="AH229" s="651" t="e">
        <f>Data2025!W228</f>
        <v>#N/A</v>
      </c>
    </row>
    <row r="230" spans="1:34" s="871" customFormat="1" ht="38.5" thickTop="1" thickBot="1">
      <c r="A230" s="848">
        <f>Data2025!G229</f>
        <v>94</v>
      </c>
      <c r="B230" s="849" t="str">
        <f>Data2025!K229</f>
        <v>BPU40</v>
      </c>
      <c r="C230" s="850" t="str">
        <f>Data2025!D229</f>
        <v>02. 02. 01.</v>
      </c>
      <c r="D230" s="851" t="str">
        <f>Data2025!C229</f>
        <v>5.1.02.01.01.0052</v>
      </c>
      <c r="E230" s="852">
        <f>Data2025!E229</f>
        <v>45717</v>
      </c>
      <c r="F230" s="853" t="str">
        <f>Data2025!F229</f>
        <v>03/03/2025</v>
      </c>
      <c r="G230" s="852" t="str">
        <f>Data2025!H229</f>
        <v>03/03/2025</v>
      </c>
      <c r="H230" s="852" t="str">
        <f t="shared" si="11"/>
        <v>03/03/2025</v>
      </c>
      <c r="I230" s="854" t="str">
        <f>Data2025!J229</f>
        <v>14/03/2025</v>
      </c>
      <c r="J230" s="855" t="str">
        <f>Data2025!L229</f>
        <v>Kudapan pada Kegiatan Sosialisasi pemberdayaan perpustakaan terutama untuk pengembangan minat baca peserta didik</v>
      </c>
      <c r="K230" s="855" t="str">
        <f>Data2025!M229</f>
        <v>Kue Besar</v>
      </c>
      <c r="L230" s="856">
        <f>Data2025!N229</f>
        <v>75</v>
      </c>
      <c r="M230" s="856" t="str">
        <f>Data2025!O229</f>
        <v>kotak</v>
      </c>
      <c r="N230" s="857">
        <f>Data2025!P229</f>
        <v>15000</v>
      </c>
      <c r="O230" s="858">
        <f>Data2025!Q229</f>
        <v>1125000</v>
      </c>
      <c r="P230" s="859" t="s">
        <v>280</v>
      </c>
      <c r="Q230" s="860" t="str">
        <f>VLOOKUP(K230,Sheet1!$C$1:$D$101,2,)</f>
        <v>Kue (bahan tepung terigu, gula, telur, mentega; berat 100gr, panjang 15cm, lebar 8 cm)</v>
      </c>
      <c r="R230" s="861">
        <v>2250000</v>
      </c>
      <c r="S230" s="862">
        <v>2550000</v>
      </c>
      <c r="T230" s="863" t="str">
        <f>Data2025!T229</f>
        <v>Rumah Roti Helena</v>
      </c>
      <c r="U230" s="864" t="s">
        <v>2531</v>
      </c>
      <c r="V230" s="863" t="str">
        <f>Data2025!V229</f>
        <v>Fudi Supiyanto</v>
      </c>
      <c r="W230" s="863" t="str">
        <f>Data2025!X229</f>
        <v>Jln Ahmad Yani No.89 Kel. Pasar Telukdalam, Nias Selatan</v>
      </c>
      <c r="X230" s="864" t="s">
        <v>2529</v>
      </c>
      <c r="Y230" s="864" t="str">
        <f t="shared" si="12"/>
        <v>Kudapan</v>
      </c>
      <c r="Z230" s="865" t="str">
        <f t="shared" si="13"/>
        <v>Kudapan</v>
      </c>
      <c r="AA230" s="866" t="s">
        <v>3362</v>
      </c>
      <c r="AB230" s="867">
        <v>15000</v>
      </c>
      <c r="AC230" s="867">
        <v>2250000</v>
      </c>
      <c r="AD230" s="861">
        <v>2250000</v>
      </c>
      <c r="AE230" s="868">
        <v>2027027.027027027</v>
      </c>
      <c r="AF230" s="868">
        <v>2250000</v>
      </c>
      <c r="AG230" s="869" t="s">
        <v>3883</v>
      </c>
      <c r="AH230" s="870" t="str">
        <f>Data2025!W229</f>
        <v>082164895397</v>
      </c>
    </row>
    <row r="231" spans="1:34" ht="26" thickTop="1" thickBot="1">
      <c r="A231" s="636">
        <f>Data2025!G230</f>
        <v>95</v>
      </c>
      <c r="B231" s="637" t="str">
        <f>Data2025!K230</f>
        <v>BPU41</v>
      </c>
      <c r="C231" s="638" t="str">
        <f>Data2025!D230</f>
        <v>02. 02. 01.</v>
      </c>
      <c r="D231" s="639" t="str">
        <f>Data2025!C230</f>
        <v>5.1.02.01.01.0052</v>
      </c>
      <c r="E231" s="265">
        <f>Data2025!E230</f>
        <v>45717</v>
      </c>
      <c r="F231" s="640" t="str">
        <f>Data2025!F230</f>
        <v>03/03/2025</v>
      </c>
      <c r="G231" s="265" t="str">
        <f>Data2025!H230</f>
        <v>03/03/2025</v>
      </c>
      <c r="H231" s="265" t="str">
        <f t="shared" si="11"/>
        <v>03/03/2025</v>
      </c>
      <c r="I231" s="641" t="str">
        <f>Data2025!J230</f>
        <v>14/03/2025</v>
      </c>
      <c r="J231" s="381" t="str">
        <f>Data2025!L230</f>
        <v>Nasi Kotak  pada kegiatan Peningkatan kompetensi guru untuk pembelajaran berorientasi pada peserta didik</v>
      </c>
      <c r="K231" s="381" t="str">
        <f>Data2025!M230</f>
        <v>Nasi Kotak</v>
      </c>
      <c r="L231" s="642">
        <f>Data2025!N230</f>
        <v>75</v>
      </c>
      <c r="M231" s="642" t="str">
        <f>Data2025!O230</f>
        <v>kotak</v>
      </c>
      <c r="N231" s="643">
        <f>Data2025!P230</f>
        <v>40000</v>
      </c>
      <c r="O231" s="644">
        <f>Data2025!Q230</f>
        <v>3000000</v>
      </c>
      <c r="P231" s="645" t="s">
        <v>8</v>
      </c>
      <c r="Q231" s="646" t="str">
        <f>VLOOKUP(K231,Sheet1!$C$1:$D$101,2,)</f>
        <v>Nasi Kotak (isi: Nasi putih;Sop daging; Sayur; Berat 1000gr; Dimensi; (PxLxT) 25cmx25cmx10cm)</v>
      </c>
      <c r="R231" s="267">
        <v>6000000</v>
      </c>
      <c r="S231" s="647">
        <v>6300000</v>
      </c>
      <c r="T231" s="648" t="str">
        <f>Data2025!T230</f>
        <v>Resto JFC Esther</v>
      </c>
      <c r="U231" s="268" t="s">
        <v>2520</v>
      </c>
      <c r="V231" s="648" t="str">
        <f>Data2025!V230</f>
        <v>Limaati Daeli</v>
      </c>
      <c r="W231" s="648" t="str">
        <f>Data2025!X230</f>
        <v>Jl. Saonigeho Km. 2 Telukdalam - Nias Selatan</v>
      </c>
      <c r="X231" s="268" t="s">
        <v>3391</v>
      </c>
      <c r="Y231" s="268" t="str">
        <f t="shared" si="12"/>
        <v>Konsumsi</v>
      </c>
      <c r="Z231" s="649" t="str">
        <f t="shared" si="13"/>
        <v>Konsumsi</v>
      </c>
      <c r="AA231" s="650" t="s">
        <v>3362</v>
      </c>
      <c r="AB231" s="269">
        <v>40000</v>
      </c>
      <c r="AC231" s="269">
        <v>6000000</v>
      </c>
      <c r="AD231" s="267">
        <v>6000000</v>
      </c>
      <c r="AE231" s="270">
        <v>5405405.4054054059</v>
      </c>
      <c r="AF231" s="270">
        <v>6000000</v>
      </c>
      <c r="AG231" s="805" t="s">
        <v>3883</v>
      </c>
      <c r="AH231" s="651" t="str">
        <f>Data2025!W230</f>
        <v>085297578868</v>
      </c>
    </row>
    <row r="232" spans="1:34" s="871" customFormat="1" ht="16.5" thickTop="1" thickBot="1">
      <c r="A232" s="848">
        <f>Data2025!G231</f>
        <v>103</v>
      </c>
      <c r="B232" s="849" t="str">
        <f>Data2025!K231</f>
        <v>BPU43</v>
      </c>
      <c r="C232" s="850" t="str">
        <f>Data2025!D231</f>
        <v>03. 03. 14.</v>
      </c>
      <c r="D232" s="851" t="str">
        <f>Data2025!C231</f>
        <v>5.1.02.01.01.0052</v>
      </c>
      <c r="E232" s="852">
        <f>Data2025!E231</f>
        <v>45729</v>
      </c>
      <c r="F232" s="853" t="str">
        <f>Data2025!F231</f>
        <v>15/03/2025</v>
      </c>
      <c r="G232" s="852" t="str">
        <f>Data2025!H231</f>
        <v>15/03/2025</v>
      </c>
      <c r="H232" s="852" t="str">
        <f t="shared" si="11"/>
        <v>15/03/2025</v>
      </c>
      <c r="I232" s="854" t="str">
        <f>Data2025!J231</f>
        <v>15/03/2025</v>
      </c>
      <c r="J232" s="855" t="str">
        <f>Data2025!L231</f>
        <v>Kudapan pada Kegiatan rubrik/Ibadah Bulanan</v>
      </c>
      <c r="K232" s="855" t="str">
        <f>Data2025!M231</f>
        <v>Kue Besar</v>
      </c>
      <c r="L232" s="856">
        <f>Data2025!N231</f>
        <v>100</v>
      </c>
      <c r="M232" s="856" t="str">
        <f>Data2025!O231</f>
        <v>kotak</v>
      </c>
      <c r="N232" s="857">
        <f>Data2025!P231</f>
        <v>15000</v>
      </c>
      <c r="O232" s="858">
        <f>Data2025!Q231</f>
        <v>1500000</v>
      </c>
      <c r="P232" s="859" t="s">
        <v>280</v>
      </c>
      <c r="Q232" s="860" t="str">
        <f>VLOOKUP(K232,Sheet1!$C$1:$D$101,2,)</f>
        <v>Kue (bahan tepung terigu, gula, telur, mentega; berat 100gr, panjang 15cm, lebar 8 cm)</v>
      </c>
      <c r="R232" s="861">
        <v>55000</v>
      </c>
      <c r="S232" s="862">
        <v>65000</v>
      </c>
      <c r="T232" s="863" t="str">
        <f>Data2025!T231</f>
        <v>Rumah Roti Helena</v>
      </c>
      <c r="U232" s="864" t="s">
        <v>538</v>
      </c>
      <c r="V232" s="863" t="str">
        <f>Data2025!V231</f>
        <v>Fudi Supiyanto</v>
      </c>
      <c r="W232" s="863" t="str">
        <f>Data2025!X231</f>
        <v>Jln Ahmad Yani No.89 Kel. Pasar Telukdalam, Nias Selatan</v>
      </c>
      <c r="X232" s="864" t="s">
        <v>541</v>
      </c>
      <c r="Y232" s="864" t="str">
        <f t="shared" si="12"/>
        <v>Kudapan</v>
      </c>
      <c r="Z232" s="865" t="str">
        <f t="shared" si="13"/>
        <v>Kudapan</v>
      </c>
      <c r="AA232" s="866" t="s">
        <v>3362</v>
      </c>
      <c r="AB232" s="867">
        <v>11000</v>
      </c>
      <c r="AC232" s="867">
        <v>55000</v>
      </c>
      <c r="AD232" s="861">
        <v>55000</v>
      </c>
      <c r="AE232" s="868">
        <v>49549.549549549549</v>
      </c>
      <c r="AF232" s="868">
        <v>55000</v>
      </c>
      <c r="AG232" s="869" t="s">
        <v>3883</v>
      </c>
      <c r="AH232" s="870" t="str">
        <f>Data2025!W231</f>
        <v>082164895397</v>
      </c>
    </row>
    <row r="233" spans="1:34" ht="16.5" thickTop="1" thickBot="1">
      <c r="A233" s="636">
        <f>Data2025!G232</f>
        <v>109</v>
      </c>
      <c r="B233" s="637" t="str">
        <f>Data2025!K232</f>
        <v>BPU47</v>
      </c>
      <c r="C233" s="638" t="str">
        <f>Data2025!D232</f>
        <v>03. 03. 21.</v>
      </c>
      <c r="D233" s="639" t="str">
        <f>Data2025!C232</f>
        <v>5.1.02.01.01.0026</v>
      </c>
      <c r="E233" s="265">
        <f>Data2025!E232</f>
        <v>45734</v>
      </c>
      <c r="F233" s="640" t="str">
        <f>Data2025!F232</f>
        <v>20/03/2025</v>
      </c>
      <c r="G233" s="265" t="str">
        <f>Data2025!H232</f>
        <v>20/03/2025</v>
      </c>
      <c r="H233" s="265" t="str">
        <f t="shared" si="11"/>
        <v>20/03/2025</v>
      </c>
      <c r="I233" s="641" t="str">
        <f>Data2025!J232</f>
        <v>20/03/2025</v>
      </c>
      <c r="J233" s="381" t="str">
        <f>Data2025!L232</f>
        <v>Spanduk Uk. 1 x 6 meter-</v>
      </c>
      <c r="K233" s="381" t="str">
        <f>Data2025!M232</f>
        <v>Spanduk Uk. 1 x 6 meter-</v>
      </c>
      <c r="L233" s="642">
        <f>Data2025!N232</f>
        <v>2</v>
      </c>
      <c r="M233" s="642" t="str">
        <f>Data2025!O232</f>
        <v>buah</v>
      </c>
      <c r="N233" s="643">
        <f>Data2025!P232</f>
        <v>300000</v>
      </c>
      <c r="O233" s="644">
        <f>Data2025!Q232</f>
        <v>600000</v>
      </c>
      <c r="P233" s="645" t="s">
        <v>296</v>
      </c>
      <c r="Q233" s="646" t="e">
        <f>VLOOKUP(K233,Sheet1!$C$1:$D$101,2,)</f>
        <v>#N/A</v>
      </c>
      <c r="R233" s="267">
        <v>95000</v>
      </c>
      <c r="S233" s="647">
        <v>97000</v>
      </c>
      <c r="T233" s="648" t="str">
        <f>Data2025!T232</f>
        <v>UD. BALIZATO</v>
      </c>
      <c r="U233" s="268" t="s">
        <v>538</v>
      </c>
      <c r="V233" s="648" t="str">
        <f>Data2025!V232</f>
        <v>Pieter B.P. Loi</v>
      </c>
      <c r="W233" s="648" t="str">
        <f>Data2025!X232</f>
        <v>Jl. Diponegoro Kel. Pasar Telukdalam - Nias Selatan</v>
      </c>
      <c r="X233" s="268" t="s">
        <v>541</v>
      </c>
      <c r="Y233" s="268" t="str">
        <f t="shared" si="12"/>
        <v>Spanduk</v>
      </c>
      <c r="Z233" s="649" t="str">
        <f t="shared" si="13"/>
        <v>Spanduk</v>
      </c>
      <c r="AA233" s="650" t="s">
        <v>3364</v>
      </c>
      <c r="AB233" s="269">
        <v>95000</v>
      </c>
      <c r="AC233" s="269">
        <v>95000</v>
      </c>
      <c r="AD233" s="267">
        <v>95000</v>
      </c>
      <c r="AE233" s="270">
        <v>85585.585585585592</v>
      </c>
      <c r="AF233" s="270">
        <v>95000</v>
      </c>
      <c r="AG233" s="805" t="s">
        <v>3883</v>
      </c>
      <c r="AH233" s="651" t="str">
        <f>Data2025!W232</f>
        <v>082166506229</v>
      </c>
    </row>
    <row r="234" spans="1:34" ht="26" thickTop="1" thickBot="1">
      <c r="A234" s="636">
        <f>Data2025!G233</f>
        <v>110</v>
      </c>
      <c r="B234" s="637" t="str">
        <f>Data2025!K233</f>
        <v>BPU49</v>
      </c>
      <c r="C234" s="638" t="str">
        <f>Data2025!D233</f>
        <v>04. 06. 13.</v>
      </c>
      <c r="D234" s="639" t="str">
        <f>Data2025!C233</f>
        <v>5.1.02.01.01.0052</v>
      </c>
      <c r="E234" s="265">
        <f>Data2025!E233</f>
        <v>45734</v>
      </c>
      <c r="F234" s="640" t="str">
        <f>Data2025!F233</f>
        <v>20/03/2025</v>
      </c>
      <c r="G234" s="265" t="str">
        <f>Data2025!H233</f>
        <v>20/03/2025</v>
      </c>
      <c r="H234" s="265" t="str">
        <f t="shared" si="11"/>
        <v>20/03/2025</v>
      </c>
      <c r="I234" s="641" t="str">
        <f>Data2025!J233</f>
        <v>20/03/2025</v>
      </c>
      <c r="J234" s="381" t="str">
        <f>Data2025!L233</f>
        <v>Nasi Kotak pada kegiatan Peningkatan kompetensi guru untuk pembelajaran berorientasi pada peserta didik</v>
      </c>
      <c r="K234" s="381" t="str">
        <f>Data2025!M233</f>
        <v>Nasi Kotak</v>
      </c>
      <c r="L234" s="642">
        <f>Data2025!N233</f>
        <v>75</v>
      </c>
      <c r="M234" s="642" t="str">
        <f>Data2025!O233</f>
        <v>kotak</v>
      </c>
      <c r="N234" s="643">
        <f>Data2025!P233</f>
        <v>40000</v>
      </c>
      <c r="O234" s="644">
        <f>Data2025!Q233</f>
        <v>3000000</v>
      </c>
      <c r="P234" s="645" t="s">
        <v>8</v>
      </c>
      <c r="Q234" s="646" t="str">
        <f>VLOOKUP(K234,Sheet1!$C$1:$D$101,2,)</f>
        <v>Nasi Kotak (isi: Nasi putih;Sop daging; Sayur; Berat 1000gr; Dimensi; (PxLxT) 25cmx25cmx10cm)</v>
      </c>
      <c r="R234" s="267">
        <v>550000</v>
      </c>
      <c r="S234" s="647">
        <v>750000</v>
      </c>
      <c r="T234" s="648" t="str">
        <f>Data2025!T233</f>
        <v>Resto JFC Esther</v>
      </c>
      <c r="U234" s="268" t="s">
        <v>538</v>
      </c>
      <c r="V234" s="648" t="str">
        <f>Data2025!V233</f>
        <v>Limaati Daeli</v>
      </c>
      <c r="W234" s="648" t="str">
        <f>Data2025!X233</f>
        <v>Jl. Saonigeho Km. 2 Telukdalam - Nias Selatan</v>
      </c>
      <c r="X234" s="268" t="s">
        <v>541</v>
      </c>
      <c r="Y234" s="268" t="str">
        <f t="shared" si="12"/>
        <v>Konsumsi</v>
      </c>
      <c r="Z234" s="649" t="str">
        <f t="shared" si="13"/>
        <v>Konsumsi</v>
      </c>
      <c r="AA234" s="650" t="s">
        <v>3363</v>
      </c>
      <c r="AB234" s="269">
        <v>5500</v>
      </c>
      <c r="AC234" s="269">
        <v>550000</v>
      </c>
      <c r="AD234" s="267">
        <v>550000</v>
      </c>
      <c r="AE234" s="270">
        <v>495495.4954954955</v>
      </c>
      <c r="AF234" s="270">
        <v>550000</v>
      </c>
      <c r="AG234" s="805" t="s">
        <v>3883</v>
      </c>
      <c r="AH234" s="651" t="str">
        <f>Data2025!W233</f>
        <v>085297578868</v>
      </c>
    </row>
    <row r="235" spans="1:34" s="871" customFormat="1" ht="26" thickTop="1" thickBot="1">
      <c r="A235" s="848">
        <f>Data2025!G234</f>
        <v>111</v>
      </c>
      <c r="B235" s="849" t="str">
        <f>Data2025!K234</f>
        <v>BPU48</v>
      </c>
      <c r="C235" s="850" t="str">
        <f>Data2025!D234</f>
        <v>04. 06. 13.</v>
      </c>
      <c r="D235" s="851" t="str">
        <f>Data2025!C234</f>
        <v>5.1.02.01.01.0052</v>
      </c>
      <c r="E235" s="852">
        <f>Data2025!E234</f>
        <v>45734</v>
      </c>
      <c r="F235" s="853" t="str">
        <f>Data2025!F234</f>
        <v>20/03/2025</v>
      </c>
      <c r="G235" s="852" t="str">
        <f>Data2025!H234</f>
        <v>20/03/2025</v>
      </c>
      <c r="H235" s="852" t="str">
        <f t="shared" si="11"/>
        <v>20/03/2025</v>
      </c>
      <c r="I235" s="854" t="str">
        <f>Data2025!J234</f>
        <v>20/03/2025</v>
      </c>
      <c r="J235" s="855" t="str">
        <f>Data2025!L234</f>
        <v>Kudapan Peningkatan kompetensi guru untuk pembelajaran berorientasi pada peserta didik</v>
      </c>
      <c r="K235" s="855" t="str">
        <f>Data2025!M234</f>
        <v>Kue Besar</v>
      </c>
      <c r="L235" s="856">
        <f>Data2025!N234</f>
        <v>75</v>
      </c>
      <c r="M235" s="856" t="str">
        <f>Data2025!O234</f>
        <v>kotak</v>
      </c>
      <c r="N235" s="857">
        <f>Data2025!P234</f>
        <v>15000</v>
      </c>
      <c r="O235" s="858">
        <f>Data2025!Q234</f>
        <v>1125000</v>
      </c>
      <c r="P235" s="859" t="s">
        <v>280</v>
      </c>
      <c r="Q235" s="860" t="str">
        <f>VLOOKUP(K235,Sheet1!$C$1:$D$101,2,)</f>
        <v>Kue (bahan tepung terigu, gula, telur, mentega; berat 100gr, panjang 15cm, lebar 8 cm)</v>
      </c>
      <c r="R235" s="861">
        <v>120000</v>
      </c>
      <c r="S235" s="862">
        <v>124000</v>
      </c>
      <c r="T235" s="863" t="str">
        <f>Data2025!T234</f>
        <v>Rumah Roti Helena</v>
      </c>
      <c r="U235" s="864" t="s">
        <v>538</v>
      </c>
      <c r="V235" s="863" t="str">
        <f>Data2025!V234</f>
        <v>Fudi Supiyanto</v>
      </c>
      <c r="W235" s="863" t="str">
        <f>Data2025!X234</f>
        <v>Jln Ahmad Yani No.89 Kel. Pasar Telukdalam, Nias Selatan</v>
      </c>
      <c r="X235" s="864" t="s">
        <v>541</v>
      </c>
      <c r="Y235" s="864" t="str">
        <f t="shared" si="12"/>
        <v>Kudapan</v>
      </c>
      <c r="Z235" s="865" t="str">
        <f t="shared" si="13"/>
        <v>Kudapan</v>
      </c>
      <c r="AA235" s="866" t="s">
        <v>3365</v>
      </c>
      <c r="AB235" s="867">
        <v>60000</v>
      </c>
      <c r="AC235" s="867">
        <v>120000</v>
      </c>
      <c r="AD235" s="861">
        <v>120000</v>
      </c>
      <c r="AE235" s="868">
        <v>108108.10810810811</v>
      </c>
      <c r="AF235" s="868">
        <v>120000</v>
      </c>
      <c r="AG235" s="869" t="s">
        <v>3883</v>
      </c>
      <c r="AH235" s="870" t="str">
        <f>Data2025!W234</f>
        <v>082164895397</v>
      </c>
    </row>
    <row r="236" spans="1:34" s="871" customFormat="1" ht="26" thickTop="1" thickBot="1">
      <c r="A236" s="848">
        <f>Data2025!G235</f>
        <v>96</v>
      </c>
      <c r="B236" s="849" t="str">
        <f>Data2025!K235</f>
        <v>BPU42</v>
      </c>
      <c r="C236" s="850" t="str">
        <f>Data2025!D235</f>
        <v>05. 05. 02.</v>
      </c>
      <c r="D236" s="851" t="str">
        <f>Data2025!C235</f>
        <v>5.1.02.01.01.0052</v>
      </c>
      <c r="E236" s="852">
        <f>Data2025!E235</f>
        <v>45717</v>
      </c>
      <c r="F236" s="853" t="str">
        <f>Data2025!F235</f>
        <v>03/03/2025</v>
      </c>
      <c r="G236" s="852" t="str">
        <f>Data2025!H235</f>
        <v>03/03/2025</v>
      </c>
      <c r="H236" s="852" t="str">
        <f t="shared" si="11"/>
        <v>03/03/2025</v>
      </c>
      <c r="I236" s="854" t="str">
        <f>Data2025!J235</f>
        <v>03/03/2025</v>
      </c>
      <c r="J236" s="855" t="str">
        <f>Data2025!L235</f>
        <v>Air Mineral pada pelaksanaan kegiatan bulanan Gerakan Bersih Lingkungan Sekolah</v>
      </c>
      <c r="K236" s="855" t="str">
        <f>Data2025!M235</f>
        <v>Aqua Cup</v>
      </c>
      <c r="L236" s="856">
        <f>Data2025!N235</f>
        <v>25</v>
      </c>
      <c r="M236" s="856" t="str">
        <f>Data2025!O235</f>
        <v>dus</v>
      </c>
      <c r="N236" s="857">
        <f>Data2025!P235</f>
        <v>50000</v>
      </c>
      <c r="O236" s="858">
        <f>Data2025!Q235</f>
        <v>1250000</v>
      </c>
      <c r="P236" s="859" t="s">
        <v>1545</v>
      </c>
      <c r="Q236" s="860" t="str">
        <f>VLOOKUP(K236,Sheet1!$C$1:$D$101,2,)</f>
        <v>Aqua Cup (Diameter: 6.3cm. Tinggi: 9.5cm)</v>
      </c>
      <c r="R236" s="861">
        <v>40000</v>
      </c>
      <c r="S236" s="862">
        <v>44000</v>
      </c>
      <c r="T236" s="863" t="str">
        <f>Data2025!T235</f>
        <v>Rumah Roti Helena</v>
      </c>
      <c r="U236" s="864" t="s">
        <v>538</v>
      </c>
      <c r="V236" s="863" t="str">
        <f>Data2025!V235</f>
        <v>Fudi Supiyanto</v>
      </c>
      <c r="W236" s="863" t="str">
        <f>Data2025!X235</f>
        <v>Jln Ahmad Yani No.89 Kel. Pasar Telukdalam, Nias Selatan</v>
      </c>
      <c r="X236" s="864" t="s">
        <v>541</v>
      </c>
      <c r="Y236" s="864" t="str">
        <f t="shared" si="12"/>
        <v>Air Mineral</v>
      </c>
      <c r="Z236" s="865" t="str">
        <f t="shared" si="13"/>
        <v>Air Mineral</v>
      </c>
      <c r="AA236" s="866" t="s">
        <v>3363</v>
      </c>
      <c r="AB236" s="867">
        <v>20000</v>
      </c>
      <c r="AC236" s="867">
        <v>40000</v>
      </c>
      <c r="AD236" s="861">
        <v>40000</v>
      </c>
      <c r="AE236" s="868">
        <v>36036.036036036036</v>
      </c>
      <c r="AF236" s="868">
        <v>40000</v>
      </c>
      <c r="AG236" s="869" t="s">
        <v>3883</v>
      </c>
      <c r="AH236" s="870" t="str">
        <f>Data2025!W235</f>
        <v>082164895397</v>
      </c>
    </row>
    <row r="237" spans="1:34" ht="16.5" thickTop="1" thickBot="1">
      <c r="A237" s="636">
        <f>Data2025!G236</f>
        <v>104</v>
      </c>
      <c r="B237" s="637" t="str">
        <f>Data2025!K236</f>
        <v>BPU44</v>
      </c>
      <c r="C237" s="638" t="str">
        <f>Data2025!D236</f>
        <v>05. 08. 02.</v>
      </c>
      <c r="D237" s="639" t="str">
        <f>Data2025!C236</f>
        <v>5.1.02.01.01.0012</v>
      </c>
      <c r="E237" s="265">
        <f>Data2025!E236</f>
        <v>45731</v>
      </c>
      <c r="F237" s="640" t="str">
        <f>Data2025!F236</f>
        <v>17/03/2025</v>
      </c>
      <c r="G237" s="265" t="str">
        <f>Data2025!H236</f>
        <v>18/03/2025</v>
      </c>
      <c r="H237" s="265" t="str">
        <f t="shared" si="11"/>
        <v>18/03/2025</v>
      </c>
      <c r="I237" s="641" t="str">
        <f>Data2025!J236</f>
        <v>18/03/2025</v>
      </c>
      <c r="J237" s="381" t="str">
        <f>Data2025!L236</f>
        <v>Jasa Pebaikan Pagar Besi Sekolah</v>
      </c>
      <c r="K237" s="381">
        <f>Data2025!M236</f>
        <v>0</v>
      </c>
      <c r="L237" s="642">
        <f>Data2025!N236</f>
        <v>1</v>
      </c>
      <c r="M237" s="642" t="str">
        <f>Data2025!O236</f>
        <v>kegiatan</v>
      </c>
      <c r="N237" s="643">
        <f>Data2025!P236</f>
        <v>4000000</v>
      </c>
      <c r="O237" s="644">
        <f>Data2025!Q236</f>
        <v>4000000</v>
      </c>
      <c r="P237" s="645" t="s">
        <v>3094</v>
      </c>
      <c r="Q237" s="646" t="e">
        <f>VLOOKUP(K237,Sheet1!$C$1:$D$101,2,)</f>
        <v>#N/A</v>
      </c>
      <c r="R237" s="267">
        <v>155000</v>
      </c>
      <c r="S237" s="647">
        <v>165000</v>
      </c>
      <c r="T237" s="648">
        <f>Data2025!T236</f>
        <v>0</v>
      </c>
      <c r="U237" s="268" t="s">
        <v>538</v>
      </c>
      <c r="V237" s="648" t="e">
        <f>Data2025!V236</f>
        <v>#N/A</v>
      </c>
      <c r="W237" s="648" t="e">
        <f>Data2025!X236</f>
        <v>#N/A</v>
      </c>
      <c r="X237" s="268" t="s">
        <v>541</v>
      </c>
      <c r="Y237" s="268" t="str">
        <f t="shared" si="12"/>
        <v>Pemeliharaan</v>
      </c>
      <c r="Z237" s="649" t="str">
        <f t="shared" si="13"/>
        <v>Pemeliharaan</v>
      </c>
      <c r="AA237" s="650" t="s">
        <v>3365</v>
      </c>
      <c r="AB237" s="269">
        <v>31000</v>
      </c>
      <c r="AC237" s="269">
        <v>155000</v>
      </c>
      <c r="AD237" s="267">
        <v>155000</v>
      </c>
      <c r="AE237" s="270">
        <v>139639.63963963964</v>
      </c>
      <c r="AF237" s="270">
        <v>155000</v>
      </c>
      <c r="AG237" s="805" t="s">
        <v>3883</v>
      </c>
      <c r="AH237" s="651" t="e">
        <f>Data2025!W236</f>
        <v>#N/A</v>
      </c>
    </row>
    <row r="238" spans="1:34" ht="16.5" thickTop="1" thickBot="1">
      <c r="A238" s="636">
        <f>Data2025!G237</f>
        <v>105</v>
      </c>
      <c r="B238" s="637" t="str">
        <f>Data2025!K237</f>
        <v>BNU55</v>
      </c>
      <c r="C238" s="638" t="str">
        <f>Data2025!D237</f>
        <v>05. 08. 02.</v>
      </c>
      <c r="D238" s="639" t="str">
        <f>Data2025!C237</f>
        <v>5.1.02.01.01.0036</v>
      </c>
      <c r="E238" s="265">
        <f>Data2025!E237</f>
        <v>45731</v>
      </c>
      <c r="F238" s="640" t="str">
        <f>Data2025!F237</f>
        <v>17/03/2025</v>
      </c>
      <c r="G238" s="265" t="str">
        <f>Data2025!H237</f>
        <v>18/03/2025</v>
      </c>
      <c r="H238" s="265" t="str">
        <f t="shared" si="11"/>
        <v>18/03/2025</v>
      </c>
      <c r="I238" s="641" t="str">
        <f>Data2025!J237</f>
        <v>25/03/2025</v>
      </c>
      <c r="J238" s="381" t="str">
        <f>Data2025!L237</f>
        <v>Pengadaan Kursi Guru</v>
      </c>
      <c r="K238" s="381" t="str">
        <f>Data2025!M237</f>
        <v>Kursi Guru</v>
      </c>
      <c r="L238" s="642">
        <f>Data2025!N237</f>
        <v>30</v>
      </c>
      <c r="M238" s="642" t="str">
        <f>Data2025!O237</f>
        <v>unit</v>
      </c>
      <c r="N238" s="643">
        <f>Data2025!P237</f>
        <v>680000</v>
      </c>
      <c r="O238" s="644">
        <f>Data2025!Q237</f>
        <v>20400000</v>
      </c>
      <c r="P238" s="645" t="s">
        <v>3869</v>
      </c>
      <c r="Q238" s="646" t="e">
        <f>VLOOKUP(K238,Sheet1!$C$1:$D$101,2,)</f>
        <v>#N/A</v>
      </c>
      <c r="R238" s="267">
        <v>40000</v>
      </c>
      <c r="S238" s="647">
        <v>44000</v>
      </c>
      <c r="T238" s="648" t="str">
        <f>Data2025!T237</f>
        <v>CV. Marsatu Jaya Badiri</v>
      </c>
      <c r="U238" s="268" t="s">
        <v>538</v>
      </c>
      <c r="V238" s="648" t="str">
        <f>Data2025!V237</f>
        <v>Marusaha S. Simanjuntak</v>
      </c>
      <c r="W238" s="648" t="str">
        <f>Data2025!X237</f>
        <v>Jl. Oswald Siahaan No. 6A Aek Tolang Pandan</v>
      </c>
      <c r="X238" s="268" t="s">
        <v>541</v>
      </c>
      <c r="Y238" s="268" t="str">
        <f t="shared" si="12"/>
        <v>Peralatan Sekolah</v>
      </c>
      <c r="Z238" s="649" t="str">
        <f t="shared" si="13"/>
        <v>Peralatan Sekolah</v>
      </c>
      <c r="AA238" s="650" t="s">
        <v>3366</v>
      </c>
      <c r="AB238" s="269">
        <v>20000</v>
      </c>
      <c r="AC238" s="269">
        <v>40000</v>
      </c>
      <c r="AD238" s="267">
        <v>40000</v>
      </c>
      <c r="AE238" s="270">
        <v>36036.036036036036</v>
      </c>
      <c r="AF238" s="270">
        <v>40000</v>
      </c>
      <c r="AG238" s="805" t="s">
        <v>3884</v>
      </c>
      <c r="AH238" s="651" t="str">
        <f>Data2025!W237</f>
        <v>085261247862</v>
      </c>
    </row>
    <row r="239" spans="1:34" ht="16.5" thickTop="1" thickBot="1">
      <c r="A239" s="636">
        <f>Data2025!G238</f>
        <v>0</v>
      </c>
      <c r="B239" s="637" t="e">
        <f>Data2025!K238</f>
        <v>#N/A</v>
      </c>
      <c r="C239" s="638" t="str">
        <f>Data2025!D238</f>
        <v>05. 08. 02.</v>
      </c>
      <c r="D239" s="639" t="str">
        <f>Data2025!C238</f>
        <v>5.1.02.01.01.0036</v>
      </c>
      <c r="E239" s="265">
        <f>Data2025!E238</f>
        <v>45717</v>
      </c>
      <c r="F239" s="640" t="str">
        <f>Data2025!F238</f>
        <v>03/03/2025</v>
      </c>
      <c r="G239" s="265" t="str">
        <f>Data2025!H238</f>
        <v>23/04/2025</v>
      </c>
      <c r="H239" s="265" t="str">
        <f t="shared" si="11"/>
        <v>23/04/2025</v>
      </c>
      <c r="I239" s="641" t="str">
        <f>Data2025!J238</f>
        <v>23/04/2025</v>
      </c>
      <c r="J239" s="381" t="str">
        <f>Data2025!L238</f>
        <v>Pengadaan Meja Guru</v>
      </c>
      <c r="K239" s="381" t="str">
        <f>Data2025!M238</f>
        <v>Meja Guru</v>
      </c>
      <c r="L239" s="642">
        <f>Data2025!N238</f>
        <v>4</v>
      </c>
      <c r="M239" s="642" t="str">
        <f>Data2025!O238</f>
        <v>buah</v>
      </c>
      <c r="N239" s="643">
        <f>Data2025!P238</f>
        <v>2352500</v>
      </c>
      <c r="O239" s="644">
        <f>Data2025!Q238</f>
        <v>9410000</v>
      </c>
      <c r="P239" s="645" t="s">
        <v>3869</v>
      </c>
      <c r="Q239" s="646" t="e">
        <f>VLOOKUP(K239,Sheet1!$C$1:$D$101,2,)</f>
        <v>#N/A</v>
      </c>
      <c r="R239" s="267">
        <v>396000</v>
      </c>
      <c r="S239" s="647">
        <v>420000</v>
      </c>
      <c r="T239" s="648">
        <f>Data2025!T238</f>
        <v>0</v>
      </c>
      <c r="U239" s="268" t="s">
        <v>538</v>
      </c>
      <c r="V239" s="648" t="e">
        <f>Data2025!V238</f>
        <v>#N/A</v>
      </c>
      <c r="W239" s="648" t="e">
        <f>Data2025!X238</f>
        <v>#N/A</v>
      </c>
      <c r="X239" s="268" t="s">
        <v>541</v>
      </c>
      <c r="Y239" s="268" t="str">
        <f t="shared" si="12"/>
        <v>Peralatan Sekolah</v>
      </c>
      <c r="Z239" s="649" t="str">
        <f t="shared" si="13"/>
        <v>Peralatan Sekolah</v>
      </c>
      <c r="AA239" s="650" t="s">
        <v>3367</v>
      </c>
      <c r="AB239" s="269">
        <v>33000</v>
      </c>
      <c r="AC239" s="269">
        <v>396000</v>
      </c>
      <c r="AD239" s="267">
        <v>396000</v>
      </c>
      <c r="AE239" s="270">
        <v>356756.75675675675</v>
      </c>
      <c r="AF239" s="270">
        <v>396000</v>
      </c>
      <c r="AG239" s="805" t="s">
        <v>3883</v>
      </c>
      <c r="AH239" s="651" t="e">
        <f>Data2025!W238</f>
        <v>#N/A</v>
      </c>
    </row>
    <row r="240" spans="1:34" ht="16.5" thickTop="1" thickBot="1">
      <c r="A240" s="636">
        <f>Data2025!G239</f>
        <v>106</v>
      </c>
      <c r="B240" s="637" t="str">
        <f>Data2025!K239</f>
        <v>BPU54</v>
      </c>
      <c r="C240" s="638" t="str">
        <f>Data2025!D239</f>
        <v>05. 08. 02.</v>
      </c>
      <c r="D240" s="639" t="str">
        <f>Data2025!C239</f>
        <v>5.1.02.01.01.0036</v>
      </c>
      <c r="E240" s="265">
        <f>Data2025!E239</f>
        <v>45739</v>
      </c>
      <c r="F240" s="640" t="str">
        <f>Data2025!F239</f>
        <v>25/03/2025</v>
      </c>
      <c r="G240" s="265" t="str">
        <f>Data2025!H239</f>
        <v>25/03/2025</v>
      </c>
      <c r="H240" s="265" t="str">
        <f t="shared" si="11"/>
        <v>25/03/2025</v>
      </c>
      <c r="I240" s="641" t="str">
        <f>Data2025!J239</f>
        <v>25/03/2025</v>
      </c>
      <c r="J240" s="381" t="str">
        <f>Data2025!L239</f>
        <v>Jasa Angkutan Kursi Guru</v>
      </c>
      <c r="K240" s="381" t="str">
        <f>Data2025!M239</f>
        <v>Bayar Jasa angkut kursi guru</v>
      </c>
      <c r="L240" s="642">
        <f>Data2025!N239</f>
        <v>1</v>
      </c>
      <c r="M240" s="642" t="str">
        <f>Data2025!O239</f>
        <v>kegiatan</v>
      </c>
      <c r="N240" s="643">
        <f>Data2025!P239</f>
        <v>3000000</v>
      </c>
      <c r="O240" s="644">
        <f>Data2025!Q239</f>
        <v>3000000</v>
      </c>
      <c r="P240" s="645" t="s">
        <v>3866</v>
      </c>
      <c r="Q240" s="646" t="e">
        <f>VLOOKUP(K240,Sheet1!$C$1:$D$101,2,)</f>
        <v>#N/A</v>
      </c>
      <c r="R240" s="267">
        <v>75000</v>
      </c>
      <c r="S240" s="647">
        <v>85000</v>
      </c>
      <c r="T240" s="648">
        <f>Data2025!T239</f>
        <v>0</v>
      </c>
      <c r="U240" s="268" t="s">
        <v>538</v>
      </c>
      <c r="V240" s="648" t="e">
        <f>Data2025!V239</f>
        <v>#N/A</v>
      </c>
      <c r="W240" s="648" t="e">
        <f>Data2025!X239</f>
        <v>#N/A</v>
      </c>
      <c r="X240" s="268" t="s">
        <v>541</v>
      </c>
      <c r="Y240" s="268" t="str">
        <f t="shared" si="12"/>
        <v>Jasa Angkutan</v>
      </c>
      <c r="Z240" s="649" t="str">
        <f t="shared" si="13"/>
        <v>Jasa Angkutan</v>
      </c>
      <c r="AA240" s="650" t="s">
        <v>3363</v>
      </c>
      <c r="AB240" s="269">
        <v>15000</v>
      </c>
      <c r="AC240" s="269">
        <v>75000</v>
      </c>
      <c r="AD240" s="267">
        <v>75000</v>
      </c>
      <c r="AE240" s="270">
        <v>67567.567567567574</v>
      </c>
      <c r="AF240" s="270">
        <v>75000</v>
      </c>
      <c r="AG240" s="805" t="s">
        <v>3883</v>
      </c>
      <c r="AH240" s="651" t="e">
        <f>Data2025!W239</f>
        <v>#N/A</v>
      </c>
    </row>
    <row r="241" spans="1:37" ht="16.5" thickTop="1" thickBot="1">
      <c r="A241" s="636">
        <f>Data2025!G240</f>
        <v>114</v>
      </c>
      <c r="B241" s="637" t="str">
        <f>Data2025!K240</f>
        <v>BPU53</v>
      </c>
      <c r="C241" s="638" t="str">
        <f>Data2025!D240</f>
        <v>06. 05. 02.</v>
      </c>
      <c r="D241" s="639" t="str">
        <f>Data2025!C240</f>
        <v>5.1.02.01.01.0052</v>
      </c>
      <c r="E241" s="265">
        <f>Data2025!E240</f>
        <v>45735</v>
      </c>
      <c r="F241" s="640" t="str">
        <f>Data2025!F240</f>
        <v>21/03/2025</v>
      </c>
      <c r="G241" s="265" t="str">
        <f>Data2025!H240</f>
        <v>22/03/2025</v>
      </c>
      <c r="H241" s="265" t="str">
        <f t="shared" si="11"/>
        <v>22/03/2025</v>
      </c>
      <c r="I241" s="641" t="str">
        <f>Data2025!J240</f>
        <v>22/03/2025</v>
      </c>
      <c r="J241" s="381" t="str">
        <f>Data2025!L240</f>
        <v>Kudapan Rapat Rutin Bulanan</v>
      </c>
      <c r="K241" s="381" t="str">
        <f>Data2025!M240</f>
        <v>Kue Besar</v>
      </c>
      <c r="L241" s="642">
        <f>Data2025!N240</f>
        <v>60</v>
      </c>
      <c r="M241" s="642" t="str">
        <f>Data2025!O240</f>
        <v>buah</v>
      </c>
      <c r="N241" s="643">
        <f>Data2025!P240</f>
        <v>15000</v>
      </c>
      <c r="O241" s="644">
        <f>Data2025!Q240</f>
        <v>900000</v>
      </c>
      <c r="P241" s="645" t="s">
        <v>280</v>
      </c>
      <c r="Q241" s="646" t="str">
        <f>VLOOKUP(K241,Sheet1!$C$1:$D$101,2,)</f>
        <v>Kue (bahan tepung terigu, gula, telur, mentega; berat 100gr, panjang 15cm, lebar 8 cm)</v>
      </c>
      <c r="R241" s="267">
        <v>300000</v>
      </c>
      <c r="S241" s="647">
        <v>310000</v>
      </c>
      <c r="T241" s="648">
        <f>Data2025!T240</f>
        <v>0</v>
      </c>
      <c r="U241" s="268" t="s">
        <v>538</v>
      </c>
      <c r="V241" s="648" t="e">
        <f>Data2025!V240</f>
        <v>#N/A</v>
      </c>
      <c r="W241" s="648" t="e">
        <f>Data2025!X240</f>
        <v>#N/A</v>
      </c>
      <c r="X241" s="268" t="s">
        <v>541</v>
      </c>
      <c r="Y241" s="268" t="str">
        <f t="shared" si="12"/>
        <v>Kudapan</v>
      </c>
      <c r="Z241" s="649" t="str">
        <f t="shared" si="13"/>
        <v>Kudapan</v>
      </c>
      <c r="AA241" s="650" t="s">
        <v>3365</v>
      </c>
      <c r="AB241" s="269">
        <v>60000</v>
      </c>
      <c r="AC241" s="269">
        <v>300000</v>
      </c>
      <c r="AD241" s="267">
        <v>300000</v>
      </c>
      <c r="AE241" s="270">
        <v>270270.2702702703</v>
      </c>
      <c r="AF241" s="270">
        <v>300000</v>
      </c>
      <c r="AG241" s="805" t="s">
        <v>3883</v>
      </c>
      <c r="AH241" s="651" t="e">
        <f>Data2025!W240</f>
        <v>#N/A</v>
      </c>
    </row>
    <row r="242" spans="1:37" ht="38.5" thickTop="1" thickBot="1">
      <c r="A242" s="636">
        <f>Data2025!G241</f>
        <v>107</v>
      </c>
      <c r="B242" s="637" t="str">
        <f>Data2025!K241</f>
        <v>BPU45</v>
      </c>
      <c r="C242" s="638" t="str">
        <f>Data2025!D241</f>
        <v>06. 05. 05.</v>
      </c>
      <c r="D242" s="639" t="str">
        <f>Data2025!C241</f>
        <v>5.1.02.01.01.0055</v>
      </c>
      <c r="E242" s="265">
        <f>Data2025!E241</f>
        <v>45731</v>
      </c>
      <c r="F242" s="640" t="str">
        <f>Data2025!F241</f>
        <v>17/03/2025</v>
      </c>
      <c r="G242" s="265" t="str">
        <f>Data2025!H241</f>
        <v>18/03/2025</v>
      </c>
      <c r="H242" s="265" t="str">
        <f t="shared" si="11"/>
        <v>18/03/2025</v>
      </c>
      <c r="I242" s="641" t="str">
        <f>Data2025!J241</f>
        <v>18/03/2025</v>
      </c>
      <c r="J242" s="381" t="str">
        <f>Data2025!L241</f>
        <v>Satuan Biaya Konsumsi Makanan dan Minuman Fasilitas Pelayanan Urusan Pendidikan Biasa, Kudapan (Snack) - Provinsi Sumatera Utara--</v>
      </c>
      <c r="K242" s="381" t="str">
        <f>Data2025!M241</f>
        <v>Nasi Kotak</v>
      </c>
      <c r="L242" s="642">
        <f>Data2025!N241</f>
        <v>12</v>
      </c>
      <c r="M242" s="642" t="str">
        <f>Data2025!O241</f>
        <v>kotak</v>
      </c>
      <c r="N242" s="643">
        <f>Data2025!P241</f>
        <v>15000</v>
      </c>
      <c r="O242" s="644">
        <f>Data2025!Q241</f>
        <v>180000</v>
      </c>
      <c r="P242" s="645" t="s">
        <v>8</v>
      </c>
      <c r="Q242" s="646" t="str">
        <f>VLOOKUP(K242,Sheet1!$C$1:$D$101,2,)</f>
        <v>Nasi Kotak (isi: Nasi putih;Sop daging; Sayur; Berat 1000gr; Dimensi; (PxLxT) 25cmx25cmx10cm)</v>
      </c>
      <c r="R242" s="267">
        <v>37500</v>
      </c>
      <c r="S242" s="647">
        <v>47500</v>
      </c>
      <c r="T242" s="648" t="str">
        <f>Data2025!T241</f>
        <v>Resto JFC Esther</v>
      </c>
      <c r="U242" s="268" t="s">
        <v>538</v>
      </c>
      <c r="V242" s="648" t="str">
        <f>Data2025!V241</f>
        <v>Limaati Daeli</v>
      </c>
      <c r="W242" s="648" t="str">
        <f>Data2025!X241</f>
        <v>Jl. Saonigeho Km. 2 Telukdalam - Nias Selatan</v>
      </c>
      <c r="X242" s="268" t="s">
        <v>541</v>
      </c>
      <c r="Y242" s="268" t="str">
        <f t="shared" si="12"/>
        <v>Konsumsi</v>
      </c>
      <c r="Z242" s="649" t="str">
        <f t="shared" si="13"/>
        <v>Konsumsi</v>
      </c>
      <c r="AA242" s="650" t="s">
        <v>3362</v>
      </c>
      <c r="AB242" s="269">
        <v>7500</v>
      </c>
      <c r="AC242" s="269">
        <v>37500</v>
      </c>
      <c r="AD242" s="267">
        <v>37500</v>
      </c>
      <c r="AE242" s="270">
        <v>33783.783783783787</v>
      </c>
      <c r="AF242" s="270">
        <v>37500</v>
      </c>
      <c r="AG242" s="805" t="s">
        <v>3883</v>
      </c>
      <c r="AH242" s="651" t="str">
        <f>Data2025!W241</f>
        <v>085297578868</v>
      </c>
      <c r="AI242" s="277"/>
      <c r="AJ242" s="277"/>
    </row>
    <row r="243" spans="1:37" ht="38.5" thickTop="1" thickBot="1">
      <c r="A243" s="636">
        <f>Data2025!G242</f>
        <v>108</v>
      </c>
      <c r="B243" s="637" t="str">
        <f>Data2025!K242</f>
        <v>BPU46</v>
      </c>
      <c r="C243" s="638" t="str">
        <f>Data2025!D242</f>
        <v>06. 05. 05.</v>
      </c>
      <c r="D243" s="639" t="str">
        <f>Data2025!C242</f>
        <v>5.1.02.01.01.0055</v>
      </c>
      <c r="E243" s="265">
        <f>Data2025!E242</f>
        <v>45731</v>
      </c>
      <c r="F243" s="640" t="str">
        <f>Data2025!F242</f>
        <v>17/03/2025</v>
      </c>
      <c r="G243" s="265" t="str">
        <f>Data2025!H242</f>
        <v>18/03/2025</v>
      </c>
      <c r="H243" s="265" t="str">
        <f t="shared" si="11"/>
        <v>18/03/2025</v>
      </c>
      <c r="I243" s="641" t="str">
        <f>Data2025!J242</f>
        <v>18/03/2025</v>
      </c>
      <c r="J243" s="381" t="str">
        <f>Data2025!L242</f>
        <v>Satuan Biaya Konsumsi Makanan dan Minuman Fasilitas Pelayanan Urusan Pendidikan Biasa, Makan - Provinsi Sumatera Utara--</v>
      </c>
      <c r="K243" s="381" t="str">
        <f>Data2025!M242</f>
        <v>Nasi Kotak</v>
      </c>
      <c r="L243" s="642">
        <f>Data2025!N242</f>
        <v>12</v>
      </c>
      <c r="M243" s="642" t="str">
        <f>Data2025!O242</f>
        <v>kotak</v>
      </c>
      <c r="N243" s="643">
        <f>Data2025!P242</f>
        <v>40000</v>
      </c>
      <c r="O243" s="644">
        <f>Data2025!Q242</f>
        <v>480000</v>
      </c>
      <c r="P243" s="645" t="s">
        <v>8</v>
      </c>
      <c r="Q243" s="646" t="str">
        <f>VLOOKUP(K243,Sheet1!$C$1:$D$101,2,)</f>
        <v>Nasi Kotak (isi: Nasi putih;Sop daging; Sayur; Berat 1000gr; Dimensi; (PxLxT) 25cmx25cmx10cm)</v>
      </c>
      <c r="R243" s="267">
        <v>69000</v>
      </c>
      <c r="S243" s="647">
        <v>75000</v>
      </c>
      <c r="T243" s="648" t="str">
        <f>Data2025!T242</f>
        <v>Resto JFC Esther</v>
      </c>
      <c r="U243" s="268" t="s">
        <v>538</v>
      </c>
      <c r="V243" s="648" t="str">
        <f>Data2025!V242</f>
        <v>Limaati Daeli</v>
      </c>
      <c r="W243" s="648" t="str">
        <f>Data2025!X242</f>
        <v>Jl. Saonigeho Km. 2 Telukdalam - Nias Selatan</v>
      </c>
      <c r="X243" s="268" t="s">
        <v>541</v>
      </c>
      <c r="Y243" s="268" t="str">
        <f t="shared" si="12"/>
        <v>Konsumsi</v>
      </c>
      <c r="Z243" s="649" t="str">
        <f t="shared" si="13"/>
        <v>Konsumsi</v>
      </c>
      <c r="AA243" s="650" t="s">
        <v>3365</v>
      </c>
      <c r="AB243" s="269">
        <v>23000</v>
      </c>
      <c r="AC243" s="269">
        <v>69000</v>
      </c>
      <c r="AD243" s="267">
        <v>69000</v>
      </c>
      <c r="AE243" s="270">
        <v>62162.16216216216</v>
      </c>
      <c r="AF243" s="270">
        <v>69000</v>
      </c>
      <c r="AG243" s="805" t="s">
        <v>3883</v>
      </c>
      <c r="AH243" s="651" t="str">
        <f>Data2025!W242</f>
        <v>085297578868</v>
      </c>
    </row>
    <row r="244" spans="1:37" ht="16.5" thickTop="1" thickBot="1">
      <c r="A244" s="636">
        <f>Data2025!G243</f>
        <v>97</v>
      </c>
      <c r="B244" s="637" t="e">
        <f>Data2025!K243</f>
        <v>#N/A</v>
      </c>
      <c r="C244" s="638" t="str">
        <f>Data2025!D243</f>
        <v>06. 05. 08.</v>
      </c>
      <c r="D244" s="639" t="str">
        <f>Data2025!C243</f>
        <v>5.1.02.01.01.0024</v>
      </c>
      <c r="E244" s="265">
        <f>Data2025!E243</f>
        <v>45717</v>
      </c>
      <c r="F244" s="640" t="str">
        <f>Data2025!F243</f>
        <v>03/03/2025</v>
      </c>
      <c r="G244" s="265" t="str">
        <f>Data2025!H243</f>
        <v>03/03/2025</v>
      </c>
      <c r="H244" s="265" t="str">
        <f t="shared" si="11"/>
        <v>03/03/2025</v>
      </c>
      <c r="I244" s="641" t="str">
        <f>Data2025!J243</f>
        <v>23/04/2025</v>
      </c>
      <c r="J244" s="381" t="str">
        <f>Data2025!L243</f>
        <v>Plastik Mika</v>
      </c>
      <c r="K244" s="381" t="str">
        <f>Data2025!M243</f>
        <v>Plastik Mika</v>
      </c>
      <c r="L244" s="642">
        <f>Data2025!N243</f>
        <v>5</v>
      </c>
      <c r="M244" s="642" t="str">
        <f>Data2025!O243</f>
        <v>bungkus</v>
      </c>
      <c r="N244" s="643">
        <f>Data2025!P243</f>
        <v>60000</v>
      </c>
      <c r="O244" s="644">
        <f>Data2025!Q243</f>
        <v>300000</v>
      </c>
      <c r="P244" s="645" t="s">
        <v>710</v>
      </c>
      <c r="Q244" s="646" t="str">
        <f>VLOOKUP(K244,Sheet1!$C$1:$D$101,2,)</f>
        <v>Plastik Mika Jilid F4 (Length 21.0Cm, Width 33.0Cm, Height 7.0Cm, Weight 548Gr)</v>
      </c>
      <c r="R244" s="267">
        <v>125000</v>
      </c>
      <c r="S244" s="647">
        <v>135000</v>
      </c>
      <c r="T244" s="648">
        <f>Data2025!T243</f>
        <v>0</v>
      </c>
      <c r="U244" s="268" t="s">
        <v>538</v>
      </c>
      <c r="V244" s="648" t="e">
        <f>Data2025!V243</f>
        <v>#N/A</v>
      </c>
      <c r="W244" s="648" t="e">
        <f>Data2025!X243</f>
        <v>#N/A</v>
      </c>
      <c r="X244" s="268" t="s">
        <v>541</v>
      </c>
      <c r="Y244" s="268" t="str">
        <f t="shared" si="12"/>
        <v>Alat Tulis Kantor (ATK)</v>
      </c>
      <c r="Z244" s="649" t="str">
        <f t="shared" si="13"/>
        <v>Alat Tulis Kantor (ATK)</v>
      </c>
      <c r="AA244" s="650" t="s">
        <v>3368</v>
      </c>
      <c r="AB244" s="269">
        <v>25000</v>
      </c>
      <c r="AC244" s="269">
        <v>125000</v>
      </c>
      <c r="AD244" s="267">
        <v>125000</v>
      </c>
      <c r="AE244" s="270">
        <v>112612.61261261262</v>
      </c>
      <c r="AF244" s="270">
        <v>125000</v>
      </c>
      <c r="AG244" s="805" t="s">
        <v>3883</v>
      </c>
      <c r="AH244" s="651" t="e">
        <f>Data2025!W243</f>
        <v>#N/A</v>
      </c>
    </row>
    <row r="245" spans="1:37" ht="26" thickTop="1" thickBot="1">
      <c r="A245" s="636">
        <f>Data2025!G244</f>
        <v>97</v>
      </c>
      <c r="B245" s="637" t="e">
        <f>Data2025!K244</f>
        <v>#N/A</v>
      </c>
      <c r="C245" s="638" t="str">
        <f>Data2025!D244</f>
        <v>06. 05. 08.</v>
      </c>
      <c r="D245" s="639" t="str">
        <f>Data2025!C244</f>
        <v>5.1.02.01.01.0024</v>
      </c>
      <c r="E245" s="265">
        <f>Data2025!E244</f>
        <v>45717</v>
      </c>
      <c r="F245" s="640" t="str">
        <f>Data2025!F244</f>
        <v>03/03/2025</v>
      </c>
      <c r="G245" s="265" t="str">
        <f>Data2025!H244</f>
        <v>03/03/2025</v>
      </c>
      <c r="H245" s="265" t="str">
        <f t="shared" si="11"/>
        <v>03/03/2025</v>
      </c>
      <c r="I245" s="641" t="str">
        <f>Data2025!J244</f>
        <v>23/04/2025</v>
      </c>
      <c r="J245" s="381" t="str">
        <f>Data2025!L244</f>
        <v>Kertas Warna Blank Folio, Ukuran : 8,5 x 14",  70 gram</v>
      </c>
      <c r="K245" s="381" t="str">
        <f>Data2025!M244</f>
        <v>Kertas Warna Blank Folio, Ukuran : 8,5 x 14",  70 gram</v>
      </c>
      <c r="L245" s="642">
        <f>Data2025!N244</f>
        <v>2</v>
      </c>
      <c r="M245" s="642" t="str">
        <f>Data2025!O244</f>
        <v>rim</v>
      </c>
      <c r="N245" s="643">
        <f>Data2025!P244</f>
        <v>90000</v>
      </c>
      <c r="O245" s="644">
        <f>Data2025!Q244</f>
        <v>180000</v>
      </c>
      <c r="P245" s="645" t="s">
        <v>710</v>
      </c>
      <c r="Q245" s="646" t="str">
        <f>VLOOKUP(K245,Sheet1!$C$1:$D$101,2,)</f>
        <v>Kertas Hvs Warna 70 Gsm (Length 21.0Cm, Width 33.0Cm, Height 7.0Cm, Weight 2400Gr)</v>
      </c>
      <c r="R245" s="267">
        <v>209000</v>
      </c>
      <c r="S245" s="647">
        <v>229000</v>
      </c>
      <c r="T245" s="648">
        <f>Data2025!T244</f>
        <v>0</v>
      </c>
      <c r="U245" s="268" t="s">
        <v>538</v>
      </c>
      <c r="V245" s="648" t="e">
        <f>Data2025!V244</f>
        <v>#N/A</v>
      </c>
      <c r="W245" s="648" t="e">
        <f>Data2025!X244</f>
        <v>#N/A</v>
      </c>
      <c r="X245" s="268" t="s">
        <v>541</v>
      </c>
      <c r="Y245" s="268" t="str">
        <f t="shared" si="12"/>
        <v>Alat Tulis Kantor (ATK)</v>
      </c>
      <c r="Z245" s="649" t="str">
        <f t="shared" si="13"/>
        <v>Alat Tulis Kantor (ATK)</v>
      </c>
      <c r="AA245" s="650" t="s">
        <v>3363</v>
      </c>
      <c r="AB245" s="269">
        <v>20900</v>
      </c>
      <c r="AC245" s="269">
        <v>209000</v>
      </c>
      <c r="AD245" s="267">
        <v>209000</v>
      </c>
      <c r="AE245" s="270">
        <v>188288.28828828828</v>
      </c>
      <c r="AF245" s="270">
        <v>209000</v>
      </c>
      <c r="AG245" s="805" t="s">
        <v>3883</v>
      </c>
      <c r="AH245" s="651" t="e">
        <f>Data2025!W244</f>
        <v>#N/A</v>
      </c>
      <c r="AI245" s="277"/>
      <c r="AJ245" s="277"/>
      <c r="AK245" s="282">
        <f>SUM(O245:O252)</f>
        <v>3604000</v>
      </c>
    </row>
    <row r="246" spans="1:37" ht="16.5" thickTop="1" thickBot="1">
      <c r="A246" s="636">
        <f>Data2025!G245</f>
        <v>97</v>
      </c>
      <c r="B246" s="637" t="e">
        <f>Data2025!K245</f>
        <v>#N/A</v>
      </c>
      <c r="C246" s="638" t="str">
        <f>Data2025!D245</f>
        <v>06. 05. 08.</v>
      </c>
      <c r="D246" s="639" t="str">
        <f>Data2025!C245</f>
        <v>5.1.02.01.01.0024</v>
      </c>
      <c r="E246" s="265">
        <f>Data2025!E245</f>
        <v>45717</v>
      </c>
      <c r="F246" s="640" t="str">
        <f>Data2025!F245</f>
        <v>03/03/2025</v>
      </c>
      <c r="G246" s="265" t="str">
        <f>Data2025!H245</f>
        <v>03/03/2025</v>
      </c>
      <c r="H246" s="265" t="str">
        <f t="shared" si="11"/>
        <v>03/03/2025</v>
      </c>
      <c r="I246" s="641" t="str">
        <f>Data2025!J245</f>
        <v>23/04/2025</v>
      </c>
      <c r="J246" s="381" t="str">
        <f>Data2025!L245</f>
        <v>Kertas Lain-Lain Kertas Buffalo</v>
      </c>
      <c r="K246" s="381" t="str">
        <f>Data2025!M245</f>
        <v>Kertas Lain-Lain Kertas Buffalo</v>
      </c>
      <c r="L246" s="642">
        <f>Data2025!N245</f>
        <v>5</v>
      </c>
      <c r="M246" s="642" t="str">
        <f>Data2025!O245</f>
        <v>bungkus</v>
      </c>
      <c r="N246" s="643">
        <f>Data2025!P245</f>
        <v>31000</v>
      </c>
      <c r="O246" s="644">
        <f>Data2025!Q245</f>
        <v>155000</v>
      </c>
      <c r="P246" s="645" t="s">
        <v>710</v>
      </c>
      <c r="Q246" s="646" t="str">
        <f>VLOOKUP(K246,Sheet1!$C$1:$D$101,2,)</f>
        <v>Kertas Buffalo F4 (Length 21.0Cm, Width 33.0Cm, Height 7.0Cm, Weight 1006Gr)</v>
      </c>
      <c r="R246" s="267">
        <v>10000</v>
      </c>
      <c r="S246" s="647">
        <v>14000</v>
      </c>
      <c r="T246" s="648">
        <f>Data2025!T245</f>
        <v>0</v>
      </c>
      <c r="U246" s="268" t="s">
        <v>538</v>
      </c>
      <c r="V246" s="648" t="e">
        <f>Data2025!V245</f>
        <v>#N/A</v>
      </c>
      <c r="W246" s="648" t="e">
        <f>Data2025!X245</f>
        <v>#N/A</v>
      </c>
      <c r="X246" s="268" t="s">
        <v>541</v>
      </c>
      <c r="Y246" s="268" t="str">
        <f t="shared" si="12"/>
        <v>Alat Tulis Kantor (ATK)</v>
      </c>
      <c r="Z246" s="649" t="str">
        <f t="shared" si="13"/>
        <v>Alat Tulis Kantor (ATK)</v>
      </c>
      <c r="AA246" s="650" t="s">
        <v>3362</v>
      </c>
      <c r="AB246" s="269">
        <v>5000</v>
      </c>
      <c r="AC246" s="269">
        <v>10000</v>
      </c>
      <c r="AD246" s="267">
        <v>10000</v>
      </c>
      <c r="AE246" s="270">
        <v>9009.0090090090089</v>
      </c>
      <c r="AF246" s="270">
        <v>10000</v>
      </c>
      <c r="AG246" s="805" t="s">
        <v>3883</v>
      </c>
      <c r="AH246" s="651" t="e">
        <f>Data2025!W245</f>
        <v>#N/A</v>
      </c>
    </row>
    <row r="247" spans="1:37" ht="26" thickTop="1" thickBot="1">
      <c r="A247" s="636">
        <f>Data2025!G246</f>
        <v>97</v>
      </c>
      <c r="B247" s="637" t="e">
        <f>Data2025!K246</f>
        <v>#N/A</v>
      </c>
      <c r="C247" s="638" t="str">
        <f>Data2025!D246</f>
        <v>06. 05. 08.</v>
      </c>
      <c r="D247" s="639" t="str">
        <f>Data2025!C246</f>
        <v>5.1.02.01.01.0024</v>
      </c>
      <c r="E247" s="265">
        <f>Data2025!E246</f>
        <v>45717</v>
      </c>
      <c r="F247" s="640" t="str">
        <f>Data2025!F246</f>
        <v>03/03/2025</v>
      </c>
      <c r="G247" s="265" t="str">
        <f>Data2025!H246</f>
        <v>03/03/2025</v>
      </c>
      <c r="H247" s="265" t="str">
        <f t="shared" si="11"/>
        <v>03/03/2025</v>
      </c>
      <c r="I247" s="641" t="str">
        <f>Data2025!J246</f>
        <v>23/04/2025</v>
      </c>
      <c r="J247" s="381" t="str">
        <f>Data2025!L246</f>
        <v>Kertas Post-It Warna Warni  Sign Here</v>
      </c>
      <c r="K247" s="381" t="str">
        <f>Data2025!M246</f>
        <v>Kertas Post-It Warna Warni  Sign Here</v>
      </c>
      <c r="L247" s="642">
        <f>Data2025!N246</f>
        <v>5</v>
      </c>
      <c r="M247" s="642" t="str">
        <f>Data2025!O246</f>
        <v>buah</v>
      </c>
      <c r="N247" s="643">
        <f>Data2025!P246</f>
        <v>22800</v>
      </c>
      <c r="O247" s="644">
        <f>Data2025!Q246</f>
        <v>114000</v>
      </c>
      <c r="P247" s="645" t="s">
        <v>710</v>
      </c>
      <c r="Q247" s="646" t="str">
        <f>VLOOKUP(K247,Sheet1!$C$1:$D$101,2,)</f>
        <v>Post It Warna Warni (Length 7.0Cm, Width 7.0Cm, Height 7.0Cm, Weight 44Gr)</v>
      </c>
      <c r="R247" s="267">
        <v>235000</v>
      </c>
      <c r="S247" s="647">
        <v>237000</v>
      </c>
      <c r="T247" s="648">
        <f>Data2025!T246</f>
        <v>0</v>
      </c>
      <c r="U247" s="268" t="s">
        <v>538</v>
      </c>
      <c r="V247" s="648" t="e">
        <f>Data2025!V246</f>
        <v>#N/A</v>
      </c>
      <c r="W247" s="648" t="e">
        <f>Data2025!X246</f>
        <v>#N/A</v>
      </c>
      <c r="X247" s="268" t="s">
        <v>541</v>
      </c>
      <c r="Y247" s="268" t="str">
        <f t="shared" si="12"/>
        <v>Alat Tulis Kantor (ATK)</v>
      </c>
      <c r="Z247" s="649" t="str">
        <f t="shared" si="13"/>
        <v>Alat Tulis Kantor (ATK)</v>
      </c>
      <c r="AA247" s="650" t="s">
        <v>3364</v>
      </c>
      <c r="AB247" s="269">
        <v>235000</v>
      </c>
      <c r="AC247" s="269">
        <v>235000</v>
      </c>
      <c r="AD247" s="267">
        <v>235000</v>
      </c>
      <c r="AE247" s="270">
        <v>211711.71171171172</v>
      </c>
      <c r="AF247" s="270">
        <v>235000</v>
      </c>
      <c r="AG247" s="805" t="s">
        <v>3883</v>
      </c>
      <c r="AH247" s="651" t="e">
        <f>Data2025!W246</f>
        <v>#N/A</v>
      </c>
    </row>
    <row r="248" spans="1:37" ht="26" thickTop="1" thickBot="1">
      <c r="A248" s="636">
        <f>Data2025!G247</f>
        <v>97</v>
      </c>
      <c r="B248" s="637" t="e">
        <f>Data2025!K247</f>
        <v>#N/A</v>
      </c>
      <c r="C248" s="638" t="str">
        <f>Data2025!D247</f>
        <v>06. 05. 08.</v>
      </c>
      <c r="D248" s="639" t="str">
        <f>Data2025!C247</f>
        <v>5.1.02.01.01.0024</v>
      </c>
      <c r="E248" s="265">
        <f>Data2025!E247</f>
        <v>45717</v>
      </c>
      <c r="F248" s="640" t="str">
        <f>Data2025!F247</f>
        <v>03/03/2025</v>
      </c>
      <c r="G248" s="265" t="str">
        <f>Data2025!H247</f>
        <v>03/03/2025</v>
      </c>
      <c r="H248" s="265" t="str">
        <f t="shared" si="11"/>
        <v>03/03/2025</v>
      </c>
      <c r="I248" s="641" t="str">
        <f>Data2025!J247</f>
        <v>23/04/2025</v>
      </c>
      <c r="J248" s="381" t="str">
        <f>Data2025!L247</f>
        <v>Kertas HVS 60 gram Merk : Paper One HVS F4 uk. 8.27"x11.69"</v>
      </c>
      <c r="K248" s="381" t="str">
        <f>Data2025!M247</f>
        <v>Kertas HVS 60 gram Merk : Paper One HVS F4 uk. 8.27"x11.69"</v>
      </c>
      <c r="L248" s="642">
        <f>Data2025!N247</f>
        <v>10</v>
      </c>
      <c r="M248" s="642" t="str">
        <f>Data2025!O247</f>
        <v>rim</v>
      </c>
      <c r="N248" s="643">
        <f>Data2025!P247</f>
        <v>48500</v>
      </c>
      <c r="O248" s="644">
        <f>Data2025!Q247</f>
        <v>485000</v>
      </c>
      <c r="P248" s="645" t="s">
        <v>710</v>
      </c>
      <c r="Q248" s="646" t="str">
        <f>VLOOKUP(K248,Sheet1!$C$1:$D$101,2,)</f>
        <v>Kertas Hvs 60Gsm Paper One F4 (Length 33.0Cm, Width 21.0Cm, Height 7.0Cm, Weight 1400Gr)</v>
      </c>
      <c r="R248" s="267">
        <v>450000</v>
      </c>
      <c r="S248" s="647">
        <v>454000</v>
      </c>
      <c r="T248" s="648">
        <f>Data2025!T247</f>
        <v>0</v>
      </c>
      <c r="U248" s="268" t="s">
        <v>538</v>
      </c>
      <c r="V248" s="648" t="e">
        <f>Data2025!V247</f>
        <v>#N/A</v>
      </c>
      <c r="W248" s="648" t="e">
        <f>Data2025!X247</f>
        <v>#N/A</v>
      </c>
      <c r="X248" s="268" t="s">
        <v>541</v>
      </c>
      <c r="Y248" s="268" t="str">
        <f t="shared" si="12"/>
        <v>Alat Tulis Kantor (ATK)</v>
      </c>
      <c r="Z248" s="649" t="str">
        <f t="shared" si="13"/>
        <v>Alat Tulis Kantor (ATK)</v>
      </c>
      <c r="AA248" s="650" t="s">
        <v>3364</v>
      </c>
      <c r="AB248" s="269">
        <v>225000</v>
      </c>
      <c r="AC248" s="269">
        <v>450000</v>
      </c>
      <c r="AD248" s="267">
        <v>450000</v>
      </c>
      <c r="AE248" s="270">
        <v>405405.40540540538</v>
      </c>
      <c r="AF248" s="270">
        <v>450000</v>
      </c>
      <c r="AG248" s="805" t="s">
        <v>3883</v>
      </c>
      <c r="AH248" s="651" t="e">
        <f>Data2025!W247</f>
        <v>#N/A</v>
      </c>
    </row>
    <row r="249" spans="1:37" ht="38.5" thickTop="1" thickBot="1">
      <c r="A249" s="636">
        <f>Data2025!G248</f>
        <v>97</v>
      </c>
      <c r="B249" s="637" t="e">
        <f>Data2025!K248</f>
        <v>#N/A</v>
      </c>
      <c r="C249" s="638" t="str">
        <f>Data2025!D248</f>
        <v>06. 05. 08.</v>
      </c>
      <c r="D249" s="639" t="str">
        <f>Data2025!C248</f>
        <v>5.1.02.01.01.0024</v>
      </c>
      <c r="E249" s="265">
        <f>Data2025!E248</f>
        <v>45717</v>
      </c>
      <c r="F249" s="640" t="str">
        <f>Data2025!F248</f>
        <v>03/03/2025</v>
      </c>
      <c r="G249" s="265" t="str">
        <f>Data2025!H248</f>
        <v>03/03/2025</v>
      </c>
      <c r="H249" s="265" t="str">
        <f t="shared" si="11"/>
        <v>03/03/2025</v>
      </c>
      <c r="I249" s="641" t="str">
        <f>Data2025!J248</f>
        <v>23/04/2025</v>
      </c>
      <c r="J249" s="381" t="str">
        <f>Data2025!L248</f>
        <v>Kertas HVS 80 gram Merk : Paper One A4, Ukuran : 8,27" x 11,69", Isi : 500 lembar</v>
      </c>
      <c r="K249" s="381" t="str">
        <f>Data2025!M248</f>
        <v>Kertas HVS 80 gram Merk : Paper One A4, Ukuran : 8,27" x 11,69", Isi : 500 lembar</v>
      </c>
      <c r="L249" s="642">
        <f>Data2025!N248</f>
        <v>40</v>
      </c>
      <c r="M249" s="642" t="str">
        <f>Data2025!O248</f>
        <v>rim</v>
      </c>
      <c r="N249" s="643">
        <f>Data2025!P248</f>
        <v>50000</v>
      </c>
      <c r="O249" s="644">
        <f>Data2025!Q248</f>
        <v>2000000</v>
      </c>
      <c r="P249" s="645" t="s">
        <v>710</v>
      </c>
      <c r="Q249" s="646" t="str">
        <f>VLOOKUP(K249,Sheet1!$C$1:$D$101,2,)</f>
        <v>Kertas Hvs 80 Gram Merk : Paper One A4, Ukuran : 8,27" X 11,69", Isi : 500 Lembar</v>
      </c>
      <c r="R249" s="267">
        <v>440000</v>
      </c>
      <c r="S249" s="647">
        <v>448000</v>
      </c>
      <c r="T249" s="648">
        <f>Data2025!T248</f>
        <v>0</v>
      </c>
      <c r="U249" s="268" t="s">
        <v>538</v>
      </c>
      <c r="V249" s="648" t="e">
        <f>Data2025!V248</f>
        <v>#N/A</v>
      </c>
      <c r="W249" s="648" t="e">
        <f>Data2025!X248</f>
        <v>#N/A</v>
      </c>
      <c r="X249" s="268" t="s">
        <v>541</v>
      </c>
      <c r="Y249" s="268" t="str">
        <f t="shared" si="12"/>
        <v>Alat Tulis Kantor (ATK)</v>
      </c>
      <c r="Z249" s="649" t="str">
        <f t="shared" si="13"/>
        <v>Alat Tulis Kantor (ATK)</v>
      </c>
      <c r="AA249" s="650" t="s">
        <v>3367</v>
      </c>
      <c r="AB249" s="269">
        <v>110000</v>
      </c>
      <c r="AC249" s="269">
        <v>440000</v>
      </c>
      <c r="AD249" s="267">
        <v>440000</v>
      </c>
      <c r="AE249" s="270">
        <v>396396.39639639639</v>
      </c>
      <c r="AF249" s="270">
        <v>440000</v>
      </c>
      <c r="AG249" s="805" t="s">
        <v>3883</v>
      </c>
      <c r="AH249" s="651" t="e">
        <f>Data2025!W248</f>
        <v>#N/A</v>
      </c>
    </row>
    <row r="250" spans="1:37" ht="16.5" thickTop="1" thickBot="1">
      <c r="A250" s="636">
        <f>Data2025!G249</f>
        <v>97</v>
      </c>
      <c r="B250" s="637" t="e">
        <f>Data2025!K249</f>
        <v>#N/A</v>
      </c>
      <c r="C250" s="638" t="str">
        <f>Data2025!D249</f>
        <v>06. 05. 08.</v>
      </c>
      <c r="D250" s="639" t="str">
        <f>Data2025!C249</f>
        <v>5.1.02.01.01.0024</v>
      </c>
      <c r="E250" s="265">
        <f>Data2025!E249</f>
        <v>45717</v>
      </c>
      <c r="F250" s="640" t="str">
        <f>Data2025!F249</f>
        <v>03/03/2025</v>
      </c>
      <c r="G250" s="265" t="str">
        <f>Data2025!H249</f>
        <v>03/03/2025</v>
      </c>
      <c r="H250" s="265" t="str">
        <f t="shared" si="11"/>
        <v>03/03/2025</v>
      </c>
      <c r="I250" s="641" t="str">
        <f>Data2025!J249</f>
        <v>23/04/2025</v>
      </c>
      <c r="J250" s="381" t="str">
        <f>Data2025!L249</f>
        <v>Kertas StensiI</v>
      </c>
      <c r="K250" s="381" t="str">
        <f>Data2025!M249</f>
        <v>Kertas StensiI</v>
      </c>
      <c r="L250" s="642">
        <f>Data2025!N249</f>
        <v>10</v>
      </c>
      <c r="M250" s="642" t="str">
        <f>Data2025!O249</f>
        <v>bungkus</v>
      </c>
      <c r="N250" s="643">
        <f>Data2025!P249</f>
        <v>50000</v>
      </c>
      <c r="O250" s="644">
        <f>Data2025!Q249</f>
        <v>500000</v>
      </c>
      <c r="P250" s="645" t="s">
        <v>710</v>
      </c>
      <c r="Q250" s="646" t="str">
        <f>VLOOKUP(K250,Sheet1!$C$1:$D$101,2,)</f>
        <v>Kertas Stencil Folio (Length 33.0Cm, Width 21.0Cm, Height 5.0Cm, Weight 1400Gr)</v>
      </c>
      <c r="R250" s="267">
        <v>426000</v>
      </c>
      <c r="S250" s="647">
        <v>450000</v>
      </c>
      <c r="T250" s="648">
        <f>Data2025!T249</f>
        <v>0</v>
      </c>
      <c r="U250" s="268" t="s">
        <v>538</v>
      </c>
      <c r="V250" s="648" t="e">
        <f>Data2025!V249</f>
        <v>#N/A</v>
      </c>
      <c r="W250" s="648" t="e">
        <f>Data2025!X249</f>
        <v>#N/A</v>
      </c>
      <c r="X250" s="268" t="s">
        <v>541</v>
      </c>
      <c r="Y250" s="268" t="str">
        <f t="shared" si="12"/>
        <v>Alat Tulis Kantor (ATK)</v>
      </c>
      <c r="Z250" s="649" t="str">
        <f t="shared" si="13"/>
        <v>Alat Tulis Kantor (ATK)</v>
      </c>
      <c r="AA250" s="650" t="s">
        <v>3363</v>
      </c>
      <c r="AB250" s="269">
        <v>35500</v>
      </c>
      <c r="AC250" s="269">
        <v>426000</v>
      </c>
      <c r="AD250" s="267">
        <v>426000</v>
      </c>
      <c r="AE250" s="270">
        <v>383783.78378378379</v>
      </c>
      <c r="AF250" s="270">
        <v>426000</v>
      </c>
      <c r="AG250" s="805" t="s">
        <v>3883</v>
      </c>
      <c r="AH250" s="651" t="e">
        <f>Data2025!W249</f>
        <v>#N/A</v>
      </c>
    </row>
    <row r="251" spans="1:37" ht="16.5" thickTop="1" thickBot="1">
      <c r="A251" s="636">
        <f>Data2025!G250</f>
        <v>97</v>
      </c>
      <c r="B251" s="637" t="e">
        <f>Data2025!K250</f>
        <v>#N/A</v>
      </c>
      <c r="C251" s="638" t="str">
        <f>Data2025!D250</f>
        <v>06. 05. 08.</v>
      </c>
      <c r="D251" s="639" t="str">
        <f>Data2025!C250</f>
        <v>5.1.02.01.01.0024</v>
      </c>
      <c r="E251" s="265">
        <f>Data2025!E250</f>
        <v>45717</v>
      </c>
      <c r="F251" s="640" t="str">
        <f>Data2025!F250</f>
        <v>03/03/2025</v>
      </c>
      <c r="G251" s="265" t="str">
        <f>Data2025!H250</f>
        <v>03/03/2025</v>
      </c>
      <c r="H251" s="265" t="str">
        <f t="shared" si="11"/>
        <v>03/03/2025</v>
      </c>
      <c r="I251" s="641" t="str">
        <f>Data2025!J250</f>
        <v>23/04/2025</v>
      </c>
      <c r="J251" s="381" t="str">
        <f>Data2025!L250</f>
        <v>Kertas Label</v>
      </c>
      <c r="K251" s="381" t="str">
        <f>Data2025!M250</f>
        <v>Kertas Label</v>
      </c>
      <c r="L251" s="642">
        <f>Data2025!N250</f>
        <v>5</v>
      </c>
      <c r="M251" s="642" t="str">
        <f>Data2025!O250</f>
        <v>lembar</v>
      </c>
      <c r="N251" s="643">
        <f>Data2025!P250</f>
        <v>25000</v>
      </c>
      <c r="O251" s="644">
        <f>Data2025!Q250</f>
        <v>125000</v>
      </c>
      <c r="P251" s="645" t="s">
        <v>710</v>
      </c>
      <c r="Q251" s="646" t="str">
        <f>VLOOKUP(K251,Sheet1!$C$1:$D$101,2,)</f>
        <v>KERTAS LEBEL KOTAK (Length 5.0cm, Width 5.0cm, Height 7.0cm, Weight 5gr)</v>
      </c>
      <c r="R251" s="267">
        <v>50000</v>
      </c>
      <c r="S251" s="647">
        <v>54000</v>
      </c>
      <c r="T251" s="648">
        <f>Data2025!T250</f>
        <v>0</v>
      </c>
      <c r="U251" s="268" t="s">
        <v>538</v>
      </c>
      <c r="V251" s="648" t="e">
        <f>Data2025!V250</f>
        <v>#N/A</v>
      </c>
      <c r="W251" s="648" t="e">
        <f>Data2025!X250</f>
        <v>#N/A</v>
      </c>
      <c r="X251" s="268" t="s">
        <v>541</v>
      </c>
      <c r="Y251" s="268" t="str">
        <f t="shared" si="12"/>
        <v>Alat Tulis Kantor (ATK)</v>
      </c>
      <c r="Z251" s="649" t="str">
        <f t="shared" si="13"/>
        <v>Alat Tulis Kantor (ATK)</v>
      </c>
      <c r="AA251" s="650" t="s">
        <v>3363</v>
      </c>
      <c r="AB251" s="269">
        <v>25000</v>
      </c>
      <c r="AC251" s="269">
        <v>50000</v>
      </c>
      <c r="AD251" s="267">
        <v>50000</v>
      </c>
      <c r="AE251" s="270">
        <v>45045.045045045044</v>
      </c>
      <c r="AF251" s="270">
        <v>50000</v>
      </c>
      <c r="AG251" s="805" t="s">
        <v>3883</v>
      </c>
      <c r="AH251" s="651" t="e">
        <f>Data2025!W250</f>
        <v>#N/A</v>
      </c>
    </row>
    <row r="252" spans="1:37" ht="26" thickTop="1" thickBot="1">
      <c r="A252" s="636">
        <f>Data2025!G251</f>
        <v>97</v>
      </c>
      <c r="B252" s="637" t="e">
        <f>Data2025!K251</f>
        <v>#N/A</v>
      </c>
      <c r="C252" s="638" t="str">
        <f>Data2025!D251</f>
        <v>06. 05. 08.</v>
      </c>
      <c r="D252" s="639" t="str">
        <f>Data2025!C251</f>
        <v>5.1.02.01.01.0024</v>
      </c>
      <c r="E252" s="265">
        <f>Data2025!E251</f>
        <v>45717</v>
      </c>
      <c r="F252" s="640" t="str">
        <f>Data2025!F251</f>
        <v>03/03/2025</v>
      </c>
      <c r="G252" s="265" t="str">
        <f>Data2025!H251</f>
        <v>03/03/2025</v>
      </c>
      <c r="H252" s="265" t="str">
        <f t="shared" si="11"/>
        <v>03/03/2025</v>
      </c>
      <c r="I252" s="641" t="str">
        <f>Data2025!J251</f>
        <v>23/04/2025</v>
      </c>
      <c r="J252" s="381" t="str">
        <f>Data2025!L251</f>
        <v>Amplop Coklat Merk : GSU Ukuran : 1/2 folio, bergaris</v>
      </c>
      <c r="K252" s="381" t="str">
        <f>Data2025!M251</f>
        <v>Amplop Coklat Merk : GSU Ukuran : 1/2 folio, bergaris</v>
      </c>
      <c r="L252" s="642">
        <f>Data2025!N251</f>
        <v>1</v>
      </c>
      <c r="M252" s="642" t="str">
        <f>Data2025!O251</f>
        <v>bungkus</v>
      </c>
      <c r="N252" s="643">
        <f>Data2025!P251</f>
        <v>45000</v>
      </c>
      <c r="O252" s="644">
        <f>Data2025!Q251</f>
        <v>45000</v>
      </c>
      <c r="P252" s="645" t="s">
        <v>710</v>
      </c>
      <c r="Q252" s="646" t="str">
        <f>VLOOKUP(K252,Sheet1!$C$1:$D$101,2,)</f>
        <v>Amplop Coklat (Merk : GSU Ukuran : 1/2 folio, bergaris)</v>
      </c>
      <c r="R252" s="267">
        <v>45000</v>
      </c>
      <c r="S252" s="647">
        <v>47000</v>
      </c>
      <c r="T252" s="648">
        <f>Data2025!T251</f>
        <v>0</v>
      </c>
      <c r="U252" s="268" t="s">
        <v>538</v>
      </c>
      <c r="V252" s="648" t="e">
        <f>Data2025!V251</f>
        <v>#N/A</v>
      </c>
      <c r="W252" s="648" t="e">
        <f>Data2025!X251</f>
        <v>#N/A</v>
      </c>
      <c r="X252" s="268" t="s">
        <v>541</v>
      </c>
      <c r="Y252" s="268" t="str">
        <f t="shared" si="12"/>
        <v>Alat Tulis Kantor (ATK)</v>
      </c>
      <c r="Z252" s="649" t="str">
        <f t="shared" si="13"/>
        <v>Alat Tulis Kantor (ATK)</v>
      </c>
      <c r="AA252" s="650" t="s">
        <v>3365</v>
      </c>
      <c r="AB252" s="269">
        <v>45000</v>
      </c>
      <c r="AC252" s="269">
        <v>45000</v>
      </c>
      <c r="AD252" s="267">
        <v>45000</v>
      </c>
      <c r="AE252" s="270">
        <v>40540.54054054054</v>
      </c>
      <c r="AF252" s="270">
        <v>45000</v>
      </c>
      <c r="AG252" s="805" t="s">
        <v>3883</v>
      </c>
      <c r="AH252" s="651" t="e">
        <f>Data2025!W251</f>
        <v>#N/A</v>
      </c>
    </row>
    <row r="253" spans="1:37" ht="26" thickTop="1" thickBot="1">
      <c r="A253" s="636">
        <f>Data2025!G252</f>
        <v>97</v>
      </c>
      <c r="B253" s="637" t="e">
        <f>Data2025!K252</f>
        <v>#N/A</v>
      </c>
      <c r="C253" s="638" t="str">
        <f>Data2025!D252</f>
        <v>06. 05. 08.</v>
      </c>
      <c r="D253" s="639" t="str">
        <f>Data2025!C252</f>
        <v>5.1.02.01.01.0024</v>
      </c>
      <c r="E253" s="265">
        <f>Data2025!E252</f>
        <v>45717</v>
      </c>
      <c r="F253" s="640" t="str">
        <f>Data2025!F252</f>
        <v>03/03/2025</v>
      </c>
      <c r="G253" s="265" t="str">
        <f>Data2025!H252</f>
        <v>03/03/2025</v>
      </c>
      <c r="H253" s="265" t="str">
        <f t="shared" si="11"/>
        <v>03/03/2025</v>
      </c>
      <c r="I253" s="641" t="str">
        <f>Data2025!J252</f>
        <v>23/04/2025</v>
      </c>
      <c r="J253" s="381" t="str">
        <f>Data2025!L252</f>
        <v>Amplop Coklat Merk : Garda Ukuran Cabinet</v>
      </c>
      <c r="K253" s="381" t="str">
        <f>Data2025!M252</f>
        <v>Amplop Coklat Merk : Garda Ukuran Cabinet</v>
      </c>
      <c r="L253" s="642">
        <f>Data2025!N252</f>
        <v>3</v>
      </c>
      <c r="M253" s="642" t="str">
        <f>Data2025!O252</f>
        <v>bungkus</v>
      </c>
      <c r="N253" s="643">
        <f>Data2025!P252</f>
        <v>23000</v>
      </c>
      <c r="O253" s="644">
        <f>Data2025!Q252</f>
        <v>69000</v>
      </c>
      <c r="P253" s="645" t="s">
        <v>710</v>
      </c>
      <c r="Q253" s="646" t="str">
        <f>VLOOKUP(K253,Sheet1!$C$1:$D$101,2,)</f>
        <v>Amplop (Merk : Amplop Garda Ukuran : Super Kabinet Warna : Coklat polos Isi / Pack :100 pcs Ukuran : 14 cm x 27 cm)</v>
      </c>
      <c r="R253" s="267">
        <v>77500</v>
      </c>
      <c r="S253" s="647">
        <v>87500</v>
      </c>
      <c r="T253" s="648">
        <f>Data2025!T252</f>
        <v>0</v>
      </c>
      <c r="U253" s="268" t="s">
        <v>538</v>
      </c>
      <c r="V253" s="648" t="e">
        <f>Data2025!V252</f>
        <v>#N/A</v>
      </c>
      <c r="W253" s="648" t="e">
        <f>Data2025!X252</f>
        <v>#N/A</v>
      </c>
      <c r="X253" s="268" t="s">
        <v>541</v>
      </c>
      <c r="Y253" s="268" t="str">
        <f t="shared" si="12"/>
        <v>Alat Tulis Kantor (ATK)</v>
      </c>
      <c r="Z253" s="649" t="str">
        <f t="shared" si="13"/>
        <v>Alat Tulis Kantor (ATK)</v>
      </c>
      <c r="AA253" s="650" t="s">
        <v>3363</v>
      </c>
      <c r="AB253" s="269">
        <v>15500</v>
      </c>
      <c r="AC253" s="269">
        <v>77500</v>
      </c>
      <c r="AD253" s="267">
        <v>77500</v>
      </c>
      <c r="AE253" s="270">
        <v>69819.819819819822</v>
      </c>
      <c r="AF253" s="270">
        <v>77500</v>
      </c>
      <c r="AG253" s="805" t="s">
        <v>3883</v>
      </c>
      <c r="AH253" s="651" t="e">
        <f>Data2025!W252</f>
        <v>#N/A</v>
      </c>
      <c r="AI253" s="277"/>
      <c r="AJ253" s="277"/>
    </row>
    <row r="254" spans="1:37" ht="26" thickTop="1" thickBot="1">
      <c r="A254" s="636">
        <f>Data2025!G253</f>
        <v>97</v>
      </c>
      <c r="B254" s="637" t="e">
        <f>Data2025!K253</f>
        <v>#N/A</v>
      </c>
      <c r="C254" s="638" t="str">
        <f>Data2025!D253</f>
        <v>06. 05. 08.</v>
      </c>
      <c r="D254" s="639" t="str">
        <f>Data2025!C253</f>
        <v>5.1.02.01.01.0024</v>
      </c>
      <c r="E254" s="265">
        <f>Data2025!E253</f>
        <v>45717</v>
      </c>
      <c r="F254" s="640" t="str">
        <f>Data2025!F253</f>
        <v>03/03/2025</v>
      </c>
      <c r="G254" s="265" t="str">
        <f>Data2025!H253</f>
        <v>03/03/2025</v>
      </c>
      <c r="H254" s="265" t="str">
        <f t="shared" si="11"/>
        <v>03/03/2025</v>
      </c>
      <c r="I254" s="641" t="str">
        <f>Data2025!J253</f>
        <v>23/04/2025</v>
      </c>
      <c r="J254" s="381" t="str">
        <f>Data2025!L253</f>
        <v>Amplop Coklat Merk : GSU Ukuran Folio polos</v>
      </c>
      <c r="K254" s="381" t="str">
        <f>Data2025!M253</f>
        <v>Amplop Coklat Merk : GSU Ukuran Folio polos</v>
      </c>
      <c r="L254" s="642">
        <f>Data2025!N253</f>
        <v>2</v>
      </c>
      <c r="M254" s="642" t="str">
        <f>Data2025!O253</f>
        <v>bungkus</v>
      </c>
      <c r="N254" s="643">
        <f>Data2025!P253</f>
        <v>60000</v>
      </c>
      <c r="O254" s="644">
        <f>Data2025!Q253</f>
        <v>120000</v>
      </c>
      <c r="P254" s="645" t="s">
        <v>710</v>
      </c>
      <c r="Q254" s="646" t="str">
        <f>VLOOKUP(K254,Sheet1!$C$1:$D$101,2,)</f>
        <v>Amplop Coklat Folio (Berat: 1000 gram. Panjang: 25 cm. Lebar: 5 cm. Tinggi: 35 cm)</v>
      </c>
      <c r="R254" s="267">
        <v>30000</v>
      </c>
      <c r="S254" s="647">
        <v>40000</v>
      </c>
      <c r="T254" s="648">
        <f>Data2025!T253</f>
        <v>0</v>
      </c>
      <c r="U254" s="268" t="s">
        <v>538</v>
      </c>
      <c r="V254" s="648" t="e">
        <f>Data2025!V253</f>
        <v>#N/A</v>
      </c>
      <c r="W254" s="648" t="e">
        <f>Data2025!X253</f>
        <v>#N/A</v>
      </c>
      <c r="X254" s="268" t="s">
        <v>541</v>
      </c>
      <c r="Y254" s="268" t="str">
        <f t="shared" si="12"/>
        <v>Alat Tulis Kantor (ATK)</v>
      </c>
      <c r="Z254" s="649" t="str">
        <f t="shared" si="13"/>
        <v>Alat Tulis Kantor (ATK)</v>
      </c>
      <c r="AA254" s="650" t="s">
        <v>3362</v>
      </c>
      <c r="AB254" s="269">
        <v>6000</v>
      </c>
      <c r="AC254" s="269">
        <v>30000</v>
      </c>
      <c r="AD254" s="267">
        <v>30000</v>
      </c>
      <c r="AE254" s="270">
        <v>27027.027027027027</v>
      </c>
      <c r="AF254" s="270">
        <v>30000</v>
      </c>
      <c r="AG254" s="805" t="s">
        <v>3883</v>
      </c>
      <c r="AH254" s="651" t="e">
        <f>Data2025!W253</f>
        <v>#N/A</v>
      </c>
    </row>
    <row r="255" spans="1:37" ht="26" thickTop="1" thickBot="1">
      <c r="A255" s="636">
        <f>Data2025!G254</f>
        <v>97</v>
      </c>
      <c r="B255" s="637" t="e">
        <f>Data2025!K254</f>
        <v>#N/A</v>
      </c>
      <c r="C255" s="638" t="str">
        <f>Data2025!D254</f>
        <v>06. 05. 08.</v>
      </c>
      <c r="D255" s="639" t="str">
        <f>Data2025!C254</f>
        <v>5.1.02.01.01.0024</v>
      </c>
      <c r="E255" s="265">
        <f>Data2025!E254</f>
        <v>45717</v>
      </c>
      <c r="F255" s="640" t="str">
        <f>Data2025!F254</f>
        <v>03/03/2025</v>
      </c>
      <c r="G255" s="265" t="str">
        <f>Data2025!H254</f>
        <v>03/03/2025</v>
      </c>
      <c r="H255" s="265" t="str">
        <f t="shared" si="11"/>
        <v>03/03/2025</v>
      </c>
      <c r="I255" s="641" t="str">
        <f>Data2025!J254</f>
        <v>23/04/2025</v>
      </c>
      <c r="J255" s="381" t="str">
        <f>Data2025!L254</f>
        <v>Amplop Panjang Putih Polos Merk : Jaya Ukuran : 11 x 23 cm</v>
      </c>
      <c r="K255" s="381" t="str">
        <f>Data2025!M254</f>
        <v>Amplop Panjang Putih Polos Merk : Jaya Ukuran : 11 x 23 cm</v>
      </c>
      <c r="L255" s="642">
        <f>Data2025!N254</f>
        <v>1</v>
      </c>
      <c r="M255" s="642" t="str">
        <f>Data2025!O254</f>
        <v>kotak</v>
      </c>
      <c r="N255" s="643">
        <f>Data2025!P254</f>
        <v>48000</v>
      </c>
      <c r="O255" s="644">
        <f>Data2025!Q254</f>
        <v>48000</v>
      </c>
      <c r="P255" s="645" t="s">
        <v>710</v>
      </c>
      <c r="Q255" s="646" t="str">
        <f>VLOOKUP(K255,Sheet1!$C$1:$D$101,2,)</f>
        <v xml:space="preserve"> Amplop Panjang Putih Polos (Merk : Jaya Ukuran : 11 x 23 cm)</v>
      </c>
      <c r="R255" s="267">
        <v>125000</v>
      </c>
      <c r="S255" s="647">
        <v>135000</v>
      </c>
      <c r="T255" s="648">
        <f>Data2025!T254</f>
        <v>0</v>
      </c>
      <c r="U255" s="268" t="s">
        <v>538</v>
      </c>
      <c r="V255" s="648" t="e">
        <f>Data2025!V254</f>
        <v>#N/A</v>
      </c>
      <c r="W255" s="648" t="e">
        <f>Data2025!X254</f>
        <v>#N/A</v>
      </c>
      <c r="X255" s="268" t="s">
        <v>541</v>
      </c>
      <c r="Y255" s="268" t="str">
        <f t="shared" si="12"/>
        <v>Alat Tulis Kantor (ATK)</v>
      </c>
      <c r="Z255" s="649" t="str">
        <f t="shared" si="13"/>
        <v>Alat Tulis Kantor (ATK)</v>
      </c>
      <c r="AA255" s="650" t="s">
        <v>3363</v>
      </c>
      <c r="AB255" s="269">
        <v>25000</v>
      </c>
      <c r="AC255" s="269">
        <v>125000</v>
      </c>
      <c r="AD255" s="267">
        <v>125000</v>
      </c>
      <c r="AE255" s="270">
        <v>112612.61261261262</v>
      </c>
      <c r="AF255" s="270">
        <v>125000</v>
      </c>
      <c r="AG255" s="805" t="s">
        <v>3883</v>
      </c>
      <c r="AH255" s="651" t="e">
        <f>Data2025!W254</f>
        <v>#N/A</v>
      </c>
      <c r="AI255" s="277"/>
      <c r="AJ255" s="277"/>
    </row>
    <row r="256" spans="1:37" ht="16.5" thickTop="1" thickBot="1">
      <c r="A256" s="636">
        <f>Data2025!G255</f>
        <v>97</v>
      </c>
      <c r="B256" s="637" t="e">
        <f>Data2025!K255</f>
        <v>#N/A</v>
      </c>
      <c r="C256" s="638" t="str">
        <f>Data2025!D255</f>
        <v>06. 05. 08.</v>
      </c>
      <c r="D256" s="639" t="str">
        <f>Data2025!C255</f>
        <v>5.1.02.01.01.0024</v>
      </c>
      <c r="E256" s="265">
        <f>Data2025!E255</f>
        <v>45717</v>
      </c>
      <c r="F256" s="640" t="str">
        <f>Data2025!F255</f>
        <v>03/03/2025</v>
      </c>
      <c r="G256" s="265" t="str">
        <f>Data2025!H255</f>
        <v>03/03/2025</v>
      </c>
      <c r="H256" s="265" t="str">
        <f t="shared" si="11"/>
        <v>03/03/2025</v>
      </c>
      <c r="I256" s="641" t="str">
        <f>Data2025!J255</f>
        <v>23/04/2025</v>
      </c>
      <c r="J256" s="381" t="str">
        <f>Data2025!L255</f>
        <v>Ballpoint Boldiner Standar</v>
      </c>
      <c r="K256" s="381" t="str">
        <f>Data2025!M255</f>
        <v>Ballpoint Boldiner Standar</v>
      </c>
      <c r="L256" s="642">
        <f>Data2025!N255</f>
        <v>2</v>
      </c>
      <c r="M256" s="642" t="str">
        <f>Data2025!O255</f>
        <v>lusin</v>
      </c>
      <c r="N256" s="643">
        <f>Data2025!P255</f>
        <v>225000</v>
      </c>
      <c r="O256" s="644">
        <f>Data2025!Q255</f>
        <v>450000</v>
      </c>
      <c r="P256" s="645" t="s">
        <v>710</v>
      </c>
      <c r="Q256" s="646" t="str">
        <f>VLOOKUP(K256,Sheet1!$C$1:$D$101,2,)</f>
        <v xml:space="preserve">Ballpoint Boldiner Standar  (Satuan. 300 Gram ; Dimensi Ukuran. 15X5X7.5Cm. (Berat Volume: 0.09Kg) </v>
      </c>
      <c r="R256" s="267">
        <v>500000</v>
      </c>
      <c r="S256" s="647">
        <v>520000</v>
      </c>
      <c r="T256" s="648">
        <f>Data2025!T255</f>
        <v>0</v>
      </c>
      <c r="U256" s="268" t="s">
        <v>538</v>
      </c>
      <c r="V256" s="648" t="e">
        <f>Data2025!V255</f>
        <v>#N/A</v>
      </c>
      <c r="W256" s="648" t="e">
        <f>Data2025!X255</f>
        <v>#N/A</v>
      </c>
      <c r="X256" s="268" t="s">
        <v>541</v>
      </c>
      <c r="Y256" s="268" t="str">
        <f t="shared" si="12"/>
        <v>Alat Tulis Kantor (ATK)</v>
      </c>
      <c r="Z256" s="649" t="str">
        <f t="shared" si="13"/>
        <v>Alat Tulis Kantor (ATK)</v>
      </c>
      <c r="AA256" s="650" t="s">
        <v>3365</v>
      </c>
      <c r="AB256" s="269">
        <v>50000</v>
      </c>
      <c r="AC256" s="269">
        <v>500000</v>
      </c>
      <c r="AD256" s="267">
        <v>500000</v>
      </c>
      <c r="AE256" s="270">
        <v>450450.45045045047</v>
      </c>
      <c r="AF256" s="270">
        <v>500000</v>
      </c>
      <c r="AG256" s="805" t="s">
        <v>3883</v>
      </c>
      <c r="AH256" s="651" t="e">
        <f>Data2025!W255</f>
        <v>#N/A</v>
      </c>
    </row>
    <row r="257" spans="1:36" ht="16.5" thickTop="1" thickBot="1">
      <c r="A257" s="636">
        <f>Data2025!G256</f>
        <v>97</v>
      </c>
      <c r="B257" s="637" t="e">
        <f>Data2025!K256</f>
        <v>#N/A</v>
      </c>
      <c r="C257" s="638" t="str">
        <f>Data2025!D256</f>
        <v>06. 05. 08.</v>
      </c>
      <c r="D257" s="639" t="str">
        <f>Data2025!C256</f>
        <v>5.1.02.01.01.0024</v>
      </c>
      <c r="E257" s="265">
        <f>Data2025!E256</f>
        <v>45717</v>
      </c>
      <c r="F257" s="640" t="str">
        <f>Data2025!F256</f>
        <v>03/03/2025</v>
      </c>
      <c r="G257" s="265" t="str">
        <f>Data2025!H256</f>
        <v>03/03/2025</v>
      </c>
      <c r="H257" s="265" t="str">
        <f t="shared" si="11"/>
        <v>03/03/2025</v>
      </c>
      <c r="I257" s="641" t="str">
        <f>Data2025!J256</f>
        <v>23/04/2025</v>
      </c>
      <c r="J257" s="381" t="str">
        <f>Data2025!L256</f>
        <v>Ballpoint Drawing Pen 0,1 Snowman</v>
      </c>
      <c r="K257" s="381" t="str">
        <f>Data2025!M256</f>
        <v>Ballpoint Drawing Pen 0,1 Snowman</v>
      </c>
      <c r="L257" s="642">
        <f>Data2025!N256</f>
        <v>1</v>
      </c>
      <c r="M257" s="642" t="str">
        <f>Data2025!O256</f>
        <v>lusin</v>
      </c>
      <c r="N257" s="643">
        <f>Data2025!P256</f>
        <v>95000</v>
      </c>
      <c r="O257" s="644">
        <f>Data2025!Q256</f>
        <v>95000</v>
      </c>
      <c r="P257" s="645" t="s">
        <v>710</v>
      </c>
      <c r="Q257" s="646" t="str">
        <f>VLOOKUP(K257,Sheet1!$C$1:$D$101,2,)</f>
        <v>Ballpoint Drawing Pen 0,5 Snowman (Length 5.0Cm, Width 5.0Cm, Height 5.0Cm, Weight 5Gr)</v>
      </c>
      <c r="R257" s="267">
        <v>240000</v>
      </c>
      <c r="S257" s="647">
        <v>244000</v>
      </c>
      <c r="T257" s="648">
        <f>Data2025!T256</f>
        <v>0</v>
      </c>
      <c r="U257" s="268" t="s">
        <v>538</v>
      </c>
      <c r="V257" s="648" t="e">
        <f>Data2025!V256</f>
        <v>#N/A</v>
      </c>
      <c r="W257" s="648" t="e">
        <f>Data2025!X256</f>
        <v>#N/A</v>
      </c>
      <c r="X257" s="268" t="s">
        <v>541</v>
      </c>
      <c r="Y257" s="268" t="str">
        <f t="shared" si="12"/>
        <v>Alat Tulis Kantor (ATK)</v>
      </c>
      <c r="Z257" s="649" t="str">
        <f t="shared" si="13"/>
        <v>Alat Tulis Kantor (ATK)</v>
      </c>
      <c r="AA257" s="650" t="s">
        <v>3364</v>
      </c>
      <c r="AB257" s="269">
        <v>120000</v>
      </c>
      <c r="AC257" s="269">
        <v>240000</v>
      </c>
      <c r="AD257" s="267">
        <v>240000</v>
      </c>
      <c r="AE257" s="270">
        <v>216216.21621621621</v>
      </c>
      <c r="AF257" s="270">
        <v>240000</v>
      </c>
      <c r="AG257" s="805" t="s">
        <v>3883</v>
      </c>
      <c r="AH257" s="651" t="e">
        <f>Data2025!W256</f>
        <v>#N/A</v>
      </c>
      <c r="AI257" s="277"/>
      <c r="AJ257" s="277"/>
    </row>
    <row r="258" spans="1:36" ht="16.5" thickTop="1" thickBot="1">
      <c r="A258" s="636">
        <f>Data2025!G257</f>
        <v>97</v>
      </c>
      <c r="B258" s="637" t="e">
        <f>Data2025!K257</f>
        <v>#N/A</v>
      </c>
      <c r="C258" s="638" t="str">
        <f>Data2025!D257</f>
        <v>06. 05. 08.</v>
      </c>
      <c r="D258" s="639" t="str">
        <f>Data2025!C257</f>
        <v>5.1.02.01.01.0024</v>
      </c>
      <c r="E258" s="265">
        <f>Data2025!E257</f>
        <v>45717</v>
      </c>
      <c r="F258" s="640" t="str">
        <f>Data2025!F257</f>
        <v>03/03/2025</v>
      </c>
      <c r="G258" s="265" t="str">
        <f>Data2025!H257</f>
        <v>03/03/2025</v>
      </c>
      <c r="H258" s="265" t="str">
        <f t="shared" si="11"/>
        <v>03/03/2025</v>
      </c>
      <c r="I258" s="641" t="str">
        <f>Data2025!J257</f>
        <v>23/04/2025</v>
      </c>
      <c r="J258" s="381" t="str">
        <f>Data2025!L257</f>
        <v>Ballpoint Standard AE7</v>
      </c>
      <c r="K258" s="381" t="str">
        <f>Data2025!M257</f>
        <v>Ballpoint Standard AE7</v>
      </c>
      <c r="L258" s="642">
        <f>Data2025!N257</f>
        <v>2</v>
      </c>
      <c r="M258" s="642" t="str">
        <f>Data2025!O257</f>
        <v>lusin</v>
      </c>
      <c r="N258" s="643">
        <f>Data2025!P257</f>
        <v>20000</v>
      </c>
      <c r="O258" s="644">
        <f>Data2025!Q257</f>
        <v>40000</v>
      </c>
      <c r="P258" s="645" t="s">
        <v>710</v>
      </c>
      <c r="Q258" s="646" t="str">
        <f>VLOOKUP(K258,Sheet1!$C$1:$D$101,2,)</f>
        <v>Ballpoint Standard AE7 (Jenis Barang: Pulpen Merk: Standard Tipe: AE-7 Ukuran: 0.5 mm; Warna Tinta, hitam)</v>
      </c>
      <c r="R258" s="267">
        <v>30000</v>
      </c>
      <c r="S258" s="647">
        <v>34000</v>
      </c>
      <c r="T258" s="648">
        <f>Data2025!T257</f>
        <v>0</v>
      </c>
      <c r="U258" s="268" t="s">
        <v>538</v>
      </c>
      <c r="V258" s="648" t="e">
        <f>Data2025!V257</f>
        <v>#N/A</v>
      </c>
      <c r="W258" s="648" t="e">
        <f>Data2025!X257</f>
        <v>#N/A</v>
      </c>
      <c r="X258" s="268" t="s">
        <v>541</v>
      </c>
      <c r="Y258" s="268" t="str">
        <f t="shared" si="12"/>
        <v>Alat Tulis Kantor (ATK)</v>
      </c>
      <c r="Z258" s="649" t="str">
        <f t="shared" si="13"/>
        <v>Alat Tulis Kantor (ATK)</v>
      </c>
      <c r="AA258" s="650" t="s">
        <v>3363</v>
      </c>
      <c r="AB258" s="269">
        <v>15000</v>
      </c>
      <c r="AC258" s="269">
        <v>30000</v>
      </c>
      <c r="AD258" s="267">
        <v>30000</v>
      </c>
      <c r="AE258" s="270">
        <v>27027.027027027027</v>
      </c>
      <c r="AF258" s="270">
        <v>30000</v>
      </c>
      <c r="AG258" s="805" t="s">
        <v>3883</v>
      </c>
      <c r="AH258" s="651" t="e">
        <f>Data2025!W257</f>
        <v>#N/A</v>
      </c>
    </row>
    <row r="259" spans="1:36" ht="16.5" thickTop="1" thickBot="1">
      <c r="A259" s="636">
        <f>Data2025!G258</f>
        <v>97</v>
      </c>
      <c r="B259" s="637" t="e">
        <f>Data2025!K258</f>
        <v>#N/A</v>
      </c>
      <c r="C259" s="638" t="str">
        <f>Data2025!D258</f>
        <v>06. 05. 08.</v>
      </c>
      <c r="D259" s="639" t="str">
        <f>Data2025!C258</f>
        <v>5.1.02.01.01.0024</v>
      </c>
      <c r="E259" s="265">
        <f>Data2025!E258</f>
        <v>45717</v>
      </c>
      <c r="F259" s="640" t="str">
        <f>Data2025!F258</f>
        <v>03/03/2025</v>
      </c>
      <c r="G259" s="265" t="str">
        <f>Data2025!H258</f>
        <v>03/03/2025</v>
      </c>
      <c r="H259" s="265" t="str">
        <f t="shared" si="11"/>
        <v>03/03/2025</v>
      </c>
      <c r="I259" s="641" t="str">
        <f>Data2025!J258</f>
        <v>23/04/2025</v>
      </c>
      <c r="J259" s="381" t="str">
        <f>Data2025!L258</f>
        <v>Ballpoint Pilot G2</v>
      </c>
      <c r="K259" s="381" t="str">
        <f>Data2025!M258</f>
        <v>Ballpoint Pilot G2</v>
      </c>
      <c r="L259" s="642">
        <f>Data2025!N258</f>
        <v>1</v>
      </c>
      <c r="M259" s="642" t="str">
        <f>Data2025!O258</f>
        <v>lusin</v>
      </c>
      <c r="N259" s="643">
        <f>Data2025!P258</f>
        <v>235000</v>
      </c>
      <c r="O259" s="644">
        <f>Data2025!Q258</f>
        <v>235000</v>
      </c>
      <c r="P259" s="645" t="s">
        <v>710</v>
      </c>
      <c r="Q259" s="646" t="str">
        <f>VLOOKUP(K259,Sheet1!$C$1:$D$101,2,)</f>
        <v>Ballpoint Pilot G2 (Length 5.0Cm, Width 5.0Cm, Height 5.0Cm, Weight 5Gr)</v>
      </c>
      <c r="R259" s="267">
        <v>200000</v>
      </c>
      <c r="S259" s="647">
        <v>220000</v>
      </c>
      <c r="T259" s="648">
        <f>Data2025!T258</f>
        <v>0</v>
      </c>
      <c r="U259" s="268" t="s">
        <v>538</v>
      </c>
      <c r="V259" s="648" t="e">
        <f>Data2025!V258</f>
        <v>#N/A</v>
      </c>
      <c r="W259" s="648" t="e">
        <f>Data2025!X258</f>
        <v>#N/A</v>
      </c>
      <c r="X259" s="268" t="s">
        <v>541</v>
      </c>
      <c r="Y259" s="268" t="str">
        <f t="shared" si="12"/>
        <v>Alat Tulis Kantor (ATK)</v>
      </c>
      <c r="Z259" s="649" t="str">
        <f t="shared" si="13"/>
        <v>Alat Tulis Kantor (ATK)</v>
      </c>
      <c r="AA259" s="650" t="s">
        <v>3362</v>
      </c>
      <c r="AB259" s="269">
        <v>20000</v>
      </c>
      <c r="AC259" s="269">
        <v>200000</v>
      </c>
      <c r="AD259" s="267">
        <v>200000</v>
      </c>
      <c r="AE259" s="270">
        <v>180180.18018018018</v>
      </c>
      <c r="AF259" s="270">
        <v>200000</v>
      </c>
      <c r="AG259" s="805" t="s">
        <v>3883</v>
      </c>
      <c r="AH259" s="651" t="e">
        <f>Data2025!W258</f>
        <v>#N/A</v>
      </c>
    </row>
    <row r="260" spans="1:36" ht="16.5" thickTop="1" thickBot="1">
      <c r="A260" s="636">
        <f>Data2025!G259</f>
        <v>97</v>
      </c>
      <c r="B260" s="637" t="e">
        <f>Data2025!K259</f>
        <v>#N/A</v>
      </c>
      <c r="C260" s="638" t="str">
        <f>Data2025!D259</f>
        <v>06. 05. 08.</v>
      </c>
      <c r="D260" s="639" t="str">
        <f>Data2025!C259</f>
        <v>5.1.02.01.01.0024</v>
      </c>
      <c r="E260" s="265">
        <f>Data2025!E259</f>
        <v>45717</v>
      </c>
      <c r="F260" s="640" t="str">
        <f>Data2025!F259</f>
        <v>03/03/2025</v>
      </c>
      <c r="G260" s="265" t="str">
        <f>Data2025!H259</f>
        <v>03/03/2025</v>
      </c>
      <c r="H260" s="265" t="str">
        <f t="shared" si="11"/>
        <v>03/03/2025</v>
      </c>
      <c r="I260" s="641" t="str">
        <f>Data2025!J259</f>
        <v>23/04/2025</v>
      </c>
      <c r="J260" s="381" t="str">
        <f>Data2025!L259</f>
        <v>Binder Klip  nomor 107</v>
      </c>
      <c r="K260" s="381" t="str">
        <f>Data2025!M259</f>
        <v>Binder Klip  nomor 107</v>
      </c>
      <c r="L260" s="642">
        <f>Data2025!N259</f>
        <v>5</v>
      </c>
      <c r="M260" s="642" t="str">
        <f>Data2025!O259</f>
        <v>kotak</v>
      </c>
      <c r="N260" s="643">
        <f>Data2025!P259</f>
        <v>7800</v>
      </c>
      <c r="O260" s="644">
        <f>Data2025!Q259</f>
        <v>39000</v>
      </c>
      <c r="P260" s="645" t="s">
        <v>710</v>
      </c>
      <c r="Q260" s="646" t="str">
        <f>VLOOKUP(K260,Sheet1!$C$1:$D$101,2,)</f>
        <v>Binder Clip N0 107 (Length 5.0Cm, Width 5.0Cm, Height 5.0Cm, Weight 5Gr)</v>
      </c>
      <c r="R260" s="267">
        <v>440000</v>
      </c>
      <c r="S260" s="647">
        <v>448000</v>
      </c>
      <c r="T260" s="648">
        <f>Data2025!T259</f>
        <v>0</v>
      </c>
      <c r="U260" s="268" t="s">
        <v>538</v>
      </c>
      <c r="V260" s="648" t="e">
        <f>Data2025!V259</f>
        <v>#N/A</v>
      </c>
      <c r="W260" s="648" t="e">
        <f>Data2025!X259</f>
        <v>#N/A</v>
      </c>
      <c r="X260" s="268" t="s">
        <v>541</v>
      </c>
      <c r="Y260" s="268" t="str">
        <f t="shared" si="12"/>
        <v>Alat Tulis Kantor (ATK)</v>
      </c>
      <c r="Z260" s="649" t="str">
        <f t="shared" si="13"/>
        <v>Alat Tulis Kantor (ATK)</v>
      </c>
      <c r="AA260" s="650" t="s">
        <v>3367</v>
      </c>
      <c r="AB260" s="269">
        <v>110000</v>
      </c>
      <c r="AC260" s="269">
        <v>440000</v>
      </c>
      <c r="AD260" s="267">
        <v>440000</v>
      </c>
      <c r="AE260" s="270">
        <v>396396.39639639639</v>
      </c>
      <c r="AF260" s="270">
        <v>440000</v>
      </c>
      <c r="AG260" s="805" t="s">
        <v>3883</v>
      </c>
      <c r="AH260" s="651" t="e">
        <f>Data2025!W259</f>
        <v>#N/A</v>
      </c>
    </row>
    <row r="261" spans="1:36" ht="16.5" thickTop="1" thickBot="1">
      <c r="A261" s="636">
        <f>Data2025!G260</f>
        <v>97</v>
      </c>
      <c r="B261" s="637" t="e">
        <f>Data2025!K260</f>
        <v>#N/A</v>
      </c>
      <c r="C261" s="638" t="str">
        <f>Data2025!D260</f>
        <v>06. 05. 08.</v>
      </c>
      <c r="D261" s="639" t="str">
        <f>Data2025!C260</f>
        <v>5.1.02.01.01.0024</v>
      </c>
      <c r="E261" s="265">
        <f>Data2025!E260</f>
        <v>45717</v>
      </c>
      <c r="F261" s="640" t="str">
        <f>Data2025!F260</f>
        <v>03/03/2025</v>
      </c>
      <c r="G261" s="265" t="str">
        <f>Data2025!H260</f>
        <v>03/03/2025</v>
      </c>
      <c r="H261" s="265" t="str">
        <f t="shared" ref="H261:H324" si="14">G261</f>
        <v>03/03/2025</v>
      </c>
      <c r="I261" s="641" t="str">
        <f>Data2025!J260</f>
        <v>23/04/2025</v>
      </c>
      <c r="J261" s="381" t="str">
        <f>Data2025!L260</f>
        <v>Binder Klip  nomor 111</v>
      </c>
      <c r="K261" s="381" t="str">
        <f>Data2025!M260</f>
        <v>Binder Klip  nomor 111</v>
      </c>
      <c r="L261" s="642">
        <f>Data2025!N260</f>
        <v>5</v>
      </c>
      <c r="M261" s="642" t="str">
        <f>Data2025!O260</f>
        <v>kotak</v>
      </c>
      <c r="N261" s="643">
        <f>Data2025!P260</f>
        <v>11000</v>
      </c>
      <c r="O261" s="644">
        <f>Data2025!Q260</f>
        <v>55000</v>
      </c>
      <c r="P261" s="645" t="s">
        <v>710</v>
      </c>
      <c r="Q261" s="646" t="str">
        <f>VLOOKUP(K261,Sheet1!$C$1:$D$101,2,)</f>
        <v>Binder Clip No 111 (Length 5.0Cm, Width 5.0Cm, Height 5.0Cm, Weight 5Gr)</v>
      </c>
      <c r="R261" s="267">
        <v>25000</v>
      </c>
      <c r="S261" s="647">
        <v>35000</v>
      </c>
      <c r="T261" s="648">
        <f>Data2025!T260</f>
        <v>0</v>
      </c>
      <c r="U261" s="268" t="s">
        <v>538</v>
      </c>
      <c r="V261" s="648" t="e">
        <f>Data2025!V260</f>
        <v>#N/A</v>
      </c>
      <c r="W261" s="648" t="e">
        <f>Data2025!X260</f>
        <v>#N/A</v>
      </c>
      <c r="X261" s="268" t="s">
        <v>541</v>
      </c>
      <c r="Y261" s="268" t="str">
        <f t="shared" ref="Y261:Y324" si="15">P261</f>
        <v>Alat Tulis Kantor (ATK)</v>
      </c>
      <c r="Z261" s="649" t="str">
        <f t="shared" ref="Z261:Z324" si="16">Y261</f>
        <v>Alat Tulis Kantor (ATK)</v>
      </c>
      <c r="AA261" s="650" t="s">
        <v>3362</v>
      </c>
      <c r="AB261" s="269">
        <v>5000</v>
      </c>
      <c r="AC261" s="269">
        <v>25000</v>
      </c>
      <c r="AD261" s="267">
        <v>25000</v>
      </c>
      <c r="AE261" s="270">
        <v>22522.522522522522</v>
      </c>
      <c r="AF261" s="270">
        <v>25000</v>
      </c>
      <c r="AG261" s="805" t="s">
        <v>3883</v>
      </c>
      <c r="AH261" s="651" t="e">
        <f>Data2025!W260</f>
        <v>#N/A</v>
      </c>
    </row>
    <row r="262" spans="1:36" ht="16.5" thickTop="1" thickBot="1">
      <c r="A262" s="636">
        <f>Data2025!G261</f>
        <v>97</v>
      </c>
      <c r="B262" s="637" t="e">
        <f>Data2025!K261</f>
        <v>#N/A</v>
      </c>
      <c r="C262" s="638" t="str">
        <f>Data2025!D261</f>
        <v>06. 05. 08.</v>
      </c>
      <c r="D262" s="639" t="str">
        <f>Data2025!C261</f>
        <v>5.1.02.01.01.0024</v>
      </c>
      <c r="E262" s="265">
        <f>Data2025!E261</f>
        <v>45717</v>
      </c>
      <c r="F262" s="640" t="str">
        <f>Data2025!F261</f>
        <v>03/03/2025</v>
      </c>
      <c r="G262" s="265" t="str">
        <f>Data2025!H261</f>
        <v>03/03/2025</v>
      </c>
      <c r="H262" s="265" t="str">
        <f t="shared" si="14"/>
        <v>03/03/2025</v>
      </c>
      <c r="I262" s="641" t="str">
        <f>Data2025!J261</f>
        <v>23/04/2025</v>
      </c>
      <c r="J262" s="381" t="str">
        <f>Data2025!L261</f>
        <v>Binder Klip  nomor 200</v>
      </c>
      <c r="K262" s="381" t="str">
        <f>Data2025!M261</f>
        <v>Binder Klip  nomor 200</v>
      </c>
      <c r="L262" s="642">
        <f>Data2025!N261</f>
        <v>10</v>
      </c>
      <c r="M262" s="642" t="str">
        <f>Data2025!O261</f>
        <v>kotak</v>
      </c>
      <c r="N262" s="643">
        <f>Data2025!P261</f>
        <v>16500</v>
      </c>
      <c r="O262" s="644">
        <f>Data2025!Q261</f>
        <v>165000</v>
      </c>
      <c r="P262" s="645" t="s">
        <v>710</v>
      </c>
      <c r="Q262" s="646" t="str">
        <f>VLOOKUP(K262,Sheet1!$C$1:$D$101,2,)</f>
        <v>Binder Clip Nomor 200 (Length 5.0Cm, Width 5.0Cm, Height 5.0Cm, Weight 5Gr)</v>
      </c>
      <c r="R262" s="267">
        <v>100000</v>
      </c>
      <c r="S262" s="647">
        <v>110000</v>
      </c>
      <c r="T262" s="648">
        <f>Data2025!T261</f>
        <v>0</v>
      </c>
      <c r="U262" s="268" t="s">
        <v>538</v>
      </c>
      <c r="V262" s="648" t="e">
        <f>Data2025!V261</f>
        <v>#N/A</v>
      </c>
      <c r="W262" s="648" t="e">
        <f>Data2025!X261</f>
        <v>#N/A</v>
      </c>
      <c r="X262" s="268" t="s">
        <v>541</v>
      </c>
      <c r="Y262" s="268" t="str">
        <f t="shared" si="15"/>
        <v>Alat Tulis Kantor (ATK)</v>
      </c>
      <c r="Z262" s="649" t="str">
        <f t="shared" si="16"/>
        <v>Alat Tulis Kantor (ATK)</v>
      </c>
      <c r="AA262" s="650" t="s">
        <v>3367</v>
      </c>
      <c r="AB262" s="269">
        <v>20000</v>
      </c>
      <c r="AC262" s="269">
        <v>100000</v>
      </c>
      <c r="AD262" s="267">
        <v>100000</v>
      </c>
      <c r="AE262" s="270">
        <v>90090.090090090089</v>
      </c>
      <c r="AF262" s="270">
        <v>100000</v>
      </c>
      <c r="AG262" s="805" t="s">
        <v>3883</v>
      </c>
      <c r="AH262" s="651" t="e">
        <f>Data2025!W261</f>
        <v>#N/A</v>
      </c>
      <c r="AI262" s="277"/>
      <c r="AJ262" s="277"/>
    </row>
    <row r="263" spans="1:36" ht="16.5" thickTop="1" thickBot="1">
      <c r="A263" s="636">
        <f>Data2025!G262</f>
        <v>97</v>
      </c>
      <c r="B263" s="637" t="e">
        <f>Data2025!K262</f>
        <v>#N/A</v>
      </c>
      <c r="C263" s="638" t="str">
        <f>Data2025!D262</f>
        <v>06. 05. 08.</v>
      </c>
      <c r="D263" s="639" t="str">
        <f>Data2025!C262</f>
        <v>5.1.02.01.01.0024</v>
      </c>
      <c r="E263" s="265">
        <f>Data2025!E262</f>
        <v>45717</v>
      </c>
      <c r="F263" s="640" t="str">
        <f>Data2025!F262</f>
        <v>03/03/2025</v>
      </c>
      <c r="G263" s="265" t="str">
        <f>Data2025!H262</f>
        <v>03/03/2025</v>
      </c>
      <c r="H263" s="265" t="str">
        <f t="shared" si="14"/>
        <v>03/03/2025</v>
      </c>
      <c r="I263" s="641" t="str">
        <f>Data2025!J262</f>
        <v>23/04/2025</v>
      </c>
      <c r="J263" s="381" t="str">
        <f>Data2025!L262</f>
        <v>Binder Klip  nomor 260</v>
      </c>
      <c r="K263" s="381" t="str">
        <f>Data2025!M262</f>
        <v>Binder Klip  nomor 260</v>
      </c>
      <c r="L263" s="642">
        <f>Data2025!N262</f>
        <v>10</v>
      </c>
      <c r="M263" s="642" t="str">
        <f>Data2025!O262</f>
        <v>kotak</v>
      </c>
      <c r="N263" s="643">
        <f>Data2025!P262</f>
        <v>20000</v>
      </c>
      <c r="O263" s="644">
        <f>Data2025!Q262</f>
        <v>200000</v>
      </c>
      <c r="P263" s="645" t="s">
        <v>710</v>
      </c>
      <c r="Q263" s="646" t="str">
        <f>VLOOKUP(K263,Sheet1!$C$1:$D$101,2,)</f>
        <v>Binder Clip No 260 (Length 5.0Cm, Width 5.0Cm, Height 5.0Cm, Weight 5Gr)</v>
      </c>
      <c r="R263" s="267">
        <v>2000000</v>
      </c>
      <c r="S263" s="647">
        <v>2080000</v>
      </c>
      <c r="T263" s="648">
        <f>Data2025!T262</f>
        <v>0</v>
      </c>
      <c r="U263" s="268" t="s">
        <v>538</v>
      </c>
      <c r="V263" s="648" t="e">
        <f>Data2025!V262</f>
        <v>#N/A</v>
      </c>
      <c r="W263" s="648" t="e">
        <f>Data2025!X262</f>
        <v>#N/A</v>
      </c>
      <c r="X263" s="268" t="s">
        <v>541</v>
      </c>
      <c r="Y263" s="268" t="str">
        <f t="shared" si="15"/>
        <v>Alat Tulis Kantor (ATK)</v>
      </c>
      <c r="Z263" s="649" t="str">
        <f t="shared" si="16"/>
        <v>Alat Tulis Kantor (ATK)</v>
      </c>
      <c r="AA263" s="650" t="s">
        <v>3369</v>
      </c>
      <c r="AB263" s="269">
        <v>50000</v>
      </c>
      <c r="AC263" s="269">
        <v>2000000</v>
      </c>
      <c r="AD263" s="267">
        <v>2000000</v>
      </c>
      <c r="AE263" s="270">
        <v>1801801.8018018019</v>
      </c>
      <c r="AF263" s="270">
        <v>2000000</v>
      </c>
      <c r="AG263" s="805" t="s">
        <v>3883</v>
      </c>
      <c r="AH263" s="651" t="e">
        <f>Data2025!W262</f>
        <v>#N/A</v>
      </c>
    </row>
    <row r="264" spans="1:36" ht="26" thickTop="1" thickBot="1">
      <c r="A264" s="636">
        <f>Data2025!G263</f>
        <v>97</v>
      </c>
      <c r="B264" s="637" t="e">
        <f>Data2025!K263</f>
        <v>#N/A</v>
      </c>
      <c r="C264" s="638" t="str">
        <f>Data2025!D263</f>
        <v>06. 05. 08.</v>
      </c>
      <c r="D264" s="639" t="str">
        <f>Data2025!C263</f>
        <v>5.1.02.01.01.0024</v>
      </c>
      <c r="E264" s="265">
        <f>Data2025!E263</f>
        <v>45717</v>
      </c>
      <c r="F264" s="640" t="str">
        <f>Data2025!F263</f>
        <v>03/03/2025</v>
      </c>
      <c r="G264" s="265" t="str">
        <f>Data2025!H263</f>
        <v>03/03/2025</v>
      </c>
      <c r="H264" s="265" t="str">
        <f t="shared" si="14"/>
        <v>03/03/2025</v>
      </c>
      <c r="I264" s="641" t="str">
        <f>Data2025!J263</f>
        <v>23/04/2025</v>
      </c>
      <c r="J264" s="381" t="str">
        <f>Data2025!L263</f>
        <v>Binder Klip Merk : KENKO nomor 105</v>
      </c>
      <c r="K264" s="381" t="str">
        <f>Data2025!M263</f>
        <v>Binder Klip Merk : KENKO nomor 105</v>
      </c>
      <c r="L264" s="642">
        <f>Data2025!N263</f>
        <v>2</v>
      </c>
      <c r="M264" s="642" t="str">
        <f>Data2025!O263</f>
        <v>kotak</v>
      </c>
      <c r="N264" s="643">
        <f>Data2025!P263</f>
        <v>5000</v>
      </c>
      <c r="O264" s="644">
        <f>Data2025!Q263</f>
        <v>10000</v>
      </c>
      <c r="P264" s="645" t="s">
        <v>710</v>
      </c>
      <c r="Q264" s="646" t="str">
        <f>VLOOKUP(K264,Sheet1!$C$1:$D$101,2,)</f>
        <v xml:space="preserve">Binder Clip merk kenko NO 105 (Length 5.0cm, Width 5.0cm, Height 5.0cm, Weight 5gr)  </v>
      </c>
      <c r="R264" s="267">
        <v>550000</v>
      </c>
      <c r="S264" s="647">
        <v>750000</v>
      </c>
      <c r="T264" s="648">
        <f>Data2025!T263</f>
        <v>0</v>
      </c>
      <c r="U264" s="268" t="s">
        <v>538</v>
      </c>
      <c r="V264" s="648" t="e">
        <f>Data2025!V263</f>
        <v>#N/A</v>
      </c>
      <c r="W264" s="648" t="e">
        <f>Data2025!X263</f>
        <v>#N/A</v>
      </c>
      <c r="X264" s="268" t="s">
        <v>541</v>
      </c>
      <c r="Y264" s="268" t="str">
        <f t="shared" si="15"/>
        <v>Alat Tulis Kantor (ATK)</v>
      </c>
      <c r="Z264" s="649" t="str">
        <f t="shared" si="16"/>
        <v>Alat Tulis Kantor (ATK)</v>
      </c>
      <c r="AA264" s="650" t="s">
        <v>3363</v>
      </c>
      <c r="AB264" s="269">
        <v>5500</v>
      </c>
      <c r="AC264" s="269">
        <v>550000</v>
      </c>
      <c r="AD264" s="267">
        <v>550000</v>
      </c>
      <c r="AE264" s="270">
        <v>495495.4954954955</v>
      </c>
      <c r="AF264" s="270">
        <v>550000</v>
      </c>
      <c r="AG264" s="805" t="s">
        <v>3883</v>
      </c>
      <c r="AH264" s="651" t="e">
        <f>Data2025!W263</f>
        <v>#N/A</v>
      </c>
      <c r="AI264" s="277"/>
      <c r="AJ264" s="277"/>
    </row>
    <row r="265" spans="1:36" ht="16.5" thickTop="1" thickBot="1">
      <c r="A265" s="636">
        <f>Data2025!G264</f>
        <v>97</v>
      </c>
      <c r="B265" s="637" t="e">
        <f>Data2025!K264</f>
        <v>#N/A</v>
      </c>
      <c r="C265" s="638" t="str">
        <f>Data2025!D264</f>
        <v>06. 05. 08.</v>
      </c>
      <c r="D265" s="639" t="str">
        <f>Data2025!C264</f>
        <v>5.1.02.01.01.0024</v>
      </c>
      <c r="E265" s="265">
        <f>Data2025!E264</f>
        <v>45717</v>
      </c>
      <c r="F265" s="640" t="str">
        <f>Data2025!F264</f>
        <v>03/03/2025</v>
      </c>
      <c r="G265" s="265" t="str">
        <f>Data2025!H264</f>
        <v>03/03/2025</v>
      </c>
      <c r="H265" s="265" t="str">
        <f t="shared" si="14"/>
        <v>03/03/2025</v>
      </c>
      <c r="I265" s="641" t="str">
        <f>Data2025!J264</f>
        <v>23/04/2025</v>
      </c>
      <c r="J265" s="381" t="str">
        <f>Data2025!L264</f>
        <v>Map Binder</v>
      </c>
      <c r="K265" s="381" t="str">
        <f>Data2025!M264</f>
        <v>Map Binder</v>
      </c>
      <c r="L265" s="642">
        <f>Data2025!N264</f>
        <v>12</v>
      </c>
      <c r="M265" s="642" t="str">
        <f>Data2025!O264</f>
        <v>buah</v>
      </c>
      <c r="N265" s="643">
        <f>Data2025!P264</f>
        <v>35500</v>
      </c>
      <c r="O265" s="644">
        <f>Data2025!Q264</f>
        <v>426000</v>
      </c>
      <c r="P265" s="645" t="s">
        <v>710</v>
      </c>
      <c r="Q265" s="646" t="str">
        <f>VLOOKUP(K265,Sheet1!$C$1:$D$101,2,)</f>
        <v>Map Binder (Length 5.0Cm, Width 5.0Cm, Height 5.0Cm, Weight 5Gr)</v>
      </c>
      <c r="R265" s="267">
        <v>48000</v>
      </c>
      <c r="S265" s="647">
        <v>50000</v>
      </c>
      <c r="T265" s="648">
        <f>Data2025!T264</f>
        <v>0</v>
      </c>
      <c r="U265" s="268" t="s">
        <v>538</v>
      </c>
      <c r="V265" s="648" t="e">
        <f>Data2025!V264</f>
        <v>#N/A</v>
      </c>
      <c r="W265" s="648" t="e">
        <f>Data2025!X264</f>
        <v>#N/A</v>
      </c>
      <c r="X265" s="268" t="s">
        <v>541</v>
      </c>
      <c r="Y265" s="268" t="str">
        <f t="shared" si="15"/>
        <v>Alat Tulis Kantor (ATK)</v>
      </c>
      <c r="Z265" s="649" t="str">
        <f t="shared" si="16"/>
        <v>Alat Tulis Kantor (ATK)</v>
      </c>
      <c r="AA265" s="650" t="s">
        <v>3362</v>
      </c>
      <c r="AB265" s="269">
        <v>48000</v>
      </c>
      <c r="AC265" s="269">
        <v>48000</v>
      </c>
      <c r="AD265" s="267">
        <v>48000</v>
      </c>
      <c r="AE265" s="270">
        <v>43243.243243243247</v>
      </c>
      <c r="AF265" s="270">
        <v>48000</v>
      </c>
      <c r="AG265" s="805" t="s">
        <v>3883</v>
      </c>
      <c r="AH265" s="651" t="e">
        <f>Data2025!W264</f>
        <v>#N/A</v>
      </c>
    </row>
    <row r="266" spans="1:36" ht="16.5" thickTop="1" thickBot="1">
      <c r="A266" s="636">
        <f>Data2025!G265</f>
        <v>97</v>
      </c>
      <c r="B266" s="637" t="e">
        <f>Data2025!K265</f>
        <v>#N/A</v>
      </c>
      <c r="C266" s="638" t="str">
        <f>Data2025!D265</f>
        <v>06. 05. 08.</v>
      </c>
      <c r="D266" s="639" t="str">
        <f>Data2025!C265</f>
        <v>5.1.02.01.01.0024</v>
      </c>
      <c r="E266" s="265">
        <f>Data2025!E265</f>
        <v>45717</v>
      </c>
      <c r="F266" s="640" t="str">
        <f>Data2025!F265</f>
        <v>03/03/2025</v>
      </c>
      <c r="G266" s="265" t="str">
        <f>Data2025!H265</f>
        <v>03/03/2025</v>
      </c>
      <c r="H266" s="265" t="str">
        <f t="shared" si="14"/>
        <v>03/03/2025</v>
      </c>
      <c r="I266" s="641" t="str">
        <f>Data2025!J265</f>
        <v>23/04/2025</v>
      </c>
      <c r="J266" s="381" t="str">
        <f>Data2025!L265</f>
        <v>Stofmap Kertas</v>
      </c>
      <c r="K266" s="381" t="str">
        <f>Data2025!M265</f>
        <v>Stofmap Kertas</v>
      </c>
      <c r="L266" s="642">
        <f>Data2025!N265</f>
        <v>1</v>
      </c>
      <c r="M266" s="642" t="str">
        <f>Data2025!O265</f>
        <v>pak</v>
      </c>
      <c r="N266" s="643">
        <f>Data2025!P265</f>
        <v>88000</v>
      </c>
      <c r="O266" s="644">
        <f>Data2025!Q265</f>
        <v>88000</v>
      </c>
      <c r="P266" s="645" t="s">
        <v>710</v>
      </c>
      <c r="Q266" s="646" t="str">
        <f>VLOOKUP(K266,Sheet1!$C$1:$D$101,2,)</f>
        <v>Stofmap Kertas (Length 5.0Cm, Width 5.0Cm, Height 5.0Cm, Weight 5Gr)</v>
      </c>
      <c r="R266" s="267">
        <v>114000</v>
      </c>
      <c r="S266" s="647">
        <v>124000</v>
      </c>
      <c r="T266" s="648">
        <f>Data2025!T265</f>
        <v>0</v>
      </c>
      <c r="U266" s="268" t="s">
        <v>538</v>
      </c>
      <c r="V266" s="648" t="e">
        <f>Data2025!V265</f>
        <v>#N/A</v>
      </c>
      <c r="W266" s="648" t="e">
        <f>Data2025!X265</f>
        <v>#N/A</v>
      </c>
      <c r="X266" s="268" t="s">
        <v>541</v>
      </c>
      <c r="Y266" s="268" t="str">
        <f t="shared" si="15"/>
        <v>Alat Tulis Kantor (ATK)</v>
      </c>
      <c r="Z266" s="649" t="str">
        <f t="shared" si="16"/>
        <v>Alat Tulis Kantor (ATK)</v>
      </c>
      <c r="AA266" s="650" t="s">
        <v>3363</v>
      </c>
      <c r="AB266" s="269">
        <v>22800</v>
      </c>
      <c r="AC266" s="269">
        <v>114000</v>
      </c>
      <c r="AD266" s="267">
        <v>114000</v>
      </c>
      <c r="AE266" s="270">
        <v>102702.70270270271</v>
      </c>
      <c r="AF266" s="270">
        <v>114000</v>
      </c>
      <c r="AG266" s="805" t="s">
        <v>3883</v>
      </c>
      <c r="AH266" s="651" t="e">
        <f>Data2025!W265</f>
        <v>#N/A</v>
      </c>
      <c r="AI266" s="277"/>
      <c r="AJ266" s="277"/>
    </row>
    <row r="267" spans="1:36" ht="16.5" thickTop="1" thickBot="1">
      <c r="A267" s="636">
        <f>Data2025!G266</f>
        <v>97</v>
      </c>
      <c r="B267" s="637" t="e">
        <f>Data2025!K266</f>
        <v>#N/A</v>
      </c>
      <c r="C267" s="638" t="str">
        <f>Data2025!D266</f>
        <v>06. 05. 08.</v>
      </c>
      <c r="D267" s="639" t="str">
        <f>Data2025!C266</f>
        <v>5.1.02.01.01.0024</v>
      </c>
      <c r="E267" s="265">
        <f>Data2025!E266</f>
        <v>45717</v>
      </c>
      <c r="F267" s="640" t="str">
        <f>Data2025!F266</f>
        <v>03/03/2025</v>
      </c>
      <c r="G267" s="265" t="str">
        <f>Data2025!H266</f>
        <v>03/03/2025</v>
      </c>
      <c r="H267" s="265" t="str">
        <f t="shared" si="14"/>
        <v>03/03/2025</v>
      </c>
      <c r="I267" s="641" t="str">
        <f>Data2025!J266</f>
        <v>23/04/2025</v>
      </c>
      <c r="J267" s="381" t="str">
        <f>Data2025!L266</f>
        <v>Stofmap Transparan tali</v>
      </c>
      <c r="K267" s="381" t="str">
        <f>Data2025!M266</f>
        <v>Stofmap Transparan tali</v>
      </c>
      <c r="L267" s="642">
        <f>Data2025!N266</f>
        <v>100</v>
      </c>
      <c r="M267" s="642" t="str">
        <f>Data2025!O266</f>
        <v>buah</v>
      </c>
      <c r="N267" s="643">
        <f>Data2025!P266</f>
        <v>5500</v>
      </c>
      <c r="O267" s="644">
        <f>Data2025!Q266</f>
        <v>550000</v>
      </c>
      <c r="P267" s="645" t="s">
        <v>710</v>
      </c>
      <c r="Q267" s="646" t="str">
        <f>VLOOKUP(K267,Sheet1!$C$1:$D$101,2,)</f>
        <v>Stofmap Transparan tali (Merk : Jenia Tipe : 2 Kancing + Tali Ukuran : 255 x 375 mm Bahan : Plastik PP 0,14 Micron)</v>
      </c>
      <c r="R267" s="267">
        <v>50000</v>
      </c>
      <c r="S267" s="647">
        <v>60000</v>
      </c>
      <c r="T267" s="648">
        <f>Data2025!T266</f>
        <v>0</v>
      </c>
      <c r="U267" s="268" t="s">
        <v>538</v>
      </c>
      <c r="V267" s="648" t="e">
        <f>Data2025!V266</f>
        <v>#N/A</v>
      </c>
      <c r="W267" s="648" t="e">
        <f>Data2025!X266</f>
        <v>#N/A</v>
      </c>
      <c r="X267" s="268" t="s">
        <v>541</v>
      </c>
      <c r="Y267" s="268" t="str">
        <f t="shared" si="15"/>
        <v>Alat Tulis Kantor (ATK)</v>
      </c>
      <c r="Z267" s="649" t="str">
        <f t="shared" si="16"/>
        <v>Alat Tulis Kantor (ATK)</v>
      </c>
      <c r="AA267" s="650" t="s">
        <v>3363</v>
      </c>
      <c r="AB267" s="269">
        <v>10000</v>
      </c>
      <c r="AC267" s="269">
        <v>50000</v>
      </c>
      <c r="AD267" s="267">
        <v>50000</v>
      </c>
      <c r="AE267" s="270">
        <v>45045.045045045044</v>
      </c>
      <c r="AF267" s="270">
        <v>50000</v>
      </c>
      <c r="AG267" s="805" t="s">
        <v>3883</v>
      </c>
      <c r="AH267" s="651" t="e">
        <f>Data2025!W266</f>
        <v>#N/A</v>
      </c>
    </row>
    <row r="268" spans="1:36" ht="26.5" customHeight="1" thickTop="1" thickBot="1">
      <c r="A268" s="636">
        <f>Data2025!G267</f>
        <v>97</v>
      </c>
      <c r="B268" s="637" t="e">
        <f>Data2025!K267</f>
        <v>#N/A</v>
      </c>
      <c r="C268" s="638" t="str">
        <f>Data2025!D267</f>
        <v>06. 05. 08.</v>
      </c>
      <c r="D268" s="639" t="str">
        <f>Data2025!C267</f>
        <v>5.1.02.01.01.0024</v>
      </c>
      <c r="E268" s="265">
        <f>Data2025!E267</f>
        <v>45717</v>
      </c>
      <c r="F268" s="640" t="str">
        <f>Data2025!F267</f>
        <v>03/03/2025</v>
      </c>
      <c r="G268" s="265" t="str">
        <f>Data2025!H267</f>
        <v>03/03/2025</v>
      </c>
      <c r="H268" s="265" t="str">
        <f t="shared" si="14"/>
        <v>03/03/2025</v>
      </c>
      <c r="I268" s="641" t="str">
        <f>Data2025!J267</f>
        <v>23/04/2025</v>
      </c>
      <c r="J268" s="381" t="str">
        <f>Data2025!L267</f>
        <v>Stofmap Transparan</v>
      </c>
      <c r="K268" s="381" t="str">
        <f>Data2025!M267</f>
        <v>Stofmap Transparan</v>
      </c>
      <c r="L268" s="642">
        <f>Data2025!N267</f>
        <v>100</v>
      </c>
      <c r="M268" s="642" t="str">
        <f>Data2025!O267</f>
        <v>buah</v>
      </c>
      <c r="N268" s="643">
        <f>Data2025!P267</f>
        <v>5500</v>
      </c>
      <c r="O268" s="644">
        <f>Data2025!Q267</f>
        <v>550000</v>
      </c>
      <c r="P268" s="645" t="s">
        <v>710</v>
      </c>
      <c r="Q268" s="646" t="str">
        <f>VLOOKUP(K268,Sheet1!$C$1:$D$101,2,)</f>
        <v>Stofmap Transparan (Length 5.0Cm, Width 5.0Cm, Height 5.0Cm, Weight 5Gr)</v>
      </c>
      <c r="R268" s="267">
        <v>165000</v>
      </c>
      <c r="S268" s="647">
        <v>185000</v>
      </c>
      <c r="T268" s="648">
        <f>Data2025!T267</f>
        <v>0</v>
      </c>
      <c r="U268" s="268" t="s">
        <v>538</v>
      </c>
      <c r="V268" s="648" t="e">
        <f>Data2025!V267</f>
        <v>#N/A</v>
      </c>
      <c r="W268" s="648" t="e">
        <f>Data2025!X267</f>
        <v>#N/A</v>
      </c>
      <c r="X268" s="268" t="s">
        <v>541</v>
      </c>
      <c r="Y268" s="268" t="str">
        <f t="shared" si="15"/>
        <v>Alat Tulis Kantor (ATK)</v>
      </c>
      <c r="Z268" s="649" t="str">
        <f t="shared" si="16"/>
        <v>Alat Tulis Kantor (ATK)</v>
      </c>
      <c r="AA268" s="650" t="s">
        <v>3362</v>
      </c>
      <c r="AB268" s="269">
        <v>16500</v>
      </c>
      <c r="AC268" s="269">
        <v>165000</v>
      </c>
      <c r="AD268" s="267">
        <v>165000</v>
      </c>
      <c r="AE268" s="270">
        <v>148648.64864864864</v>
      </c>
      <c r="AF268" s="270">
        <v>165000</v>
      </c>
      <c r="AG268" s="805" t="s">
        <v>3883</v>
      </c>
      <c r="AH268" s="651" t="e">
        <f>Data2025!W267</f>
        <v>#N/A</v>
      </c>
    </row>
    <row r="269" spans="1:36" ht="16.5" thickTop="1" thickBot="1">
      <c r="A269" s="636">
        <f>Data2025!G268</f>
        <v>97</v>
      </c>
      <c r="B269" s="637" t="e">
        <f>Data2025!K268</f>
        <v>#N/A</v>
      </c>
      <c r="C269" s="638" t="str">
        <f>Data2025!D268</f>
        <v>06. 05. 08.</v>
      </c>
      <c r="D269" s="639" t="str">
        <f>Data2025!C268</f>
        <v>5.1.02.01.01.0024</v>
      </c>
      <c r="E269" s="265">
        <f>Data2025!E268</f>
        <v>45717</v>
      </c>
      <c r="F269" s="640" t="str">
        <f>Data2025!F268</f>
        <v>03/03/2025</v>
      </c>
      <c r="G269" s="265" t="str">
        <f>Data2025!H268</f>
        <v>03/03/2025</v>
      </c>
      <c r="H269" s="265" t="str">
        <f t="shared" si="14"/>
        <v>03/03/2025</v>
      </c>
      <c r="I269" s="641" t="str">
        <f>Data2025!J268</f>
        <v>23/04/2025</v>
      </c>
      <c r="J269" s="381" t="str">
        <f>Data2025!L268</f>
        <v>Binder Klip Ordner</v>
      </c>
      <c r="K269" s="381" t="str">
        <f>Data2025!M268</f>
        <v>Binder Klip Ordner</v>
      </c>
      <c r="L269" s="642">
        <f>Data2025!N268</f>
        <v>6</v>
      </c>
      <c r="M269" s="642" t="str">
        <f>Data2025!O268</f>
        <v>buah</v>
      </c>
      <c r="N269" s="643">
        <f>Data2025!P268</f>
        <v>49500</v>
      </c>
      <c r="O269" s="644">
        <f>Data2025!Q268</f>
        <v>297000</v>
      </c>
      <c r="P269" s="645" t="s">
        <v>710</v>
      </c>
      <c r="Q269" s="646" t="str">
        <f>VLOOKUP(K269,Sheet1!$C$1:$D$101,2,)</f>
        <v>Binder Klip Ordner (Length 5.0Cm, Width 5.0Cm, Height 5.0Cm, Weight 5Gr)</v>
      </c>
      <c r="R269" s="267">
        <v>100000</v>
      </c>
      <c r="S269" s="647">
        <v>110000</v>
      </c>
      <c r="T269" s="648">
        <f>Data2025!T268</f>
        <v>0</v>
      </c>
      <c r="U269" s="268" t="s">
        <v>538</v>
      </c>
      <c r="V269" s="648" t="e">
        <f>Data2025!V268</f>
        <v>#N/A</v>
      </c>
      <c r="W269" s="648" t="e">
        <f>Data2025!X268</f>
        <v>#N/A</v>
      </c>
      <c r="X269" s="268" t="s">
        <v>541</v>
      </c>
      <c r="Y269" s="268" t="str">
        <f t="shared" si="15"/>
        <v>Alat Tulis Kantor (ATK)</v>
      </c>
      <c r="Z269" s="649" t="str">
        <f t="shared" si="16"/>
        <v>Alat Tulis Kantor (ATK)</v>
      </c>
      <c r="AA269" s="650" t="s">
        <v>3366</v>
      </c>
      <c r="AB269" s="269">
        <v>20000</v>
      </c>
      <c r="AC269" s="269">
        <v>100000</v>
      </c>
      <c r="AD269" s="267">
        <v>100000</v>
      </c>
      <c r="AE269" s="270">
        <v>90090.090090090089</v>
      </c>
      <c r="AF269" s="270">
        <v>100000</v>
      </c>
      <c r="AG269" s="805" t="s">
        <v>3883</v>
      </c>
      <c r="AH269" s="651" t="e">
        <f>Data2025!W268</f>
        <v>#N/A</v>
      </c>
    </row>
    <row r="270" spans="1:36" ht="26" thickTop="1" thickBot="1">
      <c r="A270" s="636">
        <f>Data2025!G269</f>
        <v>97</v>
      </c>
      <c r="B270" s="637" t="e">
        <f>Data2025!K269</f>
        <v>#N/A</v>
      </c>
      <c r="C270" s="638" t="str">
        <f>Data2025!D269</f>
        <v>06. 05. 08.</v>
      </c>
      <c r="D270" s="639" t="str">
        <f>Data2025!C269</f>
        <v>5.1.02.01.01.0024</v>
      </c>
      <c r="E270" s="265">
        <f>Data2025!E269</f>
        <v>45717</v>
      </c>
      <c r="F270" s="640" t="str">
        <f>Data2025!F269</f>
        <v>03/03/2025</v>
      </c>
      <c r="G270" s="265" t="str">
        <f>Data2025!H269</f>
        <v>03/03/2025</v>
      </c>
      <c r="H270" s="265" t="str">
        <f t="shared" si="14"/>
        <v>03/03/2025</v>
      </c>
      <c r="I270" s="641" t="str">
        <f>Data2025!J269</f>
        <v>23/04/2025</v>
      </c>
      <c r="J270" s="381" t="str">
        <f>Data2025!L269</f>
        <v>Box File Merk : Bantex Ukuran : 115x270x325 mm</v>
      </c>
      <c r="K270" s="381" t="str">
        <f>Data2025!M269</f>
        <v>Box File Merk : Bantex Ukuran : 115x270x325 mm</v>
      </c>
      <c r="L270" s="642">
        <f>Data2025!N269</f>
        <v>4</v>
      </c>
      <c r="M270" s="642" t="str">
        <f>Data2025!O269</f>
        <v>buah</v>
      </c>
      <c r="N270" s="643">
        <f>Data2025!P269</f>
        <v>59000</v>
      </c>
      <c r="O270" s="644">
        <f>Data2025!Q269</f>
        <v>236000</v>
      </c>
      <c r="P270" s="645" t="s">
        <v>710</v>
      </c>
      <c r="Q270" s="646" t="str">
        <f>VLOOKUP(K270,Sheet1!$C$1:$D$101,2,)</f>
        <v>Box File (Length 5.0Cm, Width 5.0Cm, Height 5.0Cm, Weight 5Gr)</v>
      </c>
      <c r="R270" s="267">
        <v>510000</v>
      </c>
      <c r="S270" s="647">
        <v>522000</v>
      </c>
      <c r="T270" s="648">
        <f>Data2025!T269</f>
        <v>0</v>
      </c>
      <c r="U270" s="268" t="s">
        <v>538</v>
      </c>
      <c r="V270" s="648" t="e">
        <f>Data2025!V269</f>
        <v>#N/A</v>
      </c>
      <c r="W270" s="648" t="e">
        <f>Data2025!X269</f>
        <v>#N/A</v>
      </c>
      <c r="X270" s="268" t="s">
        <v>541</v>
      </c>
      <c r="Y270" s="268" t="str">
        <f t="shared" si="15"/>
        <v>Alat Tulis Kantor (ATK)</v>
      </c>
      <c r="Z270" s="649" t="str">
        <f t="shared" si="16"/>
        <v>Alat Tulis Kantor (ATK)</v>
      </c>
      <c r="AA270" s="650" t="s">
        <v>3367</v>
      </c>
      <c r="AB270" s="269">
        <v>85000</v>
      </c>
      <c r="AC270" s="269">
        <v>510000</v>
      </c>
      <c r="AD270" s="267">
        <v>510000</v>
      </c>
      <c r="AE270" s="270">
        <v>459459.45945945947</v>
      </c>
      <c r="AF270" s="270">
        <v>510000</v>
      </c>
      <c r="AG270" s="805" t="s">
        <v>3883</v>
      </c>
      <c r="AH270" s="651" t="e">
        <f>Data2025!W269</f>
        <v>#N/A</v>
      </c>
    </row>
    <row r="271" spans="1:36" ht="16.5" thickTop="1" thickBot="1">
      <c r="A271" s="636">
        <f>Data2025!G270</f>
        <v>97</v>
      </c>
      <c r="B271" s="637" t="e">
        <f>Data2025!K270</f>
        <v>#N/A</v>
      </c>
      <c r="C271" s="638" t="str">
        <f>Data2025!D270</f>
        <v>06. 05. 08.</v>
      </c>
      <c r="D271" s="639" t="str">
        <f>Data2025!C270</f>
        <v>5.1.02.01.01.0024</v>
      </c>
      <c r="E271" s="265">
        <f>Data2025!E270</f>
        <v>45717</v>
      </c>
      <c r="F271" s="640" t="str">
        <f>Data2025!F270</f>
        <v>03/03/2025</v>
      </c>
      <c r="G271" s="265" t="str">
        <f>Data2025!H270</f>
        <v>03/03/2025</v>
      </c>
      <c r="H271" s="265" t="str">
        <f t="shared" si="14"/>
        <v>03/03/2025</v>
      </c>
      <c r="I271" s="641" t="str">
        <f>Data2025!J270</f>
        <v>23/04/2025</v>
      </c>
      <c r="J271" s="381" t="str">
        <f>Data2025!L270</f>
        <v>Sampul Plastik</v>
      </c>
      <c r="K271" s="381" t="str">
        <f>Data2025!M270</f>
        <v>Sampul Plastik</v>
      </c>
      <c r="L271" s="642">
        <f>Data2025!N270</f>
        <v>5</v>
      </c>
      <c r="M271" s="642" t="str">
        <f>Data2025!O270</f>
        <v>bungkus</v>
      </c>
      <c r="N271" s="643">
        <f>Data2025!P270</f>
        <v>65000</v>
      </c>
      <c r="O271" s="644">
        <f>Data2025!Q270</f>
        <v>325000</v>
      </c>
      <c r="P271" s="645" t="s">
        <v>710</v>
      </c>
      <c r="Q271" s="646" t="str">
        <f>VLOOKUP(K271,Sheet1!$C$1:$D$101,2,)</f>
        <v>Sampul Plastik (Length 5.0Cm, Width 5.0Cm, Height 5.0Cm, Weight 5Gr)</v>
      </c>
      <c r="R271" s="267">
        <v>80000</v>
      </c>
      <c r="S271" s="647">
        <v>84000</v>
      </c>
      <c r="T271" s="648">
        <f>Data2025!T270</f>
        <v>0</v>
      </c>
      <c r="U271" s="268" t="s">
        <v>538</v>
      </c>
      <c r="V271" s="648" t="e">
        <f>Data2025!V270</f>
        <v>#N/A</v>
      </c>
      <c r="W271" s="648" t="e">
        <f>Data2025!X270</f>
        <v>#N/A</v>
      </c>
      <c r="X271" s="268" t="s">
        <v>541</v>
      </c>
      <c r="Y271" s="268" t="str">
        <f t="shared" si="15"/>
        <v>Alat Tulis Kantor (ATK)</v>
      </c>
      <c r="Z271" s="649" t="str">
        <f t="shared" si="16"/>
        <v>Alat Tulis Kantor (ATK)</v>
      </c>
      <c r="AA271" s="650" t="s">
        <v>3362</v>
      </c>
      <c r="AB271" s="269">
        <v>40000</v>
      </c>
      <c r="AC271" s="269">
        <v>80000</v>
      </c>
      <c r="AD271" s="267">
        <v>80000</v>
      </c>
      <c r="AE271" s="270">
        <v>72072.072072072071</v>
      </c>
      <c r="AF271" s="270">
        <v>80000</v>
      </c>
      <c r="AG271" s="805" t="s">
        <v>3883</v>
      </c>
      <c r="AH271" s="651" t="e">
        <f>Data2025!W270</f>
        <v>#N/A</v>
      </c>
    </row>
    <row r="272" spans="1:36" ht="26" thickTop="1" thickBot="1">
      <c r="A272" s="636">
        <f>Data2025!G271</f>
        <v>97</v>
      </c>
      <c r="B272" s="637" t="e">
        <f>Data2025!K271</f>
        <v>#N/A</v>
      </c>
      <c r="C272" s="638" t="str">
        <f>Data2025!D271</f>
        <v>06. 05. 08.</v>
      </c>
      <c r="D272" s="639" t="str">
        <f>Data2025!C271</f>
        <v>5.1.02.01.01.0024</v>
      </c>
      <c r="E272" s="265">
        <f>Data2025!E271</f>
        <v>45717</v>
      </c>
      <c r="F272" s="640" t="str">
        <f>Data2025!F271</f>
        <v>03/03/2025</v>
      </c>
      <c r="G272" s="265" t="str">
        <f>Data2025!H271</f>
        <v>03/03/2025</v>
      </c>
      <c r="H272" s="265" t="str">
        <f t="shared" si="14"/>
        <v>03/03/2025</v>
      </c>
      <c r="I272" s="641" t="str">
        <f>Data2025!J271</f>
        <v>23/04/2025</v>
      </c>
      <c r="J272" s="381" t="str">
        <f>Data2025!L271</f>
        <v>Tinta Printer Canon 740 Hitam-740 Hitam</v>
      </c>
      <c r="K272" s="381" t="str">
        <f>Data2025!M271</f>
        <v>Tinta Printer Canon 740 Hitam-740 Hitam</v>
      </c>
      <c r="L272" s="642">
        <f>Data2025!N271</f>
        <v>8</v>
      </c>
      <c r="M272" s="642" t="str">
        <f>Data2025!O271</f>
        <v>botol</v>
      </c>
      <c r="N272" s="643">
        <f>Data2025!P271</f>
        <v>30000</v>
      </c>
      <c r="O272" s="644">
        <f>Data2025!Q271</f>
        <v>240000</v>
      </c>
      <c r="P272" s="645" t="s">
        <v>710</v>
      </c>
      <c r="Q272" s="646" t="str">
        <f>VLOOKUP(K272,Sheet1!$C$1:$D$101,2,)</f>
        <v>Tinta Printer Canon Aiflo Hitam (Length 5.0cm, Width 5.0cm, Height 5.0cm, Weight 5gr)</v>
      </c>
      <c r="R272" s="267">
        <v>180000</v>
      </c>
      <c r="S272" s="647">
        <v>184000</v>
      </c>
      <c r="T272" s="648">
        <f>Data2025!T271</f>
        <v>0</v>
      </c>
      <c r="U272" s="268" t="s">
        <v>538</v>
      </c>
      <c r="V272" s="648" t="e">
        <f>Data2025!V271</f>
        <v>#N/A</v>
      </c>
      <c r="W272" s="648" t="e">
        <f>Data2025!X271</f>
        <v>#N/A</v>
      </c>
      <c r="X272" s="268" t="s">
        <v>541</v>
      </c>
      <c r="Y272" s="268" t="str">
        <f t="shared" si="15"/>
        <v>Alat Tulis Kantor (ATK)</v>
      </c>
      <c r="Z272" s="649" t="str">
        <f t="shared" si="16"/>
        <v>Alat Tulis Kantor (ATK)</v>
      </c>
      <c r="AA272" s="650" t="s">
        <v>3369</v>
      </c>
      <c r="AB272" s="269">
        <v>90000</v>
      </c>
      <c r="AC272" s="269">
        <v>180000</v>
      </c>
      <c r="AD272" s="267">
        <v>180000</v>
      </c>
      <c r="AE272" s="270">
        <v>162162.16216216216</v>
      </c>
      <c r="AF272" s="270">
        <v>180000</v>
      </c>
      <c r="AG272" s="805" t="s">
        <v>3883</v>
      </c>
      <c r="AH272" s="651" t="e">
        <f>Data2025!W271</f>
        <v>#N/A</v>
      </c>
    </row>
    <row r="273" spans="1:34" ht="26" thickTop="1" thickBot="1">
      <c r="A273" s="636">
        <f>Data2025!G272</f>
        <v>97</v>
      </c>
      <c r="B273" s="637" t="e">
        <f>Data2025!K272</f>
        <v>#N/A</v>
      </c>
      <c r="C273" s="638" t="str">
        <f>Data2025!D272</f>
        <v>06. 05. 08.</v>
      </c>
      <c r="D273" s="639" t="str">
        <f>Data2025!C272</f>
        <v>5.1.02.01.01.0024</v>
      </c>
      <c r="E273" s="265">
        <f>Data2025!E272</f>
        <v>45717</v>
      </c>
      <c r="F273" s="640" t="str">
        <f>Data2025!F272</f>
        <v>03/03/2025</v>
      </c>
      <c r="G273" s="265" t="str">
        <f>Data2025!H272</f>
        <v>03/03/2025</v>
      </c>
      <c r="H273" s="265" t="str">
        <f t="shared" si="14"/>
        <v>03/03/2025</v>
      </c>
      <c r="I273" s="641" t="str">
        <f>Data2025!J272</f>
        <v>23/04/2025</v>
      </c>
      <c r="J273" s="381" t="str">
        <f>Data2025!L272</f>
        <v>Tinta Printer Canon 741 Warna-741 Warna</v>
      </c>
      <c r="K273" s="381" t="str">
        <f>Data2025!M272</f>
        <v>Tinta Printer Canon 741 Warna-741 Warna</v>
      </c>
      <c r="L273" s="642">
        <f>Data2025!N272</f>
        <v>12</v>
      </c>
      <c r="M273" s="642" t="str">
        <f>Data2025!O272</f>
        <v>botol</v>
      </c>
      <c r="N273" s="643">
        <f>Data2025!P272</f>
        <v>33000</v>
      </c>
      <c r="O273" s="644">
        <f>Data2025!Q272</f>
        <v>396000</v>
      </c>
      <c r="P273" s="645" t="s">
        <v>710</v>
      </c>
      <c r="Q273" s="646" t="str">
        <f>VLOOKUP(K273,Sheet1!$C$1:$D$101,2,)</f>
        <v>Tinta Printer Canon Aiflo Warna (Length 5.0cm, Width 5.0cm, Height 5.0cm, Weight 5gr)</v>
      </c>
      <c r="R273" s="267">
        <v>325000</v>
      </c>
      <c r="S273" s="647">
        <v>335000</v>
      </c>
      <c r="T273" s="648">
        <f>Data2025!T272</f>
        <v>0</v>
      </c>
      <c r="U273" s="268" t="s">
        <v>538</v>
      </c>
      <c r="V273" s="648" t="e">
        <f>Data2025!V272</f>
        <v>#N/A</v>
      </c>
      <c r="W273" s="648" t="e">
        <f>Data2025!X272</f>
        <v>#N/A</v>
      </c>
      <c r="X273" s="268" t="s">
        <v>541</v>
      </c>
      <c r="Y273" s="268" t="str">
        <f t="shared" si="15"/>
        <v>Alat Tulis Kantor (ATK)</v>
      </c>
      <c r="Z273" s="649" t="str">
        <f t="shared" si="16"/>
        <v>Alat Tulis Kantor (ATK)</v>
      </c>
      <c r="AA273" s="650" t="s">
        <v>3365</v>
      </c>
      <c r="AB273" s="269">
        <v>65000</v>
      </c>
      <c r="AC273" s="269">
        <v>325000</v>
      </c>
      <c r="AD273" s="267">
        <v>325000</v>
      </c>
      <c r="AE273" s="270">
        <v>292792.79279279278</v>
      </c>
      <c r="AF273" s="270">
        <v>325000</v>
      </c>
      <c r="AG273" s="805" t="s">
        <v>3883</v>
      </c>
      <c r="AH273" s="651" t="e">
        <f>Data2025!W272</f>
        <v>#N/A</v>
      </c>
    </row>
    <row r="274" spans="1:34" ht="26" thickTop="1" thickBot="1">
      <c r="A274" s="636">
        <f>Data2025!G273</f>
        <v>97</v>
      </c>
      <c r="B274" s="637" t="e">
        <f>Data2025!K273</f>
        <v>#N/A</v>
      </c>
      <c r="C274" s="638" t="str">
        <f>Data2025!D273</f>
        <v>06. 05. 08.</v>
      </c>
      <c r="D274" s="639" t="str">
        <f>Data2025!C273</f>
        <v>5.1.02.01.01.0024</v>
      </c>
      <c r="E274" s="265">
        <f>Data2025!E273</f>
        <v>45717</v>
      </c>
      <c r="F274" s="640" t="str">
        <f>Data2025!F273</f>
        <v>03/03/2025</v>
      </c>
      <c r="G274" s="265" t="str">
        <f>Data2025!H273</f>
        <v>03/03/2025</v>
      </c>
      <c r="H274" s="265" t="str">
        <f t="shared" si="14"/>
        <v>03/03/2025</v>
      </c>
      <c r="I274" s="641" t="str">
        <f>Data2025!J273</f>
        <v>23/04/2025</v>
      </c>
      <c r="J274" s="381" t="str">
        <f>Data2025!L273</f>
        <v>C. Tinta Printer EPSON Toner Epson 664 Black</v>
      </c>
      <c r="K274" s="381" t="str">
        <f>Data2025!M273</f>
        <v>C. Tinta Printer EPSON Toner Epson 664 Black</v>
      </c>
      <c r="L274" s="642">
        <f>Data2025!N273</f>
        <v>6</v>
      </c>
      <c r="M274" s="642" t="str">
        <f>Data2025!O273</f>
        <v>botol</v>
      </c>
      <c r="N274" s="643">
        <f>Data2025!P273</f>
        <v>85000</v>
      </c>
      <c r="O274" s="644">
        <f>Data2025!Q273</f>
        <v>510000</v>
      </c>
      <c r="P274" s="645" t="s">
        <v>710</v>
      </c>
      <c r="Q274" s="646" t="str">
        <f>VLOOKUP(K274,Sheet1!$C$1:$D$101,2,)</f>
        <v>Tinta Printer Epson 664 Hitam (Length 5.0Cm, Width 5.0Cm, Height 5.0Cm, Weight 5Gr)</v>
      </c>
      <c r="R274" s="267">
        <v>239200</v>
      </c>
      <c r="S274" s="647">
        <v>247200</v>
      </c>
      <c r="T274" s="648">
        <f>Data2025!T273</f>
        <v>0</v>
      </c>
      <c r="U274" s="268" t="s">
        <v>538</v>
      </c>
      <c r="V274" s="648" t="e">
        <f>Data2025!V273</f>
        <v>#N/A</v>
      </c>
      <c r="W274" s="648" t="e">
        <f>Data2025!X273</f>
        <v>#N/A</v>
      </c>
      <c r="X274" s="268" t="s">
        <v>541</v>
      </c>
      <c r="Y274" s="268" t="str">
        <f t="shared" si="15"/>
        <v>Alat Tulis Kantor (ATK)</v>
      </c>
      <c r="Z274" s="649" t="str">
        <f t="shared" si="16"/>
        <v>Alat Tulis Kantor (ATK)</v>
      </c>
      <c r="AA274" s="650" t="s">
        <v>3363</v>
      </c>
      <c r="AB274" s="269">
        <v>59800</v>
      </c>
      <c r="AC274" s="269">
        <v>239200</v>
      </c>
      <c r="AD274" s="267">
        <v>239200</v>
      </c>
      <c r="AE274" s="270">
        <v>215495.4954954955</v>
      </c>
      <c r="AF274" s="270">
        <v>239200</v>
      </c>
      <c r="AG274" s="805" t="s">
        <v>3883</v>
      </c>
      <c r="AH274" s="651" t="e">
        <f>Data2025!W273</f>
        <v>#N/A</v>
      </c>
    </row>
    <row r="275" spans="1:34" ht="26" thickTop="1" thickBot="1">
      <c r="A275" s="636">
        <f>Data2025!G274</f>
        <v>97</v>
      </c>
      <c r="B275" s="637" t="e">
        <f>Data2025!K274</f>
        <v>#N/A</v>
      </c>
      <c r="C275" s="638" t="str">
        <f>Data2025!D274</f>
        <v>06. 05. 08.</v>
      </c>
      <c r="D275" s="639" t="str">
        <f>Data2025!C274</f>
        <v>5.1.02.01.01.0024</v>
      </c>
      <c r="E275" s="265">
        <f>Data2025!E274</f>
        <v>45717</v>
      </c>
      <c r="F275" s="640" t="str">
        <f>Data2025!F274</f>
        <v>03/03/2025</v>
      </c>
      <c r="G275" s="265" t="str">
        <f>Data2025!H274</f>
        <v>03/03/2025</v>
      </c>
      <c r="H275" s="265" t="str">
        <f t="shared" si="14"/>
        <v>03/03/2025</v>
      </c>
      <c r="I275" s="641" t="str">
        <f>Data2025!J274</f>
        <v>23/04/2025</v>
      </c>
      <c r="J275" s="381" t="str">
        <f>Data2025!L274</f>
        <v>C. Tinta Printer EPSON Tinta Printer Epson Yellow</v>
      </c>
      <c r="K275" s="381" t="str">
        <f>Data2025!M274</f>
        <v>C. Tinta Printer EPSON Tinta Printer Epson Yellow</v>
      </c>
      <c r="L275" s="642">
        <f>Data2025!N274</f>
        <v>4</v>
      </c>
      <c r="M275" s="642" t="str">
        <f>Data2025!O274</f>
        <v>botol</v>
      </c>
      <c r="N275" s="643">
        <f>Data2025!P274</f>
        <v>110000</v>
      </c>
      <c r="O275" s="644">
        <f>Data2025!Q274</f>
        <v>440000</v>
      </c>
      <c r="P275" s="645" t="s">
        <v>710</v>
      </c>
      <c r="Q275" s="646" t="str">
        <f>VLOOKUP(K275,Sheet1!$C$1:$D$101,2,)</f>
        <v>Tinta Printer Epson 664 Kuning (Length 5.0Cm, Width 5.0Cm, Height 5.0Cm, Weight 5Gr)</v>
      </c>
      <c r="R275" s="267">
        <v>1240000</v>
      </c>
      <c r="S275" s="647">
        <v>1248000</v>
      </c>
      <c r="T275" s="648">
        <f>Data2025!T274</f>
        <v>0</v>
      </c>
      <c r="U275" s="268" t="s">
        <v>538</v>
      </c>
      <c r="V275" s="648" t="e">
        <f>Data2025!V274</f>
        <v>#N/A</v>
      </c>
      <c r="W275" s="648" t="e">
        <f>Data2025!X274</f>
        <v>#N/A</v>
      </c>
      <c r="X275" s="268" t="s">
        <v>541</v>
      </c>
      <c r="Y275" s="268" t="str">
        <f t="shared" si="15"/>
        <v>Alat Tulis Kantor (ATK)</v>
      </c>
      <c r="Z275" s="649" t="str">
        <f t="shared" si="16"/>
        <v>Alat Tulis Kantor (ATK)</v>
      </c>
      <c r="AA275" s="650" t="s">
        <v>3367</v>
      </c>
      <c r="AB275" s="269">
        <v>310000</v>
      </c>
      <c r="AC275" s="269">
        <v>1240000</v>
      </c>
      <c r="AD275" s="267">
        <v>1240000</v>
      </c>
      <c r="AE275" s="270">
        <v>1117117.1171171172</v>
      </c>
      <c r="AF275" s="270">
        <v>1240000</v>
      </c>
      <c r="AG275" s="805" t="s">
        <v>3883</v>
      </c>
      <c r="AH275" s="651" t="e">
        <f>Data2025!W274</f>
        <v>#N/A</v>
      </c>
    </row>
    <row r="276" spans="1:34" ht="26" thickTop="1" thickBot="1">
      <c r="A276" s="636">
        <f>Data2025!G275</f>
        <v>97</v>
      </c>
      <c r="B276" s="637" t="e">
        <f>Data2025!K275</f>
        <v>#N/A</v>
      </c>
      <c r="C276" s="638" t="str">
        <f>Data2025!D275</f>
        <v>06. 05. 08.</v>
      </c>
      <c r="D276" s="639" t="str">
        <f>Data2025!C275</f>
        <v>5.1.02.01.01.0024</v>
      </c>
      <c r="E276" s="265">
        <f>Data2025!E275</f>
        <v>45717</v>
      </c>
      <c r="F276" s="640" t="str">
        <f>Data2025!F275</f>
        <v>03/03/2025</v>
      </c>
      <c r="G276" s="265" t="str">
        <f>Data2025!H275</f>
        <v>03/03/2025</v>
      </c>
      <c r="H276" s="265" t="str">
        <f t="shared" si="14"/>
        <v>03/03/2025</v>
      </c>
      <c r="I276" s="641" t="str">
        <f>Data2025!J275</f>
        <v>23/04/2025</v>
      </c>
      <c r="J276" s="381" t="str">
        <f>Data2025!L275</f>
        <v>C. Tinta Printer EPSON Tinta Printer Epson Blue</v>
      </c>
      <c r="K276" s="381" t="str">
        <f>Data2025!M275</f>
        <v>C. Tinta Printer EPSON Tinta Printer Epson Blue</v>
      </c>
      <c r="L276" s="642">
        <f>Data2025!N275</f>
        <v>4</v>
      </c>
      <c r="M276" s="642" t="str">
        <f>Data2025!O275</f>
        <v>botol</v>
      </c>
      <c r="N276" s="643">
        <f>Data2025!P275</f>
        <v>110000</v>
      </c>
      <c r="O276" s="644">
        <f>Data2025!Q275</f>
        <v>440000</v>
      </c>
      <c r="P276" s="645" t="s">
        <v>710</v>
      </c>
      <c r="Q276" s="646" t="str">
        <f>VLOOKUP(K276,Sheet1!$C$1:$D$101,2,)</f>
        <v>Tinta Printer Epson 664 Biru (Length 5.0Cm, Width 5.0Cm, Height 5.0Cm, Weight 5Gr)</v>
      </c>
      <c r="R276" s="267">
        <v>80000</v>
      </c>
      <c r="S276" s="647">
        <v>82000</v>
      </c>
      <c r="T276" s="648">
        <f>Data2025!T275</f>
        <v>0</v>
      </c>
      <c r="U276" s="268" t="s">
        <v>538</v>
      </c>
      <c r="V276" s="648" t="e">
        <f>Data2025!V275</f>
        <v>#N/A</v>
      </c>
      <c r="W276" s="648" t="e">
        <f>Data2025!X275</f>
        <v>#N/A</v>
      </c>
      <c r="X276" s="268" t="s">
        <v>541</v>
      </c>
      <c r="Y276" s="268" t="str">
        <f t="shared" si="15"/>
        <v>Alat Tulis Kantor (ATK)</v>
      </c>
      <c r="Z276" s="649" t="str">
        <f t="shared" si="16"/>
        <v>Alat Tulis Kantor (ATK)</v>
      </c>
      <c r="AA276" s="650" t="s">
        <v>3363</v>
      </c>
      <c r="AB276" s="269">
        <v>80000</v>
      </c>
      <c r="AC276" s="269">
        <v>80000</v>
      </c>
      <c r="AD276" s="267">
        <v>80000</v>
      </c>
      <c r="AE276" s="270">
        <v>72072.072072072071</v>
      </c>
      <c r="AF276" s="270">
        <v>80000</v>
      </c>
      <c r="AG276" s="805" t="s">
        <v>3883</v>
      </c>
      <c r="AH276" s="651" t="e">
        <f>Data2025!W275</f>
        <v>#N/A</v>
      </c>
    </row>
    <row r="277" spans="1:34" ht="26" thickTop="1" thickBot="1">
      <c r="A277" s="636">
        <f>Data2025!G276</f>
        <v>97</v>
      </c>
      <c r="B277" s="637" t="e">
        <f>Data2025!K276</f>
        <v>#N/A</v>
      </c>
      <c r="C277" s="638" t="str">
        <f>Data2025!D276</f>
        <v>06. 05. 08.</v>
      </c>
      <c r="D277" s="639" t="str">
        <f>Data2025!C276</f>
        <v>5.1.02.01.01.0024</v>
      </c>
      <c r="E277" s="265">
        <f>Data2025!E276</f>
        <v>45717</v>
      </c>
      <c r="F277" s="640" t="str">
        <f>Data2025!F276</f>
        <v>03/03/2025</v>
      </c>
      <c r="G277" s="265" t="str">
        <f>Data2025!H276</f>
        <v>03/03/2025</v>
      </c>
      <c r="H277" s="265" t="str">
        <f t="shared" si="14"/>
        <v>03/03/2025</v>
      </c>
      <c r="I277" s="641" t="str">
        <f>Data2025!J276</f>
        <v>23/04/2025</v>
      </c>
      <c r="J277" s="381" t="str">
        <f>Data2025!L276</f>
        <v>C. Tinta Printer EPSON Tinta Printer Epson Read</v>
      </c>
      <c r="K277" s="381" t="str">
        <f>Data2025!M276</f>
        <v>C. Tinta Printer EPSON Tinta Printer Epson Read</v>
      </c>
      <c r="L277" s="642">
        <f>Data2025!N276</f>
        <v>4</v>
      </c>
      <c r="M277" s="642" t="str">
        <f>Data2025!O276</f>
        <v>botol</v>
      </c>
      <c r="N277" s="643">
        <f>Data2025!P276</f>
        <v>110000</v>
      </c>
      <c r="O277" s="644">
        <f>Data2025!Q276</f>
        <v>440000</v>
      </c>
      <c r="P277" s="645" t="s">
        <v>710</v>
      </c>
      <c r="Q277" s="646" t="str">
        <f>VLOOKUP(K277,Sheet1!$C$1:$D$101,2,)</f>
        <v>Tinta Printer Epson 664 Merah (Length 5.0Cm, Width 5.0Cm, Height 5.0Cm, Weight 5Gr)</v>
      </c>
      <c r="R277" s="267">
        <v>60000</v>
      </c>
      <c r="S277" s="647">
        <v>66000</v>
      </c>
      <c r="T277" s="648">
        <f>Data2025!T276</f>
        <v>0</v>
      </c>
      <c r="U277" s="268" t="s">
        <v>538</v>
      </c>
      <c r="V277" s="648" t="e">
        <f>Data2025!V276</f>
        <v>#N/A</v>
      </c>
      <c r="W277" s="648" t="e">
        <f>Data2025!X276</f>
        <v>#N/A</v>
      </c>
      <c r="X277" s="268" t="s">
        <v>541</v>
      </c>
      <c r="Y277" s="268" t="str">
        <f t="shared" si="15"/>
        <v>Alat Tulis Kantor (ATK)</v>
      </c>
      <c r="Z277" s="649" t="str">
        <f t="shared" si="16"/>
        <v>Alat Tulis Kantor (ATK)</v>
      </c>
      <c r="AA277" s="650" t="s">
        <v>3363</v>
      </c>
      <c r="AB277" s="269">
        <v>20000</v>
      </c>
      <c r="AC277" s="269">
        <v>60000</v>
      </c>
      <c r="AD277" s="267">
        <v>60000</v>
      </c>
      <c r="AE277" s="270">
        <v>54054.054054054053</v>
      </c>
      <c r="AF277" s="270">
        <v>60000</v>
      </c>
      <c r="AG277" s="805" t="s">
        <v>3883</v>
      </c>
      <c r="AH277" s="651" t="e">
        <f>Data2025!W276</f>
        <v>#N/A</v>
      </c>
    </row>
    <row r="278" spans="1:34" ht="16.5" thickTop="1" thickBot="1">
      <c r="A278" s="636">
        <f>Data2025!G277</f>
        <v>97</v>
      </c>
      <c r="B278" s="637" t="e">
        <f>Data2025!K277</f>
        <v>#N/A</v>
      </c>
      <c r="C278" s="638" t="str">
        <f>Data2025!D277</f>
        <v>06. 05. 08.</v>
      </c>
      <c r="D278" s="639" t="str">
        <f>Data2025!C277</f>
        <v>5.1.02.01.01.0024</v>
      </c>
      <c r="E278" s="265">
        <f>Data2025!E277</f>
        <v>45717</v>
      </c>
      <c r="F278" s="640" t="str">
        <f>Data2025!F277</f>
        <v>03/03/2025</v>
      </c>
      <c r="G278" s="265" t="str">
        <f>Data2025!H277</f>
        <v>03/03/2025</v>
      </c>
      <c r="H278" s="265" t="str">
        <f t="shared" si="14"/>
        <v>03/03/2025</v>
      </c>
      <c r="I278" s="641" t="str">
        <f>Data2025!J277</f>
        <v>23/04/2025</v>
      </c>
      <c r="J278" s="381" t="str">
        <f>Data2025!L277</f>
        <v>Catridge Printer Epson T 014--</v>
      </c>
      <c r="K278" s="381" t="str">
        <f>Data2025!M277</f>
        <v>Catridge Printer Epson T 014--</v>
      </c>
      <c r="L278" s="642">
        <f>Data2025!N277</f>
        <v>4</v>
      </c>
      <c r="M278" s="642" t="str">
        <f>Data2025!O277</f>
        <v>botol</v>
      </c>
      <c r="N278" s="643">
        <f>Data2025!P277</f>
        <v>310000</v>
      </c>
      <c r="O278" s="644">
        <f>Data2025!Q277</f>
        <v>1240000</v>
      </c>
      <c r="P278" s="645" t="s">
        <v>710</v>
      </c>
      <c r="Q278" s="646" t="str">
        <f>VLOOKUP(K278,Sheet1!$C$1:$D$101,2,)</f>
        <v>Catridge Printer (Merek: Epson Tipe: T 014)</v>
      </c>
      <c r="R278" s="267">
        <v>40000</v>
      </c>
      <c r="S278" s="647">
        <v>44000</v>
      </c>
      <c r="T278" s="648">
        <f>Data2025!T277</f>
        <v>0</v>
      </c>
      <c r="U278" s="268" t="s">
        <v>538</v>
      </c>
      <c r="V278" s="648" t="e">
        <f>Data2025!V277</f>
        <v>#N/A</v>
      </c>
      <c r="W278" s="648" t="e">
        <f>Data2025!X277</f>
        <v>#N/A</v>
      </c>
      <c r="X278" s="268" t="s">
        <v>541</v>
      </c>
      <c r="Y278" s="268" t="str">
        <f t="shared" si="15"/>
        <v>Alat Tulis Kantor (ATK)</v>
      </c>
      <c r="Z278" s="649" t="str">
        <f t="shared" si="16"/>
        <v>Alat Tulis Kantor (ATK)</v>
      </c>
      <c r="AA278" s="650" t="s">
        <v>3363</v>
      </c>
      <c r="AB278" s="269">
        <v>20000</v>
      </c>
      <c r="AC278" s="269">
        <v>40000</v>
      </c>
      <c r="AD278" s="267">
        <v>40000</v>
      </c>
      <c r="AE278" s="270">
        <v>36036.036036036036</v>
      </c>
      <c r="AF278" s="270">
        <v>40000</v>
      </c>
      <c r="AG278" s="805" t="s">
        <v>3883</v>
      </c>
      <c r="AH278" s="651" t="e">
        <f>Data2025!W277</f>
        <v>#N/A</v>
      </c>
    </row>
    <row r="279" spans="1:34" ht="16.5" thickTop="1" thickBot="1">
      <c r="A279" s="636">
        <f>Data2025!G278</f>
        <v>97</v>
      </c>
      <c r="B279" s="637" t="e">
        <f>Data2025!K278</f>
        <v>#N/A</v>
      </c>
      <c r="C279" s="638" t="str">
        <f>Data2025!D278</f>
        <v>06. 05. 08.</v>
      </c>
      <c r="D279" s="639" t="str">
        <f>Data2025!C278</f>
        <v>5.1.02.01.01.0024</v>
      </c>
      <c r="E279" s="265">
        <f>Data2025!E278</f>
        <v>45717</v>
      </c>
      <c r="F279" s="640" t="str">
        <f>Data2025!F278</f>
        <v>03/03/2025</v>
      </c>
      <c r="G279" s="265" t="str">
        <f>Data2025!H278</f>
        <v>03/03/2025</v>
      </c>
      <c r="H279" s="265" t="str">
        <f t="shared" si="14"/>
        <v>03/03/2025</v>
      </c>
      <c r="I279" s="641" t="str">
        <f>Data2025!J278</f>
        <v>23/04/2025</v>
      </c>
      <c r="J279" s="381" t="str">
        <f>Data2025!L278</f>
        <v>Lakban Besar</v>
      </c>
      <c r="K279" s="381" t="str">
        <f>Data2025!M278</f>
        <v>Lakban Besar</v>
      </c>
      <c r="L279" s="642">
        <f>Data2025!N278</f>
        <v>5</v>
      </c>
      <c r="M279" s="642" t="str">
        <f>Data2025!O278</f>
        <v>buah</v>
      </c>
      <c r="N279" s="643">
        <f>Data2025!P278</f>
        <v>25000</v>
      </c>
      <c r="O279" s="644">
        <f>Data2025!Q278</f>
        <v>125000</v>
      </c>
      <c r="P279" s="645" t="s">
        <v>710</v>
      </c>
      <c r="Q279" s="646" t="str">
        <f>VLOOKUP(K279,Sheet1!$C$1:$D$101,2,)</f>
        <v>Lakban Hitam Besar (Brand : Daimaru • Ukuran : 48 mm x 109 Yard)</v>
      </c>
      <c r="R279" s="267">
        <v>40000</v>
      </c>
      <c r="S279" s="647">
        <v>44000</v>
      </c>
      <c r="T279" s="648">
        <f>Data2025!T278</f>
        <v>0</v>
      </c>
      <c r="U279" s="268" t="s">
        <v>538</v>
      </c>
      <c r="V279" s="648" t="e">
        <f>Data2025!V278</f>
        <v>#N/A</v>
      </c>
      <c r="W279" s="648" t="e">
        <f>Data2025!X278</f>
        <v>#N/A</v>
      </c>
      <c r="X279" s="268" t="s">
        <v>541</v>
      </c>
      <c r="Y279" s="268" t="str">
        <f t="shared" si="15"/>
        <v>Alat Tulis Kantor (ATK)</v>
      </c>
      <c r="Z279" s="649" t="str">
        <f t="shared" si="16"/>
        <v>Alat Tulis Kantor (ATK)</v>
      </c>
      <c r="AA279" s="650" t="s">
        <v>3364</v>
      </c>
      <c r="AB279" s="269">
        <v>20000</v>
      </c>
      <c r="AC279" s="269">
        <v>40000</v>
      </c>
      <c r="AD279" s="267">
        <v>40000</v>
      </c>
      <c r="AE279" s="270">
        <v>36036.036036036036</v>
      </c>
      <c r="AF279" s="270">
        <v>40000</v>
      </c>
      <c r="AG279" s="805" t="s">
        <v>3883</v>
      </c>
      <c r="AH279" s="651" t="e">
        <f>Data2025!W278</f>
        <v>#N/A</v>
      </c>
    </row>
    <row r="280" spans="1:34" ht="16.5" thickTop="1" thickBot="1">
      <c r="A280" s="636">
        <f>Data2025!G279</f>
        <v>97</v>
      </c>
      <c r="B280" s="637" t="e">
        <f>Data2025!K279</f>
        <v>#N/A</v>
      </c>
      <c r="C280" s="638" t="str">
        <f>Data2025!D279</f>
        <v>06. 05. 08.</v>
      </c>
      <c r="D280" s="639" t="str">
        <f>Data2025!C279</f>
        <v>5.1.02.01.01.0024</v>
      </c>
      <c r="E280" s="265">
        <f>Data2025!E279</f>
        <v>45717</v>
      </c>
      <c r="F280" s="640" t="str">
        <f>Data2025!F279</f>
        <v>03/03/2025</v>
      </c>
      <c r="G280" s="265" t="str">
        <f>Data2025!H279</f>
        <v>03/03/2025</v>
      </c>
      <c r="H280" s="265" t="str">
        <f t="shared" si="14"/>
        <v>03/03/2025</v>
      </c>
      <c r="I280" s="641" t="str">
        <f>Data2025!J279</f>
        <v>23/04/2025</v>
      </c>
      <c r="J280" s="381" t="str">
        <f>Data2025!L279</f>
        <v>Lakban Bening Sedang</v>
      </c>
      <c r="K280" s="381" t="str">
        <f>Data2025!M279</f>
        <v>Lakban Bening Sedang</v>
      </c>
      <c r="L280" s="642">
        <f>Data2025!N279</f>
        <v>5</v>
      </c>
      <c r="M280" s="642" t="str">
        <f>Data2025!O279</f>
        <v>buah</v>
      </c>
      <c r="N280" s="643">
        <f>Data2025!P279</f>
        <v>15000</v>
      </c>
      <c r="O280" s="644">
        <f>Data2025!Q279</f>
        <v>75000</v>
      </c>
      <c r="P280" s="645" t="s">
        <v>710</v>
      </c>
      <c r="Q280" s="646" t="str">
        <f>VLOOKUP(K280,Sheet1!$C$1:$D$101,2,)</f>
        <v>Lakban 45 MM x 50 Meter daimaru / 2 Inch x 50 M</v>
      </c>
      <c r="R280" s="267">
        <v>440000</v>
      </c>
      <c r="S280" s="647">
        <v>448000</v>
      </c>
      <c r="T280" s="648">
        <f>Data2025!T279</f>
        <v>0</v>
      </c>
      <c r="U280" s="268" t="s">
        <v>538</v>
      </c>
      <c r="V280" s="648" t="e">
        <f>Data2025!V279</f>
        <v>#N/A</v>
      </c>
      <c r="W280" s="648" t="e">
        <f>Data2025!X279</f>
        <v>#N/A</v>
      </c>
      <c r="X280" s="268" t="s">
        <v>541</v>
      </c>
      <c r="Y280" s="268" t="str">
        <f t="shared" si="15"/>
        <v>Alat Tulis Kantor (ATK)</v>
      </c>
      <c r="Z280" s="649" t="str">
        <f t="shared" si="16"/>
        <v>Alat Tulis Kantor (ATK)</v>
      </c>
      <c r="AA280" s="650" t="s">
        <v>3367</v>
      </c>
      <c r="AB280" s="269">
        <v>110000</v>
      </c>
      <c r="AC280" s="269">
        <v>440000</v>
      </c>
      <c r="AD280" s="267">
        <v>440000</v>
      </c>
      <c r="AE280" s="270">
        <v>396396.39639639639</v>
      </c>
      <c r="AF280" s="270">
        <v>440000</v>
      </c>
      <c r="AG280" s="805" t="s">
        <v>3883</v>
      </c>
      <c r="AH280" s="651" t="e">
        <f>Data2025!W279</f>
        <v>#N/A</v>
      </c>
    </row>
    <row r="281" spans="1:34" ht="16.5" thickTop="1" thickBot="1">
      <c r="A281" s="636">
        <f>Data2025!G280</f>
        <v>97</v>
      </c>
      <c r="B281" s="637" t="e">
        <f>Data2025!K280</f>
        <v>#N/A</v>
      </c>
      <c r="C281" s="638" t="str">
        <f>Data2025!D280</f>
        <v>06. 05. 08.</v>
      </c>
      <c r="D281" s="639" t="str">
        <f>Data2025!C280</f>
        <v>5.1.02.01.01.0024</v>
      </c>
      <c r="E281" s="265">
        <f>Data2025!E280</f>
        <v>45717</v>
      </c>
      <c r="F281" s="640" t="str">
        <f>Data2025!F280</f>
        <v>03/03/2025</v>
      </c>
      <c r="G281" s="265" t="str">
        <f>Data2025!H280</f>
        <v>03/03/2025</v>
      </c>
      <c r="H281" s="265" t="str">
        <f t="shared" si="14"/>
        <v>03/03/2025</v>
      </c>
      <c r="I281" s="641" t="str">
        <f>Data2025!J280</f>
        <v>23/04/2025</v>
      </c>
      <c r="J281" s="381" t="str">
        <f>Data2025!L280</f>
        <v>Lakban Bening</v>
      </c>
      <c r="K281" s="381" t="str">
        <f>Data2025!M280</f>
        <v>Lakban Bening</v>
      </c>
      <c r="L281" s="642">
        <f>Data2025!N280</f>
        <v>5</v>
      </c>
      <c r="M281" s="642" t="str">
        <f>Data2025!O280</f>
        <v>buah</v>
      </c>
      <c r="N281" s="643">
        <f>Data2025!P280</f>
        <v>10000</v>
      </c>
      <c r="O281" s="644">
        <f>Data2025!Q280</f>
        <v>50000</v>
      </c>
      <c r="P281" s="645" t="s">
        <v>710</v>
      </c>
      <c r="Q281" s="646" t="str">
        <f>VLOOKUP(K281,Sheet1!$C$1:$D$101,2,)</f>
        <v>Isolasi Bening Sedang Mpi Solatip 24 X 72 Yard 1 Inc</v>
      </c>
      <c r="R281" s="267">
        <v>87500</v>
      </c>
      <c r="S281" s="647">
        <v>89500</v>
      </c>
      <c r="T281" s="648">
        <f>Data2025!T280</f>
        <v>0</v>
      </c>
      <c r="U281" s="268" t="s">
        <v>538</v>
      </c>
      <c r="V281" s="648" t="e">
        <f>Data2025!V280</f>
        <v>#N/A</v>
      </c>
      <c r="W281" s="648" t="e">
        <f>Data2025!X280</f>
        <v>#N/A</v>
      </c>
      <c r="X281" s="268" t="s">
        <v>541</v>
      </c>
      <c r="Y281" s="268" t="str">
        <f t="shared" si="15"/>
        <v>Alat Tulis Kantor (ATK)</v>
      </c>
      <c r="Z281" s="649" t="str">
        <f t="shared" si="16"/>
        <v>Alat Tulis Kantor (ATK)</v>
      </c>
      <c r="AA281" s="650" t="s">
        <v>3370</v>
      </c>
      <c r="AB281" s="269">
        <v>87500</v>
      </c>
      <c r="AC281" s="269">
        <v>87500</v>
      </c>
      <c r="AD281" s="267">
        <v>87500</v>
      </c>
      <c r="AE281" s="270">
        <v>78828.828828828831</v>
      </c>
      <c r="AF281" s="270">
        <v>87500</v>
      </c>
      <c r="AG281" s="805" t="s">
        <v>3883</v>
      </c>
      <c r="AH281" s="651" t="e">
        <f>Data2025!W280</f>
        <v>#N/A</v>
      </c>
    </row>
    <row r="282" spans="1:34" ht="16.5" thickTop="1" thickBot="1">
      <c r="A282" s="636">
        <f>Data2025!G281</f>
        <v>97</v>
      </c>
      <c r="B282" s="637" t="e">
        <f>Data2025!K281</f>
        <v>#N/A</v>
      </c>
      <c r="C282" s="638" t="str">
        <f>Data2025!D281</f>
        <v>06. 05. 08.</v>
      </c>
      <c r="D282" s="639" t="str">
        <f>Data2025!C281</f>
        <v>5.1.02.01.01.0024</v>
      </c>
      <c r="E282" s="265">
        <f>Data2025!E281</f>
        <v>45717</v>
      </c>
      <c r="F282" s="640" t="str">
        <f>Data2025!F281</f>
        <v>03/03/2025</v>
      </c>
      <c r="G282" s="265" t="str">
        <f>Data2025!H281</f>
        <v>03/03/2025</v>
      </c>
      <c r="H282" s="265" t="str">
        <f t="shared" si="14"/>
        <v>03/03/2025</v>
      </c>
      <c r="I282" s="641" t="str">
        <f>Data2025!J281</f>
        <v>23/04/2025</v>
      </c>
      <c r="J282" s="381" t="str">
        <f>Data2025!L281</f>
        <v>Lakban Hitam--</v>
      </c>
      <c r="K282" s="381" t="str">
        <f>Data2025!M281</f>
        <v>Lakban Hitam--</v>
      </c>
      <c r="L282" s="642">
        <f>Data2025!N281</f>
        <v>5</v>
      </c>
      <c r="M282" s="642" t="str">
        <f>Data2025!O281</f>
        <v>buah</v>
      </c>
      <c r="N282" s="643">
        <f>Data2025!P281</f>
        <v>15000</v>
      </c>
      <c r="O282" s="644">
        <f>Data2025!Q281</f>
        <v>75000</v>
      </c>
      <c r="P282" s="645" t="s">
        <v>710</v>
      </c>
      <c r="Q282" s="646" t="str">
        <f>VLOOKUP(K282,Sheet1!$C$1:$D$101,2,)</f>
        <v>Lakban Hitam (Length 5.0Cm, Width 5.0Cm, Height 5.0Cm, Weight 5Gr)</v>
      </c>
      <c r="R282" s="267">
        <v>50000</v>
      </c>
      <c r="S282" s="647">
        <v>58000</v>
      </c>
      <c r="T282" s="648">
        <f>Data2025!T281</f>
        <v>0</v>
      </c>
      <c r="U282" s="268" t="s">
        <v>538</v>
      </c>
      <c r="V282" s="648" t="e">
        <f>Data2025!V281</f>
        <v>#N/A</v>
      </c>
      <c r="W282" s="648" t="e">
        <f>Data2025!X281</f>
        <v>#N/A</v>
      </c>
      <c r="X282" s="268" t="s">
        <v>541</v>
      </c>
      <c r="Y282" s="268" t="str">
        <f t="shared" si="15"/>
        <v>Alat Tulis Kantor (ATK)</v>
      </c>
      <c r="Z282" s="649" t="str">
        <f t="shared" si="16"/>
        <v>Alat Tulis Kantor (ATK)</v>
      </c>
      <c r="AA282" s="650" t="s">
        <v>3363</v>
      </c>
      <c r="AB282" s="269">
        <v>12500</v>
      </c>
      <c r="AC282" s="269">
        <v>50000</v>
      </c>
      <c r="AD282" s="267">
        <v>50000</v>
      </c>
      <c r="AE282" s="270">
        <v>45045.045045045044</v>
      </c>
      <c r="AF282" s="270">
        <v>50000</v>
      </c>
      <c r="AG282" s="805" t="s">
        <v>3883</v>
      </c>
      <c r="AH282" s="651" t="e">
        <f>Data2025!W281</f>
        <v>#N/A</v>
      </c>
    </row>
    <row r="283" spans="1:34" ht="26" thickTop="1" thickBot="1">
      <c r="A283" s="636">
        <f>Data2025!G282</f>
        <v>97</v>
      </c>
      <c r="B283" s="637" t="e">
        <f>Data2025!K282</f>
        <v>#N/A</v>
      </c>
      <c r="C283" s="638" t="str">
        <f>Data2025!D282</f>
        <v>06. 05. 08.</v>
      </c>
      <c r="D283" s="639" t="str">
        <f>Data2025!C282</f>
        <v>5.1.02.01.01.0024</v>
      </c>
      <c r="E283" s="265">
        <f>Data2025!E282</f>
        <v>45717</v>
      </c>
      <c r="F283" s="640" t="str">
        <f>Data2025!F282</f>
        <v>03/03/2025</v>
      </c>
      <c r="G283" s="265" t="str">
        <f>Data2025!H282</f>
        <v>03/03/2025</v>
      </c>
      <c r="H283" s="265" t="str">
        <f t="shared" si="14"/>
        <v>03/03/2025</v>
      </c>
      <c r="I283" s="641" t="str">
        <f>Data2025!J282</f>
        <v>23/04/2025</v>
      </c>
      <c r="J283" s="381" t="str">
        <f>Data2025!L282</f>
        <v>lakban hitam-ukuran : lebar 2 inch, panjang 12m, bahan : kain</v>
      </c>
      <c r="K283" s="381" t="str">
        <f>Data2025!M282</f>
        <v>lakban hitam-ukuran : lebar 2 inch, panjang 12m, bahan : kain</v>
      </c>
      <c r="L283" s="642">
        <f>Data2025!N282</f>
        <v>4</v>
      </c>
      <c r="M283" s="642" t="str">
        <f>Data2025!O282</f>
        <v>buah</v>
      </c>
      <c r="N283" s="643">
        <f>Data2025!P282</f>
        <v>12500</v>
      </c>
      <c r="O283" s="644">
        <f>Data2025!Q282</f>
        <v>50000</v>
      </c>
      <c r="P283" s="645" t="s">
        <v>710</v>
      </c>
      <c r="Q283" s="646" t="str">
        <f>VLOOKUP(K283,Sheet1!$C$1:$D$101,2,)</f>
        <v>Lakban Hitam Kecil (ukuran : lebar 2 inch, panjang 12m, bahan : kain)</v>
      </c>
      <c r="R283" s="267">
        <v>125000</v>
      </c>
      <c r="S283" s="647">
        <v>135000</v>
      </c>
      <c r="T283" s="648">
        <f>Data2025!T282</f>
        <v>0</v>
      </c>
      <c r="U283" s="268" t="s">
        <v>538</v>
      </c>
      <c r="V283" s="648" t="e">
        <f>Data2025!V282</f>
        <v>#N/A</v>
      </c>
      <c r="W283" s="648" t="e">
        <f>Data2025!X282</f>
        <v>#N/A</v>
      </c>
      <c r="X283" s="268" t="s">
        <v>541</v>
      </c>
      <c r="Y283" s="268" t="str">
        <f t="shared" si="15"/>
        <v>Alat Tulis Kantor (ATK)</v>
      </c>
      <c r="Z283" s="649" t="str">
        <f t="shared" si="16"/>
        <v>Alat Tulis Kantor (ATK)</v>
      </c>
      <c r="AA283" s="650" t="s">
        <v>3363</v>
      </c>
      <c r="AB283" s="269">
        <v>25000</v>
      </c>
      <c r="AC283" s="269">
        <v>125000</v>
      </c>
      <c r="AD283" s="267">
        <v>125000</v>
      </c>
      <c r="AE283" s="270">
        <v>112612.61261261262</v>
      </c>
      <c r="AF283" s="270">
        <v>125000</v>
      </c>
      <c r="AG283" s="805" t="s">
        <v>3883</v>
      </c>
      <c r="AH283" s="651" t="e">
        <f>Data2025!W282</f>
        <v>#N/A</v>
      </c>
    </row>
    <row r="284" spans="1:34" ht="26" thickTop="1" thickBot="1">
      <c r="A284" s="636">
        <f>Data2025!G283</f>
        <v>97</v>
      </c>
      <c r="B284" s="637" t="e">
        <f>Data2025!K283</f>
        <v>#N/A</v>
      </c>
      <c r="C284" s="638" t="str">
        <f>Data2025!D283</f>
        <v>06. 05. 08.</v>
      </c>
      <c r="D284" s="639" t="str">
        <f>Data2025!C283</f>
        <v>5.1.02.01.01.0024</v>
      </c>
      <c r="E284" s="265">
        <f>Data2025!E283</f>
        <v>45717</v>
      </c>
      <c r="F284" s="640" t="str">
        <f>Data2025!F283</f>
        <v>03/03/2025</v>
      </c>
      <c r="G284" s="265" t="str">
        <f>Data2025!H283</f>
        <v>03/03/2025</v>
      </c>
      <c r="H284" s="265" t="str">
        <f t="shared" si="14"/>
        <v>03/03/2025</v>
      </c>
      <c r="I284" s="641" t="str">
        <f>Data2025!J283</f>
        <v>23/04/2025</v>
      </c>
      <c r="J284" s="381" t="str">
        <f>Data2025!L283</f>
        <v>Lakban Hitam uk 2 " Warna hitam uk. 2 "</v>
      </c>
      <c r="K284" s="381" t="str">
        <f>Data2025!M283</f>
        <v>Lakban Hitam uk 2 " Warna hitam uk. 2 "</v>
      </c>
      <c r="L284" s="642">
        <f>Data2025!N283</f>
        <v>5</v>
      </c>
      <c r="M284" s="642" t="str">
        <f>Data2025!O283</f>
        <v>buah</v>
      </c>
      <c r="N284" s="643">
        <f>Data2025!P283</f>
        <v>25000</v>
      </c>
      <c r="O284" s="644">
        <f>Data2025!Q283</f>
        <v>125000</v>
      </c>
      <c r="P284" s="645" t="s">
        <v>710</v>
      </c>
      <c r="Q284" s="646" t="str">
        <f>VLOOKUP(K284,Sheet1!$C$1:$D$101,2,)</f>
        <v>Lakban Warna Uk 2" Warna Hitam (Ukuran 90Yard Lebar : 48Mm)</v>
      </c>
      <c r="R284" s="267">
        <v>240000</v>
      </c>
      <c r="S284" s="647">
        <v>256000</v>
      </c>
      <c r="T284" s="648">
        <f>Data2025!T283</f>
        <v>0</v>
      </c>
      <c r="U284" s="268" t="s">
        <v>538</v>
      </c>
      <c r="V284" s="648" t="e">
        <f>Data2025!V283</f>
        <v>#N/A</v>
      </c>
      <c r="W284" s="648" t="e">
        <f>Data2025!X283</f>
        <v>#N/A</v>
      </c>
      <c r="X284" s="268" t="s">
        <v>541</v>
      </c>
      <c r="Y284" s="268" t="str">
        <f t="shared" si="15"/>
        <v>Alat Tulis Kantor (ATK)</v>
      </c>
      <c r="Z284" s="649" t="str">
        <f t="shared" si="16"/>
        <v>Alat Tulis Kantor (ATK)</v>
      </c>
      <c r="AA284" s="650" t="s">
        <v>3367</v>
      </c>
      <c r="AB284" s="269">
        <v>30000</v>
      </c>
      <c r="AC284" s="269">
        <v>240000</v>
      </c>
      <c r="AD284" s="267">
        <v>240000</v>
      </c>
      <c r="AE284" s="270">
        <v>216216.21621621621</v>
      </c>
      <c r="AF284" s="270">
        <v>240000</v>
      </c>
      <c r="AG284" s="805" t="s">
        <v>3883</v>
      </c>
      <c r="AH284" s="651" t="e">
        <f>Data2025!W283</f>
        <v>#N/A</v>
      </c>
    </row>
    <row r="285" spans="1:34" ht="26" thickTop="1" thickBot="1">
      <c r="A285" s="636">
        <f>Data2025!G284</f>
        <v>97</v>
      </c>
      <c r="B285" s="637" t="e">
        <f>Data2025!K284</f>
        <v>#N/A</v>
      </c>
      <c r="C285" s="638" t="str">
        <f>Data2025!D284</f>
        <v>06. 05. 08.</v>
      </c>
      <c r="D285" s="639" t="str">
        <f>Data2025!C284</f>
        <v>5.1.02.01.01.0024</v>
      </c>
      <c r="E285" s="265">
        <f>Data2025!E284</f>
        <v>45717</v>
      </c>
      <c r="F285" s="640" t="str">
        <f>Data2025!F284</f>
        <v>03/03/2025</v>
      </c>
      <c r="G285" s="265" t="str">
        <f>Data2025!H284</f>
        <v>03/03/2025</v>
      </c>
      <c r="H285" s="265" t="str">
        <f t="shared" si="14"/>
        <v>03/03/2025</v>
      </c>
      <c r="I285" s="641" t="str">
        <f>Data2025!J284</f>
        <v>23/04/2025</v>
      </c>
      <c r="J285" s="381" t="str">
        <f>Data2025!L284</f>
        <v>Lakban warna Uk 2" Warna Coklat Cofiie</v>
      </c>
      <c r="K285" s="381" t="str">
        <f>Data2025!M284</f>
        <v>Lakban warna Uk 2" Warna Coklat Cofiie</v>
      </c>
      <c r="L285" s="642">
        <f>Data2025!N284</f>
        <v>3</v>
      </c>
      <c r="M285" s="642" t="str">
        <f>Data2025!O284</f>
        <v>buah</v>
      </c>
      <c r="N285" s="643">
        <f>Data2025!P284</f>
        <v>20000</v>
      </c>
      <c r="O285" s="644">
        <f>Data2025!Q284</f>
        <v>60000</v>
      </c>
      <c r="P285" s="645" t="s">
        <v>710</v>
      </c>
      <c r="Q285" s="646" t="str">
        <f>VLOOKUP(K285,Sheet1!$C$1:$D$101,2,)</f>
        <v>Lakban Warna Uk 2" Warna Coklat Cofiie (Ukuran 90Yard Lebar : 48Mm)</v>
      </c>
      <c r="R285" s="267">
        <v>485000</v>
      </c>
      <c r="S285" s="647">
        <v>505000</v>
      </c>
      <c r="T285" s="648">
        <f>Data2025!T284</f>
        <v>0</v>
      </c>
      <c r="U285" s="268" t="s">
        <v>538</v>
      </c>
      <c r="V285" s="648" t="e">
        <f>Data2025!V284</f>
        <v>#N/A</v>
      </c>
      <c r="W285" s="648" t="e">
        <f>Data2025!X284</f>
        <v>#N/A</v>
      </c>
      <c r="X285" s="268" t="s">
        <v>541</v>
      </c>
      <c r="Y285" s="268" t="str">
        <f t="shared" si="15"/>
        <v>Alat Tulis Kantor (ATK)</v>
      </c>
      <c r="Z285" s="649" t="str">
        <f t="shared" si="16"/>
        <v>Alat Tulis Kantor (ATK)</v>
      </c>
      <c r="AA285" s="650" t="s">
        <v>3369</v>
      </c>
      <c r="AB285" s="269">
        <v>48500</v>
      </c>
      <c r="AC285" s="269">
        <v>485000</v>
      </c>
      <c r="AD285" s="267">
        <v>485000</v>
      </c>
      <c r="AE285" s="270">
        <v>436936.93693693692</v>
      </c>
      <c r="AF285" s="270">
        <v>485000</v>
      </c>
      <c r="AG285" s="805" t="s">
        <v>3883</v>
      </c>
      <c r="AH285" s="651" t="e">
        <f>Data2025!W284</f>
        <v>#N/A</v>
      </c>
    </row>
    <row r="286" spans="1:34" ht="26" thickTop="1" thickBot="1">
      <c r="A286" s="636">
        <f>Data2025!G285</f>
        <v>97</v>
      </c>
      <c r="B286" s="637" t="e">
        <f>Data2025!K285</f>
        <v>#N/A</v>
      </c>
      <c r="C286" s="638" t="str">
        <f>Data2025!D285</f>
        <v>06. 05. 08.</v>
      </c>
      <c r="D286" s="639" t="str">
        <f>Data2025!C285</f>
        <v>5.1.02.01.01.0024</v>
      </c>
      <c r="E286" s="265">
        <f>Data2025!E285</f>
        <v>45717</v>
      </c>
      <c r="F286" s="640" t="str">
        <f>Data2025!F285</f>
        <v>03/03/2025</v>
      </c>
      <c r="G286" s="265" t="str">
        <f>Data2025!H285</f>
        <v>03/03/2025</v>
      </c>
      <c r="H286" s="265" t="str">
        <f t="shared" si="14"/>
        <v>03/03/2025</v>
      </c>
      <c r="I286" s="641" t="str">
        <f>Data2025!J285</f>
        <v>23/04/2025</v>
      </c>
      <c r="J286" s="381" t="str">
        <f>Data2025!L285</f>
        <v>Spidol Refil Spidol White Board Snowman</v>
      </c>
      <c r="K286" s="381" t="str">
        <f>Data2025!M285</f>
        <v>Spidol Refil Spidol White Board Snowman</v>
      </c>
      <c r="L286" s="642">
        <f>Data2025!N285</f>
        <v>10</v>
      </c>
      <c r="M286" s="642" t="str">
        <f>Data2025!O285</f>
        <v>buah</v>
      </c>
      <c r="N286" s="643">
        <f>Data2025!P285</f>
        <v>20900</v>
      </c>
      <c r="O286" s="644">
        <f>Data2025!Q285</f>
        <v>209000</v>
      </c>
      <c r="P286" s="645" t="s">
        <v>710</v>
      </c>
      <c r="Q286" s="646" t="str">
        <f>VLOOKUP(K286,Sheet1!$C$1:$D$101,2,)</f>
        <v>Spidol Refil Spidol White Board Snowman (Panjang. : 10 Cm ; Lebar. : 5 Cm ; Tinggi. : 7 Cm ; Berat. : 500 Gr)</v>
      </c>
      <c r="R286" s="267">
        <v>297000</v>
      </c>
      <c r="S286" s="647">
        <v>309000</v>
      </c>
      <c r="T286" s="648">
        <f>Data2025!T285</f>
        <v>0</v>
      </c>
      <c r="U286" s="268" t="s">
        <v>538</v>
      </c>
      <c r="V286" s="648" t="e">
        <f>Data2025!V285</f>
        <v>#N/A</v>
      </c>
      <c r="W286" s="648" t="e">
        <f>Data2025!X285</f>
        <v>#N/A</v>
      </c>
      <c r="X286" s="268" t="s">
        <v>541</v>
      </c>
      <c r="Y286" s="268" t="str">
        <f t="shared" si="15"/>
        <v>Alat Tulis Kantor (ATK)</v>
      </c>
      <c r="Z286" s="649" t="str">
        <f t="shared" si="16"/>
        <v>Alat Tulis Kantor (ATK)</v>
      </c>
      <c r="AA286" s="650" t="s">
        <v>3363</v>
      </c>
      <c r="AB286" s="269">
        <v>49500</v>
      </c>
      <c r="AC286" s="269">
        <v>297000</v>
      </c>
      <c r="AD286" s="267">
        <v>297000</v>
      </c>
      <c r="AE286" s="270">
        <v>267567.56756756757</v>
      </c>
      <c r="AF286" s="270">
        <v>297000</v>
      </c>
      <c r="AG286" s="805" t="s">
        <v>3883</v>
      </c>
      <c r="AH286" s="651" t="e">
        <f>Data2025!W285</f>
        <v>#N/A</v>
      </c>
    </row>
    <row r="287" spans="1:34" ht="16.5" thickTop="1" thickBot="1">
      <c r="A287" s="636">
        <f>Data2025!G286</f>
        <v>97</v>
      </c>
      <c r="B287" s="637" t="e">
        <f>Data2025!K286</f>
        <v>#N/A</v>
      </c>
      <c r="C287" s="638" t="str">
        <f>Data2025!D286</f>
        <v>06. 05. 08.</v>
      </c>
      <c r="D287" s="639" t="str">
        <f>Data2025!C286</f>
        <v>5.1.02.01.01.0024</v>
      </c>
      <c r="E287" s="265">
        <f>Data2025!E286</f>
        <v>45717</v>
      </c>
      <c r="F287" s="640" t="str">
        <f>Data2025!F286</f>
        <v>03/03/2025</v>
      </c>
      <c r="G287" s="265" t="str">
        <f>Data2025!H286</f>
        <v>03/03/2025</v>
      </c>
      <c r="H287" s="265" t="str">
        <f t="shared" si="14"/>
        <v>03/03/2025</v>
      </c>
      <c r="I287" s="641" t="str">
        <f>Data2025!J286</f>
        <v>23/04/2025</v>
      </c>
      <c r="J287" s="381" t="str">
        <f>Data2025!L286</f>
        <v>Spidol White board</v>
      </c>
      <c r="K287" s="381" t="str">
        <f>Data2025!M286</f>
        <v>Spidol White board</v>
      </c>
      <c r="L287" s="642">
        <f>Data2025!N286</f>
        <v>2</v>
      </c>
      <c r="M287" s="642" t="str">
        <f>Data2025!O286</f>
        <v>lusin</v>
      </c>
      <c r="N287" s="643">
        <f>Data2025!P286</f>
        <v>120000</v>
      </c>
      <c r="O287" s="644">
        <f>Data2025!Q286</f>
        <v>240000</v>
      </c>
      <c r="P287" s="645" t="s">
        <v>710</v>
      </c>
      <c r="Q287" s="646" t="str">
        <f>VLOOKUP(K287,Sheet1!$C$1:$D$101,2,)</f>
        <v>Spidol White Board (Berat Produk 0.5 Kg, Panjang Produk 10 Cm, Lebar Produk 3 Cm, Tinggi Produk 10 Cm)</v>
      </c>
      <c r="R287" s="267">
        <v>160000</v>
      </c>
      <c r="S287" s="647">
        <v>164000</v>
      </c>
      <c r="T287" s="648">
        <f>Data2025!T286</f>
        <v>0</v>
      </c>
      <c r="U287" s="268" t="s">
        <v>538</v>
      </c>
      <c r="V287" s="648" t="e">
        <f>Data2025!V286</f>
        <v>#N/A</v>
      </c>
      <c r="W287" s="648" t="e">
        <f>Data2025!X286</f>
        <v>#N/A</v>
      </c>
      <c r="X287" s="268" t="s">
        <v>541</v>
      </c>
      <c r="Y287" s="268" t="str">
        <f t="shared" si="15"/>
        <v>Alat Tulis Kantor (ATK)</v>
      </c>
      <c r="Z287" s="649" t="str">
        <f t="shared" si="16"/>
        <v>Alat Tulis Kantor (ATK)</v>
      </c>
      <c r="AA287" s="650" t="s">
        <v>3362</v>
      </c>
      <c r="AB287" s="269">
        <v>80000</v>
      </c>
      <c r="AC287" s="269">
        <v>160000</v>
      </c>
      <c r="AD287" s="267">
        <v>160000</v>
      </c>
      <c r="AE287" s="270">
        <v>144144.14414414414</v>
      </c>
      <c r="AF287" s="270">
        <v>160000</v>
      </c>
      <c r="AG287" s="805" t="s">
        <v>3883</v>
      </c>
      <c r="AH287" s="651" t="e">
        <f>Data2025!W286</f>
        <v>#N/A</v>
      </c>
    </row>
    <row r="288" spans="1:34" ht="16.5" thickTop="1" thickBot="1">
      <c r="A288" s="636">
        <f>Data2025!G287</f>
        <v>97</v>
      </c>
      <c r="B288" s="637" t="e">
        <f>Data2025!K287</f>
        <v>#N/A</v>
      </c>
      <c r="C288" s="638" t="str">
        <f>Data2025!D287</f>
        <v>06. 05. 08.</v>
      </c>
      <c r="D288" s="639" t="str">
        <f>Data2025!C287</f>
        <v>5.1.02.01.01.0024</v>
      </c>
      <c r="E288" s="265">
        <f>Data2025!E287</f>
        <v>45717</v>
      </c>
      <c r="F288" s="640" t="str">
        <f>Data2025!F287</f>
        <v>03/03/2025</v>
      </c>
      <c r="G288" s="265" t="str">
        <f>Data2025!H287</f>
        <v>03/03/2025</v>
      </c>
      <c r="H288" s="265" t="str">
        <f t="shared" si="14"/>
        <v>03/03/2025</v>
      </c>
      <c r="I288" s="641" t="str">
        <f>Data2025!J287</f>
        <v>23/04/2025</v>
      </c>
      <c r="J288" s="381" t="str">
        <f>Data2025!L287</f>
        <v>Stapler HD-10--</v>
      </c>
      <c r="K288" s="381" t="str">
        <f>Data2025!M287</f>
        <v>Stapler HD-10--</v>
      </c>
      <c r="L288" s="642">
        <f>Data2025!N287</f>
        <v>2</v>
      </c>
      <c r="M288" s="642" t="str">
        <f>Data2025!O287</f>
        <v>buah</v>
      </c>
      <c r="N288" s="643">
        <f>Data2025!P287</f>
        <v>20000</v>
      </c>
      <c r="O288" s="644">
        <f>Data2025!Q287</f>
        <v>40000</v>
      </c>
      <c r="P288" s="645" t="s">
        <v>710</v>
      </c>
      <c r="Q288" s="646" t="str">
        <f>VLOOKUP(K288,Sheet1!$C$1:$D$101,2,)</f>
        <v>Stapler HD-10 (Merk : MAX Ukuran : 3.5 x 10 cm)</v>
      </c>
      <c r="R288" s="267">
        <v>5000000</v>
      </c>
      <c r="S288" s="647">
        <v>5002000</v>
      </c>
      <c r="T288" s="648">
        <f>Data2025!T287</f>
        <v>0</v>
      </c>
      <c r="U288" s="268" t="s">
        <v>538</v>
      </c>
      <c r="V288" s="648" t="e">
        <f>Data2025!V287</f>
        <v>#N/A</v>
      </c>
      <c r="W288" s="648" t="e">
        <f>Data2025!X287</f>
        <v>#N/A</v>
      </c>
      <c r="X288" s="268" t="s">
        <v>540</v>
      </c>
      <c r="Y288" s="268" t="str">
        <f t="shared" si="15"/>
        <v>Alat Tulis Kantor (ATK)</v>
      </c>
      <c r="Z288" s="649" t="str">
        <f t="shared" si="16"/>
        <v>Alat Tulis Kantor (ATK)</v>
      </c>
      <c r="AA288" s="650" t="s">
        <v>3371</v>
      </c>
      <c r="AB288" s="269">
        <v>5000000</v>
      </c>
      <c r="AC288" s="269">
        <v>5000000</v>
      </c>
      <c r="AD288" s="267">
        <v>5000000</v>
      </c>
      <c r="AE288" s="270">
        <v>4504504.5045045046</v>
      </c>
      <c r="AF288" s="270">
        <v>5000000</v>
      </c>
      <c r="AG288" s="805" t="s">
        <v>3883</v>
      </c>
      <c r="AH288" s="651" t="e">
        <f>Data2025!W287</f>
        <v>#N/A</v>
      </c>
    </row>
    <row r="289" spans="1:36" ht="16.5" thickTop="1" thickBot="1">
      <c r="A289" s="636">
        <f>Data2025!G288</f>
        <v>97</v>
      </c>
      <c r="B289" s="637" t="e">
        <f>Data2025!K288</f>
        <v>#N/A</v>
      </c>
      <c r="C289" s="638" t="str">
        <f>Data2025!D288</f>
        <v>06. 05. 08.</v>
      </c>
      <c r="D289" s="639" t="str">
        <f>Data2025!C288</f>
        <v>5.1.02.01.01.0024</v>
      </c>
      <c r="E289" s="265">
        <f>Data2025!E288</f>
        <v>45717</v>
      </c>
      <c r="F289" s="640" t="str">
        <f>Data2025!F288</f>
        <v>03/03/2025</v>
      </c>
      <c r="G289" s="265" t="str">
        <f>Data2025!H288</f>
        <v>03/03/2025</v>
      </c>
      <c r="H289" s="265" t="str">
        <f t="shared" si="14"/>
        <v>03/03/2025</v>
      </c>
      <c r="I289" s="641" t="str">
        <f>Data2025!J288</f>
        <v>23/04/2025</v>
      </c>
      <c r="J289" s="381" t="str">
        <f>Data2025!L288</f>
        <v>Stapler Stapler No, 50 MAX</v>
      </c>
      <c r="K289" s="381" t="str">
        <f>Data2025!M288</f>
        <v>Stapler Stapler No, 50 MAX</v>
      </c>
      <c r="L289" s="642">
        <f>Data2025!N288</f>
        <v>2</v>
      </c>
      <c r="M289" s="642" t="str">
        <f>Data2025!O288</f>
        <v>buah</v>
      </c>
      <c r="N289" s="643">
        <f>Data2025!P288</f>
        <v>25000</v>
      </c>
      <c r="O289" s="644">
        <f>Data2025!Q288</f>
        <v>50000</v>
      </c>
      <c r="P289" s="645" t="s">
        <v>710</v>
      </c>
      <c r="Q289" s="646" t="str">
        <f>VLOOKUP(K289,Sheet1!$C$1:$D$101,2,)</f>
        <v>Stapler 50 (Length 5.0Cm, Width 5.0Cm, Height 5.0Cm, Weight 5Gr)</v>
      </c>
      <c r="R289" s="267">
        <v>11000000</v>
      </c>
      <c r="S289" s="647">
        <v>11004000</v>
      </c>
      <c r="T289" s="648">
        <f>Data2025!T288</f>
        <v>0</v>
      </c>
      <c r="U289" s="268" t="s">
        <v>538</v>
      </c>
      <c r="V289" s="648" t="e">
        <f>Data2025!V288</f>
        <v>#N/A</v>
      </c>
      <c r="W289" s="648" t="e">
        <f>Data2025!X288</f>
        <v>#N/A</v>
      </c>
      <c r="X289" s="268" t="s">
        <v>540</v>
      </c>
      <c r="Y289" s="268" t="str">
        <f t="shared" si="15"/>
        <v>Alat Tulis Kantor (ATK)</v>
      </c>
      <c r="Z289" s="649" t="str">
        <f t="shared" si="16"/>
        <v>Alat Tulis Kantor (ATK)</v>
      </c>
      <c r="AA289" s="650" t="s">
        <v>3371</v>
      </c>
      <c r="AB289" s="269">
        <v>5500000</v>
      </c>
      <c r="AC289" s="269">
        <v>11000000</v>
      </c>
      <c r="AD289" s="267">
        <v>11000000</v>
      </c>
      <c r="AE289" s="270">
        <v>9909909.9099099096</v>
      </c>
      <c r="AF289" s="270">
        <v>11000000</v>
      </c>
      <c r="AG289" s="805" t="s">
        <v>3883</v>
      </c>
      <c r="AH289" s="651" t="e">
        <f>Data2025!W288</f>
        <v>#N/A</v>
      </c>
    </row>
    <row r="290" spans="1:36" ht="16.5" thickTop="1" thickBot="1">
      <c r="A290" s="636">
        <f>Data2025!G289</f>
        <v>97</v>
      </c>
      <c r="B290" s="637" t="e">
        <f>Data2025!K289</f>
        <v>#N/A</v>
      </c>
      <c r="C290" s="638" t="str">
        <f>Data2025!D289</f>
        <v>06. 05. 08.</v>
      </c>
      <c r="D290" s="639" t="str">
        <f>Data2025!C289</f>
        <v>5.1.02.01.01.0024</v>
      </c>
      <c r="E290" s="265">
        <f>Data2025!E289</f>
        <v>45717</v>
      </c>
      <c r="F290" s="640" t="str">
        <f>Data2025!F289</f>
        <v>03/03/2025</v>
      </c>
      <c r="G290" s="265" t="str">
        <f>Data2025!H289</f>
        <v>03/03/2025</v>
      </c>
      <c r="H290" s="265" t="str">
        <f t="shared" si="14"/>
        <v>03/03/2025</v>
      </c>
      <c r="I290" s="641" t="str">
        <f>Data2025!J289</f>
        <v>23/04/2025</v>
      </c>
      <c r="J290" s="381" t="str">
        <f>Data2025!L289</f>
        <v>PAPER CLIP  Paper Clip No 1</v>
      </c>
      <c r="K290" s="381" t="str">
        <f>Data2025!M289</f>
        <v>PAPER CLIP  Paper Clip No 1</v>
      </c>
      <c r="L290" s="642">
        <f>Data2025!N289</f>
        <v>5</v>
      </c>
      <c r="M290" s="642" t="str">
        <f>Data2025!O289</f>
        <v>kotak</v>
      </c>
      <c r="N290" s="643">
        <f>Data2025!P289</f>
        <v>6000</v>
      </c>
      <c r="O290" s="644">
        <f>Data2025!Q289</f>
        <v>30000</v>
      </c>
      <c r="P290" s="645" t="s">
        <v>710</v>
      </c>
      <c r="Q290" s="646" t="str">
        <f>VLOOKUP(K290,Sheet1!$C$1:$D$101,2,)</f>
        <v>Paper Clip No 1 (Length 5.0Cm, Width 5.0Cm, Height 5.0Cm, Weight 5Gr)</v>
      </c>
      <c r="R290" s="267">
        <v>2160000</v>
      </c>
      <c r="S290" s="647">
        <v>2232000</v>
      </c>
      <c r="T290" s="648">
        <f>Data2025!T289</f>
        <v>0</v>
      </c>
      <c r="U290" s="268" t="s">
        <v>538</v>
      </c>
      <c r="V290" s="648" t="e">
        <f>Data2025!V289</f>
        <v>#N/A</v>
      </c>
      <c r="W290" s="648" t="e">
        <f>Data2025!X289</f>
        <v>#N/A</v>
      </c>
      <c r="X290" s="268" t="s">
        <v>540</v>
      </c>
      <c r="Y290" s="268" t="str">
        <f t="shared" si="15"/>
        <v>Alat Tulis Kantor (ATK)</v>
      </c>
      <c r="Z290" s="649" t="str">
        <f t="shared" si="16"/>
        <v>Alat Tulis Kantor (ATK)</v>
      </c>
      <c r="AA290" s="650" t="s">
        <v>3371</v>
      </c>
      <c r="AB290" s="269">
        <v>60000</v>
      </c>
      <c r="AC290" s="269">
        <v>2160000</v>
      </c>
      <c r="AD290" s="267">
        <v>2160000</v>
      </c>
      <c r="AE290" s="270">
        <v>1945945.945945946</v>
      </c>
      <c r="AF290" s="270">
        <v>2160000</v>
      </c>
      <c r="AG290" s="805" t="s">
        <v>3883</v>
      </c>
      <c r="AH290" s="651" t="e">
        <f>Data2025!W289</f>
        <v>#N/A</v>
      </c>
    </row>
    <row r="291" spans="1:36" ht="16.5" thickTop="1" thickBot="1">
      <c r="A291" s="636">
        <f>Data2025!G290</f>
        <v>97</v>
      </c>
      <c r="B291" s="637" t="e">
        <f>Data2025!K290</f>
        <v>#N/A</v>
      </c>
      <c r="C291" s="638" t="str">
        <f>Data2025!D290</f>
        <v>06. 05. 08.</v>
      </c>
      <c r="D291" s="639" t="str">
        <f>Data2025!C290</f>
        <v>5.1.02.01.01.0024</v>
      </c>
      <c r="E291" s="265">
        <f>Data2025!E290</f>
        <v>45717</v>
      </c>
      <c r="F291" s="640" t="str">
        <f>Data2025!F290</f>
        <v>03/03/2025</v>
      </c>
      <c r="G291" s="265" t="str">
        <f>Data2025!H290</f>
        <v>03/03/2025</v>
      </c>
      <c r="H291" s="265" t="str">
        <f t="shared" si="14"/>
        <v>03/03/2025</v>
      </c>
      <c r="I291" s="641" t="str">
        <f>Data2025!J290</f>
        <v>23/04/2025</v>
      </c>
      <c r="J291" s="381" t="str">
        <f>Data2025!L290</f>
        <v>Paper Clip No 1  Paper Clip No 3</v>
      </c>
      <c r="K291" s="381" t="str">
        <f>Data2025!M290</f>
        <v>Paper Clip No 1  Paper Clip No 3</v>
      </c>
      <c r="L291" s="642">
        <f>Data2025!N290</f>
        <v>5</v>
      </c>
      <c r="M291" s="642" t="str">
        <f>Data2025!O290</f>
        <v>kotak</v>
      </c>
      <c r="N291" s="643">
        <f>Data2025!P290</f>
        <v>6000</v>
      </c>
      <c r="O291" s="644">
        <f>Data2025!Q290</f>
        <v>30000</v>
      </c>
      <c r="P291" s="645" t="s">
        <v>710</v>
      </c>
      <c r="Q291" s="646" t="str">
        <f>VLOOKUP(K291,Sheet1!$C$1:$D$101,2,)</f>
        <v>Paper Clip No 3 (Length 5.0Cm, Width 5.0Cm, Height 5.0Cm, Weight 5Gr)</v>
      </c>
      <c r="R291" s="267">
        <v>10000000</v>
      </c>
      <c r="S291" s="647">
        <v>10040000</v>
      </c>
      <c r="T291" s="648">
        <f>Data2025!T290</f>
        <v>0</v>
      </c>
      <c r="U291" s="268" t="s">
        <v>3392</v>
      </c>
      <c r="V291" s="648" t="e">
        <f>Data2025!V290</f>
        <v>#N/A</v>
      </c>
      <c r="W291" s="648" t="e">
        <f>Data2025!X290</f>
        <v>#N/A</v>
      </c>
      <c r="X291" s="268" t="s">
        <v>2723</v>
      </c>
      <c r="Y291" s="268" t="str">
        <f t="shared" si="15"/>
        <v>Alat Tulis Kantor (ATK)</v>
      </c>
      <c r="Z291" s="649" t="str">
        <f t="shared" si="16"/>
        <v>Alat Tulis Kantor (ATK)</v>
      </c>
      <c r="AA291" s="650" t="s">
        <v>3376</v>
      </c>
      <c r="AB291" s="269">
        <v>500000</v>
      </c>
      <c r="AC291" s="269">
        <v>10000000</v>
      </c>
      <c r="AD291" s="267">
        <v>10000000</v>
      </c>
      <c r="AE291" s="270">
        <v>9009009.0090090092</v>
      </c>
      <c r="AF291" s="270">
        <v>10000000</v>
      </c>
      <c r="AG291" s="805" t="s">
        <v>3883</v>
      </c>
      <c r="AH291" s="651" t="e">
        <f>Data2025!W290</f>
        <v>#N/A</v>
      </c>
    </row>
    <row r="292" spans="1:36" ht="16.5" thickTop="1" thickBot="1">
      <c r="A292" s="636">
        <f>Data2025!G291</f>
        <v>97</v>
      </c>
      <c r="B292" s="637" t="e">
        <f>Data2025!K291</f>
        <v>#N/A</v>
      </c>
      <c r="C292" s="638" t="str">
        <f>Data2025!D291</f>
        <v>06. 05. 08.</v>
      </c>
      <c r="D292" s="639" t="str">
        <f>Data2025!C291</f>
        <v>5.1.02.01.01.0024</v>
      </c>
      <c r="E292" s="265">
        <f>Data2025!E291</f>
        <v>45717</v>
      </c>
      <c r="F292" s="640" t="str">
        <f>Data2025!F291</f>
        <v>03/03/2025</v>
      </c>
      <c r="G292" s="265" t="str">
        <f>Data2025!H291</f>
        <v>03/03/2025</v>
      </c>
      <c r="H292" s="265" t="str">
        <f t="shared" si="14"/>
        <v>03/03/2025</v>
      </c>
      <c r="I292" s="641" t="str">
        <f>Data2025!J291</f>
        <v>23/04/2025</v>
      </c>
      <c r="J292" s="381" t="str">
        <f>Data2025!L291</f>
        <v>Isi Staples Sedang</v>
      </c>
      <c r="K292" s="381" t="str">
        <f>Data2025!M291</f>
        <v>Isi Staples Sedang</v>
      </c>
      <c r="L292" s="642">
        <f>Data2025!N291</f>
        <v>2</v>
      </c>
      <c r="M292" s="642" t="str">
        <f>Data2025!O291</f>
        <v>kotak</v>
      </c>
      <c r="N292" s="643">
        <f>Data2025!P291</f>
        <v>40000</v>
      </c>
      <c r="O292" s="644">
        <f>Data2025!Q291</f>
        <v>80000</v>
      </c>
      <c r="P292" s="645" t="s">
        <v>710</v>
      </c>
      <c r="Q292" s="646" t="str">
        <f>VLOOKUP(K292,Sheet1!$C$1:$D$101,2,)</f>
        <v>Isi Staples Sedang (Dimensi, 2Cm X 4Cm X 1Cm. Berat, 5G.)</v>
      </c>
      <c r="R292" s="267">
        <v>5000000</v>
      </c>
      <c r="S292" s="647">
        <v>5020000</v>
      </c>
      <c r="T292" s="648">
        <f>Data2025!T291</f>
        <v>0</v>
      </c>
      <c r="U292" s="268" t="s">
        <v>3392</v>
      </c>
      <c r="V292" s="648" t="e">
        <f>Data2025!V291</f>
        <v>#N/A</v>
      </c>
      <c r="W292" s="648" t="e">
        <f>Data2025!X291</f>
        <v>#N/A</v>
      </c>
      <c r="X292" s="268" t="s">
        <v>2723</v>
      </c>
      <c r="Y292" s="268" t="str">
        <f t="shared" si="15"/>
        <v>Alat Tulis Kantor (ATK)</v>
      </c>
      <c r="Z292" s="649" t="str">
        <f t="shared" si="16"/>
        <v>Alat Tulis Kantor (ATK)</v>
      </c>
      <c r="AA292" s="650" t="s">
        <v>3376</v>
      </c>
      <c r="AB292" s="269">
        <v>500000</v>
      </c>
      <c r="AC292" s="269">
        <v>5000000</v>
      </c>
      <c r="AD292" s="267">
        <v>5000000</v>
      </c>
      <c r="AE292" s="270">
        <v>4504504.5045045046</v>
      </c>
      <c r="AF292" s="270">
        <v>5000000</v>
      </c>
      <c r="AG292" s="805" t="s">
        <v>3883</v>
      </c>
      <c r="AH292" s="651" t="e">
        <f>Data2025!W291</f>
        <v>#N/A</v>
      </c>
    </row>
    <row r="293" spans="1:36" ht="16.5" thickTop="1" thickBot="1">
      <c r="A293" s="636">
        <f>Data2025!G292</f>
        <v>97</v>
      </c>
      <c r="B293" s="637" t="e">
        <f>Data2025!K292</f>
        <v>#N/A</v>
      </c>
      <c r="C293" s="638" t="str">
        <f>Data2025!D292</f>
        <v>06. 05. 08.</v>
      </c>
      <c r="D293" s="639" t="str">
        <f>Data2025!C292</f>
        <v>5.1.02.01.01.0024</v>
      </c>
      <c r="E293" s="265">
        <f>Data2025!E292</f>
        <v>45717</v>
      </c>
      <c r="F293" s="640" t="str">
        <f>Data2025!F292</f>
        <v>03/03/2025</v>
      </c>
      <c r="G293" s="265" t="str">
        <f>Data2025!H292</f>
        <v>03/03/2025</v>
      </c>
      <c r="H293" s="265" t="str">
        <f t="shared" si="14"/>
        <v>03/03/2025</v>
      </c>
      <c r="I293" s="641" t="str">
        <f>Data2025!J292</f>
        <v>23/04/2025</v>
      </c>
      <c r="J293" s="381" t="str">
        <f>Data2025!L292</f>
        <v>Isi Staples besar</v>
      </c>
      <c r="K293" s="381" t="str">
        <f>Data2025!M292</f>
        <v>Isi Staples besar</v>
      </c>
      <c r="L293" s="642">
        <f>Data2025!N292</f>
        <v>2</v>
      </c>
      <c r="M293" s="642" t="str">
        <f>Data2025!O292</f>
        <v>kotak</v>
      </c>
      <c r="N293" s="643">
        <f>Data2025!P292</f>
        <v>80000</v>
      </c>
      <c r="O293" s="644">
        <f>Data2025!Q292</f>
        <v>160000</v>
      </c>
      <c r="P293" s="645" t="s">
        <v>710</v>
      </c>
      <c r="Q293" s="646" t="str">
        <f>VLOOKUP(K293,Sheet1!$C$1:$D$101,2,)</f>
        <v>Isi Staples besar (Ukuran 10 mm (3/8″)Isi Kemasan 1000 staples/box)</v>
      </c>
      <c r="R293" s="267">
        <v>4250000</v>
      </c>
      <c r="S293" s="647">
        <v>4350000</v>
      </c>
      <c r="T293" s="648">
        <f>Data2025!T292</f>
        <v>0</v>
      </c>
      <c r="U293" s="268" t="s">
        <v>3392</v>
      </c>
      <c r="V293" s="648" t="e">
        <f>Data2025!V292</f>
        <v>#N/A</v>
      </c>
      <c r="W293" s="648" t="e">
        <f>Data2025!X292</f>
        <v>#N/A</v>
      </c>
      <c r="X293" s="268" t="s">
        <v>2723</v>
      </c>
      <c r="Y293" s="268" t="str">
        <f t="shared" si="15"/>
        <v>Alat Tulis Kantor (ATK)</v>
      </c>
      <c r="Z293" s="649" t="str">
        <f t="shared" si="16"/>
        <v>Alat Tulis Kantor (ATK)</v>
      </c>
      <c r="AA293" s="650" t="s">
        <v>3363</v>
      </c>
      <c r="AB293" s="269">
        <v>85000</v>
      </c>
      <c r="AC293" s="269">
        <v>4250000</v>
      </c>
      <c r="AD293" s="267">
        <v>4250000</v>
      </c>
      <c r="AE293" s="270">
        <v>3828828.8288288289</v>
      </c>
      <c r="AF293" s="270">
        <v>4250000</v>
      </c>
      <c r="AG293" s="805" t="s">
        <v>3883</v>
      </c>
      <c r="AH293" s="651" t="e">
        <f>Data2025!W292</f>
        <v>#N/A</v>
      </c>
    </row>
    <row r="294" spans="1:36" ht="26" thickTop="1" thickBot="1">
      <c r="A294" s="636">
        <f>Data2025!G293</f>
        <v>97</v>
      </c>
      <c r="B294" s="637" t="e">
        <f>Data2025!K293</f>
        <v>#N/A</v>
      </c>
      <c r="C294" s="638" t="str">
        <f>Data2025!D293</f>
        <v>06. 05. 08.</v>
      </c>
      <c r="D294" s="639" t="str">
        <f>Data2025!C293</f>
        <v>5.1.02.01.01.0024</v>
      </c>
      <c r="E294" s="265">
        <f>Data2025!E293</f>
        <v>45717</v>
      </c>
      <c r="F294" s="640" t="str">
        <f>Data2025!F293</f>
        <v>03/03/2025</v>
      </c>
      <c r="G294" s="265" t="str">
        <f>Data2025!H293</f>
        <v>03/03/2025</v>
      </c>
      <c r="H294" s="265" t="str">
        <f t="shared" si="14"/>
        <v>03/03/2025</v>
      </c>
      <c r="I294" s="641" t="str">
        <f>Data2025!J293</f>
        <v>23/04/2025</v>
      </c>
      <c r="J294" s="381" t="str">
        <f>Data2025!L293</f>
        <v>gunting kertas-ukuran : panjang 21cm x lebar 8cm, stainless steel</v>
      </c>
      <c r="K294" s="381" t="str">
        <f>Data2025!M293</f>
        <v>gunting kertas-ukuran : panjang 21cm x lebar 8cm, stainless steel</v>
      </c>
      <c r="L294" s="642">
        <f>Data2025!N293</f>
        <v>2</v>
      </c>
      <c r="M294" s="642" t="str">
        <f>Data2025!O293</f>
        <v>buah</v>
      </c>
      <c r="N294" s="643">
        <f>Data2025!P293</f>
        <v>20000</v>
      </c>
      <c r="O294" s="644">
        <f>Data2025!Q293</f>
        <v>40000</v>
      </c>
      <c r="P294" s="645" t="s">
        <v>710</v>
      </c>
      <c r="Q294" s="646" t="str">
        <f>VLOOKUP(K294,Sheet1!$C$1:$D$101,2,)</f>
        <v>Gunting Besar (Length 5.0Cm, Width 5.0Cm, Height 5.0Cm, Weight 5Gr)</v>
      </c>
      <c r="R294" s="267">
        <v>1583530</v>
      </c>
      <c r="S294" s="647">
        <v>2002000</v>
      </c>
      <c r="T294" s="648">
        <f>Data2025!T293</f>
        <v>0</v>
      </c>
      <c r="U294" s="268" t="s">
        <v>538</v>
      </c>
      <c r="V294" s="648" t="e">
        <f>Data2025!V293</f>
        <v>#N/A</v>
      </c>
      <c r="W294" s="648" t="e">
        <f>Data2025!X293</f>
        <v>#N/A</v>
      </c>
      <c r="X294" s="268" t="s">
        <v>540</v>
      </c>
      <c r="Y294" s="268" t="str">
        <f t="shared" si="15"/>
        <v>Alat Tulis Kantor (ATK)</v>
      </c>
      <c r="Z294" s="649" t="str">
        <f t="shared" si="16"/>
        <v>Alat Tulis Kantor (ATK)</v>
      </c>
      <c r="AA294" s="650" t="s">
        <v>3373</v>
      </c>
      <c r="AB294" s="269">
        <v>2000000</v>
      </c>
      <c r="AC294" s="269">
        <v>2000000</v>
      </c>
      <c r="AD294" s="267">
        <v>1583530</v>
      </c>
      <c r="AE294" s="270">
        <v>1426603.6036036036</v>
      </c>
      <c r="AF294" s="270">
        <v>1583530</v>
      </c>
      <c r="AG294" s="805" t="s">
        <v>3883</v>
      </c>
      <c r="AH294" s="651" t="e">
        <f>Data2025!W293</f>
        <v>#N/A</v>
      </c>
    </row>
    <row r="295" spans="1:36" ht="16.5" thickTop="1" thickBot="1">
      <c r="A295" s="636">
        <f>Data2025!G294</f>
        <v>97</v>
      </c>
      <c r="B295" s="637" t="e">
        <f>Data2025!K294</f>
        <v>#N/A</v>
      </c>
      <c r="C295" s="638" t="str">
        <f>Data2025!D294</f>
        <v>06. 05. 08.</v>
      </c>
      <c r="D295" s="639" t="str">
        <f>Data2025!C294</f>
        <v>5.1.02.01.01.0024</v>
      </c>
      <c r="E295" s="265">
        <f>Data2025!E294</f>
        <v>45717</v>
      </c>
      <c r="F295" s="640" t="str">
        <f>Data2025!F294</f>
        <v>03/03/2025</v>
      </c>
      <c r="G295" s="265" t="str">
        <f>Data2025!H294</f>
        <v>03/03/2025</v>
      </c>
      <c r="H295" s="265" t="str">
        <f t="shared" si="14"/>
        <v>03/03/2025</v>
      </c>
      <c r="I295" s="641" t="str">
        <f>Data2025!J294</f>
        <v>23/04/2025</v>
      </c>
      <c r="J295" s="381" t="str">
        <f>Data2025!L294</f>
        <v>Pisau Cutter Kenko L-500</v>
      </c>
      <c r="K295" s="381" t="str">
        <f>Data2025!M294</f>
        <v>Pisau Cutter Kenko L-500</v>
      </c>
      <c r="L295" s="642">
        <f>Data2025!N294</f>
        <v>2</v>
      </c>
      <c r="M295" s="642" t="str">
        <f>Data2025!O294</f>
        <v>buah</v>
      </c>
      <c r="N295" s="643">
        <f>Data2025!P294</f>
        <v>15000</v>
      </c>
      <c r="O295" s="644">
        <f>Data2025!Q294</f>
        <v>30000</v>
      </c>
      <c r="P295" s="645" t="s">
        <v>710</v>
      </c>
      <c r="Q295" s="646" t="str">
        <f>VLOOKUP(K295,Sheet1!$C$1:$D$101,2,)</f>
        <v>Cutter L500 (Length 5.0Cm, Width 5.0Cm, Height 5.0Cm, Weight 5Gr)</v>
      </c>
      <c r="R295" s="267">
        <v>1179100</v>
      </c>
      <c r="S295" s="647">
        <v>1502000</v>
      </c>
      <c r="T295" s="648">
        <f>Data2025!T294</f>
        <v>0</v>
      </c>
      <c r="U295" s="268" t="s">
        <v>538</v>
      </c>
      <c r="V295" s="648" t="e">
        <f>Data2025!V294</f>
        <v>#N/A</v>
      </c>
      <c r="W295" s="648" t="e">
        <f>Data2025!X294</f>
        <v>#N/A</v>
      </c>
      <c r="X295" s="268" t="s">
        <v>540</v>
      </c>
      <c r="Y295" s="268" t="str">
        <f t="shared" si="15"/>
        <v>Alat Tulis Kantor (ATK)</v>
      </c>
      <c r="Z295" s="649" t="str">
        <f t="shared" si="16"/>
        <v>Alat Tulis Kantor (ATK)</v>
      </c>
      <c r="AA295" s="650" t="s">
        <v>3373</v>
      </c>
      <c r="AB295" s="269">
        <v>1500000</v>
      </c>
      <c r="AC295" s="269">
        <v>1500000</v>
      </c>
      <c r="AD295" s="267">
        <v>1179100</v>
      </c>
      <c r="AE295" s="270">
        <v>1062252.2522522523</v>
      </c>
      <c r="AF295" s="270">
        <v>1179100</v>
      </c>
      <c r="AG295" s="805" t="s">
        <v>3883</v>
      </c>
      <c r="AH295" s="651" t="e">
        <f>Data2025!W294</f>
        <v>#N/A</v>
      </c>
      <c r="AI295" s="277"/>
      <c r="AJ295" s="277"/>
    </row>
    <row r="296" spans="1:36" ht="16.5" thickTop="1" thickBot="1">
      <c r="A296" s="636">
        <f>Data2025!G295</f>
        <v>97</v>
      </c>
      <c r="B296" s="637" t="e">
        <f>Data2025!K295</f>
        <v>#N/A</v>
      </c>
      <c r="C296" s="638" t="str">
        <f>Data2025!D295</f>
        <v>06. 05. 08.</v>
      </c>
      <c r="D296" s="639" t="str">
        <f>Data2025!C295</f>
        <v>5.1.02.01.01.0024</v>
      </c>
      <c r="E296" s="265">
        <f>Data2025!E295</f>
        <v>45717</v>
      </c>
      <c r="F296" s="640" t="str">
        <f>Data2025!F295</f>
        <v>03/03/2025</v>
      </c>
      <c r="G296" s="265" t="str">
        <f>Data2025!H295</f>
        <v>03/03/2025</v>
      </c>
      <c r="H296" s="265" t="str">
        <f t="shared" si="14"/>
        <v>03/03/2025</v>
      </c>
      <c r="I296" s="641" t="str">
        <f>Data2025!J295</f>
        <v>23/04/2025</v>
      </c>
      <c r="J296" s="381" t="str">
        <f>Data2025!L295</f>
        <v>Baterey Kecil</v>
      </c>
      <c r="K296" s="381" t="str">
        <f>Data2025!M295</f>
        <v>Baterey Kecil</v>
      </c>
      <c r="L296" s="642">
        <f>Data2025!N295</f>
        <v>5</v>
      </c>
      <c r="M296" s="642" t="str">
        <f>Data2025!O295</f>
        <v>pasang</v>
      </c>
      <c r="N296" s="643">
        <f>Data2025!P295</f>
        <v>20000</v>
      </c>
      <c r="O296" s="644">
        <f>Data2025!Q295</f>
        <v>100000</v>
      </c>
      <c r="P296" s="645" t="s">
        <v>710</v>
      </c>
      <c r="Q296" s="646" t="str">
        <f>VLOOKUP(K296,Sheet1!$C$1:$D$101,2,)</f>
        <v>Baterey Kecil (Type: Aa; Tegangan: 1.5 Volt; Ukuran: 14 X 50 Mm)</v>
      </c>
      <c r="R296" s="267">
        <v>18008400</v>
      </c>
      <c r="S296" s="647">
        <v>18028400</v>
      </c>
      <c r="T296" s="648">
        <f>Data2025!T295</f>
        <v>0</v>
      </c>
      <c r="U296" s="268" t="s">
        <v>538</v>
      </c>
      <c r="V296" s="648" t="e">
        <f>Data2025!V295</f>
        <v>#N/A</v>
      </c>
      <c r="W296" s="648" t="e">
        <f>Data2025!X295</f>
        <v>#N/A</v>
      </c>
      <c r="X296" s="268" t="s">
        <v>540</v>
      </c>
      <c r="Y296" s="268" t="str">
        <f t="shared" si="15"/>
        <v>Alat Tulis Kantor (ATK)</v>
      </c>
      <c r="Z296" s="649" t="str">
        <f t="shared" si="16"/>
        <v>Alat Tulis Kantor (ATK)</v>
      </c>
      <c r="AA296" s="650" t="s">
        <v>3364</v>
      </c>
      <c r="AB296" s="269">
        <v>1800840</v>
      </c>
      <c r="AC296" s="269">
        <v>18008400</v>
      </c>
      <c r="AD296" s="267">
        <v>18008400</v>
      </c>
      <c r="AE296" s="270">
        <v>16223783.783783784</v>
      </c>
      <c r="AF296" s="270">
        <v>18008400</v>
      </c>
      <c r="AG296" s="805" t="s">
        <v>3883</v>
      </c>
      <c r="AH296" s="651" t="e">
        <f>Data2025!W295</f>
        <v>#N/A</v>
      </c>
    </row>
    <row r="297" spans="1:36" ht="16.5" thickTop="1" thickBot="1">
      <c r="A297" s="636">
        <f>Data2025!G296</f>
        <v>97</v>
      </c>
      <c r="B297" s="637" t="e">
        <f>Data2025!K296</f>
        <v>#N/A</v>
      </c>
      <c r="C297" s="638" t="str">
        <f>Data2025!D296</f>
        <v>06. 05. 08.</v>
      </c>
      <c r="D297" s="639" t="str">
        <f>Data2025!C296</f>
        <v>5.1.02.01.01.0024</v>
      </c>
      <c r="E297" s="265">
        <f>Data2025!E296</f>
        <v>45717</v>
      </c>
      <c r="F297" s="640" t="str">
        <f>Data2025!F296</f>
        <v>03/03/2025</v>
      </c>
      <c r="G297" s="265" t="str">
        <f>Data2025!H296</f>
        <v>03/03/2025</v>
      </c>
      <c r="H297" s="265" t="str">
        <f t="shared" si="14"/>
        <v>03/03/2025</v>
      </c>
      <c r="I297" s="641" t="str">
        <f>Data2025!J296</f>
        <v>23/04/2025</v>
      </c>
      <c r="J297" s="381" t="str">
        <f>Data2025!L296</f>
        <v>Baterey Tanggung</v>
      </c>
      <c r="K297" s="381" t="str">
        <f>Data2025!M296</f>
        <v>Baterey Tanggung</v>
      </c>
      <c r="L297" s="642">
        <f>Data2025!N296</f>
        <v>5</v>
      </c>
      <c r="M297" s="642" t="str">
        <f>Data2025!O296</f>
        <v>pasang</v>
      </c>
      <c r="N297" s="643">
        <f>Data2025!P296</f>
        <v>30000</v>
      </c>
      <c r="O297" s="644">
        <f>Data2025!Q296</f>
        <v>150000</v>
      </c>
      <c r="P297" s="645" t="s">
        <v>710</v>
      </c>
      <c r="Q297" s="646" t="str">
        <f>VLOOKUP(K297,Sheet1!$C$1:$D$101,2,)</f>
        <v>Baterey Tanggung (Ukuran Sedang Tanggung R14C Biru 1.5V Brand : ABC Type : R14C 1.5V ukuran : tanggung Panjang : 5cm.)</v>
      </c>
      <c r="R297" s="267">
        <v>2475000</v>
      </c>
      <c r="S297" s="647">
        <v>2541000</v>
      </c>
      <c r="T297" s="648">
        <f>Data2025!T296</f>
        <v>0</v>
      </c>
      <c r="U297" s="268" t="s">
        <v>538</v>
      </c>
      <c r="V297" s="648" t="e">
        <f>Data2025!V296</f>
        <v>#N/A</v>
      </c>
      <c r="W297" s="648" t="e">
        <f>Data2025!X296</f>
        <v>#N/A</v>
      </c>
      <c r="X297" s="268" t="s">
        <v>540</v>
      </c>
      <c r="Y297" s="268" t="str">
        <f t="shared" si="15"/>
        <v>Alat Tulis Kantor (ATK)</v>
      </c>
      <c r="Z297" s="649" t="str">
        <f t="shared" si="16"/>
        <v>Alat Tulis Kantor (ATK)</v>
      </c>
      <c r="AA297" s="650" t="s">
        <v>3374</v>
      </c>
      <c r="AB297" s="269">
        <v>75000</v>
      </c>
      <c r="AC297" s="269">
        <v>2475000</v>
      </c>
      <c r="AD297" s="267">
        <v>2475000</v>
      </c>
      <c r="AE297" s="270">
        <v>2229729.7297297297</v>
      </c>
      <c r="AF297" s="270">
        <v>2475000</v>
      </c>
      <c r="AG297" s="805" t="s">
        <v>3883</v>
      </c>
      <c r="AH297" s="651" t="e">
        <f>Data2025!W296</f>
        <v>#N/A</v>
      </c>
    </row>
    <row r="298" spans="1:36" ht="26" thickTop="1" thickBot="1">
      <c r="A298" s="636">
        <f>Data2025!G297</f>
        <v>97</v>
      </c>
      <c r="B298" s="637" t="e">
        <f>Data2025!K297</f>
        <v>#N/A</v>
      </c>
      <c r="C298" s="638" t="str">
        <f>Data2025!D297</f>
        <v>06. 05. 08.</v>
      </c>
      <c r="D298" s="639" t="str">
        <f>Data2025!C297</f>
        <v>5.1.02.01.01.0024</v>
      </c>
      <c r="E298" s="265">
        <f>Data2025!E297</f>
        <v>45717</v>
      </c>
      <c r="F298" s="640" t="str">
        <f>Data2025!F297</f>
        <v>03/03/2025</v>
      </c>
      <c r="G298" s="265" t="str">
        <f>Data2025!H297</f>
        <v>03/03/2025</v>
      </c>
      <c r="H298" s="265" t="str">
        <f t="shared" si="14"/>
        <v>03/03/2025</v>
      </c>
      <c r="I298" s="641" t="str">
        <f>Data2025!J297</f>
        <v>23/04/2025</v>
      </c>
      <c r="J298" s="381" t="str">
        <f>Data2025!L297</f>
        <v>USB FLASH DISK USB/Flash Disk 4GB</v>
      </c>
      <c r="K298" s="381" t="str">
        <f>Data2025!M297</f>
        <v>USB FLASH DISK USB/Flash Disk 4GB</v>
      </c>
      <c r="L298" s="642">
        <f>Data2025!N297</f>
        <v>1</v>
      </c>
      <c r="M298" s="642" t="str">
        <f>Data2025!O297</f>
        <v>buah</v>
      </c>
      <c r="N298" s="643">
        <f>Data2025!P297</f>
        <v>80000</v>
      </c>
      <c r="O298" s="644">
        <f>Data2025!Q297</f>
        <v>80000</v>
      </c>
      <c r="P298" s="645" t="s">
        <v>710</v>
      </c>
      <c r="Q298" s="646" t="str">
        <f>VLOOKUP(K298,Sheet1!$C$1:$D$101,2,)</f>
        <v>USB Flash Disk/Flash Disk 4gb (Ukuran 50 X 15 X 6 Mm, Berat 26 Gr)</v>
      </c>
      <c r="R298" s="267">
        <v>2550000</v>
      </c>
      <c r="S298" s="647">
        <v>2618000</v>
      </c>
      <c r="T298" s="648">
        <f>Data2025!T297</f>
        <v>0</v>
      </c>
      <c r="U298" s="268" t="s">
        <v>538</v>
      </c>
      <c r="V298" s="648" t="e">
        <f>Data2025!V297</f>
        <v>#N/A</v>
      </c>
      <c r="W298" s="648" t="e">
        <f>Data2025!X297</f>
        <v>#N/A</v>
      </c>
      <c r="X298" s="268" t="s">
        <v>540</v>
      </c>
      <c r="Y298" s="268" t="str">
        <f t="shared" si="15"/>
        <v>Alat Tulis Kantor (ATK)</v>
      </c>
      <c r="Z298" s="649" t="str">
        <f t="shared" si="16"/>
        <v>Alat Tulis Kantor (ATK)</v>
      </c>
      <c r="AA298" s="650" t="s">
        <v>3374</v>
      </c>
      <c r="AB298" s="269">
        <v>75000</v>
      </c>
      <c r="AC298" s="269">
        <v>2550000</v>
      </c>
      <c r="AD298" s="267">
        <v>2550000</v>
      </c>
      <c r="AE298" s="270">
        <v>2297297.2972972975</v>
      </c>
      <c r="AF298" s="270">
        <v>2550000</v>
      </c>
      <c r="AG298" s="805" t="s">
        <v>3883</v>
      </c>
      <c r="AH298" s="651" t="e">
        <f>Data2025!W297</f>
        <v>#N/A</v>
      </c>
      <c r="AI298" s="277"/>
      <c r="AJ298" s="277"/>
    </row>
    <row r="299" spans="1:36" ht="16.5" thickTop="1" thickBot="1">
      <c r="A299" s="636">
        <f>Data2025!G298</f>
        <v>97</v>
      </c>
      <c r="B299" s="637" t="e">
        <f>Data2025!K298</f>
        <v>#N/A</v>
      </c>
      <c r="C299" s="638" t="str">
        <f>Data2025!D298</f>
        <v>06. 05. 08.</v>
      </c>
      <c r="D299" s="639" t="str">
        <f>Data2025!C298</f>
        <v>5.1.02.01.01.0024</v>
      </c>
      <c r="E299" s="265">
        <f>Data2025!E298</f>
        <v>45717</v>
      </c>
      <c r="F299" s="640" t="str">
        <f>Data2025!F298</f>
        <v>03/03/2025</v>
      </c>
      <c r="G299" s="265" t="str">
        <f>Data2025!H298</f>
        <v>03/03/2025</v>
      </c>
      <c r="H299" s="265" t="str">
        <f t="shared" si="14"/>
        <v>03/03/2025</v>
      </c>
      <c r="I299" s="641" t="str">
        <f>Data2025!J298</f>
        <v>23/04/2025</v>
      </c>
      <c r="J299" s="381" t="str">
        <f>Data2025!L298</f>
        <v>Tinta Stempel</v>
      </c>
      <c r="K299" s="381" t="str">
        <f>Data2025!M298</f>
        <v>Tinta Stempel</v>
      </c>
      <c r="L299" s="642">
        <f>Data2025!N298</f>
        <v>5</v>
      </c>
      <c r="M299" s="642" t="str">
        <f>Data2025!O298</f>
        <v>botol</v>
      </c>
      <c r="N299" s="643">
        <f>Data2025!P298</f>
        <v>20000</v>
      </c>
      <c r="O299" s="644">
        <f>Data2025!Q298</f>
        <v>100000</v>
      </c>
      <c r="P299" s="645" t="s">
        <v>710</v>
      </c>
      <c r="Q299" s="646" t="str">
        <f>VLOOKUP(K299,Sheet1!$C$1:$D$101,2,)</f>
        <v>Tinta Stempel (Ukuran Produk 105 X 35 X 35 Mm, Isi 1 Botol 50 Ml, Berat Satuan 85 Gram)</v>
      </c>
      <c r="R299" s="267">
        <v>2250000</v>
      </c>
      <c r="S299" s="647">
        <v>2310000</v>
      </c>
      <c r="T299" s="648">
        <f>Data2025!T298</f>
        <v>0</v>
      </c>
      <c r="U299" s="268" t="s">
        <v>538</v>
      </c>
      <c r="V299" s="648" t="e">
        <f>Data2025!V298</f>
        <v>#N/A</v>
      </c>
      <c r="W299" s="648" t="e">
        <f>Data2025!X298</f>
        <v>#N/A</v>
      </c>
      <c r="X299" s="268" t="s">
        <v>540</v>
      </c>
      <c r="Y299" s="268" t="str">
        <f t="shared" si="15"/>
        <v>Alat Tulis Kantor (ATK)</v>
      </c>
      <c r="Z299" s="649" t="str">
        <f t="shared" si="16"/>
        <v>Alat Tulis Kantor (ATK)</v>
      </c>
      <c r="AA299" s="650" t="s">
        <v>3374</v>
      </c>
      <c r="AB299" s="269">
        <v>75000</v>
      </c>
      <c r="AC299" s="269">
        <v>2250000</v>
      </c>
      <c r="AD299" s="267">
        <v>2250000</v>
      </c>
      <c r="AE299" s="270">
        <v>2027027.027027027</v>
      </c>
      <c r="AF299" s="270">
        <v>2250000</v>
      </c>
      <c r="AG299" s="805" t="s">
        <v>3883</v>
      </c>
      <c r="AH299" s="651" t="e">
        <f>Data2025!W298</f>
        <v>#N/A</v>
      </c>
    </row>
    <row r="300" spans="1:36" ht="16.5" thickTop="1" thickBot="1">
      <c r="A300" s="636">
        <f>Data2025!G299</f>
        <v>97</v>
      </c>
      <c r="B300" s="637" t="e">
        <f>Data2025!K299</f>
        <v>#N/A</v>
      </c>
      <c r="C300" s="638" t="str">
        <f>Data2025!D299</f>
        <v>06. 05. 08.</v>
      </c>
      <c r="D300" s="639" t="str">
        <f>Data2025!C299</f>
        <v>5.1.02.01.01.0024</v>
      </c>
      <c r="E300" s="265">
        <f>Data2025!E299</f>
        <v>45717</v>
      </c>
      <c r="F300" s="640" t="str">
        <f>Data2025!F299</f>
        <v>03/03/2025</v>
      </c>
      <c r="G300" s="265" t="str">
        <f>Data2025!H299</f>
        <v>03/03/2025</v>
      </c>
      <c r="H300" s="265" t="str">
        <f t="shared" si="14"/>
        <v>03/03/2025</v>
      </c>
      <c r="I300" s="641" t="str">
        <f>Data2025!J299</f>
        <v>23/04/2025</v>
      </c>
      <c r="J300" s="381" t="str">
        <f>Data2025!L299</f>
        <v>Materai 10.000</v>
      </c>
      <c r="K300" s="381" t="str">
        <f>Data2025!M299</f>
        <v>Materai 10.000</v>
      </c>
      <c r="L300" s="642">
        <f>Data2025!N299</f>
        <v>100</v>
      </c>
      <c r="M300" s="642" t="str">
        <f>Data2025!O299</f>
        <v>buah</v>
      </c>
      <c r="N300" s="643">
        <f>Data2025!P299</f>
        <v>12000</v>
      </c>
      <c r="O300" s="644">
        <f>Data2025!Q299</f>
        <v>1200000</v>
      </c>
      <c r="P300" s="645" t="s">
        <v>710</v>
      </c>
      <c r="Q300" s="646" t="str">
        <f>VLOOKUP(K300,Sheet1!$C$1:$D$101,2,)</f>
        <v>Materai 10.000 (Segi Empat dengan Ukuran 21 x 28,95 mm)</v>
      </c>
      <c r="R300" s="267">
        <v>2475000</v>
      </c>
      <c r="S300" s="647">
        <v>2541000</v>
      </c>
      <c r="T300" s="648">
        <f>Data2025!T299</f>
        <v>0</v>
      </c>
      <c r="U300" s="268" t="s">
        <v>538</v>
      </c>
      <c r="V300" s="648" t="e">
        <f>Data2025!V299</f>
        <v>#N/A</v>
      </c>
      <c r="W300" s="648" t="e">
        <f>Data2025!X299</f>
        <v>#N/A</v>
      </c>
      <c r="X300" s="268" t="s">
        <v>540</v>
      </c>
      <c r="Y300" s="268" t="str">
        <f t="shared" si="15"/>
        <v>Alat Tulis Kantor (ATK)</v>
      </c>
      <c r="Z300" s="649" t="str">
        <f t="shared" si="16"/>
        <v>Alat Tulis Kantor (ATK)</v>
      </c>
      <c r="AA300" s="650" t="s">
        <v>3374</v>
      </c>
      <c r="AB300" s="269">
        <v>75000</v>
      </c>
      <c r="AC300" s="269">
        <v>2475000</v>
      </c>
      <c r="AD300" s="267">
        <v>2475000</v>
      </c>
      <c r="AE300" s="270">
        <v>2229729.7297297297</v>
      </c>
      <c r="AF300" s="270">
        <v>2475000</v>
      </c>
      <c r="AG300" s="805" t="s">
        <v>3883</v>
      </c>
      <c r="AH300" s="651" t="e">
        <f>Data2025!W299</f>
        <v>#N/A</v>
      </c>
      <c r="AI300" s="277"/>
      <c r="AJ300" s="277"/>
    </row>
    <row r="301" spans="1:36" ht="16.5" thickTop="1" thickBot="1">
      <c r="A301" s="636">
        <f>Data2025!G300</f>
        <v>98</v>
      </c>
      <c r="B301" s="637" t="e">
        <f>Data2025!K300</f>
        <v>#N/A</v>
      </c>
      <c r="C301" s="638" t="str">
        <f>Data2025!D300</f>
        <v>06. 05. 08.</v>
      </c>
      <c r="D301" s="639" t="str">
        <f>Data2025!C300</f>
        <v>5.1.02.01.01.0026</v>
      </c>
      <c r="E301" s="265">
        <f>Data2025!E300</f>
        <v>45717</v>
      </c>
      <c r="F301" s="640" t="str">
        <f>Data2025!F300</f>
        <v>03/03/2025</v>
      </c>
      <c r="G301" s="265" t="str">
        <f>Data2025!H300</f>
        <v>03/03/2025</v>
      </c>
      <c r="H301" s="265" t="str">
        <f t="shared" si="14"/>
        <v>03/03/2025</v>
      </c>
      <c r="I301" s="641" t="str">
        <f>Data2025!J300</f>
        <v>23/04/2025</v>
      </c>
      <c r="J301" s="381" t="str">
        <f>Data2025!L300</f>
        <v>Foto Copy Filio dan Kuarto</v>
      </c>
      <c r="K301" s="381" t="str">
        <f>Data2025!M300</f>
        <v>Foto Copy Filio dan Kuarto</v>
      </c>
      <c r="L301" s="642">
        <f>Data2025!N300</f>
        <v>4500</v>
      </c>
      <c r="M301" s="642" t="str">
        <f>Data2025!O300</f>
        <v>lembar</v>
      </c>
      <c r="N301" s="643">
        <f>Data2025!P300</f>
        <v>350</v>
      </c>
      <c r="O301" s="644">
        <f>Data2025!Q300</f>
        <v>1575000</v>
      </c>
      <c r="P301" s="645" t="s">
        <v>710</v>
      </c>
      <c r="Q301" s="646" t="str">
        <f>VLOOKUP(K301,Sheet1!$C$1:$D$101,2,)</f>
        <v>Kertas HVS 70 gram Sinar Dunia A4, Ukuran : 8,27" x 11,69"</v>
      </c>
      <c r="R301" s="267">
        <v>2100000</v>
      </c>
      <c r="S301" s="647">
        <v>2156000</v>
      </c>
      <c r="T301" s="648">
        <f>Data2025!T300</f>
        <v>0</v>
      </c>
      <c r="U301" s="268" t="s">
        <v>538</v>
      </c>
      <c r="V301" s="648" t="e">
        <f>Data2025!V300</f>
        <v>#N/A</v>
      </c>
      <c r="W301" s="648" t="e">
        <f>Data2025!X300</f>
        <v>#N/A</v>
      </c>
      <c r="X301" s="268" t="s">
        <v>540</v>
      </c>
      <c r="Y301" s="268" t="str">
        <f t="shared" si="15"/>
        <v>Alat Tulis Kantor (ATK)</v>
      </c>
      <c r="Z301" s="649" t="str">
        <f t="shared" si="16"/>
        <v>Alat Tulis Kantor (ATK)</v>
      </c>
      <c r="AA301" s="650" t="s">
        <v>3374</v>
      </c>
      <c r="AB301" s="269">
        <v>75000</v>
      </c>
      <c r="AC301" s="269">
        <v>2100000</v>
      </c>
      <c r="AD301" s="267">
        <v>2100000</v>
      </c>
      <c r="AE301" s="270">
        <v>1891891.8918918918</v>
      </c>
      <c r="AF301" s="270">
        <v>2100000</v>
      </c>
      <c r="AG301" s="805" t="s">
        <v>3883</v>
      </c>
      <c r="AH301" s="651" t="e">
        <f>Data2025!W300</f>
        <v>#N/A</v>
      </c>
    </row>
    <row r="302" spans="1:36" ht="16.5" thickTop="1" thickBot="1">
      <c r="A302" s="636">
        <f>Data2025!G301</f>
        <v>99</v>
      </c>
      <c r="B302" s="637" t="e">
        <f>Data2025!K301</f>
        <v>#N/A</v>
      </c>
      <c r="C302" s="638" t="str">
        <f>Data2025!D301</f>
        <v>06. 05. 09.</v>
      </c>
      <c r="D302" s="639" t="str">
        <f>Data2025!C301</f>
        <v>5.1.02.01.01.0030</v>
      </c>
      <c r="E302" s="265">
        <f>Data2025!E301</f>
        <v>45717</v>
      </c>
      <c r="F302" s="640" t="str">
        <f>Data2025!F301</f>
        <v>03/03/2025</v>
      </c>
      <c r="G302" s="265" t="str">
        <f>Data2025!H301</f>
        <v>03/03/2025</v>
      </c>
      <c r="H302" s="265" t="str">
        <f t="shared" si="14"/>
        <v>03/03/2025</v>
      </c>
      <c r="I302" s="641" t="str">
        <f>Data2025!J301</f>
        <v>23/04/2025</v>
      </c>
      <c r="J302" s="381" t="str">
        <f>Data2025!L301</f>
        <v>Tisu--</v>
      </c>
      <c r="K302" s="381" t="str">
        <f>Data2025!M301</f>
        <v>Tisu--</v>
      </c>
      <c r="L302" s="642">
        <f>Data2025!N301</f>
        <v>12</v>
      </c>
      <c r="M302" s="642" t="str">
        <f>Data2025!O301</f>
        <v>buah</v>
      </c>
      <c r="N302" s="643">
        <f>Data2025!P301</f>
        <v>12500</v>
      </c>
      <c r="O302" s="644">
        <f>Data2025!Q301</f>
        <v>150000</v>
      </c>
      <c r="P302" s="645" t="s">
        <v>710</v>
      </c>
      <c r="Q302" s="646" t="str">
        <f>VLOOKUP(K302,Sheet1!$C$1:$D$101,2,)</f>
        <v>Tissue (Merk JOLLY 250 Sheets 2 Ply, Berat Volume = 285 gr)</v>
      </c>
      <c r="R302" s="267">
        <v>2475000</v>
      </c>
      <c r="S302" s="647">
        <v>2541000</v>
      </c>
      <c r="T302" s="648">
        <f>Data2025!T301</f>
        <v>0</v>
      </c>
      <c r="U302" s="268" t="s">
        <v>538</v>
      </c>
      <c r="V302" s="648" t="e">
        <f>Data2025!V301</f>
        <v>#N/A</v>
      </c>
      <c r="W302" s="648" t="e">
        <f>Data2025!X301</f>
        <v>#N/A</v>
      </c>
      <c r="X302" s="268" t="s">
        <v>540</v>
      </c>
      <c r="Y302" s="268" t="str">
        <f t="shared" si="15"/>
        <v>Alat Tulis Kantor (ATK)</v>
      </c>
      <c r="Z302" s="649" t="str">
        <f t="shared" si="16"/>
        <v>Alat Tulis Kantor (ATK)</v>
      </c>
      <c r="AA302" s="650" t="s">
        <v>3374</v>
      </c>
      <c r="AB302" s="269">
        <v>75000</v>
      </c>
      <c r="AC302" s="269">
        <v>2475000</v>
      </c>
      <c r="AD302" s="267">
        <v>2475000</v>
      </c>
      <c r="AE302" s="270">
        <v>2229729.7297297297</v>
      </c>
      <c r="AF302" s="270">
        <v>2475000</v>
      </c>
      <c r="AG302" s="805" t="s">
        <v>3883</v>
      </c>
      <c r="AH302" s="651" t="e">
        <f>Data2025!W301</f>
        <v>#N/A</v>
      </c>
      <c r="AI302" s="277"/>
      <c r="AJ302" s="277"/>
    </row>
    <row r="303" spans="1:36" ht="16.5" thickTop="1" thickBot="1">
      <c r="A303" s="636">
        <f>Data2025!G302</f>
        <v>99</v>
      </c>
      <c r="B303" s="637" t="e">
        <f>Data2025!K302</f>
        <v>#N/A</v>
      </c>
      <c r="C303" s="638" t="str">
        <f>Data2025!D302</f>
        <v>06. 05. 09.</v>
      </c>
      <c r="D303" s="639" t="str">
        <f>Data2025!C302</f>
        <v>5.1.02.01.01.0030</v>
      </c>
      <c r="E303" s="265">
        <f>Data2025!E302</f>
        <v>45717</v>
      </c>
      <c r="F303" s="640" t="str">
        <f>Data2025!F302</f>
        <v>03/03/2025</v>
      </c>
      <c r="G303" s="265" t="str">
        <f>Data2025!H302</f>
        <v>03/03/2025</v>
      </c>
      <c r="H303" s="265" t="str">
        <f t="shared" si="14"/>
        <v>03/03/2025</v>
      </c>
      <c r="I303" s="641" t="str">
        <f>Data2025!J302</f>
        <v>23/04/2025</v>
      </c>
      <c r="J303" s="381" t="str">
        <f>Data2025!L302</f>
        <v>vixal 500ml</v>
      </c>
      <c r="K303" s="381" t="str">
        <f>Data2025!M302</f>
        <v>vixal 500ml</v>
      </c>
      <c r="L303" s="642">
        <f>Data2025!N302</f>
        <v>10</v>
      </c>
      <c r="M303" s="642" t="str">
        <f>Data2025!O302</f>
        <v>botol</v>
      </c>
      <c r="N303" s="643">
        <f>Data2025!P302</f>
        <v>30000</v>
      </c>
      <c r="O303" s="644">
        <f>Data2025!Q302</f>
        <v>300000</v>
      </c>
      <c r="P303" s="645" t="s">
        <v>2609</v>
      </c>
      <c r="Q303" s="646" t="str">
        <f>VLOOKUP(K303,Sheet1!$C$1:$D$101,2,)</f>
        <v>Pembersih Lantai (Merk vixal, Kemasan Botol, isi  500ml)</v>
      </c>
      <c r="R303" s="267">
        <v>2000000</v>
      </c>
      <c r="S303" s="647">
        <v>2002000</v>
      </c>
      <c r="T303" s="648">
        <f>Data2025!T302</f>
        <v>0</v>
      </c>
      <c r="U303" s="268" t="s">
        <v>538</v>
      </c>
      <c r="V303" s="648" t="e">
        <f>Data2025!V302</f>
        <v>#N/A</v>
      </c>
      <c r="W303" s="648" t="e">
        <f>Data2025!X302</f>
        <v>#N/A</v>
      </c>
      <c r="X303" s="268" t="s">
        <v>540</v>
      </c>
      <c r="Y303" s="268" t="str">
        <f t="shared" si="15"/>
        <v>Alat Kebersihan</v>
      </c>
      <c r="Z303" s="649" t="str">
        <f t="shared" si="16"/>
        <v>Alat Kebersihan</v>
      </c>
      <c r="AA303" s="650" t="s">
        <v>3373</v>
      </c>
      <c r="AB303" s="269">
        <v>2000000</v>
      </c>
      <c r="AC303" s="269">
        <v>2000000</v>
      </c>
      <c r="AD303" s="267">
        <v>2000000</v>
      </c>
      <c r="AE303" s="270">
        <v>1801801.8018018019</v>
      </c>
      <c r="AF303" s="270">
        <v>2000000</v>
      </c>
      <c r="AG303" s="805" t="s">
        <v>3883</v>
      </c>
      <c r="AH303" s="651" t="e">
        <f>Data2025!W302</f>
        <v>#N/A</v>
      </c>
    </row>
    <row r="304" spans="1:36" ht="26" thickTop="1" thickBot="1">
      <c r="A304" s="636">
        <f>Data2025!G303</f>
        <v>99</v>
      </c>
      <c r="B304" s="637" t="e">
        <f>Data2025!K303</f>
        <v>#N/A</v>
      </c>
      <c r="C304" s="638" t="str">
        <f>Data2025!D303</f>
        <v>06. 05. 09.</v>
      </c>
      <c r="D304" s="639" t="str">
        <f>Data2025!C303</f>
        <v>5.1.02.01.01.0030</v>
      </c>
      <c r="E304" s="265">
        <f>Data2025!E303</f>
        <v>45717</v>
      </c>
      <c r="F304" s="640" t="str">
        <f>Data2025!F303</f>
        <v>03/03/2025</v>
      </c>
      <c r="G304" s="265" t="str">
        <f>Data2025!H303</f>
        <v>03/03/2025</v>
      </c>
      <c r="H304" s="265" t="str">
        <f t="shared" si="14"/>
        <v>03/03/2025</v>
      </c>
      <c r="I304" s="641" t="str">
        <f>Data2025!J303</f>
        <v>23/04/2025</v>
      </c>
      <c r="J304" s="381" t="str">
        <f>Data2025!L303</f>
        <v>Perlengkapan Kebersihan Pembersih Lantai Super Pel Varian 800ml</v>
      </c>
      <c r="K304" s="381" t="str">
        <f>J304</f>
        <v>Perlengkapan Kebersihan Pembersih Lantai Super Pel Varian 800ml</v>
      </c>
      <c r="L304" s="642">
        <f>Data2025!N303</f>
        <v>15</v>
      </c>
      <c r="M304" s="642" t="str">
        <f>Data2025!O303</f>
        <v>buah</v>
      </c>
      <c r="N304" s="643">
        <f>Data2025!P303</f>
        <v>13500</v>
      </c>
      <c r="O304" s="644">
        <f>Data2025!Q303</f>
        <v>202500</v>
      </c>
      <c r="P304" s="645" t="s">
        <v>2609</v>
      </c>
      <c r="Q304" s="646" t="str">
        <f>VLOOKUP(K304,Sheet1!$C$1:$D$101,2,)</f>
        <v>Super Pel (Merek: Super Pel, Varian 800ml/Refill)</v>
      </c>
      <c r="R304" s="267">
        <v>2000000</v>
      </c>
      <c r="S304" s="647">
        <v>2002000</v>
      </c>
      <c r="T304" s="648">
        <f>Data2025!T303</f>
        <v>0</v>
      </c>
      <c r="U304" s="268" t="s">
        <v>538</v>
      </c>
      <c r="V304" s="648" t="e">
        <f>Data2025!V303</f>
        <v>#N/A</v>
      </c>
      <c r="W304" s="648" t="e">
        <f>Data2025!X303</f>
        <v>#N/A</v>
      </c>
      <c r="X304" s="268" t="s">
        <v>540</v>
      </c>
      <c r="Y304" s="268" t="str">
        <f t="shared" si="15"/>
        <v>Alat Kebersihan</v>
      </c>
      <c r="Z304" s="649" t="str">
        <f t="shared" si="16"/>
        <v>Alat Kebersihan</v>
      </c>
      <c r="AA304" s="650" t="s">
        <v>3373</v>
      </c>
      <c r="AB304" s="269">
        <v>2000000</v>
      </c>
      <c r="AC304" s="269">
        <v>2000000</v>
      </c>
      <c r="AD304" s="267">
        <v>2000000</v>
      </c>
      <c r="AE304" s="270">
        <v>1801801.8018018019</v>
      </c>
      <c r="AF304" s="270">
        <v>2000000</v>
      </c>
      <c r="AG304" s="805" t="s">
        <v>3883</v>
      </c>
      <c r="AH304" s="651" t="e">
        <f>Data2025!W303</f>
        <v>#N/A</v>
      </c>
      <c r="AI304" s="277"/>
      <c r="AJ304" s="277"/>
    </row>
    <row r="305" spans="1:36" ht="16.5" thickTop="1" thickBot="1">
      <c r="A305" s="636">
        <f>Data2025!G304</f>
        <v>99</v>
      </c>
      <c r="B305" s="637" t="e">
        <f>Data2025!K304</f>
        <v>#N/A</v>
      </c>
      <c r="C305" s="638" t="str">
        <f>Data2025!D304</f>
        <v>06. 05. 09.</v>
      </c>
      <c r="D305" s="639" t="str">
        <f>Data2025!C304</f>
        <v>5.1.02.01.01.0030</v>
      </c>
      <c r="E305" s="265">
        <f>Data2025!E304</f>
        <v>45717</v>
      </c>
      <c r="F305" s="640" t="str">
        <f>Data2025!F304</f>
        <v>03/03/2025</v>
      </c>
      <c r="G305" s="265" t="str">
        <f>Data2025!H304</f>
        <v>03/03/2025</v>
      </c>
      <c r="H305" s="265" t="str">
        <f t="shared" si="14"/>
        <v>03/03/2025</v>
      </c>
      <c r="I305" s="641" t="str">
        <f>Data2025!J304</f>
        <v>23/04/2025</v>
      </c>
      <c r="J305" s="381" t="str">
        <f>Data2025!L304</f>
        <v>Cairan Pembersih Kaca</v>
      </c>
      <c r="K305" s="381" t="str">
        <f t="shared" ref="K305:K310" si="17">J305</f>
        <v>Cairan Pembersih Kaca</v>
      </c>
      <c r="L305" s="642">
        <f>Data2025!N304</f>
        <v>5</v>
      </c>
      <c r="M305" s="642" t="str">
        <f>Data2025!O304</f>
        <v>buah</v>
      </c>
      <c r="N305" s="643">
        <f>Data2025!P304</f>
        <v>12000</v>
      </c>
      <c r="O305" s="644">
        <f>Data2025!Q304</f>
        <v>60000</v>
      </c>
      <c r="P305" s="645" t="s">
        <v>2609</v>
      </c>
      <c r="Q305" s="646" t="str">
        <f>VLOOKUP(K305,Sheet1!$C$1:$D$101,2,)</f>
        <v>Cling (Merek: Cling, Varian: Ocean Fresh 425 ml)</v>
      </c>
      <c r="R305" s="267">
        <v>2000000</v>
      </c>
      <c r="S305" s="647">
        <v>2002000</v>
      </c>
      <c r="T305" s="648">
        <f>Data2025!T304</f>
        <v>0</v>
      </c>
      <c r="U305" s="268" t="s">
        <v>538</v>
      </c>
      <c r="V305" s="648" t="e">
        <f>Data2025!V304</f>
        <v>#N/A</v>
      </c>
      <c r="W305" s="648" t="e">
        <f>Data2025!X304</f>
        <v>#N/A</v>
      </c>
      <c r="X305" s="268" t="s">
        <v>540</v>
      </c>
      <c r="Y305" s="268" t="str">
        <f t="shared" si="15"/>
        <v>Alat Kebersihan</v>
      </c>
      <c r="Z305" s="649" t="str">
        <f t="shared" si="16"/>
        <v>Alat Kebersihan</v>
      </c>
      <c r="AA305" s="650" t="s">
        <v>3373</v>
      </c>
      <c r="AB305" s="269">
        <v>2000000</v>
      </c>
      <c r="AC305" s="269">
        <v>2000000</v>
      </c>
      <c r="AD305" s="267">
        <v>2000000</v>
      </c>
      <c r="AE305" s="270">
        <v>1801801.8018018019</v>
      </c>
      <c r="AF305" s="270">
        <v>2000000</v>
      </c>
      <c r="AG305" s="805" t="s">
        <v>3883</v>
      </c>
      <c r="AH305" s="651" t="e">
        <f>Data2025!W304</f>
        <v>#N/A</v>
      </c>
    </row>
    <row r="306" spans="1:36" ht="26" thickTop="1" thickBot="1">
      <c r="A306" s="636">
        <f>Data2025!G305</f>
        <v>99</v>
      </c>
      <c r="B306" s="637" t="e">
        <f>Data2025!K305</f>
        <v>#N/A</v>
      </c>
      <c r="C306" s="638" t="str">
        <f>Data2025!D305</f>
        <v>06. 05. 09.</v>
      </c>
      <c r="D306" s="639" t="str">
        <f>Data2025!C305</f>
        <v>5.1.02.01.01.0030</v>
      </c>
      <c r="E306" s="265">
        <f>Data2025!E305</f>
        <v>45717</v>
      </c>
      <c r="F306" s="640" t="str">
        <f>Data2025!F305</f>
        <v>03/03/2025</v>
      </c>
      <c r="G306" s="265" t="str">
        <f>Data2025!H305</f>
        <v>03/03/2025</v>
      </c>
      <c r="H306" s="265" t="str">
        <f t="shared" si="14"/>
        <v>03/03/2025</v>
      </c>
      <c r="I306" s="641" t="str">
        <f>Data2025!J305</f>
        <v>23/04/2025</v>
      </c>
      <c r="J306" s="381" t="str">
        <f>Data2025!L305</f>
        <v>Perlengkapan Kebersihan Pembersih Pakaian Sunlight Refil 800ml</v>
      </c>
      <c r="K306" s="381" t="str">
        <f t="shared" si="17"/>
        <v>Perlengkapan Kebersihan Pembersih Pakaian Sunlight Refil 800ml</v>
      </c>
      <c r="L306" s="642">
        <f>Data2025!N305</f>
        <v>3</v>
      </c>
      <c r="M306" s="642" t="str">
        <f>Data2025!O305</f>
        <v>buah</v>
      </c>
      <c r="N306" s="643">
        <f>Data2025!P305</f>
        <v>15000</v>
      </c>
      <c r="O306" s="644">
        <f>Data2025!Q305</f>
        <v>45000</v>
      </c>
      <c r="P306" s="645" t="s">
        <v>2609</v>
      </c>
      <c r="Q306" s="646" t="str">
        <f>VLOOKUP(K306,Sheet1!$C$1:$D$101,2,)</f>
        <v>Sunlight (Merk: Sunlight, Varian 800ml/Refill)</v>
      </c>
      <c r="R306" s="267">
        <v>2000000</v>
      </c>
      <c r="S306" s="647">
        <v>2002000</v>
      </c>
      <c r="T306" s="648">
        <f>Data2025!T305</f>
        <v>0</v>
      </c>
      <c r="U306" s="268" t="s">
        <v>538</v>
      </c>
      <c r="V306" s="648" t="e">
        <f>Data2025!V305</f>
        <v>#N/A</v>
      </c>
      <c r="W306" s="648" t="e">
        <f>Data2025!X305</f>
        <v>#N/A</v>
      </c>
      <c r="X306" s="268" t="s">
        <v>540</v>
      </c>
      <c r="Y306" s="268" t="str">
        <f t="shared" si="15"/>
        <v>Alat Kebersihan</v>
      </c>
      <c r="Z306" s="649" t="str">
        <f t="shared" si="16"/>
        <v>Alat Kebersihan</v>
      </c>
      <c r="AA306" s="650" t="s">
        <v>3373</v>
      </c>
      <c r="AB306" s="269">
        <v>2000000</v>
      </c>
      <c r="AC306" s="269">
        <v>2000000</v>
      </c>
      <c r="AD306" s="267">
        <v>2000000</v>
      </c>
      <c r="AE306" s="270">
        <v>1801801.8018018019</v>
      </c>
      <c r="AF306" s="270">
        <v>2000000</v>
      </c>
      <c r="AG306" s="805" t="s">
        <v>3883</v>
      </c>
      <c r="AH306" s="651" t="e">
        <f>Data2025!W305</f>
        <v>#N/A</v>
      </c>
      <c r="AI306" s="277"/>
      <c r="AJ306" s="277"/>
    </row>
    <row r="307" spans="1:36" ht="15" customHeight="1" thickTop="1" thickBot="1">
      <c r="A307" s="636">
        <f>Data2025!G306</f>
        <v>99</v>
      </c>
      <c r="B307" s="637" t="e">
        <f>Data2025!K306</f>
        <v>#N/A</v>
      </c>
      <c r="C307" s="638" t="str">
        <f>Data2025!D306</f>
        <v>06. 05. 09.</v>
      </c>
      <c r="D307" s="639" t="str">
        <f>Data2025!C306</f>
        <v>5.1.02.01.01.0030</v>
      </c>
      <c r="E307" s="265">
        <f>Data2025!E306</f>
        <v>45717</v>
      </c>
      <c r="F307" s="640" t="str">
        <f>Data2025!F306</f>
        <v>03/03/2025</v>
      </c>
      <c r="G307" s="265" t="str">
        <f>Data2025!H306</f>
        <v>03/03/2025</v>
      </c>
      <c r="H307" s="265" t="str">
        <f t="shared" si="14"/>
        <v>03/03/2025</v>
      </c>
      <c r="I307" s="641" t="str">
        <f>Data2025!J306</f>
        <v>23/04/2025</v>
      </c>
      <c r="J307" s="381" t="str">
        <f>Data2025!L306</f>
        <v>Spon Cuci</v>
      </c>
      <c r="K307" s="381" t="str">
        <f t="shared" si="17"/>
        <v>Spon Cuci</v>
      </c>
      <c r="L307" s="642">
        <f>Data2025!N306</f>
        <v>5</v>
      </c>
      <c r="M307" s="642" t="str">
        <f>Data2025!O306</f>
        <v>buah</v>
      </c>
      <c r="N307" s="643">
        <f>Data2025!P306</f>
        <v>12000</v>
      </c>
      <c r="O307" s="644">
        <f>Data2025!Q306</f>
        <v>60000</v>
      </c>
      <c r="P307" s="645" t="s">
        <v>2609</v>
      </c>
      <c r="Q307" s="646" t="str">
        <f>VLOOKUP(K307,Sheet1!$C$1:$D$101,2,)</f>
        <v>Spon Cuci (ukuran tebal 3 cm, panjang 7cm x 9cm)</v>
      </c>
      <c r="R307" s="267">
        <v>2000000</v>
      </c>
      <c r="S307" s="647">
        <v>2002000</v>
      </c>
      <c r="T307" s="648">
        <f>Data2025!T306</f>
        <v>0</v>
      </c>
      <c r="U307" s="268" t="s">
        <v>538</v>
      </c>
      <c r="V307" s="648" t="e">
        <f>Data2025!V306</f>
        <v>#N/A</v>
      </c>
      <c r="W307" s="648" t="e">
        <f>Data2025!X306</f>
        <v>#N/A</v>
      </c>
      <c r="X307" s="268" t="s">
        <v>540</v>
      </c>
      <c r="Y307" s="268" t="str">
        <f t="shared" si="15"/>
        <v>Alat Kebersihan</v>
      </c>
      <c r="Z307" s="649" t="str">
        <f t="shared" si="16"/>
        <v>Alat Kebersihan</v>
      </c>
      <c r="AA307" s="650" t="s">
        <v>3373</v>
      </c>
      <c r="AB307" s="269">
        <v>2000000</v>
      </c>
      <c r="AC307" s="269">
        <v>2000000</v>
      </c>
      <c r="AD307" s="267">
        <v>2000000</v>
      </c>
      <c r="AE307" s="270">
        <v>1801801.8018018019</v>
      </c>
      <c r="AF307" s="270">
        <v>2000000</v>
      </c>
      <c r="AG307" s="805" t="s">
        <v>3883</v>
      </c>
      <c r="AH307" s="651" t="e">
        <f>Data2025!W306</f>
        <v>#N/A</v>
      </c>
    </row>
    <row r="308" spans="1:36" ht="16.5" thickTop="1" thickBot="1">
      <c r="A308" s="636">
        <f>Data2025!G307</f>
        <v>99</v>
      </c>
      <c r="B308" s="637" t="e">
        <f>Data2025!K307</f>
        <v>#N/A</v>
      </c>
      <c r="C308" s="638" t="str">
        <f>Data2025!D307</f>
        <v>06. 05. 09.</v>
      </c>
      <c r="D308" s="639" t="str">
        <f>Data2025!C307</f>
        <v>5.1.02.01.01.0030</v>
      </c>
      <c r="E308" s="265">
        <f>Data2025!E307</f>
        <v>45717</v>
      </c>
      <c r="F308" s="640" t="str">
        <f>Data2025!F307</f>
        <v>03/03/2025</v>
      </c>
      <c r="G308" s="265" t="str">
        <f>Data2025!H307</f>
        <v>03/03/2025</v>
      </c>
      <c r="H308" s="265" t="str">
        <f t="shared" si="14"/>
        <v>03/03/2025</v>
      </c>
      <c r="I308" s="641" t="str">
        <f>Data2025!J307</f>
        <v>23/04/2025</v>
      </c>
      <c r="J308" s="381" t="str">
        <f>Data2025!L307</f>
        <v>Handsoap/Pencuci Tangan</v>
      </c>
      <c r="K308" s="381" t="str">
        <f t="shared" si="17"/>
        <v>Handsoap/Pencuci Tangan</v>
      </c>
      <c r="L308" s="642">
        <f>Data2025!N307</f>
        <v>5</v>
      </c>
      <c r="M308" s="642" t="str">
        <f>Data2025!O307</f>
        <v>botol</v>
      </c>
      <c r="N308" s="643">
        <f>Data2025!P307</f>
        <v>67000</v>
      </c>
      <c r="O308" s="644">
        <f>Data2025!Q307</f>
        <v>335000</v>
      </c>
      <c r="P308" s="645" t="s">
        <v>2609</v>
      </c>
      <c r="Q308" s="646" t="str">
        <f>VLOOKUP(K308,Sheet1!$C$1:$D$101,2,)</f>
        <v>Handsoap/Pencuci Tangan (Antibacterial Hand Soap - 250ml, ekstrak aloevera)</v>
      </c>
      <c r="R308" s="267">
        <v>1000000</v>
      </c>
      <c r="S308" s="647">
        <v>1002000</v>
      </c>
      <c r="T308" s="648">
        <f>Data2025!T307</f>
        <v>0</v>
      </c>
      <c r="U308" s="268" t="s">
        <v>538</v>
      </c>
      <c r="V308" s="648" t="e">
        <f>Data2025!V307</f>
        <v>#N/A</v>
      </c>
      <c r="W308" s="648" t="e">
        <f>Data2025!X307</f>
        <v>#N/A</v>
      </c>
      <c r="X308" s="268" t="s">
        <v>540</v>
      </c>
      <c r="Y308" s="268" t="str">
        <f t="shared" si="15"/>
        <v>Alat Kebersihan</v>
      </c>
      <c r="Z308" s="649" t="str">
        <f t="shared" si="16"/>
        <v>Alat Kebersihan</v>
      </c>
      <c r="AA308" s="650" t="s">
        <v>3373</v>
      </c>
      <c r="AB308" s="269">
        <v>1000000</v>
      </c>
      <c r="AC308" s="269">
        <v>1000000</v>
      </c>
      <c r="AD308" s="267">
        <v>1000000</v>
      </c>
      <c r="AE308" s="270">
        <v>900900.90090090095</v>
      </c>
      <c r="AF308" s="270">
        <v>1000000</v>
      </c>
      <c r="AG308" s="805" t="s">
        <v>3883</v>
      </c>
      <c r="AH308" s="651" t="e">
        <f>Data2025!W307</f>
        <v>#N/A</v>
      </c>
      <c r="AI308" s="277"/>
      <c r="AJ308" s="277"/>
    </row>
    <row r="309" spans="1:36" ht="30" thickTop="1" thickBot="1">
      <c r="A309" s="636">
        <f>Data2025!G308</f>
        <v>99</v>
      </c>
      <c r="B309" s="637" t="e">
        <f>Data2025!K308</f>
        <v>#N/A</v>
      </c>
      <c r="C309" s="638" t="str">
        <f>Data2025!D308</f>
        <v>06. 05. 09.</v>
      </c>
      <c r="D309" s="639" t="str">
        <f>Data2025!C308</f>
        <v>5.1.02.01.01.0030</v>
      </c>
      <c r="E309" s="265">
        <f>Data2025!E308</f>
        <v>45717</v>
      </c>
      <c r="F309" s="640" t="str">
        <f>Data2025!F308</f>
        <v>03/03/2025</v>
      </c>
      <c r="G309" s="265" t="str">
        <f>Data2025!H308</f>
        <v>03/03/2025</v>
      </c>
      <c r="H309" s="265" t="str">
        <f t="shared" si="14"/>
        <v>03/03/2025</v>
      </c>
      <c r="I309" s="641" t="str">
        <f>Data2025!J308</f>
        <v>23/04/2025</v>
      </c>
      <c r="J309" s="381" t="str">
        <f>Data2025!L308</f>
        <v>Pengharum Ruangan</v>
      </c>
      <c r="K309" s="381" t="str">
        <f t="shared" si="17"/>
        <v>Pengharum Ruangan</v>
      </c>
      <c r="L309" s="642">
        <f>Data2025!N308</f>
        <v>10</v>
      </c>
      <c r="M309" s="642" t="str">
        <f>Data2025!O308</f>
        <v>buah</v>
      </c>
      <c r="N309" s="643">
        <f>Data2025!P308</f>
        <v>12100</v>
      </c>
      <c r="O309" s="644">
        <f>Data2025!Q308</f>
        <v>121000</v>
      </c>
      <c r="P309" s="645" t="s">
        <v>2609</v>
      </c>
      <c r="Q309" s="646" t="str">
        <f>VLOOKUP(K309,Sheet1!$C$1:$D$101,2,)</f>
        <v>Pengharum Ruangan (Stella Pengharum Ruangan Gantung Lavender 42 g)</v>
      </c>
      <c r="R309" s="267">
        <v>600000</v>
      </c>
      <c r="S309" s="647">
        <v>604000</v>
      </c>
      <c r="T309" s="648">
        <f>Data2025!T308</f>
        <v>0</v>
      </c>
      <c r="U309" s="268" t="s">
        <v>1040</v>
      </c>
      <c r="V309" s="648" t="e">
        <f>Data2025!V308</f>
        <v>#N/A</v>
      </c>
      <c r="W309" s="648" t="e">
        <f>Data2025!X308</f>
        <v>#N/A</v>
      </c>
      <c r="X309" s="523" t="s">
        <v>541</v>
      </c>
      <c r="Y309" s="268" t="str">
        <f t="shared" si="15"/>
        <v>Alat Kebersihan</v>
      </c>
      <c r="Z309" s="649" t="str">
        <f t="shared" si="16"/>
        <v>Alat Kebersihan</v>
      </c>
      <c r="AA309" s="650" t="s">
        <v>3363</v>
      </c>
      <c r="AB309" s="269">
        <v>300000</v>
      </c>
      <c r="AC309" s="269">
        <v>600000</v>
      </c>
      <c r="AD309" s="267">
        <v>600000</v>
      </c>
      <c r="AE309" s="270">
        <v>540540.54054054059</v>
      </c>
      <c r="AF309" s="270">
        <v>600000</v>
      </c>
      <c r="AG309" s="805" t="s">
        <v>3883</v>
      </c>
      <c r="AH309" s="651" t="e">
        <f>Data2025!W308</f>
        <v>#N/A</v>
      </c>
    </row>
    <row r="310" spans="1:36" ht="16.5" thickTop="1" thickBot="1">
      <c r="A310" s="636">
        <f>Data2025!G309</f>
        <v>99</v>
      </c>
      <c r="B310" s="637" t="e">
        <f>Data2025!K309</f>
        <v>#N/A</v>
      </c>
      <c r="C310" s="638" t="str">
        <f>Data2025!D309</f>
        <v>06. 05. 09.</v>
      </c>
      <c r="D310" s="639" t="str">
        <f>Data2025!C309</f>
        <v>5.1.02.01.01.0030</v>
      </c>
      <c r="E310" s="265">
        <f>Data2025!E309</f>
        <v>45717</v>
      </c>
      <c r="F310" s="640" t="str">
        <f>Data2025!F309</f>
        <v>03/03/2025</v>
      </c>
      <c r="G310" s="265" t="str">
        <f>Data2025!H309</f>
        <v>03/03/2025</v>
      </c>
      <c r="H310" s="265" t="str">
        <f t="shared" si="14"/>
        <v>03/03/2025</v>
      </c>
      <c r="I310" s="641" t="str">
        <f>Data2025!J309</f>
        <v>23/04/2025</v>
      </c>
      <c r="J310" s="381" t="str">
        <f>Data2025!L309</f>
        <v>Hand Sanitizer-Unit</v>
      </c>
      <c r="K310" s="381" t="str">
        <f t="shared" si="17"/>
        <v>Hand Sanitizer-Unit</v>
      </c>
      <c r="L310" s="642">
        <f>Data2025!N309</f>
        <v>5</v>
      </c>
      <c r="M310" s="642" t="str">
        <f>Data2025!O309</f>
        <v>unit</v>
      </c>
      <c r="N310" s="643">
        <f>Data2025!P309</f>
        <v>70000</v>
      </c>
      <c r="O310" s="644">
        <f>Data2025!Q309</f>
        <v>350000</v>
      </c>
      <c r="P310" s="645" t="s">
        <v>2609</v>
      </c>
      <c r="Q310" s="646" t="str">
        <f>VLOOKUP(K310,Sheet1!$C$1:$D$101,2,)</f>
        <v>Hand Sanitizer (Kemasan Botol 500ml)</v>
      </c>
      <c r="R310" s="267">
        <v>1250000</v>
      </c>
      <c r="S310" s="647">
        <v>1300000</v>
      </c>
      <c r="T310" s="648">
        <f>Data2025!T309</f>
        <v>0</v>
      </c>
      <c r="U310" s="268" t="s">
        <v>2531</v>
      </c>
      <c r="V310" s="648" t="e">
        <f>Data2025!V309</f>
        <v>#N/A</v>
      </c>
      <c r="W310" s="648" t="e">
        <f>Data2025!X309</f>
        <v>#N/A</v>
      </c>
      <c r="X310" s="268" t="s">
        <v>2529</v>
      </c>
      <c r="Y310" s="268" t="str">
        <f t="shared" si="15"/>
        <v>Alat Kebersihan</v>
      </c>
      <c r="Z310" s="649" t="str">
        <f t="shared" si="16"/>
        <v>Alat Kebersihan</v>
      </c>
      <c r="AA310" s="650" t="s">
        <v>3372</v>
      </c>
      <c r="AB310" s="269">
        <v>50000</v>
      </c>
      <c r="AC310" s="269">
        <v>1250000</v>
      </c>
      <c r="AD310" s="267">
        <v>1250000</v>
      </c>
      <c r="AE310" s="270">
        <v>1126126.1261261262</v>
      </c>
      <c r="AF310" s="270">
        <v>1250000</v>
      </c>
      <c r="AG310" s="805" t="s">
        <v>3883</v>
      </c>
      <c r="AH310" s="651" t="e">
        <f>Data2025!W309</f>
        <v>#N/A</v>
      </c>
    </row>
    <row r="311" spans="1:36" ht="16.5" thickTop="1" thickBot="1">
      <c r="A311" s="636">
        <f>Data2025!G310</f>
        <v>112</v>
      </c>
      <c r="B311" s="637" t="str">
        <f>Data2025!K310</f>
        <v>BPU50</v>
      </c>
      <c r="C311" s="638" t="str">
        <f>Data2025!D310</f>
        <v>06. 07. 01.</v>
      </c>
      <c r="D311" s="639" t="str">
        <f>Data2025!C310</f>
        <v>5.1.02.02.01.0061</v>
      </c>
      <c r="E311" s="265">
        <f>Data2025!E310</f>
        <v>45734</v>
      </c>
      <c r="F311" s="640" t="str">
        <f>Data2025!F310</f>
        <v>20/03/2025</v>
      </c>
      <c r="G311" s="265" t="str">
        <f>Data2025!H310</f>
        <v>20/03/2025</v>
      </c>
      <c r="H311" s="265" t="str">
        <f t="shared" si="14"/>
        <v>20/03/2025</v>
      </c>
      <c r="I311" s="641" t="str">
        <f>Data2025!J310</f>
        <v>20/03/2025</v>
      </c>
      <c r="J311" s="381" t="str">
        <f>Data2025!L310</f>
        <v>Biaya Rekening Listrik--</v>
      </c>
      <c r="K311" s="381" t="str">
        <f>Data2025!M310</f>
        <v>Langganan jasa Listrik</v>
      </c>
      <c r="L311" s="642">
        <f>Data2025!N310</f>
        <v>1</v>
      </c>
      <c r="M311" s="642" t="str">
        <f>Data2025!O310</f>
        <v>bulan</v>
      </c>
      <c r="N311" s="643">
        <f>Data2025!P310</f>
        <v>2000000</v>
      </c>
      <c r="O311" s="644">
        <f>Data2025!Q310</f>
        <v>2000000</v>
      </c>
      <c r="P311" s="645" t="s">
        <v>2664</v>
      </c>
      <c r="Q311" s="646" t="e">
        <f>VLOOKUP(K311,Sheet1!$C$1:$D$101,2,)</f>
        <v>#N/A</v>
      </c>
      <c r="R311" s="267">
        <v>1000000</v>
      </c>
      <c r="S311" s="647">
        <v>1002000</v>
      </c>
      <c r="T311" s="648">
        <f>Data2025!T310</f>
        <v>0</v>
      </c>
      <c r="U311" s="268" t="s">
        <v>538</v>
      </c>
      <c r="V311" s="648" t="e">
        <f>Data2025!V310</f>
        <v>#N/A</v>
      </c>
      <c r="W311" s="648" t="e">
        <f>Data2025!X310</f>
        <v>#N/A</v>
      </c>
      <c r="X311" s="268" t="s">
        <v>540</v>
      </c>
      <c r="Y311" s="268" t="str">
        <f t="shared" si="15"/>
        <v>Jasa PLN</v>
      </c>
      <c r="Z311" s="649" t="str">
        <f t="shared" si="16"/>
        <v>Jasa PLN</v>
      </c>
      <c r="AA311" s="650" t="s">
        <v>3373</v>
      </c>
      <c r="AB311" s="269">
        <v>1000000</v>
      </c>
      <c r="AC311" s="269">
        <v>1000000</v>
      </c>
      <c r="AD311" s="267">
        <v>1000000</v>
      </c>
      <c r="AE311" s="270">
        <v>900900.90090090095</v>
      </c>
      <c r="AF311" s="270">
        <v>1000000</v>
      </c>
      <c r="AG311" s="805" t="s">
        <v>3883</v>
      </c>
      <c r="AH311" s="651" t="e">
        <f>Data2025!W310</f>
        <v>#N/A</v>
      </c>
    </row>
    <row r="312" spans="1:36" ht="16.5" thickTop="1" thickBot="1">
      <c r="A312" s="636">
        <f>Data2025!G311</f>
        <v>113</v>
      </c>
      <c r="B312" s="637" t="str">
        <f>Data2025!K311</f>
        <v>BPU51</v>
      </c>
      <c r="C312" s="638" t="str">
        <f>Data2025!D311</f>
        <v>06. 07. 05.</v>
      </c>
      <c r="D312" s="639" t="str">
        <f>Data2025!C311</f>
        <v>5.1.02.02.01.0063</v>
      </c>
      <c r="E312" s="265">
        <f>Data2025!E311</f>
        <v>45734</v>
      </c>
      <c r="F312" s="640" t="str">
        <f>Data2025!F311</f>
        <v>20/03/2025</v>
      </c>
      <c r="G312" s="265" t="str">
        <f>Data2025!H311</f>
        <v>20/03/2025</v>
      </c>
      <c r="H312" s="265" t="str">
        <f t="shared" si="14"/>
        <v>20/03/2025</v>
      </c>
      <c r="I312" s="641" t="str">
        <f>Data2025!J311</f>
        <v>20/03/2025</v>
      </c>
      <c r="J312" s="381" t="str">
        <f>Data2025!L311</f>
        <v>Biaya Langganan Internet--</v>
      </c>
      <c r="K312" s="381" t="str">
        <f>Data2025!M311</f>
        <v>Langganan jasa Indihome</v>
      </c>
      <c r="L312" s="642">
        <f>Data2025!N311</f>
        <v>1</v>
      </c>
      <c r="M312" s="642" t="str">
        <f>Data2025!O311</f>
        <v>bulan</v>
      </c>
      <c r="N312" s="643">
        <f>Data2025!P311</f>
        <v>1500000</v>
      </c>
      <c r="O312" s="644">
        <f>Data2025!Q311</f>
        <v>1500000</v>
      </c>
      <c r="P312" s="645" t="s">
        <v>2668</v>
      </c>
      <c r="Q312" s="646" t="e">
        <f>VLOOKUP(K312,Sheet1!$C$1:$D$101,2,)</f>
        <v>#N/A</v>
      </c>
      <c r="R312" s="267">
        <v>180000</v>
      </c>
      <c r="S312" s="647">
        <v>1360000</v>
      </c>
      <c r="T312" s="648">
        <f>Data2025!T311</f>
        <v>0</v>
      </c>
      <c r="U312" s="268" t="s">
        <v>2531</v>
      </c>
      <c r="V312" s="648" t="e">
        <f>Data2025!V311</f>
        <v>#N/A</v>
      </c>
      <c r="W312" s="648" t="e">
        <f>Data2025!X311</f>
        <v>#N/A</v>
      </c>
      <c r="X312" s="268" t="s">
        <v>2529</v>
      </c>
      <c r="Y312" s="268" t="str">
        <f t="shared" si="15"/>
        <v>Jasa Internet</v>
      </c>
      <c r="Z312" s="649" t="str">
        <f t="shared" si="16"/>
        <v>Jasa Internet</v>
      </c>
      <c r="AA312" s="650" t="s">
        <v>3362</v>
      </c>
      <c r="AB312" s="269">
        <v>15000</v>
      </c>
      <c r="AC312" s="269">
        <v>1200000</v>
      </c>
      <c r="AD312" s="267">
        <v>180000</v>
      </c>
      <c r="AE312" s="270">
        <v>162162.16216216216</v>
      </c>
      <c r="AF312" s="270">
        <v>180000</v>
      </c>
      <c r="AG312" s="805" t="s">
        <v>3883</v>
      </c>
      <c r="AH312" s="651" t="e">
        <f>Data2025!W311</f>
        <v>#N/A</v>
      </c>
      <c r="AI312" s="277"/>
      <c r="AJ312" s="277"/>
    </row>
    <row r="313" spans="1:36" ht="16.5" thickTop="1" thickBot="1">
      <c r="A313" s="636">
        <f>Data2025!G312</f>
        <v>115</v>
      </c>
      <c r="B313" s="637" t="str">
        <f>Data2025!K312</f>
        <v>BNU38</v>
      </c>
      <c r="C313" s="638" t="str">
        <f>Data2025!D312</f>
        <v>07. 12. 01.</v>
      </c>
      <c r="D313" s="639" t="str">
        <f>Data2025!C312</f>
        <v>5.1.02.02.01.0013</v>
      </c>
      <c r="E313" s="265">
        <f>Data2025!E312</f>
        <v>45735</v>
      </c>
      <c r="F313" s="640" t="str">
        <f>Data2025!F312</f>
        <v>21/03/2025</v>
      </c>
      <c r="G313" s="265" t="str">
        <f>Data2025!H312</f>
        <v>21/03/2025</v>
      </c>
      <c r="H313" s="265" t="str">
        <f t="shared" si="14"/>
        <v>21/03/2025</v>
      </c>
      <c r="I313" s="641" t="str">
        <f>Data2025!J312</f>
        <v>21/03/2025</v>
      </c>
      <c r="J313" s="381" t="str">
        <f>Data2025!L312</f>
        <v>Selatieli Nehe</v>
      </c>
      <c r="K313" s="381" t="str">
        <f>Data2025!M312</f>
        <v>Gaji Guru Tidak Tetap Sekolah</v>
      </c>
      <c r="L313" s="642">
        <f>Data2025!N312</f>
        <v>41</v>
      </c>
      <c r="M313" s="642" t="str">
        <f>Data2025!O312</f>
        <v>jpl</v>
      </c>
      <c r="N313" s="643">
        <f>Data2025!P312</f>
        <v>60000</v>
      </c>
      <c r="O313" s="644">
        <f>Data2025!Q312</f>
        <v>2460000</v>
      </c>
      <c r="P313" s="645" t="s">
        <v>3867</v>
      </c>
      <c r="Q313" s="646" t="e">
        <f>VLOOKUP(K313,Sheet1!$C$1:$D$101,2,)</f>
        <v>#N/A</v>
      </c>
      <c r="R313" s="267">
        <v>480000</v>
      </c>
      <c r="S313" s="647">
        <v>3360000</v>
      </c>
      <c r="T313" s="648">
        <f>Data2025!T312</f>
        <v>0</v>
      </c>
      <c r="U313" s="268" t="s">
        <v>2520</v>
      </c>
      <c r="V313" s="648" t="e">
        <f>Data2025!V312</f>
        <v>#N/A</v>
      </c>
      <c r="W313" s="648" t="e">
        <f>Data2025!X312</f>
        <v>#N/A</v>
      </c>
      <c r="X313" s="268" t="s">
        <v>3391</v>
      </c>
      <c r="Y313" s="268" t="str">
        <f t="shared" si="15"/>
        <v>Honorarium</v>
      </c>
      <c r="Z313" s="649" t="str">
        <f t="shared" si="16"/>
        <v>Honorarium</v>
      </c>
      <c r="AA313" s="650" t="s">
        <v>3362</v>
      </c>
      <c r="AB313" s="269">
        <v>40000</v>
      </c>
      <c r="AC313" s="269">
        <v>3200000</v>
      </c>
      <c r="AD313" s="267">
        <v>480000</v>
      </c>
      <c r="AE313" s="270">
        <v>432432.43243243243</v>
      </c>
      <c r="AF313" s="270">
        <v>480000</v>
      </c>
      <c r="AG313" s="805" t="s">
        <v>3883</v>
      </c>
      <c r="AH313" s="651" t="e">
        <f>Data2025!W312</f>
        <v>#N/A</v>
      </c>
    </row>
    <row r="314" spans="1:36" s="501" customFormat="1" ht="16.5" thickTop="1" thickBot="1">
      <c r="A314" s="636">
        <f>Data2025!G313</f>
        <v>116</v>
      </c>
      <c r="B314" s="637" t="str">
        <f>Data2025!K313</f>
        <v>BNU39</v>
      </c>
      <c r="C314" s="638" t="str">
        <f>Data2025!D313</f>
        <v>07. 12. 01.</v>
      </c>
      <c r="D314" s="639" t="str">
        <f>Data2025!C313</f>
        <v>5.1.02.02.01.0013</v>
      </c>
      <c r="E314" s="265">
        <f>Data2025!E313</f>
        <v>45735</v>
      </c>
      <c r="F314" s="640" t="str">
        <f>Data2025!F313</f>
        <v>21/03/2025</v>
      </c>
      <c r="G314" s="265" t="str">
        <f>Data2025!H313</f>
        <v>21/03/2025</v>
      </c>
      <c r="H314" s="265" t="str">
        <f t="shared" si="14"/>
        <v>21/03/2025</v>
      </c>
      <c r="I314" s="641" t="str">
        <f>Data2025!J313</f>
        <v>21/03/2025</v>
      </c>
      <c r="J314" s="381" t="str">
        <f>Data2025!L313</f>
        <v>Arifin Metodi Bate'e</v>
      </c>
      <c r="K314" s="381" t="str">
        <f>Data2025!M313</f>
        <v>Gaji Guru Tidak Tetap Sekolah</v>
      </c>
      <c r="L314" s="642">
        <f>Data2025!N313</f>
        <v>34</v>
      </c>
      <c r="M314" s="642" t="str">
        <f>Data2025!O313</f>
        <v>jpl</v>
      </c>
      <c r="N314" s="643">
        <f>Data2025!P313</f>
        <v>60000</v>
      </c>
      <c r="O314" s="644">
        <f>Data2025!Q313</f>
        <v>2040000</v>
      </c>
      <c r="P314" s="645" t="s">
        <v>3867</v>
      </c>
      <c r="Q314" s="646" t="e">
        <f>VLOOKUP(K314,Sheet1!$C$1:$D$101,2,)</f>
        <v>#N/A</v>
      </c>
      <c r="R314" s="496">
        <v>1360000</v>
      </c>
      <c r="S314" s="504">
        <v>1362000</v>
      </c>
      <c r="T314" s="648">
        <f>Data2025!T313</f>
        <v>0</v>
      </c>
      <c r="U314" s="497" t="s">
        <v>538</v>
      </c>
      <c r="V314" s="648" t="e">
        <f>Data2025!V313</f>
        <v>#N/A</v>
      </c>
      <c r="W314" s="648" t="e">
        <f>Data2025!X313</f>
        <v>#N/A</v>
      </c>
      <c r="X314" s="497" t="s">
        <v>540</v>
      </c>
      <c r="Y314" s="268" t="str">
        <f t="shared" si="15"/>
        <v>Honorarium</v>
      </c>
      <c r="Z314" s="649" t="str">
        <f t="shared" si="16"/>
        <v>Honorarium</v>
      </c>
      <c r="AA314" s="498" t="s">
        <v>1565</v>
      </c>
      <c r="AB314" s="499">
        <v>1360000</v>
      </c>
      <c r="AC314" s="499">
        <v>1360000</v>
      </c>
      <c r="AD314" s="496">
        <v>1360000</v>
      </c>
      <c r="AE314" s="500">
        <v>1225225.2252252253</v>
      </c>
      <c r="AF314" s="500">
        <v>1360000</v>
      </c>
      <c r="AG314" s="805" t="s">
        <v>3883</v>
      </c>
      <c r="AH314" s="651" t="e">
        <f>Data2025!W313</f>
        <v>#N/A</v>
      </c>
      <c r="AI314" s="502"/>
      <c r="AJ314" s="502"/>
    </row>
    <row r="315" spans="1:36" s="501" customFormat="1" ht="16.5" thickTop="1" thickBot="1">
      <c r="A315" s="636">
        <f>Data2025!G314</f>
        <v>117</v>
      </c>
      <c r="B315" s="637" t="str">
        <f>Data2025!K314</f>
        <v>BNU40</v>
      </c>
      <c r="C315" s="638" t="str">
        <f>Data2025!D314</f>
        <v>07. 12. 01.</v>
      </c>
      <c r="D315" s="639" t="str">
        <f>Data2025!C314</f>
        <v>5.1.02.02.01.0013</v>
      </c>
      <c r="E315" s="265">
        <f>Data2025!E314</f>
        <v>45735</v>
      </c>
      <c r="F315" s="640" t="str">
        <f>Data2025!F314</f>
        <v>21/03/2025</v>
      </c>
      <c r="G315" s="265" t="str">
        <f>Data2025!H314</f>
        <v>21/03/2025</v>
      </c>
      <c r="H315" s="265" t="str">
        <f t="shared" si="14"/>
        <v>21/03/2025</v>
      </c>
      <c r="I315" s="641" t="str">
        <f>Data2025!J314</f>
        <v>21/03/2025</v>
      </c>
      <c r="J315" s="381" t="str">
        <f>Data2025!L314</f>
        <v>Ferdiwati Wau</v>
      </c>
      <c r="K315" s="381" t="str">
        <f>Data2025!M314</f>
        <v>Gaji Guru Tidak Tetap Sekolah</v>
      </c>
      <c r="L315" s="642">
        <f>Data2025!N314</f>
        <v>34</v>
      </c>
      <c r="M315" s="642" t="str">
        <f>Data2025!O314</f>
        <v>jpl</v>
      </c>
      <c r="N315" s="643">
        <f>Data2025!P314</f>
        <v>60000</v>
      </c>
      <c r="O315" s="644">
        <f>Data2025!Q314</f>
        <v>2040000</v>
      </c>
      <c r="P315" s="645" t="s">
        <v>3867</v>
      </c>
      <c r="Q315" s="646" t="e">
        <f>VLOOKUP(K315,Sheet1!$C$1:$D$101,2,)</f>
        <v>#N/A</v>
      </c>
      <c r="R315" s="496">
        <v>15238975</v>
      </c>
      <c r="S315" s="504">
        <v>15240975</v>
      </c>
      <c r="T315" s="648">
        <f>Data2025!T314</f>
        <v>0</v>
      </c>
      <c r="U315" s="497" t="s">
        <v>538</v>
      </c>
      <c r="V315" s="648" t="e">
        <f>Data2025!V314</f>
        <v>#N/A</v>
      </c>
      <c r="W315" s="648" t="e">
        <f>Data2025!X314</f>
        <v>#N/A</v>
      </c>
      <c r="X315" s="497" t="s">
        <v>540</v>
      </c>
      <c r="Y315" s="268" t="str">
        <f t="shared" si="15"/>
        <v>Honorarium</v>
      </c>
      <c r="Z315" s="649" t="str">
        <f t="shared" si="16"/>
        <v>Honorarium</v>
      </c>
      <c r="AA315" s="498" t="s">
        <v>1565</v>
      </c>
      <c r="AB315" s="499">
        <v>15238975</v>
      </c>
      <c r="AC315" s="499">
        <v>15238975</v>
      </c>
      <c r="AD315" s="496">
        <v>15238975</v>
      </c>
      <c r="AE315" s="500">
        <v>13728806.306306306</v>
      </c>
      <c r="AF315" s="500">
        <v>15238975</v>
      </c>
      <c r="AG315" s="805" t="s">
        <v>3883</v>
      </c>
      <c r="AH315" s="651" t="e">
        <f>Data2025!W314</f>
        <v>#N/A</v>
      </c>
    </row>
    <row r="316" spans="1:36" s="501" customFormat="1" ht="16.5" thickTop="1" thickBot="1">
      <c r="A316" s="636">
        <f>Data2025!G315</f>
        <v>118</v>
      </c>
      <c r="B316" s="637" t="str">
        <f>Data2025!K315</f>
        <v>BNU41</v>
      </c>
      <c r="C316" s="638" t="str">
        <f>Data2025!D315</f>
        <v>07. 12. 01.</v>
      </c>
      <c r="D316" s="639" t="str">
        <f>Data2025!C315</f>
        <v>5.1.02.02.01.0013</v>
      </c>
      <c r="E316" s="265">
        <f>Data2025!E315</f>
        <v>45735</v>
      </c>
      <c r="F316" s="640" t="str">
        <f>Data2025!F315</f>
        <v>21/03/2025</v>
      </c>
      <c r="G316" s="265" t="str">
        <f>Data2025!H315</f>
        <v>21/03/2025</v>
      </c>
      <c r="H316" s="265" t="str">
        <f t="shared" si="14"/>
        <v>21/03/2025</v>
      </c>
      <c r="I316" s="641" t="str">
        <f>Data2025!J315</f>
        <v>21/03/2025</v>
      </c>
      <c r="J316" s="381" t="str">
        <f>Data2025!L315</f>
        <v>Noni Alfanita Sarumaha, S.Pd</v>
      </c>
      <c r="K316" s="381" t="str">
        <f>Data2025!M315</f>
        <v>Gaji Guru Tidak Tetap Sekolah</v>
      </c>
      <c r="L316" s="642">
        <f>Data2025!N315</f>
        <v>37</v>
      </c>
      <c r="M316" s="642" t="str">
        <f>Data2025!O315</f>
        <v>jpl</v>
      </c>
      <c r="N316" s="643">
        <f>Data2025!P315</f>
        <v>60000</v>
      </c>
      <c r="O316" s="644">
        <f>Data2025!Q315</f>
        <v>2220000</v>
      </c>
      <c r="P316" s="645" t="s">
        <v>3867</v>
      </c>
      <c r="Q316" s="646" t="e">
        <f>VLOOKUP(K316,Sheet1!$C$1:$D$101,2,)</f>
        <v>#N/A</v>
      </c>
      <c r="R316" s="496">
        <v>900000</v>
      </c>
      <c r="S316" s="504">
        <v>902000</v>
      </c>
      <c r="T316" s="648">
        <f>Data2025!T315</f>
        <v>0</v>
      </c>
      <c r="U316" s="497" t="s">
        <v>538</v>
      </c>
      <c r="V316" s="648" t="e">
        <f>Data2025!V315</f>
        <v>#N/A</v>
      </c>
      <c r="W316" s="648" t="e">
        <f>Data2025!X315</f>
        <v>#N/A</v>
      </c>
      <c r="X316" s="497" t="s">
        <v>540</v>
      </c>
      <c r="Y316" s="268" t="str">
        <f t="shared" si="15"/>
        <v>Honorarium</v>
      </c>
      <c r="Z316" s="649" t="str">
        <f t="shared" si="16"/>
        <v>Honorarium</v>
      </c>
      <c r="AA316" s="498" t="s">
        <v>1565</v>
      </c>
      <c r="AB316" s="499">
        <v>900000</v>
      </c>
      <c r="AC316" s="499">
        <v>900000</v>
      </c>
      <c r="AD316" s="496">
        <v>900000</v>
      </c>
      <c r="AE316" s="500">
        <v>810810.81081081077</v>
      </c>
      <c r="AF316" s="500">
        <v>900000</v>
      </c>
      <c r="AG316" s="805" t="s">
        <v>3883</v>
      </c>
      <c r="AH316" s="651" t="e">
        <f>Data2025!W315</f>
        <v>#N/A</v>
      </c>
      <c r="AI316" s="502"/>
      <c r="AJ316" s="502"/>
    </row>
    <row r="317" spans="1:36" s="501" customFormat="1" ht="16.5" thickTop="1" thickBot="1">
      <c r="A317" s="636">
        <f>Data2025!G316</f>
        <v>119</v>
      </c>
      <c r="B317" s="637" t="str">
        <f>Data2025!K316</f>
        <v>BNU42</v>
      </c>
      <c r="C317" s="638" t="str">
        <f>Data2025!D316</f>
        <v>07. 12. 01.</v>
      </c>
      <c r="D317" s="639" t="str">
        <f>Data2025!C316</f>
        <v>5.1.02.02.01.0013</v>
      </c>
      <c r="E317" s="265">
        <f>Data2025!E316</f>
        <v>45735</v>
      </c>
      <c r="F317" s="640" t="str">
        <f>Data2025!F316</f>
        <v>21/03/2025</v>
      </c>
      <c r="G317" s="265" t="str">
        <f>Data2025!H316</f>
        <v>21/03/2025</v>
      </c>
      <c r="H317" s="265" t="str">
        <f t="shared" si="14"/>
        <v>21/03/2025</v>
      </c>
      <c r="I317" s="641" t="str">
        <f>Data2025!J316</f>
        <v>21/03/2025</v>
      </c>
      <c r="J317" s="381" t="str">
        <f>Data2025!L316</f>
        <v>EMILA HAFO</v>
      </c>
      <c r="K317" s="381" t="str">
        <f>Data2025!M316</f>
        <v>Gaji Guru Tidak Tetap Sekolah</v>
      </c>
      <c r="L317" s="642">
        <f>Data2025!N316</f>
        <v>35</v>
      </c>
      <c r="M317" s="642" t="str">
        <f>Data2025!O316</f>
        <v>jpl</v>
      </c>
      <c r="N317" s="643">
        <f>Data2025!P316</f>
        <v>60000</v>
      </c>
      <c r="O317" s="644">
        <f>Data2025!Q316</f>
        <v>2100000</v>
      </c>
      <c r="P317" s="645" t="s">
        <v>3867</v>
      </c>
      <c r="Q317" s="646" t="e">
        <f>VLOOKUP(K317,Sheet1!$C$1:$D$101,2,)</f>
        <v>#N/A</v>
      </c>
      <c r="R317" s="496">
        <v>1400000</v>
      </c>
      <c r="S317" s="504">
        <v>1402000</v>
      </c>
      <c r="T317" s="648">
        <f>Data2025!T316</f>
        <v>0</v>
      </c>
      <c r="U317" s="497" t="s">
        <v>538</v>
      </c>
      <c r="V317" s="648" t="e">
        <f>Data2025!V316</f>
        <v>#N/A</v>
      </c>
      <c r="W317" s="648" t="e">
        <f>Data2025!X316</f>
        <v>#N/A</v>
      </c>
      <c r="X317" s="497" t="s">
        <v>540</v>
      </c>
      <c r="Y317" s="268" t="str">
        <f t="shared" si="15"/>
        <v>Honorarium</v>
      </c>
      <c r="Z317" s="649" t="str">
        <f t="shared" si="16"/>
        <v>Honorarium</v>
      </c>
      <c r="AA317" s="498" t="s">
        <v>1565</v>
      </c>
      <c r="AB317" s="499">
        <v>1400000</v>
      </c>
      <c r="AC317" s="499">
        <v>1400000</v>
      </c>
      <c r="AD317" s="496">
        <v>1400000</v>
      </c>
      <c r="AE317" s="500">
        <v>1261261.2612612613</v>
      </c>
      <c r="AF317" s="500">
        <v>1400000</v>
      </c>
      <c r="AG317" s="805" t="s">
        <v>3883</v>
      </c>
      <c r="AH317" s="651" t="e">
        <f>Data2025!W316</f>
        <v>#N/A</v>
      </c>
    </row>
    <row r="318" spans="1:36" s="501" customFormat="1" ht="16.5" thickTop="1" thickBot="1">
      <c r="A318" s="636">
        <f>Data2025!G317</f>
        <v>120</v>
      </c>
      <c r="B318" s="637" t="str">
        <f>Data2025!K317</f>
        <v>BNU43</v>
      </c>
      <c r="C318" s="638" t="str">
        <f>Data2025!D317</f>
        <v>07. 12. 01.</v>
      </c>
      <c r="D318" s="639" t="str">
        <f>Data2025!C317</f>
        <v>5.1.02.02.01.0013</v>
      </c>
      <c r="E318" s="265">
        <f>Data2025!E317</f>
        <v>45735</v>
      </c>
      <c r="F318" s="640" t="str">
        <f>Data2025!F317</f>
        <v>21/03/2025</v>
      </c>
      <c r="G318" s="265" t="str">
        <f>Data2025!H317</f>
        <v>21/03/2025</v>
      </c>
      <c r="H318" s="265" t="str">
        <f t="shared" si="14"/>
        <v>21/03/2025</v>
      </c>
      <c r="I318" s="641" t="str">
        <f>Data2025!J317</f>
        <v>21/03/2025</v>
      </c>
      <c r="J318" s="381" t="str">
        <f>Data2025!L317</f>
        <v>Asep Nurhidayat</v>
      </c>
      <c r="K318" s="381" t="str">
        <f>Data2025!M317</f>
        <v>Gaji Guru Tidak Tetap Sekolah</v>
      </c>
      <c r="L318" s="642">
        <f>Data2025!N317</f>
        <v>21</v>
      </c>
      <c r="M318" s="642" t="str">
        <f>Data2025!O317</f>
        <v>jpl</v>
      </c>
      <c r="N318" s="643">
        <f>Data2025!P317</f>
        <v>60000</v>
      </c>
      <c r="O318" s="644">
        <f>Data2025!Q317</f>
        <v>1260000</v>
      </c>
      <c r="P318" s="645" t="s">
        <v>3867</v>
      </c>
      <c r="Q318" s="646" t="e">
        <f>VLOOKUP(K318,Sheet1!$C$1:$D$101,2,)</f>
        <v>#N/A</v>
      </c>
      <c r="R318" s="496">
        <v>1200000</v>
      </c>
      <c r="S318" s="504">
        <v>1202000</v>
      </c>
      <c r="T318" s="648">
        <f>Data2025!T317</f>
        <v>0</v>
      </c>
      <c r="U318" s="497" t="s">
        <v>538</v>
      </c>
      <c r="V318" s="648" t="e">
        <f>Data2025!V317</f>
        <v>#N/A</v>
      </c>
      <c r="W318" s="648" t="e">
        <f>Data2025!X317</f>
        <v>#N/A</v>
      </c>
      <c r="X318" s="497" t="s">
        <v>540</v>
      </c>
      <c r="Y318" s="268" t="str">
        <f t="shared" si="15"/>
        <v>Honorarium</v>
      </c>
      <c r="Z318" s="649" t="str">
        <f t="shared" si="16"/>
        <v>Honorarium</v>
      </c>
      <c r="AA318" s="498" t="s">
        <v>1565</v>
      </c>
      <c r="AB318" s="499">
        <v>1200000</v>
      </c>
      <c r="AC318" s="499">
        <v>1200000</v>
      </c>
      <c r="AD318" s="496">
        <v>1200000</v>
      </c>
      <c r="AE318" s="500">
        <v>1081081.0810810812</v>
      </c>
      <c r="AF318" s="500">
        <v>1200000</v>
      </c>
      <c r="AG318" s="805" t="s">
        <v>3883</v>
      </c>
      <c r="AH318" s="651" t="e">
        <f>Data2025!W317</f>
        <v>#N/A</v>
      </c>
    </row>
    <row r="319" spans="1:36" s="501" customFormat="1" ht="16.5" thickTop="1" thickBot="1">
      <c r="A319" s="636">
        <f>Data2025!G318</f>
        <v>121</v>
      </c>
      <c r="B319" s="637" t="str">
        <f>Data2025!K318</f>
        <v>BNU44</v>
      </c>
      <c r="C319" s="638" t="str">
        <f>Data2025!D318</f>
        <v>07. 12. 01.</v>
      </c>
      <c r="D319" s="639" t="str">
        <f>Data2025!C318</f>
        <v>5.1.02.02.01.0013</v>
      </c>
      <c r="E319" s="265">
        <f>Data2025!E318</f>
        <v>45735</v>
      </c>
      <c r="F319" s="640" t="str">
        <f>Data2025!F318</f>
        <v>21/03/2025</v>
      </c>
      <c r="G319" s="265" t="str">
        <f>Data2025!H318</f>
        <v>21/03/2025</v>
      </c>
      <c r="H319" s="265" t="str">
        <f t="shared" si="14"/>
        <v>21/03/2025</v>
      </c>
      <c r="I319" s="641" t="str">
        <f>Data2025!J318</f>
        <v>21/03/2025</v>
      </c>
      <c r="J319" s="381" t="str">
        <f>Data2025!L318</f>
        <v>Amonius Dakhi</v>
      </c>
      <c r="K319" s="381" t="str">
        <f>Data2025!M318</f>
        <v>Gaji Guru Tidak Tetap Sekolah</v>
      </c>
      <c r="L319" s="642">
        <f>Data2025!N318</f>
        <v>24</v>
      </c>
      <c r="M319" s="642" t="str">
        <f>Data2025!O318</f>
        <v>orang / jam pelajaran</v>
      </c>
      <c r="N319" s="643">
        <f>Data2025!P318</f>
        <v>50000</v>
      </c>
      <c r="O319" s="644">
        <f>Data2025!Q318</f>
        <v>1200000</v>
      </c>
      <c r="P319" s="645" t="s">
        <v>3867</v>
      </c>
      <c r="Q319" s="646" t="e">
        <f>VLOOKUP(K319,Sheet1!$C$1:$D$101,2,)</f>
        <v>#N/A</v>
      </c>
      <c r="R319" s="496">
        <v>11901025</v>
      </c>
      <c r="S319" s="504">
        <v>11903025</v>
      </c>
      <c r="T319" s="648">
        <f>Data2025!T318</f>
        <v>0</v>
      </c>
      <c r="U319" s="497" t="s">
        <v>538</v>
      </c>
      <c r="V319" s="648" t="e">
        <f>Data2025!V318</f>
        <v>#N/A</v>
      </c>
      <c r="W319" s="648" t="e">
        <f>Data2025!X318</f>
        <v>#N/A</v>
      </c>
      <c r="X319" s="497" t="s">
        <v>540</v>
      </c>
      <c r="Y319" s="268" t="str">
        <f t="shared" si="15"/>
        <v>Honorarium</v>
      </c>
      <c r="Z319" s="649" t="str">
        <f t="shared" si="16"/>
        <v>Honorarium</v>
      </c>
      <c r="AA319" s="498" t="s">
        <v>1565</v>
      </c>
      <c r="AB319" s="499">
        <v>11901025</v>
      </c>
      <c r="AC319" s="499">
        <v>11901025</v>
      </c>
      <c r="AD319" s="496">
        <v>11901025</v>
      </c>
      <c r="AE319" s="500">
        <v>10721644.144144144</v>
      </c>
      <c r="AF319" s="500">
        <v>11901025</v>
      </c>
      <c r="AG319" s="805" t="s">
        <v>3883</v>
      </c>
      <c r="AH319" s="651" t="e">
        <f>Data2025!W318</f>
        <v>#N/A</v>
      </c>
    </row>
    <row r="320" spans="1:36" ht="16.5" thickTop="1" thickBot="1">
      <c r="A320" s="636">
        <f>Data2025!G319</f>
        <v>122</v>
      </c>
      <c r="B320" s="637" t="str">
        <f>Data2025!K319</f>
        <v>BNU45</v>
      </c>
      <c r="C320" s="638" t="str">
        <f>Data2025!D319</f>
        <v>07. 12. 01.</v>
      </c>
      <c r="D320" s="639" t="str">
        <f>Data2025!C319</f>
        <v>5.1.02.02.01.0013</v>
      </c>
      <c r="E320" s="265">
        <f>Data2025!E319</f>
        <v>45735</v>
      </c>
      <c r="F320" s="640" t="str">
        <f>Data2025!F319</f>
        <v>21/03/2025</v>
      </c>
      <c r="G320" s="265" t="str">
        <f>Data2025!H319</f>
        <v>21/03/2025</v>
      </c>
      <c r="H320" s="265" t="str">
        <f t="shared" si="14"/>
        <v>21/03/2025</v>
      </c>
      <c r="I320" s="641" t="str">
        <f>Data2025!J319</f>
        <v>21/03/2025</v>
      </c>
      <c r="J320" s="381" t="str">
        <f>Data2025!L319</f>
        <v>NELPI KARIANA WATI GOHAE</v>
      </c>
      <c r="K320" s="381" t="str">
        <f>Data2025!M319</f>
        <v>Gaji Guru Tidak Tetap Sekolah</v>
      </c>
      <c r="L320" s="642">
        <f>Data2025!N319</f>
        <v>24</v>
      </c>
      <c r="M320" s="642" t="str">
        <f>Data2025!O319</f>
        <v>orang / jam pelajaran</v>
      </c>
      <c r="N320" s="643">
        <f>Data2025!P319</f>
        <v>50000</v>
      </c>
      <c r="O320" s="644">
        <f>Data2025!Q319</f>
        <v>1200000</v>
      </c>
      <c r="P320" s="645" t="s">
        <v>3867</v>
      </c>
      <c r="Q320" s="646" t="e">
        <f>VLOOKUP(K320,Sheet1!$C$1:$D$101,2,)</f>
        <v>#N/A</v>
      </c>
      <c r="R320" s="267">
        <v>900000</v>
      </c>
      <c r="S320" s="647">
        <v>1020000</v>
      </c>
      <c r="T320" s="648">
        <f>Data2025!T319</f>
        <v>0</v>
      </c>
      <c r="U320" s="268" t="s">
        <v>2531</v>
      </c>
      <c r="V320" s="648" t="e">
        <f>Data2025!V319</f>
        <v>#N/A</v>
      </c>
      <c r="W320" s="648" t="e">
        <f>Data2025!X319</f>
        <v>#N/A</v>
      </c>
      <c r="X320" s="268" t="s">
        <v>2529</v>
      </c>
      <c r="Y320" s="268" t="str">
        <f t="shared" si="15"/>
        <v>Honorarium</v>
      </c>
      <c r="Z320" s="649" t="str">
        <f t="shared" si="16"/>
        <v>Honorarium</v>
      </c>
      <c r="AA320" s="650" t="s">
        <v>3363</v>
      </c>
      <c r="AB320" s="269">
        <v>15000</v>
      </c>
      <c r="AC320" s="269">
        <v>900000</v>
      </c>
      <c r="AD320" s="267">
        <v>900000</v>
      </c>
      <c r="AE320" s="270">
        <v>810810.81081081077</v>
      </c>
      <c r="AF320" s="270">
        <v>900000</v>
      </c>
      <c r="AG320" s="805" t="s">
        <v>3883</v>
      </c>
      <c r="AH320" s="651" t="e">
        <f>Data2025!W319</f>
        <v>#N/A</v>
      </c>
      <c r="AI320" s="277"/>
      <c r="AJ320" s="277"/>
    </row>
    <row r="321" spans="1:34" s="501" customFormat="1" ht="26" thickTop="1" thickBot="1">
      <c r="A321" s="636">
        <f>Data2025!G320</f>
        <v>123</v>
      </c>
      <c r="B321" s="637" t="str">
        <f>Data2025!K320</f>
        <v>BNU46</v>
      </c>
      <c r="C321" s="638" t="str">
        <f>Data2025!D320</f>
        <v>07. 12. 01.</v>
      </c>
      <c r="D321" s="639" t="str">
        <f>Data2025!C320</f>
        <v>5.1.02.02.01.0013</v>
      </c>
      <c r="E321" s="265">
        <f>Data2025!E320</f>
        <v>45735</v>
      </c>
      <c r="F321" s="640" t="str">
        <f>Data2025!F320</f>
        <v>21/03/2025</v>
      </c>
      <c r="G321" s="265" t="str">
        <f>Data2025!H320</f>
        <v>21/03/2025</v>
      </c>
      <c r="H321" s="265" t="str">
        <f t="shared" si="14"/>
        <v>21/03/2025</v>
      </c>
      <c r="I321" s="641" t="str">
        <f>Data2025!J320</f>
        <v>21/03/2025</v>
      </c>
      <c r="J321" s="381" t="str">
        <f>Data2025!L320</f>
        <v>MERCY GRACE KARTIKA SARI ZAGOTO (1558776677230122)</v>
      </c>
      <c r="K321" s="381" t="str">
        <f>Data2025!M320</f>
        <v>Gaji Guru Tidak Tetap Sekolah</v>
      </c>
      <c r="L321" s="642">
        <f>Data2025!N320</f>
        <v>35</v>
      </c>
      <c r="M321" s="642" t="str">
        <f>Data2025!O320</f>
        <v>orang / jam pelajaran</v>
      </c>
      <c r="N321" s="643">
        <f>Data2025!P320</f>
        <v>50000</v>
      </c>
      <c r="O321" s="644">
        <f>Data2025!Q320</f>
        <v>1750000</v>
      </c>
      <c r="P321" s="645" t="s">
        <v>3867</v>
      </c>
      <c r="Q321" s="646" t="e">
        <f>VLOOKUP(K321,Sheet1!$C$1:$D$101,2,)</f>
        <v>#N/A</v>
      </c>
      <c r="R321" s="496">
        <v>55000</v>
      </c>
      <c r="S321" s="504">
        <v>65000</v>
      </c>
      <c r="T321" s="648">
        <f>Data2025!T320</f>
        <v>0</v>
      </c>
      <c r="U321" s="497" t="s">
        <v>538</v>
      </c>
      <c r="V321" s="648" t="e">
        <f>Data2025!V320</f>
        <v>#N/A</v>
      </c>
      <c r="W321" s="648" t="e">
        <f>Data2025!X320</f>
        <v>#N/A</v>
      </c>
      <c r="X321" s="497" t="s">
        <v>541</v>
      </c>
      <c r="Y321" s="268" t="str">
        <f t="shared" si="15"/>
        <v>Honorarium</v>
      </c>
      <c r="Z321" s="649" t="str">
        <f t="shared" si="16"/>
        <v>Honorarium</v>
      </c>
      <c r="AA321" s="498" t="s">
        <v>3362</v>
      </c>
      <c r="AB321" s="499">
        <v>11000</v>
      </c>
      <c r="AC321" s="499">
        <v>55000</v>
      </c>
      <c r="AD321" s="496">
        <v>55000</v>
      </c>
      <c r="AE321" s="500">
        <v>49549.549549549549</v>
      </c>
      <c r="AF321" s="500">
        <v>55000</v>
      </c>
      <c r="AG321" s="805" t="s">
        <v>3883</v>
      </c>
      <c r="AH321" s="651" t="e">
        <f>Data2025!W320</f>
        <v>#N/A</v>
      </c>
    </row>
    <row r="322" spans="1:34" s="501" customFormat="1" ht="16.5" thickTop="1" thickBot="1">
      <c r="A322" s="636">
        <f>Data2025!G321</f>
        <v>124</v>
      </c>
      <c r="B322" s="637" t="str">
        <f>Data2025!K321</f>
        <v>BNU47</v>
      </c>
      <c r="C322" s="638" t="str">
        <f>Data2025!D321</f>
        <v>07. 12. 02.</v>
      </c>
      <c r="D322" s="639" t="str">
        <f>Data2025!C321</f>
        <v>5.1.02.02.01.0026</v>
      </c>
      <c r="E322" s="265">
        <f>Data2025!E321</f>
        <v>45735</v>
      </c>
      <c r="F322" s="640" t="str">
        <f>Data2025!F321</f>
        <v>21/03/2025</v>
      </c>
      <c r="G322" s="265" t="str">
        <f>Data2025!H321</f>
        <v>21/03/2025</v>
      </c>
      <c r="H322" s="265" t="str">
        <f t="shared" si="14"/>
        <v>21/03/2025</v>
      </c>
      <c r="I322" s="641" t="str">
        <f>Data2025!J321</f>
        <v>21/03/2025</v>
      </c>
      <c r="J322" s="381" t="str">
        <f>Data2025!L321</f>
        <v>Estera Nehe</v>
      </c>
      <c r="K322" s="381" t="str">
        <f>Data2025!M321</f>
        <v>Gaji Pegawai Tidak Tetap Sekolah</v>
      </c>
      <c r="L322" s="642">
        <f>Data2025!N321</f>
        <v>1</v>
      </c>
      <c r="M322" s="642" t="str">
        <f>Data2025!O321</f>
        <v>bulan</v>
      </c>
      <c r="N322" s="643">
        <f>Data2025!P321</f>
        <v>2000000</v>
      </c>
      <c r="O322" s="644">
        <f>Data2025!Q321</f>
        <v>2000000</v>
      </c>
      <c r="P322" s="645" t="s">
        <v>3867</v>
      </c>
      <c r="Q322" s="646" t="e">
        <f>VLOOKUP(K322,Sheet1!$C$1:$D$101,2,)</f>
        <v>#N/A</v>
      </c>
      <c r="R322" s="496">
        <v>95000</v>
      </c>
      <c r="S322" s="504">
        <v>97000</v>
      </c>
      <c r="T322" s="648">
        <f>Data2025!T321</f>
        <v>0</v>
      </c>
      <c r="U322" s="497" t="s">
        <v>538</v>
      </c>
      <c r="V322" s="648" t="e">
        <f>Data2025!V321</f>
        <v>#N/A</v>
      </c>
      <c r="W322" s="648" t="e">
        <f>Data2025!X321</f>
        <v>#N/A</v>
      </c>
      <c r="X322" s="497" t="s">
        <v>541</v>
      </c>
      <c r="Y322" s="268" t="str">
        <f t="shared" si="15"/>
        <v>Honorarium</v>
      </c>
      <c r="Z322" s="649" t="str">
        <f t="shared" si="16"/>
        <v>Honorarium</v>
      </c>
      <c r="AA322" s="498" t="s">
        <v>3364</v>
      </c>
      <c r="AB322" s="499">
        <v>95000</v>
      </c>
      <c r="AC322" s="499">
        <v>95000</v>
      </c>
      <c r="AD322" s="496">
        <v>95000</v>
      </c>
      <c r="AE322" s="500">
        <v>85585.585585585592</v>
      </c>
      <c r="AF322" s="500">
        <v>95000</v>
      </c>
      <c r="AG322" s="805" t="s">
        <v>3883</v>
      </c>
      <c r="AH322" s="651" t="e">
        <f>Data2025!W321</f>
        <v>#N/A</v>
      </c>
    </row>
    <row r="323" spans="1:34" s="501" customFormat="1" ht="16.5" thickTop="1" thickBot="1">
      <c r="A323" s="636">
        <f>Data2025!G322</f>
        <v>125</v>
      </c>
      <c r="B323" s="637" t="str">
        <f>Data2025!K322</f>
        <v>BNU48</v>
      </c>
      <c r="C323" s="638" t="str">
        <f>Data2025!D322</f>
        <v>07. 12. 02.</v>
      </c>
      <c r="D323" s="639" t="str">
        <f>Data2025!C322</f>
        <v>5.1.02.02.01.0026</v>
      </c>
      <c r="E323" s="265">
        <f>Data2025!E322</f>
        <v>45735</v>
      </c>
      <c r="F323" s="640" t="str">
        <f>Data2025!F322</f>
        <v>21/03/2025</v>
      </c>
      <c r="G323" s="265" t="str">
        <f>Data2025!H322</f>
        <v>21/03/2025</v>
      </c>
      <c r="H323" s="265" t="str">
        <f t="shared" si="14"/>
        <v>21/03/2025</v>
      </c>
      <c r="I323" s="641" t="str">
        <f>Data2025!J322</f>
        <v>21/03/2025</v>
      </c>
      <c r="J323" s="381" t="str">
        <f>Data2025!L322</f>
        <v>Hatieli Buulolo</v>
      </c>
      <c r="K323" s="381" t="str">
        <f>Data2025!M322</f>
        <v>Gaji Pegawai Tidak Tetap Sekolah</v>
      </c>
      <c r="L323" s="642">
        <f>Data2025!N322</f>
        <v>1</v>
      </c>
      <c r="M323" s="642" t="str">
        <f>Data2025!O322</f>
        <v>bulan</v>
      </c>
      <c r="N323" s="643">
        <f>Data2025!P322</f>
        <v>2500000</v>
      </c>
      <c r="O323" s="644">
        <f>Data2025!Q322</f>
        <v>2500000</v>
      </c>
      <c r="P323" s="645" t="s">
        <v>3867</v>
      </c>
      <c r="Q323" s="646" t="e">
        <f>VLOOKUP(K323,Sheet1!$C$1:$D$101,2,)</f>
        <v>#N/A</v>
      </c>
      <c r="R323" s="496">
        <v>550000</v>
      </c>
      <c r="S323" s="504">
        <v>750000</v>
      </c>
      <c r="T323" s="648">
        <f>Data2025!T322</f>
        <v>0</v>
      </c>
      <c r="U323" s="497" t="s">
        <v>538</v>
      </c>
      <c r="V323" s="648" t="e">
        <f>Data2025!V322</f>
        <v>#N/A</v>
      </c>
      <c r="W323" s="648" t="e">
        <f>Data2025!X322</f>
        <v>#N/A</v>
      </c>
      <c r="X323" s="497" t="s">
        <v>541</v>
      </c>
      <c r="Y323" s="268" t="str">
        <f t="shared" si="15"/>
        <v>Honorarium</v>
      </c>
      <c r="Z323" s="649" t="str">
        <f t="shared" si="16"/>
        <v>Honorarium</v>
      </c>
      <c r="AA323" s="498" t="s">
        <v>3363</v>
      </c>
      <c r="AB323" s="499">
        <v>5500</v>
      </c>
      <c r="AC323" s="499">
        <v>550000</v>
      </c>
      <c r="AD323" s="496">
        <v>550000</v>
      </c>
      <c r="AE323" s="500">
        <v>495495.4954954955</v>
      </c>
      <c r="AF323" s="500">
        <v>550000</v>
      </c>
      <c r="AG323" s="805" t="s">
        <v>3883</v>
      </c>
      <c r="AH323" s="651" t="e">
        <f>Data2025!W322</f>
        <v>#N/A</v>
      </c>
    </row>
    <row r="324" spans="1:34" ht="16.5" thickTop="1" thickBot="1">
      <c r="A324" s="636">
        <f>Data2025!G323</f>
        <v>126</v>
      </c>
      <c r="B324" s="637" t="str">
        <f>Data2025!K323</f>
        <v>BNU49</v>
      </c>
      <c r="C324" s="638" t="str">
        <f>Data2025!D323</f>
        <v>07. 12. 02.</v>
      </c>
      <c r="D324" s="639" t="str">
        <f>Data2025!C323</f>
        <v>5.1.02.02.01.0026</v>
      </c>
      <c r="E324" s="265">
        <f>Data2025!E323</f>
        <v>45735</v>
      </c>
      <c r="F324" s="640" t="str">
        <f>Data2025!F323</f>
        <v>21/03/2025</v>
      </c>
      <c r="G324" s="265" t="str">
        <f>Data2025!H323</f>
        <v>21/03/2025</v>
      </c>
      <c r="H324" s="265" t="str">
        <f t="shared" si="14"/>
        <v>21/03/2025</v>
      </c>
      <c r="I324" s="641" t="str">
        <f>Data2025!J323</f>
        <v>21/03/2025</v>
      </c>
      <c r="J324" s="381" t="str">
        <f>Data2025!L323</f>
        <v>David J. Sitinjak</v>
      </c>
      <c r="K324" s="381" t="str">
        <f>Data2025!M323</f>
        <v>Gaji Pegawai Tidak Tetap Sekolah</v>
      </c>
      <c r="L324" s="642">
        <f>Data2025!N323</f>
        <v>1</v>
      </c>
      <c r="M324" s="642" t="str">
        <f>Data2025!O323</f>
        <v>bulan</v>
      </c>
      <c r="N324" s="643">
        <f>Data2025!P323</f>
        <v>2500000</v>
      </c>
      <c r="O324" s="644">
        <f>Data2025!Q323</f>
        <v>2500000</v>
      </c>
      <c r="P324" s="645" t="s">
        <v>3867</v>
      </c>
      <c r="Q324" s="646" t="e">
        <f>VLOOKUP(K324,Sheet1!$C$1:$D$101,2,)</f>
        <v>#N/A</v>
      </c>
      <c r="R324" s="496">
        <v>120000</v>
      </c>
      <c r="S324" s="504">
        <v>124000</v>
      </c>
      <c r="T324" s="648">
        <f>Data2025!T323</f>
        <v>0</v>
      </c>
      <c r="U324" s="497" t="s">
        <v>538</v>
      </c>
      <c r="V324" s="648" t="e">
        <f>Data2025!V323</f>
        <v>#N/A</v>
      </c>
      <c r="W324" s="648" t="e">
        <f>Data2025!X323</f>
        <v>#N/A</v>
      </c>
      <c r="X324" s="497" t="s">
        <v>541</v>
      </c>
      <c r="Y324" s="268" t="str">
        <f t="shared" si="15"/>
        <v>Honorarium</v>
      </c>
      <c r="Z324" s="649" t="str">
        <f t="shared" si="16"/>
        <v>Honorarium</v>
      </c>
      <c r="AA324" s="498" t="s">
        <v>3365</v>
      </c>
      <c r="AB324" s="269">
        <v>60000</v>
      </c>
      <c r="AC324" s="269">
        <v>120000</v>
      </c>
      <c r="AD324" s="267">
        <v>120000</v>
      </c>
      <c r="AE324" s="270">
        <v>108108.10810810811</v>
      </c>
      <c r="AF324" s="270">
        <v>120000</v>
      </c>
      <c r="AG324" s="805" t="s">
        <v>3883</v>
      </c>
      <c r="AH324" s="651" t="e">
        <f>Data2025!W323</f>
        <v>#N/A</v>
      </c>
    </row>
    <row r="325" spans="1:34" ht="16.5" thickTop="1" thickBot="1">
      <c r="A325" s="636">
        <f>Data2025!G324</f>
        <v>127</v>
      </c>
      <c r="B325" s="637" t="str">
        <f>Data2025!K324</f>
        <v>BNU50</v>
      </c>
      <c r="C325" s="638" t="str">
        <f>Data2025!D324</f>
        <v>07. 12. 02.</v>
      </c>
      <c r="D325" s="639" t="str">
        <f>Data2025!C324</f>
        <v>5.1.02.02.01.0026</v>
      </c>
      <c r="E325" s="265">
        <f>Data2025!E324</f>
        <v>45735</v>
      </c>
      <c r="F325" s="640" t="str">
        <f>Data2025!F324</f>
        <v>21/03/2025</v>
      </c>
      <c r="G325" s="265" t="str">
        <f>Data2025!H324</f>
        <v>21/03/2025</v>
      </c>
      <c r="H325" s="265" t="str">
        <f t="shared" ref="H325:H388" si="18">G325</f>
        <v>21/03/2025</v>
      </c>
      <c r="I325" s="641" t="str">
        <f>Data2025!J324</f>
        <v>21/03/2025</v>
      </c>
      <c r="J325" s="381" t="str">
        <f>Data2025!L324</f>
        <v>Siona Ziraluo</v>
      </c>
      <c r="K325" s="381" t="str">
        <f>Data2025!M324</f>
        <v>Gaji Pegawai Tidak Tetap Sekolah</v>
      </c>
      <c r="L325" s="642">
        <f>Data2025!N324</f>
        <v>1</v>
      </c>
      <c r="M325" s="642" t="str">
        <f>Data2025!O324</f>
        <v>bulan</v>
      </c>
      <c r="N325" s="643">
        <f>Data2025!P324</f>
        <v>2000000</v>
      </c>
      <c r="O325" s="644">
        <f>Data2025!Q324</f>
        <v>2000000</v>
      </c>
      <c r="P325" s="645" t="s">
        <v>3867</v>
      </c>
      <c r="Q325" s="646" t="e">
        <f>VLOOKUP(K325,Sheet1!$C$1:$D$101,2,)</f>
        <v>#N/A</v>
      </c>
      <c r="R325" s="496">
        <v>40000</v>
      </c>
      <c r="S325" s="504">
        <v>44000</v>
      </c>
      <c r="T325" s="648">
        <f>Data2025!T324</f>
        <v>0</v>
      </c>
      <c r="U325" s="497" t="s">
        <v>538</v>
      </c>
      <c r="V325" s="648" t="e">
        <f>Data2025!V324</f>
        <v>#N/A</v>
      </c>
      <c r="W325" s="648" t="e">
        <f>Data2025!X324</f>
        <v>#N/A</v>
      </c>
      <c r="X325" s="497" t="s">
        <v>541</v>
      </c>
      <c r="Y325" s="268" t="str">
        <f t="shared" ref="Y325:Y388" si="19">P325</f>
        <v>Honorarium</v>
      </c>
      <c r="Z325" s="649" t="str">
        <f t="shared" ref="Z325:Z388" si="20">Y325</f>
        <v>Honorarium</v>
      </c>
      <c r="AA325" s="498" t="s">
        <v>3363</v>
      </c>
      <c r="AB325" s="269">
        <v>20000</v>
      </c>
      <c r="AC325" s="269">
        <v>40000</v>
      </c>
      <c r="AD325" s="267">
        <v>40000</v>
      </c>
      <c r="AE325" s="270">
        <v>36036.036036036036</v>
      </c>
      <c r="AF325" s="270">
        <v>40000</v>
      </c>
      <c r="AG325" s="805" t="s">
        <v>3883</v>
      </c>
      <c r="AH325" s="651" t="e">
        <f>Data2025!W324</f>
        <v>#N/A</v>
      </c>
    </row>
    <row r="326" spans="1:34" ht="16.5" thickTop="1" thickBot="1">
      <c r="A326" s="636">
        <f>Data2025!G325</f>
        <v>128</v>
      </c>
      <c r="B326" s="637" t="str">
        <f>Data2025!K325</f>
        <v>BNU51</v>
      </c>
      <c r="C326" s="638" t="str">
        <f>Data2025!D325</f>
        <v>07. 12. 02.</v>
      </c>
      <c r="D326" s="639" t="str">
        <f>Data2025!C325</f>
        <v>5.1.02.02.01.0026</v>
      </c>
      <c r="E326" s="265">
        <f>Data2025!E325</f>
        <v>45735</v>
      </c>
      <c r="F326" s="640" t="str">
        <f>Data2025!F325</f>
        <v>21/03/2025</v>
      </c>
      <c r="G326" s="265" t="str">
        <f>Data2025!H325</f>
        <v>21/03/2025</v>
      </c>
      <c r="H326" s="265" t="str">
        <f t="shared" si="18"/>
        <v>21/03/2025</v>
      </c>
      <c r="I326" s="641" t="str">
        <f>Data2025!J325</f>
        <v>21/03/2025</v>
      </c>
      <c r="J326" s="381" t="str">
        <f>Data2025!L325</f>
        <v>Merdina Ziraluo</v>
      </c>
      <c r="K326" s="381" t="str">
        <f>Data2025!M325</f>
        <v>Gaji Pegawai Tidak Tetap Sekolah</v>
      </c>
      <c r="L326" s="642">
        <f>Data2025!N325</f>
        <v>1</v>
      </c>
      <c r="M326" s="642" t="str">
        <f>Data2025!O325</f>
        <v>bulan</v>
      </c>
      <c r="N326" s="643">
        <f>Data2025!P325</f>
        <v>2500000</v>
      </c>
      <c r="O326" s="644">
        <f>Data2025!Q325</f>
        <v>2500000</v>
      </c>
      <c r="P326" s="645" t="s">
        <v>3867</v>
      </c>
      <c r="Q326" s="646" t="e">
        <f>VLOOKUP(K326,Sheet1!$C$1:$D$101,2,)</f>
        <v>#N/A</v>
      </c>
      <c r="R326" s="496">
        <v>155000</v>
      </c>
      <c r="S326" s="504">
        <v>165000</v>
      </c>
      <c r="T326" s="648">
        <f>Data2025!T325</f>
        <v>0</v>
      </c>
      <c r="U326" s="497" t="s">
        <v>538</v>
      </c>
      <c r="V326" s="648" t="e">
        <f>Data2025!V325</f>
        <v>#N/A</v>
      </c>
      <c r="W326" s="648" t="e">
        <f>Data2025!X325</f>
        <v>#N/A</v>
      </c>
      <c r="X326" s="497" t="s">
        <v>541</v>
      </c>
      <c r="Y326" s="268" t="str">
        <f t="shared" si="19"/>
        <v>Honorarium</v>
      </c>
      <c r="Z326" s="649" t="str">
        <f t="shared" si="20"/>
        <v>Honorarium</v>
      </c>
      <c r="AA326" s="498" t="s">
        <v>3365</v>
      </c>
      <c r="AB326" s="269">
        <v>31000</v>
      </c>
      <c r="AC326" s="269">
        <v>155000</v>
      </c>
      <c r="AD326" s="267">
        <v>155000</v>
      </c>
      <c r="AE326" s="270">
        <v>139639.63963963964</v>
      </c>
      <c r="AF326" s="270">
        <v>155000</v>
      </c>
      <c r="AG326" s="805" t="s">
        <v>3883</v>
      </c>
      <c r="AH326" s="651" t="e">
        <f>Data2025!W325</f>
        <v>#N/A</v>
      </c>
    </row>
    <row r="327" spans="1:34" ht="16.5" thickTop="1" thickBot="1">
      <c r="A327" s="636">
        <f>Data2025!G326</f>
        <v>129</v>
      </c>
      <c r="B327" s="637" t="str">
        <f>Data2025!K326</f>
        <v>BNU52</v>
      </c>
      <c r="C327" s="638" t="str">
        <f>Data2025!D326</f>
        <v>07. 12. 02.</v>
      </c>
      <c r="D327" s="639" t="str">
        <f>Data2025!C326</f>
        <v>5.1.02.02.01.0026</v>
      </c>
      <c r="E327" s="265">
        <f>Data2025!E326</f>
        <v>45735</v>
      </c>
      <c r="F327" s="640" t="str">
        <f>Data2025!F326</f>
        <v>21/03/2025</v>
      </c>
      <c r="G327" s="265" t="str">
        <f>Data2025!H326</f>
        <v>21/03/2025</v>
      </c>
      <c r="H327" s="265" t="str">
        <f t="shared" si="18"/>
        <v>21/03/2025</v>
      </c>
      <c r="I327" s="641" t="str">
        <f>Data2025!J326</f>
        <v>21/03/2025</v>
      </c>
      <c r="J327" s="381" t="str">
        <f>Data2025!L326</f>
        <v>Oksilia Buulolo, S.S</v>
      </c>
      <c r="K327" s="381" t="str">
        <f>Data2025!M326</f>
        <v>Gaji Pegawai Tidak Tetap Sekolah</v>
      </c>
      <c r="L327" s="642">
        <f>Data2025!N326</f>
        <v>1</v>
      </c>
      <c r="M327" s="642" t="str">
        <f>Data2025!O326</f>
        <v>bulan/orang</v>
      </c>
      <c r="N327" s="643">
        <f>Data2025!P326</f>
        <v>2000000</v>
      </c>
      <c r="O327" s="644">
        <f>Data2025!Q326</f>
        <v>2000000</v>
      </c>
      <c r="P327" s="645" t="s">
        <v>3867</v>
      </c>
      <c r="Q327" s="646" t="e">
        <f>VLOOKUP(K327,Sheet1!$C$1:$D$101,2,)</f>
        <v>#N/A</v>
      </c>
      <c r="R327" s="496">
        <v>40000</v>
      </c>
      <c r="S327" s="504">
        <v>44000</v>
      </c>
      <c r="T327" s="648">
        <f>Data2025!T326</f>
        <v>0</v>
      </c>
      <c r="U327" s="497" t="s">
        <v>538</v>
      </c>
      <c r="V327" s="648" t="e">
        <f>Data2025!V326</f>
        <v>#N/A</v>
      </c>
      <c r="W327" s="648" t="e">
        <f>Data2025!X326</f>
        <v>#N/A</v>
      </c>
      <c r="X327" s="497" t="s">
        <v>541</v>
      </c>
      <c r="Y327" s="268" t="str">
        <f t="shared" si="19"/>
        <v>Honorarium</v>
      </c>
      <c r="Z327" s="649" t="str">
        <f t="shared" si="20"/>
        <v>Honorarium</v>
      </c>
      <c r="AA327" s="498" t="s">
        <v>3366</v>
      </c>
      <c r="AB327" s="269">
        <v>20000</v>
      </c>
      <c r="AC327" s="269">
        <v>40000</v>
      </c>
      <c r="AD327" s="267">
        <v>40000</v>
      </c>
      <c r="AE327" s="270">
        <v>36036.036036036036</v>
      </c>
      <c r="AF327" s="270">
        <v>40000</v>
      </c>
      <c r="AG327" s="805" t="s">
        <v>3883</v>
      </c>
      <c r="AH327" s="651" t="e">
        <f>Data2025!W326</f>
        <v>#N/A</v>
      </c>
    </row>
    <row r="328" spans="1:34" ht="16.5" thickTop="1" thickBot="1">
      <c r="A328" s="636">
        <f>Data2025!G327</f>
        <v>130</v>
      </c>
      <c r="B328" s="637" t="str">
        <f>Data2025!K327</f>
        <v>BNU53</v>
      </c>
      <c r="C328" s="638" t="str">
        <f>Data2025!D327</f>
        <v>07. 12. 02.</v>
      </c>
      <c r="D328" s="639" t="str">
        <f>Data2025!C327</f>
        <v>5.1.02.02.01.0026</v>
      </c>
      <c r="E328" s="265">
        <f>Data2025!E327</f>
        <v>45735</v>
      </c>
      <c r="F328" s="640" t="str">
        <f>Data2025!F327</f>
        <v>21/03/2025</v>
      </c>
      <c r="G328" s="265" t="str">
        <f>Data2025!H327</f>
        <v>21/03/2025</v>
      </c>
      <c r="H328" s="265" t="str">
        <f t="shared" si="18"/>
        <v>21/03/2025</v>
      </c>
      <c r="I328" s="641" t="str">
        <f>Data2025!J327</f>
        <v>21/03/2025</v>
      </c>
      <c r="J328" s="381" t="str">
        <f>Data2025!L327</f>
        <v>Novika Efdimasari Halawa, S.S.I</v>
      </c>
      <c r="K328" s="381" t="str">
        <f>Data2025!M327</f>
        <v>Gaji Pegawai Tidak Tetap Sekolah</v>
      </c>
      <c r="L328" s="642">
        <f>Data2025!N327</f>
        <v>1</v>
      </c>
      <c r="M328" s="642" t="str">
        <f>Data2025!O327</f>
        <v>bulan/orang</v>
      </c>
      <c r="N328" s="643">
        <f>Data2025!P327</f>
        <v>2000000</v>
      </c>
      <c r="O328" s="644">
        <f>Data2025!Q327</f>
        <v>2000000</v>
      </c>
      <c r="P328" s="645" t="s">
        <v>3867</v>
      </c>
      <c r="Q328" s="646" t="e">
        <f>VLOOKUP(K328,Sheet1!$C$1:$D$101,2,)</f>
        <v>#N/A</v>
      </c>
      <c r="R328" s="496">
        <v>396000</v>
      </c>
      <c r="S328" s="504">
        <v>420000</v>
      </c>
      <c r="T328" s="648">
        <f>Data2025!T327</f>
        <v>0</v>
      </c>
      <c r="U328" s="497" t="s">
        <v>538</v>
      </c>
      <c r="V328" s="648" t="e">
        <f>Data2025!V327</f>
        <v>#N/A</v>
      </c>
      <c r="W328" s="648" t="e">
        <f>Data2025!X327</f>
        <v>#N/A</v>
      </c>
      <c r="X328" s="497" t="s">
        <v>541</v>
      </c>
      <c r="Y328" s="268" t="str">
        <f t="shared" si="19"/>
        <v>Honorarium</v>
      </c>
      <c r="Z328" s="649" t="str">
        <f t="shared" si="20"/>
        <v>Honorarium</v>
      </c>
      <c r="AA328" s="498" t="s">
        <v>3367</v>
      </c>
      <c r="AB328" s="269">
        <v>33000</v>
      </c>
      <c r="AC328" s="269">
        <v>396000</v>
      </c>
      <c r="AD328" s="267">
        <v>396000</v>
      </c>
      <c r="AE328" s="270">
        <v>356756.75675675675</v>
      </c>
      <c r="AF328" s="270">
        <v>396000</v>
      </c>
      <c r="AG328" s="805" t="s">
        <v>3883</v>
      </c>
      <c r="AH328" s="651" t="e">
        <f>Data2025!W327</f>
        <v>#N/A</v>
      </c>
    </row>
    <row r="329" spans="1:34" ht="16.5" thickTop="1" thickBot="1">
      <c r="A329" s="636">
        <f>Data2025!G328</f>
        <v>131</v>
      </c>
      <c r="B329" s="637" t="str">
        <f>Data2025!K328</f>
        <v>BNU54</v>
      </c>
      <c r="C329" s="638" t="str">
        <f>Data2025!D328</f>
        <v>07. 12. 04.</v>
      </c>
      <c r="D329" s="639" t="str">
        <f>Data2025!C328</f>
        <v>5.1.02.02.01.0016</v>
      </c>
      <c r="E329" s="265">
        <f>Data2025!E328</f>
        <v>45735</v>
      </c>
      <c r="F329" s="640" t="str">
        <f>Data2025!F328</f>
        <v>21/03/2025</v>
      </c>
      <c r="G329" s="265" t="str">
        <f>Data2025!H328</f>
        <v>21/03/2025</v>
      </c>
      <c r="H329" s="265" t="str">
        <f t="shared" si="18"/>
        <v>21/03/2025</v>
      </c>
      <c r="I329" s="641" t="str">
        <f>Data2025!J328</f>
        <v>21/03/2025</v>
      </c>
      <c r="J329" s="381" t="str">
        <f>Data2025!L328</f>
        <v>Zefrianus Zai</v>
      </c>
      <c r="K329" s="381" t="str">
        <f>Data2025!M328</f>
        <v>Gaji Pegawai Tidak Tetap Sekolah</v>
      </c>
      <c r="L329" s="642">
        <f>Data2025!N328</f>
        <v>1</v>
      </c>
      <c r="M329" s="642" t="str">
        <f>Data2025!O328</f>
        <v>bulan/orang</v>
      </c>
      <c r="N329" s="643">
        <f>Data2025!P328</f>
        <v>2000000</v>
      </c>
      <c r="O329" s="644">
        <f>Data2025!Q328</f>
        <v>2000000</v>
      </c>
      <c r="P329" s="645" t="s">
        <v>3867</v>
      </c>
      <c r="Q329" s="646" t="e">
        <f>VLOOKUP(K329,Sheet1!$C$1:$D$101,2,)</f>
        <v>#N/A</v>
      </c>
      <c r="R329" s="496">
        <v>75000</v>
      </c>
      <c r="S329" s="504">
        <v>85000</v>
      </c>
      <c r="T329" s="648">
        <f>Data2025!T328</f>
        <v>0</v>
      </c>
      <c r="U329" s="497" t="s">
        <v>538</v>
      </c>
      <c r="V329" s="648" t="e">
        <f>Data2025!V328</f>
        <v>#N/A</v>
      </c>
      <c r="W329" s="648" t="e">
        <f>Data2025!X328</f>
        <v>#N/A</v>
      </c>
      <c r="X329" s="497" t="s">
        <v>541</v>
      </c>
      <c r="Y329" s="268" t="str">
        <f t="shared" si="19"/>
        <v>Honorarium</v>
      </c>
      <c r="Z329" s="649" t="str">
        <f t="shared" si="20"/>
        <v>Honorarium</v>
      </c>
      <c r="AA329" s="498" t="s">
        <v>3363</v>
      </c>
      <c r="AB329" s="269">
        <v>15000</v>
      </c>
      <c r="AC329" s="269">
        <v>75000</v>
      </c>
      <c r="AD329" s="267">
        <v>75000</v>
      </c>
      <c r="AE329" s="270">
        <v>67567.567567567574</v>
      </c>
      <c r="AF329" s="270">
        <v>75000</v>
      </c>
      <c r="AG329" s="805" t="s">
        <v>3883</v>
      </c>
      <c r="AH329" s="651" t="e">
        <f>Data2025!W328</f>
        <v>#N/A</v>
      </c>
    </row>
    <row r="330" spans="1:34" ht="16.5" thickTop="1" thickBot="1">
      <c r="A330" s="636">
        <f>Data2025!G329</f>
        <v>132</v>
      </c>
      <c r="B330" s="637" t="str">
        <f>Data2025!K329</f>
        <v>BPU52</v>
      </c>
      <c r="C330" s="638" t="str">
        <f>Data2025!D329</f>
        <v>07. 12. 04.</v>
      </c>
      <c r="D330" s="639" t="str">
        <f>Data2025!C329</f>
        <v>5.1.02.02.01.0030</v>
      </c>
      <c r="E330" s="265">
        <f>Data2025!E329</f>
        <v>45735</v>
      </c>
      <c r="F330" s="640" t="str">
        <f>Data2025!F329</f>
        <v>21/03/2025</v>
      </c>
      <c r="G330" s="265" t="str">
        <f>Data2025!H329</f>
        <v>21/03/2025</v>
      </c>
      <c r="H330" s="265" t="str">
        <f t="shared" si="18"/>
        <v>21/03/2025</v>
      </c>
      <c r="I330" s="641" t="str">
        <f>Data2025!J329</f>
        <v>21/03/2025</v>
      </c>
      <c r="J330" s="381" t="str">
        <f>Data2025!L329</f>
        <v>Thomas Hondro</v>
      </c>
      <c r="K330" s="381" t="str">
        <f>Data2025!M329</f>
        <v>Gaji Pegawai Tidak Tetap Sekolah</v>
      </c>
      <c r="L330" s="642">
        <f>Data2025!N329</f>
        <v>1</v>
      </c>
      <c r="M330" s="642" t="str">
        <f>Data2025!O329</f>
        <v>bulan</v>
      </c>
      <c r="N330" s="643">
        <f>Data2025!P329</f>
        <v>1000000</v>
      </c>
      <c r="O330" s="644">
        <f>Data2025!Q329</f>
        <v>1000000</v>
      </c>
      <c r="P330" s="645" t="s">
        <v>3867</v>
      </c>
      <c r="Q330" s="646" t="e">
        <f>VLOOKUP(K330,Sheet1!$C$1:$D$101,2,)</f>
        <v>#N/A</v>
      </c>
      <c r="R330" s="496">
        <v>300000</v>
      </c>
      <c r="S330" s="504">
        <v>310000</v>
      </c>
      <c r="T330" s="648">
        <f>Data2025!T329</f>
        <v>0</v>
      </c>
      <c r="U330" s="497" t="s">
        <v>538</v>
      </c>
      <c r="V330" s="648" t="e">
        <f>Data2025!V329</f>
        <v>#N/A</v>
      </c>
      <c r="W330" s="648" t="e">
        <f>Data2025!X329</f>
        <v>#N/A</v>
      </c>
      <c r="X330" s="497" t="s">
        <v>541</v>
      </c>
      <c r="Y330" s="268" t="str">
        <f t="shared" si="19"/>
        <v>Honorarium</v>
      </c>
      <c r="Z330" s="649" t="str">
        <f t="shared" si="20"/>
        <v>Honorarium</v>
      </c>
      <c r="AA330" s="498" t="s">
        <v>3365</v>
      </c>
      <c r="AB330" s="269">
        <v>60000</v>
      </c>
      <c r="AC330" s="269">
        <v>300000</v>
      </c>
      <c r="AD330" s="267">
        <v>300000</v>
      </c>
      <c r="AE330" s="270">
        <v>270270.2702702703</v>
      </c>
      <c r="AF330" s="270">
        <v>300000</v>
      </c>
      <c r="AG330" s="805" t="s">
        <v>3883</v>
      </c>
      <c r="AH330" s="651" t="e">
        <f>Data2025!W329</f>
        <v>#N/A</v>
      </c>
    </row>
    <row r="331" spans="1:34" ht="16.5" thickTop="1" thickBot="1">
      <c r="A331" s="636">
        <f>Data2025!G330</f>
        <v>0</v>
      </c>
      <c r="B331" s="637">
        <f>Data2025!K330</f>
        <v>0</v>
      </c>
      <c r="C331" s="638">
        <f>Data2025!D330</f>
        <v>0</v>
      </c>
      <c r="D331" s="639">
        <f>Data2025!C330</f>
        <v>0</v>
      </c>
      <c r="E331" s="265">
        <f>Data2025!E330</f>
        <v>0</v>
      </c>
      <c r="F331" s="640">
        <f>Data2025!F330</f>
        <v>0</v>
      </c>
      <c r="G331" s="265">
        <f>Data2025!H330</f>
        <v>0</v>
      </c>
      <c r="H331" s="265">
        <f t="shared" si="18"/>
        <v>0</v>
      </c>
      <c r="I331" s="641">
        <f>Data2025!J330</f>
        <v>0</v>
      </c>
      <c r="J331" s="381">
        <f>Data2025!L330</f>
        <v>0</v>
      </c>
      <c r="K331" s="381">
        <f>Data2025!M330</f>
        <v>0</v>
      </c>
      <c r="L331" s="642">
        <f>Data2025!N330</f>
        <v>0</v>
      </c>
      <c r="M331" s="642">
        <f>Data2025!O330</f>
        <v>0</v>
      </c>
      <c r="N331" s="643">
        <f>Data2025!P330</f>
        <v>0</v>
      </c>
      <c r="O331" s="644">
        <f>Data2025!Q330</f>
        <v>0</v>
      </c>
      <c r="P331" s="645"/>
      <c r="Q331" s="646" t="e">
        <f>VLOOKUP(K331,Sheet1!$C$1:$D$101,2,)</f>
        <v>#N/A</v>
      </c>
      <c r="R331" s="496">
        <v>37500</v>
      </c>
      <c r="S331" s="504">
        <v>47500</v>
      </c>
      <c r="T331" s="648">
        <f>Data2025!T330</f>
        <v>0</v>
      </c>
      <c r="U331" s="497" t="s">
        <v>538</v>
      </c>
      <c r="V331" s="648" t="e">
        <f>Data2025!V330</f>
        <v>#N/A</v>
      </c>
      <c r="W331" s="648" t="e">
        <f>Data2025!X330</f>
        <v>#N/A</v>
      </c>
      <c r="X331" s="497" t="s">
        <v>541</v>
      </c>
      <c r="Y331" s="268">
        <f t="shared" si="19"/>
        <v>0</v>
      </c>
      <c r="Z331" s="649">
        <f t="shared" si="20"/>
        <v>0</v>
      </c>
      <c r="AA331" s="498" t="s">
        <v>3362</v>
      </c>
      <c r="AB331" s="269">
        <v>7500</v>
      </c>
      <c r="AC331" s="269">
        <v>37500</v>
      </c>
      <c r="AD331" s="267">
        <v>37500</v>
      </c>
      <c r="AE331" s="270">
        <v>33783.783783783787</v>
      </c>
      <c r="AF331" s="270">
        <v>37500</v>
      </c>
      <c r="AG331" s="805" t="s">
        <v>3883</v>
      </c>
      <c r="AH331" s="651" t="e">
        <f>Data2025!W330</f>
        <v>#N/A</v>
      </c>
    </row>
    <row r="332" spans="1:34" ht="16.5" thickTop="1" thickBot="1">
      <c r="A332" s="636">
        <f>Data2025!G331</f>
        <v>325</v>
      </c>
      <c r="B332" s="637">
        <f>Data2025!K331</f>
        <v>0</v>
      </c>
      <c r="C332" s="638" t="str">
        <f>Data2025!D331</f>
        <v>03. 03. 14.</v>
      </c>
      <c r="D332" s="639" t="str">
        <f>Data2025!C331</f>
        <v>5.1.02.01.01.0052</v>
      </c>
      <c r="E332" s="265">
        <f>Data2025!E331</f>
        <v>0</v>
      </c>
      <c r="F332" s="640">
        <f>Data2025!F331</f>
        <v>0</v>
      </c>
      <c r="G332" s="265">
        <f>Data2025!H331</f>
        <v>0</v>
      </c>
      <c r="H332" s="265">
        <f t="shared" si="18"/>
        <v>0</v>
      </c>
      <c r="I332" s="641">
        <f>Data2025!J331</f>
        <v>0</v>
      </c>
      <c r="J332" s="381" t="str">
        <f>Data2025!L331</f>
        <v>Kudapan pada Kegiatan rubrik/Ibadah Bulanan</v>
      </c>
      <c r="K332" s="381" t="str">
        <f>Data2025!M331</f>
        <v>Kue Besar</v>
      </c>
      <c r="L332" s="642">
        <f>Data2025!N331</f>
        <v>100</v>
      </c>
      <c r="M332" s="642" t="str">
        <f>Data2025!O331</f>
        <v>kotak</v>
      </c>
      <c r="N332" s="643">
        <f>Data2025!P331</f>
        <v>15000</v>
      </c>
      <c r="O332" s="644">
        <f>Data2025!Q331</f>
        <v>1500000</v>
      </c>
      <c r="P332" s="645" t="s">
        <v>280</v>
      </c>
      <c r="Q332" s="646" t="str">
        <f>VLOOKUP(K332,Sheet1!$C$1:$D$101,2,)</f>
        <v>Kue (bahan tepung terigu, gula, telur, mentega; berat 100gr, panjang 15cm, lebar 8 cm)</v>
      </c>
      <c r="R332" s="496">
        <v>69000</v>
      </c>
      <c r="S332" s="504">
        <v>75000</v>
      </c>
      <c r="T332" s="648" t="str">
        <f>Data2025!T331</f>
        <v>Rumah Roti Helena</v>
      </c>
      <c r="U332" s="497" t="s">
        <v>538</v>
      </c>
      <c r="V332" s="648" t="str">
        <f>Data2025!V331</f>
        <v>Fudi Supiyanto</v>
      </c>
      <c r="W332" s="648" t="str">
        <f>Data2025!X331</f>
        <v>Jln Ahmad Yani No.89 Kel. Pasar Telukdalam, Nias Selatan</v>
      </c>
      <c r="X332" s="497" t="s">
        <v>541</v>
      </c>
      <c r="Y332" s="268" t="str">
        <f t="shared" si="19"/>
        <v>Kudapan</v>
      </c>
      <c r="Z332" s="649" t="str">
        <f t="shared" si="20"/>
        <v>Kudapan</v>
      </c>
      <c r="AA332" s="498" t="s">
        <v>3365</v>
      </c>
      <c r="AB332" s="269">
        <v>23000</v>
      </c>
      <c r="AC332" s="269">
        <v>69000</v>
      </c>
      <c r="AD332" s="267">
        <v>69000</v>
      </c>
      <c r="AE332" s="270">
        <v>62162.16216216216</v>
      </c>
      <c r="AF332" s="270">
        <v>69000</v>
      </c>
      <c r="AG332" s="805" t="s">
        <v>3883</v>
      </c>
      <c r="AH332" s="651" t="str">
        <f>Data2025!W331</f>
        <v>082164895397</v>
      </c>
    </row>
    <row r="333" spans="1:34" ht="16.5" thickTop="1" thickBot="1">
      <c r="A333" s="636">
        <f>Data2025!G332</f>
        <v>326</v>
      </c>
      <c r="B333" s="637">
        <f>Data2025!K332</f>
        <v>0</v>
      </c>
      <c r="C333" s="638" t="str">
        <f>Data2025!D332</f>
        <v>03. 03. 21.</v>
      </c>
      <c r="D333" s="639" t="str">
        <f>Data2025!C332</f>
        <v>5.1.02.01.01.0026</v>
      </c>
      <c r="E333" s="265">
        <f>Data2025!E332</f>
        <v>0</v>
      </c>
      <c r="F333" s="640">
        <f>Data2025!F332</f>
        <v>0</v>
      </c>
      <c r="G333" s="265">
        <f>Data2025!H332</f>
        <v>0</v>
      </c>
      <c r="H333" s="265">
        <f t="shared" si="18"/>
        <v>0</v>
      </c>
      <c r="I333" s="641">
        <f>Data2025!J332</f>
        <v>0</v>
      </c>
      <c r="J333" s="381" t="str">
        <f>Data2025!L332</f>
        <v>Spanduk Uk. 1 x 6 meter-</v>
      </c>
      <c r="K333" s="381" t="str">
        <f>Data2025!M332</f>
        <v>Spanduk Uk. 1 x 6 meter-</v>
      </c>
      <c r="L333" s="642">
        <f>Data2025!N332</f>
        <v>2</v>
      </c>
      <c r="M333" s="642" t="str">
        <f>Data2025!O332</f>
        <v>buah</v>
      </c>
      <c r="N333" s="643">
        <f>Data2025!P332</f>
        <v>300000</v>
      </c>
      <c r="O333" s="644">
        <f>Data2025!Q332</f>
        <v>600000</v>
      </c>
      <c r="P333" s="645" t="s">
        <v>296</v>
      </c>
      <c r="Q333" s="646" t="e">
        <f>VLOOKUP(K333,Sheet1!$C$1:$D$101,2,)</f>
        <v>#N/A</v>
      </c>
      <c r="R333" s="496">
        <v>125000</v>
      </c>
      <c r="S333" s="504">
        <v>135000</v>
      </c>
      <c r="T333" s="648" t="str">
        <f>Data2025!T332</f>
        <v>UD. BALIZATO</v>
      </c>
      <c r="U333" s="497" t="s">
        <v>538</v>
      </c>
      <c r="V333" s="648" t="str">
        <f>Data2025!V332</f>
        <v>Pieter B.P. Loi</v>
      </c>
      <c r="W333" s="648" t="str">
        <f>Data2025!X332</f>
        <v>Jl. Diponegoro Kel. Pasar Telukdalam - Nias Selatan</v>
      </c>
      <c r="X333" s="497" t="s">
        <v>541</v>
      </c>
      <c r="Y333" s="268" t="str">
        <f t="shared" si="19"/>
        <v>Spanduk</v>
      </c>
      <c r="Z333" s="649" t="str">
        <f t="shared" si="20"/>
        <v>Spanduk</v>
      </c>
      <c r="AA333" s="498" t="s">
        <v>3368</v>
      </c>
      <c r="AB333" s="269">
        <v>25000</v>
      </c>
      <c r="AC333" s="269">
        <v>125000</v>
      </c>
      <c r="AD333" s="267">
        <v>125000</v>
      </c>
      <c r="AE333" s="270">
        <v>112612.61261261262</v>
      </c>
      <c r="AF333" s="270">
        <v>125000</v>
      </c>
      <c r="AG333" s="805" t="s">
        <v>3883</v>
      </c>
      <c r="AH333" s="651" t="str">
        <f>Data2025!W332</f>
        <v>082166506229</v>
      </c>
    </row>
    <row r="334" spans="1:34" ht="38.5" thickTop="1" thickBot="1">
      <c r="A334" s="636">
        <f>Data2025!G333</f>
        <v>327</v>
      </c>
      <c r="B334" s="637">
        <f>Data2025!K333</f>
        <v>0</v>
      </c>
      <c r="C334" s="638" t="str">
        <f>Data2025!D333</f>
        <v>03. 04. 01.</v>
      </c>
      <c r="D334" s="639" t="str">
        <f>Data2025!C333</f>
        <v>5.1.02.01.01.0055</v>
      </c>
      <c r="E334" s="265">
        <f>Data2025!E333</f>
        <v>0</v>
      </c>
      <c r="F334" s="640">
        <f>Data2025!F333</f>
        <v>0</v>
      </c>
      <c r="G334" s="265">
        <f>Data2025!H333</f>
        <v>0</v>
      </c>
      <c r="H334" s="265">
        <f t="shared" si="18"/>
        <v>0</v>
      </c>
      <c r="I334" s="641">
        <f>Data2025!J333</f>
        <v>0</v>
      </c>
      <c r="J334" s="381" t="str">
        <f>Data2025!L333</f>
        <v>Satuan Biaya Konsumsi Makanan dan Minuman Fasilitas Pelayanan Urusan Pendidikan Biasa, Makan - Provinsi Sumatera Utara--</v>
      </c>
      <c r="K334" s="381" t="str">
        <f>Data2025!M333</f>
        <v>Nasi Kotak</v>
      </c>
      <c r="L334" s="642">
        <f>Data2025!N333</f>
        <v>30</v>
      </c>
      <c r="M334" s="642" t="str">
        <f>Data2025!O333</f>
        <v>kotak</v>
      </c>
      <c r="N334" s="643">
        <f>Data2025!P333</f>
        <v>40000</v>
      </c>
      <c r="O334" s="644">
        <f>Data2025!Q333</f>
        <v>1200000</v>
      </c>
      <c r="P334" s="645" t="s">
        <v>8</v>
      </c>
      <c r="Q334" s="646" t="str">
        <f>VLOOKUP(K334,Sheet1!$C$1:$D$101,2,)</f>
        <v>Nasi Kotak (isi: Nasi putih;Sop daging; Sayur; Berat 1000gr; Dimensi; (PxLxT) 25cmx25cmx10cm)</v>
      </c>
      <c r="R334" s="496">
        <v>209000</v>
      </c>
      <c r="S334" s="504">
        <v>229000</v>
      </c>
      <c r="T334" s="648" t="str">
        <f>Data2025!T333</f>
        <v>Resto JFC Esther</v>
      </c>
      <c r="U334" s="497" t="s">
        <v>538</v>
      </c>
      <c r="V334" s="648" t="str">
        <f>Data2025!V333</f>
        <v>Limaati Daeli</v>
      </c>
      <c r="W334" s="648" t="str">
        <f>Data2025!X333</f>
        <v>Jl. Saonigeho Km. 2 Telukdalam - Nias Selatan</v>
      </c>
      <c r="X334" s="497" t="s">
        <v>541</v>
      </c>
      <c r="Y334" s="268" t="str">
        <f t="shared" si="19"/>
        <v>Konsumsi</v>
      </c>
      <c r="Z334" s="649" t="str">
        <f t="shared" si="20"/>
        <v>Konsumsi</v>
      </c>
      <c r="AA334" s="498" t="s">
        <v>3363</v>
      </c>
      <c r="AB334" s="269">
        <v>20900</v>
      </c>
      <c r="AC334" s="269">
        <v>209000</v>
      </c>
      <c r="AD334" s="267">
        <v>209000</v>
      </c>
      <c r="AE334" s="270">
        <v>188288.28828828828</v>
      </c>
      <c r="AF334" s="270">
        <v>209000</v>
      </c>
      <c r="AG334" s="805" t="s">
        <v>3883</v>
      </c>
      <c r="AH334" s="651" t="str">
        <f>Data2025!W333</f>
        <v>085297578868</v>
      </c>
    </row>
    <row r="335" spans="1:34" s="501" customFormat="1" ht="38.5" thickTop="1" thickBot="1">
      <c r="A335" s="636">
        <f>Data2025!G334</f>
        <v>328</v>
      </c>
      <c r="B335" s="637">
        <f>Data2025!K334</f>
        <v>0</v>
      </c>
      <c r="C335" s="638" t="str">
        <f>Data2025!D334</f>
        <v>04. 06. 14.</v>
      </c>
      <c r="D335" s="639" t="str">
        <f>Data2025!C334</f>
        <v>5.1.02.01.01.0052</v>
      </c>
      <c r="E335" s="265">
        <f>Data2025!E334</f>
        <v>0</v>
      </c>
      <c r="F335" s="640">
        <f>Data2025!F334</f>
        <v>0</v>
      </c>
      <c r="G335" s="265">
        <f>Data2025!H334</f>
        <v>0</v>
      </c>
      <c r="H335" s="265">
        <f t="shared" si="18"/>
        <v>0</v>
      </c>
      <c r="I335" s="641">
        <f>Data2025!J334</f>
        <v>0</v>
      </c>
      <c r="J335" s="381" t="str">
        <f>Data2025!L334</f>
        <v>Kudapan pada Kegiatan Workshop Peningkatan Kompetensi Guru Menggunakan Metode/Strategi Pembelajaran</v>
      </c>
      <c r="K335" s="381" t="str">
        <f>Data2025!M334</f>
        <v>Kue Besar</v>
      </c>
      <c r="L335" s="642">
        <f>Data2025!N334</f>
        <v>60</v>
      </c>
      <c r="M335" s="642" t="str">
        <f>Data2025!O334</f>
        <v>kotak</v>
      </c>
      <c r="N335" s="643">
        <f>Data2025!P334</f>
        <v>15000</v>
      </c>
      <c r="O335" s="644">
        <f>Data2025!Q334</f>
        <v>900000</v>
      </c>
      <c r="P335" s="645" t="s">
        <v>280</v>
      </c>
      <c r="Q335" s="646" t="str">
        <f>VLOOKUP(K335,Sheet1!$C$1:$D$101,2,)</f>
        <v>Kue (bahan tepung terigu, gula, telur, mentega; berat 100gr, panjang 15cm, lebar 8 cm)</v>
      </c>
      <c r="R335" s="496">
        <v>10000</v>
      </c>
      <c r="S335" s="504">
        <v>14000</v>
      </c>
      <c r="T335" s="648" t="str">
        <f>Data2025!T334</f>
        <v>Resto JFC Esther</v>
      </c>
      <c r="U335" s="497" t="s">
        <v>538</v>
      </c>
      <c r="V335" s="648" t="str">
        <f>Data2025!V334</f>
        <v>Limaati Daeli</v>
      </c>
      <c r="W335" s="648" t="str">
        <f>Data2025!X334</f>
        <v>Jl. Saonigeho Km. 2 Telukdalam - Nias Selatan</v>
      </c>
      <c r="X335" s="497" t="s">
        <v>541</v>
      </c>
      <c r="Y335" s="268" t="str">
        <f t="shared" si="19"/>
        <v>Kudapan</v>
      </c>
      <c r="Z335" s="649" t="str">
        <f t="shared" si="20"/>
        <v>Kudapan</v>
      </c>
      <c r="AA335" s="498" t="s">
        <v>3362</v>
      </c>
      <c r="AB335" s="499">
        <v>5000</v>
      </c>
      <c r="AC335" s="499">
        <v>10000</v>
      </c>
      <c r="AD335" s="496">
        <v>10000</v>
      </c>
      <c r="AE335" s="500">
        <v>9009.0090090090089</v>
      </c>
      <c r="AF335" s="500">
        <v>10000</v>
      </c>
      <c r="AG335" s="805" t="s">
        <v>3883</v>
      </c>
      <c r="AH335" s="651" t="str">
        <f>Data2025!W334</f>
        <v>085297578868</v>
      </c>
    </row>
    <row r="336" spans="1:34" ht="38.5" thickTop="1" thickBot="1">
      <c r="A336" s="636">
        <f>Data2025!G335</f>
        <v>329</v>
      </c>
      <c r="B336" s="637">
        <f>Data2025!K335</f>
        <v>0</v>
      </c>
      <c r="C336" s="638" t="str">
        <f>Data2025!D335</f>
        <v>04. 06. 14.</v>
      </c>
      <c r="D336" s="639" t="str">
        <f>Data2025!C335</f>
        <v>5.1.02.01.01.0052</v>
      </c>
      <c r="E336" s="265">
        <f>Data2025!E335</f>
        <v>0</v>
      </c>
      <c r="F336" s="640">
        <f>Data2025!F335</f>
        <v>0</v>
      </c>
      <c r="G336" s="265">
        <f>Data2025!H335</f>
        <v>0</v>
      </c>
      <c r="H336" s="265">
        <f t="shared" si="18"/>
        <v>0</v>
      </c>
      <c r="I336" s="641">
        <f>Data2025!J335</f>
        <v>0</v>
      </c>
      <c r="J336" s="381" t="str">
        <f>Data2025!L335</f>
        <v>Konsumsi pada Kegiatan Workshop Peningkatan Kompetensi Guru Menggunakan Metode/Strategi Pembelajaran</v>
      </c>
      <c r="K336" s="381" t="str">
        <f>Data2025!M335</f>
        <v>Nasi Kotak</v>
      </c>
      <c r="L336" s="642">
        <f>Data2025!N335</f>
        <v>60</v>
      </c>
      <c r="M336" s="642" t="str">
        <f>Data2025!O335</f>
        <v>kotak</v>
      </c>
      <c r="N336" s="643">
        <f>Data2025!P335</f>
        <v>40000</v>
      </c>
      <c r="O336" s="644">
        <f>Data2025!Q335</f>
        <v>2400000</v>
      </c>
      <c r="P336" s="645" t="s">
        <v>8</v>
      </c>
      <c r="Q336" s="646" t="str">
        <f>VLOOKUP(K336,Sheet1!$C$1:$D$101,2,)</f>
        <v>Nasi Kotak (isi: Nasi putih;Sop daging; Sayur; Berat 1000gr; Dimensi; (PxLxT) 25cmx25cmx10cm)</v>
      </c>
      <c r="R336" s="496">
        <v>235000</v>
      </c>
      <c r="S336" s="504">
        <v>237000</v>
      </c>
      <c r="T336" s="648" t="str">
        <f>Data2025!T335</f>
        <v>Resto JFC Esther</v>
      </c>
      <c r="U336" s="497" t="s">
        <v>538</v>
      </c>
      <c r="V336" s="648" t="str">
        <f>Data2025!V335</f>
        <v>Limaati Daeli</v>
      </c>
      <c r="W336" s="648" t="str">
        <f>Data2025!X335</f>
        <v>Jl. Saonigeho Km. 2 Telukdalam - Nias Selatan</v>
      </c>
      <c r="X336" s="497" t="s">
        <v>541</v>
      </c>
      <c r="Y336" s="268" t="str">
        <f t="shared" si="19"/>
        <v>Konsumsi</v>
      </c>
      <c r="Z336" s="649" t="str">
        <f t="shared" si="20"/>
        <v>Konsumsi</v>
      </c>
      <c r="AA336" s="498" t="s">
        <v>3364</v>
      </c>
      <c r="AB336" s="269">
        <v>235000</v>
      </c>
      <c r="AC336" s="269">
        <v>235000</v>
      </c>
      <c r="AD336" s="267">
        <v>235000</v>
      </c>
      <c r="AE336" s="270">
        <v>211711.71171171172</v>
      </c>
      <c r="AF336" s="270">
        <v>235000</v>
      </c>
      <c r="AG336" s="805" t="s">
        <v>3883</v>
      </c>
      <c r="AH336" s="651" t="str">
        <f>Data2025!W335</f>
        <v>085297578868</v>
      </c>
    </row>
    <row r="337" spans="1:36" s="501" customFormat="1" ht="26" thickTop="1" thickBot="1">
      <c r="A337" s="636">
        <f>Data2025!G336</f>
        <v>330</v>
      </c>
      <c r="B337" s="637">
        <f>Data2025!K336</f>
        <v>0</v>
      </c>
      <c r="C337" s="638" t="str">
        <f>Data2025!D336</f>
        <v>04. 06. 27.</v>
      </c>
      <c r="D337" s="639" t="str">
        <f>Data2025!C336</f>
        <v>5.1.02.01.01.0052</v>
      </c>
      <c r="E337" s="265">
        <f>Data2025!E336</f>
        <v>0</v>
      </c>
      <c r="F337" s="640">
        <f>Data2025!F336</f>
        <v>0</v>
      </c>
      <c r="G337" s="265">
        <f>Data2025!H336</f>
        <v>0</v>
      </c>
      <c r="H337" s="265">
        <f t="shared" si="18"/>
        <v>0</v>
      </c>
      <c r="I337" s="641">
        <f>Data2025!J336</f>
        <v>0</v>
      </c>
      <c r="J337" s="381" t="str">
        <f>Data2025!L336</f>
        <v>Kudapan pada Kegiatan Workshop Peningkatan Kompetensi Guru "Prinsip Pembelajaran dan Asesmen"</v>
      </c>
      <c r="K337" s="381" t="str">
        <f>Data2025!M336</f>
        <v>Kue Besar</v>
      </c>
      <c r="L337" s="642">
        <f>Data2025!N336</f>
        <v>60</v>
      </c>
      <c r="M337" s="642" t="str">
        <f>Data2025!O336</f>
        <v>kotak</v>
      </c>
      <c r="N337" s="643">
        <f>Data2025!P336</f>
        <v>15000</v>
      </c>
      <c r="O337" s="644">
        <f>Data2025!Q336</f>
        <v>900000</v>
      </c>
      <c r="P337" s="645" t="s">
        <v>280</v>
      </c>
      <c r="Q337" s="646" t="str">
        <f>VLOOKUP(K337,Sheet1!$C$1:$D$101,2,)</f>
        <v>Kue (bahan tepung terigu, gula, telur, mentega; berat 100gr, panjang 15cm, lebar 8 cm)</v>
      </c>
      <c r="R337" s="496">
        <v>440000</v>
      </c>
      <c r="S337" s="504">
        <v>448000</v>
      </c>
      <c r="T337" s="648" t="str">
        <f>Data2025!T336</f>
        <v>Rumah Roti Helena</v>
      </c>
      <c r="U337" s="497" t="s">
        <v>538</v>
      </c>
      <c r="V337" s="648" t="str">
        <f>Data2025!V336</f>
        <v>Fudi Supiyanto</v>
      </c>
      <c r="W337" s="648" t="str">
        <f>Data2025!X336</f>
        <v>Jln Ahmad Yani No.89 Kel. Pasar Telukdalam, Nias Selatan</v>
      </c>
      <c r="X337" s="497" t="s">
        <v>541</v>
      </c>
      <c r="Y337" s="268" t="str">
        <f t="shared" si="19"/>
        <v>Kudapan</v>
      </c>
      <c r="Z337" s="649" t="str">
        <f t="shared" si="20"/>
        <v>Kudapan</v>
      </c>
      <c r="AA337" s="498" t="s">
        <v>3367</v>
      </c>
      <c r="AB337" s="499">
        <v>110000</v>
      </c>
      <c r="AC337" s="499">
        <v>440000</v>
      </c>
      <c r="AD337" s="496">
        <v>440000</v>
      </c>
      <c r="AE337" s="500">
        <v>396396.39639639639</v>
      </c>
      <c r="AF337" s="500">
        <v>440000</v>
      </c>
      <c r="AG337" s="805" t="s">
        <v>3883</v>
      </c>
      <c r="AH337" s="651" t="str">
        <f>Data2025!W336</f>
        <v>082164895397</v>
      </c>
    </row>
    <row r="338" spans="1:36" s="501" customFormat="1" ht="26" thickTop="1" thickBot="1">
      <c r="A338" s="636">
        <f>Data2025!G337</f>
        <v>331</v>
      </c>
      <c r="B338" s="637">
        <f>Data2025!K337</f>
        <v>0</v>
      </c>
      <c r="C338" s="638" t="str">
        <f>Data2025!D337</f>
        <v>04. 06. 27.</v>
      </c>
      <c r="D338" s="639" t="str">
        <f>Data2025!C337</f>
        <v>5.1.02.01.01.0052</v>
      </c>
      <c r="E338" s="265">
        <f>Data2025!E337</f>
        <v>0</v>
      </c>
      <c r="F338" s="640">
        <f>Data2025!F337</f>
        <v>0</v>
      </c>
      <c r="G338" s="265">
        <f>Data2025!H337</f>
        <v>0</v>
      </c>
      <c r="H338" s="265">
        <f t="shared" si="18"/>
        <v>0</v>
      </c>
      <c r="I338" s="641">
        <f>Data2025!J337</f>
        <v>0</v>
      </c>
      <c r="J338" s="381" t="str">
        <f>Data2025!L337</f>
        <v>Konsumsi pada Kegiatan Workshop Peningkatan Kompetensi Guru "Prinsip Pembelajaran dan Asesmen"</v>
      </c>
      <c r="K338" s="381" t="str">
        <f>Data2025!M337</f>
        <v>Nasi Kotak</v>
      </c>
      <c r="L338" s="642">
        <f>Data2025!N337</f>
        <v>60</v>
      </c>
      <c r="M338" s="642" t="str">
        <f>Data2025!O337</f>
        <v>kotak</v>
      </c>
      <c r="N338" s="643">
        <f>Data2025!P337</f>
        <v>40000</v>
      </c>
      <c r="O338" s="644">
        <f>Data2025!Q337</f>
        <v>2400000</v>
      </c>
      <c r="P338" s="645" t="s">
        <v>8</v>
      </c>
      <c r="Q338" s="646" t="str">
        <f>VLOOKUP(K338,Sheet1!$C$1:$D$101,2,)</f>
        <v>Nasi Kotak (isi: Nasi putih;Sop daging; Sayur; Berat 1000gr; Dimensi; (PxLxT) 25cmx25cmx10cm)</v>
      </c>
      <c r="R338" s="496">
        <v>426000</v>
      </c>
      <c r="S338" s="504">
        <v>450000</v>
      </c>
      <c r="T338" s="648" t="str">
        <f>Data2025!T337</f>
        <v>Resto JFC Esther</v>
      </c>
      <c r="U338" s="497" t="s">
        <v>538</v>
      </c>
      <c r="V338" s="648" t="str">
        <f>Data2025!V337</f>
        <v>Limaati Daeli</v>
      </c>
      <c r="W338" s="648" t="str">
        <f>Data2025!X337</f>
        <v>Jl. Saonigeho Km. 2 Telukdalam - Nias Selatan</v>
      </c>
      <c r="X338" s="497" t="s">
        <v>541</v>
      </c>
      <c r="Y338" s="268" t="str">
        <f t="shared" si="19"/>
        <v>Konsumsi</v>
      </c>
      <c r="Z338" s="649" t="str">
        <f t="shared" si="20"/>
        <v>Konsumsi</v>
      </c>
      <c r="AA338" s="498" t="s">
        <v>3363</v>
      </c>
      <c r="AB338" s="499">
        <v>35500</v>
      </c>
      <c r="AC338" s="499">
        <v>426000</v>
      </c>
      <c r="AD338" s="496">
        <v>426000</v>
      </c>
      <c r="AE338" s="500">
        <v>383783.78378378379</v>
      </c>
      <c r="AF338" s="500">
        <v>426000</v>
      </c>
      <c r="AG338" s="805" t="s">
        <v>3883</v>
      </c>
      <c r="AH338" s="651" t="str">
        <f>Data2025!W337</f>
        <v>085297578868</v>
      </c>
    </row>
    <row r="339" spans="1:36" s="501" customFormat="1" ht="26" thickTop="1" thickBot="1">
      <c r="A339" s="636">
        <f>Data2025!G338</f>
        <v>332</v>
      </c>
      <c r="B339" s="637">
        <f>Data2025!K338</f>
        <v>0</v>
      </c>
      <c r="C339" s="638" t="str">
        <f>Data2025!D338</f>
        <v>05. 05. 02.</v>
      </c>
      <c r="D339" s="639" t="str">
        <f>Data2025!C338</f>
        <v>5.1.02.01.01.0052</v>
      </c>
      <c r="E339" s="265">
        <f>Data2025!E338</f>
        <v>0</v>
      </c>
      <c r="F339" s="640">
        <f>Data2025!F338</f>
        <v>0</v>
      </c>
      <c r="G339" s="265">
        <f>Data2025!H338</f>
        <v>0</v>
      </c>
      <c r="H339" s="265">
        <f t="shared" si="18"/>
        <v>0</v>
      </c>
      <c r="I339" s="641">
        <f>Data2025!J338</f>
        <v>0</v>
      </c>
      <c r="J339" s="381" t="str">
        <f>Data2025!L338</f>
        <v>Air Mineral pada pelaksanaan kegiatan bulanan Gerakan Bersih Lingkungan Sekolah</v>
      </c>
      <c r="K339" s="381" t="str">
        <f>Data2025!M338</f>
        <v>Aqua Cup</v>
      </c>
      <c r="L339" s="642">
        <f>Data2025!N338</f>
        <v>25</v>
      </c>
      <c r="M339" s="642" t="str">
        <f>Data2025!O338</f>
        <v>dus</v>
      </c>
      <c r="N339" s="643">
        <f>Data2025!P338</f>
        <v>50000</v>
      </c>
      <c r="O339" s="644">
        <f>Data2025!Q338</f>
        <v>1250000</v>
      </c>
      <c r="P339" s="645" t="s">
        <v>1545</v>
      </c>
      <c r="Q339" s="646" t="str">
        <f>VLOOKUP(K339,Sheet1!$C$1:$D$101,2,)</f>
        <v>Aqua Cup (Diameter: 6.3cm. Tinggi: 9.5cm)</v>
      </c>
      <c r="R339" s="496">
        <v>50000</v>
      </c>
      <c r="S339" s="504">
        <v>54000</v>
      </c>
      <c r="T339" s="648" t="str">
        <f>Data2025!T338</f>
        <v>Rumah Roti Helena</v>
      </c>
      <c r="U339" s="497" t="s">
        <v>538</v>
      </c>
      <c r="V339" s="648" t="str">
        <f>Data2025!V338</f>
        <v>Fudi Supiyanto</v>
      </c>
      <c r="W339" s="648" t="str">
        <f>Data2025!X338</f>
        <v>Jln Ahmad Yani No.89 Kel. Pasar Telukdalam, Nias Selatan</v>
      </c>
      <c r="X339" s="497" t="s">
        <v>541</v>
      </c>
      <c r="Y339" s="268" t="str">
        <f t="shared" si="19"/>
        <v>Air Mineral</v>
      </c>
      <c r="Z339" s="649" t="str">
        <f t="shared" si="20"/>
        <v>Air Mineral</v>
      </c>
      <c r="AA339" s="498" t="s">
        <v>3363</v>
      </c>
      <c r="AB339" s="499">
        <v>25000</v>
      </c>
      <c r="AC339" s="499">
        <v>50000</v>
      </c>
      <c r="AD339" s="496">
        <v>50000</v>
      </c>
      <c r="AE339" s="500">
        <v>45045.045045045044</v>
      </c>
      <c r="AF339" s="500">
        <v>50000</v>
      </c>
      <c r="AG339" s="805" t="s">
        <v>3883</v>
      </c>
      <c r="AH339" s="651" t="str">
        <f>Data2025!W338</f>
        <v>082164895397</v>
      </c>
    </row>
    <row r="340" spans="1:36" s="501" customFormat="1" ht="16.5" thickTop="1" thickBot="1">
      <c r="A340" s="636">
        <f>Data2025!G339</f>
        <v>333</v>
      </c>
      <c r="B340" s="637">
        <f>Data2025!K339</f>
        <v>0</v>
      </c>
      <c r="C340" s="638" t="str">
        <f>Data2025!D339</f>
        <v>05. 08. 02.</v>
      </c>
      <c r="D340" s="639" t="str">
        <f>Data2025!C339</f>
        <v>5.1.02.01.01.0012</v>
      </c>
      <c r="E340" s="265">
        <f>Data2025!E339</f>
        <v>0</v>
      </c>
      <c r="F340" s="640">
        <f>Data2025!F339</f>
        <v>0</v>
      </c>
      <c r="G340" s="265">
        <f>Data2025!H339</f>
        <v>0</v>
      </c>
      <c r="H340" s="265">
        <f t="shared" si="18"/>
        <v>0</v>
      </c>
      <c r="I340" s="641">
        <f>Data2025!J339</f>
        <v>0</v>
      </c>
      <c r="J340" s="381" t="str">
        <f>Data2025!L339</f>
        <v>Besi Anti Maling Lampu</v>
      </c>
      <c r="K340" s="381" t="str">
        <f>Data2025!M339</f>
        <v>Besi</v>
      </c>
      <c r="L340" s="642">
        <f>Data2025!N339</f>
        <v>20</v>
      </c>
      <c r="M340" s="642" t="str">
        <f>Data2025!O339</f>
        <v>buah</v>
      </c>
      <c r="N340" s="643">
        <f>Data2025!P339</f>
        <v>285000</v>
      </c>
      <c r="O340" s="644">
        <f>Data2025!Q339</f>
        <v>5700000</v>
      </c>
      <c r="P340" s="645" t="s">
        <v>3870</v>
      </c>
      <c r="Q340" s="646" t="e">
        <f>VLOOKUP(K340,Sheet1!$C$1:$D$101,2,)</f>
        <v>#N/A</v>
      </c>
      <c r="R340" s="496">
        <v>45000</v>
      </c>
      <c r="S340" s="504">
        <v>47000</v>
      </c>
      <c r="T340" s="648" t="str">
        <f>Data2025!T339</f>
        <v>CV. GORIYAKU WIRATRADE</v>
      </c>
      <c r="U340" s="497" t="s">
        <v>538</v>
      </c>
      <c r="V340" s="648" t="str">
        <f>Data2025!V339</f>
        <v>Wirawan Bazikho</v>
      </c>
      <c r="W340" s="648" t="str">
        <f>Data2025!X339</f>
        <v>Jl. Diponegoro No. 87, Kel Pasar Telukdalam - Nias Selatan</v>
      </c>
      <c r="X340" s="497" t="s">
        <v>541</v>
      </c>
      <c r="Y340" s="268" t="str">
        <f t="shared" si="19"/>
        <v>Bahan /Alat Pemeliharaan</v>
      </c>
      <c r="Z340" s="649" t="str">
        <f t="shared" si="20"/>
        <v>Bahan /Alat Pemeliharaan</v>
      </c>
      <c r="AA340" s="498" t="s">
        <v>3365</v>
      </c>
      <c r="AB340" s="499">
        <v>45000</v>
      </c>
      <c r="AC340" s="499">
        <v>45000</v>
      </c>
      <c r="AD340" s="496">
        <v>45000</v>
      </c>
      <c r="AE340" s="500">
        <v>40540.54054054054</v>
      </c>
      <c r="AF340" s="500">
        <v>45000</v>
      </c>
      <c r="AG340" s="805" t="s">
        <v>3883</v>
      </c>
      <c r="AH340" s="651" t="str">
        <f>Data2025!W339</f>
        <v>082166714290</v>
      </c>
    </row>
    <row r="341" spans="1:36" s="501" customFormat="1" ht="16.5" thickTop="1" thickBot="1">
      <c r="A341" s="636">
        <f>Data2025!G340</f>
        <v>334</v>
      </c>
      <c r="B341" s="637">
        <f>Data2025!K340</f>
        <v>0</v>
      </c>
      <c r="C341" s="638" t="str">
        <f>Data2025!D340</f>
        <v>05. 08. 02.</v>
      </c>
      <c r="D341" s="639" t="str">
        <f>Data2025!C340</f>
        <v>5.1.02.01.01.0012</v>
      </c>
      <c r="E341" s="265">
        <f>Data2025!E340</f>
        <v>0</v>
      </c>
      <c r="F341" s="640">
        <f>Data2025!F340</f>
        <v>0</v>
      </c>
      <c r="G341" s="265">
        <f>Data2025!H340</f>
        <v>0</v>
      </c>
      <c r="H341" s="265">
        <f t="shared" si="18"/>
        <v>0</v>
      </c>
      <c r="I341" s="641">
        <f>Data2025!J340</f>
        <v>0</v>
      </c>
      <c r="J341" s="381" t="str">
        <f>Data2025!L340</f>
        <v>Kalsiboard</v>
      </c>
      <c r="K341" s="381" t="str">
        <f>Data2025!M340</f>
        <v>Kalsiboard</v>
      </c>
      <c r="L341" s="642">
        <f>Data2025!N340</f>
        <v>10</v>
      </c>
      <c r="M341" s="642" t="str">
        <f>Data2025!O340</f>
        <v>lembar</v>
      </c>
      <c r="N341" s="643">
        <f>Data2025!P340</f>
        <v>350000</v>
      </c>
      <c r="O341" s="644">
        <f>Data2025!Q340</f>
        <v>3500000</v>
      </c>
      <c r="P341" s="645" t="s">
        <v>3870</v>
      </c>
      <c r="Q341" s="646" t="e">
        <f>VLOOKUP(K341,Sheet1!$C$1:$D$101,2,)</f>
        <v>#N/A</v>
      </c>
      <c r="R341" s="496">
        <v>77500</v>
      </c>
      <c r="S341" s="504">
        <v>87500</v>
      </c>
      <c r="T341" s="648" t="str">
        <f>Data2025!T340</f>
        <v>CV. GORIYAKU WIRATRADE</v>
      </c>
      <c r="U341" s="497" t="s">
        <v>538</v>
      </c>
      <c r="V341" s="648" t="str">
        <f>Data2025!V340</f>
        <v>Wirawan Bazikho</v>
      </c>
      <c r="W341" s="648" t="str">
        <f>Data2025!X340</f>
        <v>Jl. Diponegoro No. 87, Kel Pasar Telukdalam - Nias Selatan</v>
      </c>
      <c r="X341" s="497" t="s">
        <v>541</v>
      </c>
      <c r="Y341" s="268" t="str">
        <f t="shared" si="19"/>
        <v>Bahan /Alat Pemeliharaan</v>
      </c>
      <c r="Z341" s="649" t="str">
        <f t="shared" si="20"/>
        <v>Bahan /Alat Pemeliharaan</v>
      </c>
      <c r="AA341" s="498" t="s">
        <v>3363</v>
      </c>
      <c r="AB341" s="499">
        <v>15500</v>
      </c>
      <c r="AC341" s="499">
        <v>77500</v>
      </c>
      <c r="AD341" s="496">
        <v>77500</v>
      </c>
      <c r="AE341" s="500">
        <v>69819.819819819822</v>
      </c>
      <c r="AF341" s="500">
        <v>77500</v>
      </c>
      <c r="AG341" s="805" t="s">
        <v>3883</v>
      </c>
      <c r="AH341" s="651" t="str">
        <f>Data2025!W340</f>
        <v>082166714290</v>
      </c>
    </row>
    <row r="342" spans="1:36" s="501" customFormat="1" ht="16.5" thickTop="1" thickBot="1">
      <c r="A342" s="636">
        <f>Data2025!G341</f>
        <v>335</v>
      </c>
      <c r="B342" s="637">
        <f>Data2025!K341</f>
        <v>0</v>
      </c>
      <c r="C342" s="638" t="str">
        <f>Data2025!D341</f>
        <v>05. 08. 02.</v>
      </c>
      <c r="D342" s="639" t="str">
        <f>Data2025!C341</f>
        <v>5.1.02.01.01.0012</v>
      </c>
      <c r="E342" s="265">
        <f>Data2025!E341</f>
        <v>0</v>
      </c>
      <c r="F342" s="640">
        <f>Data2025!F341</f>
        <v>0</v>
      </c>
      <c r="G342" s="265">
        <f>Data2025!H341</f>
        <v>0</v>
      </c>
      <c r="H342" s="265">
        <f t="shared" si="18"/>
        <v>0</v>
      </c>
      <c r="I342" s="641">
        <f>Data2025!J341</f>
        <v>0</v>
      </c>
      <c r="J342" s="381" t="str">
        <f>Data2025!L341</f>
        <v>Besi Anti Maling Proyektor</v>
      </c>
      <c r="K342" s="381" t="str">
        <f>Data2025!M341</f>
        <v>Besi</v>
      </c>
      <c r="L342" s="642">
        <f>Data2025!N341</f>
        <v>3</v>
      </c>
      <c r="M342" s="642" t="str">
        <f>Data2025!O341</f>
        <v>buah</v>
      </c>
      <c r="N342" s="643">
        <f>Data2025!P341</f>
        <v>750000</v>
      </c>
      <c r="O342" s="644">
        <f>Data2025!Q341</f>
        <v>2250000</v>
      </c>
      <c r="P342" s="645" t="s">
        <v>3870</v>
      </c>
      <c r="Q342" s="646" t="e">
        <f>VLOOKUP(K342,Sheet1!$C$1:$D$101,2,)</f>
        <v>#N/A</v>
      </c>
      <c r="R342" s="496">
        <v>30000</v>
      </c>
      <c r="S342" s="504">
        <v>40000</v>
      </c>
      <c r="T342" s="648" t="str">
        <f>Data2025!T341</f>
        <v>CV. GORIYAKU WIRATRADE</v>
      </c>
      <c r="U342" s="497" t="s">
        <v>538</v>
      </c>
      <c r="V342" s="648" t="str">
        <f>Data2025!V341</f>
        <v>Wirawan Bazikho</v>
      </c>
      <c r="W342" s="648" t="str">
        <f>Data2025!X341</f>
        <v>Jl. Diponegoro No. 87, Kel Pasar Telukdalam - Nias Selatan</v>
      </c>
      <c r="X342" s="497" t="s">
        <v>541</v>
      </c>
      <c r="Y342" s="268" t="str">
        <f t="shared" si="19"/>
        <v>Bahan /Alat Pemeliharaan</v>
      </c>
      <c r="Z342" s="649" t="str">
        <f t="shared" si="20"/>
        <v>Bahan /Alat Pemeliharaan</v>
      </c>
      <c r="AA342" s="498" t="s">
        <v>3362</v>
      </c>
      <c r="AB342" s="499">
        <v>6000</v>
      </c>
      <c r="AC342" s="499">
        <v>30000</v>
      </c>
      <c r="AD342" s="496">
        <v>30000</v>
      </c>
      <c r="AE342" s="500">
        <v>27027.027027027027</v>
      </c>
      <c r="AF342" s="500">
        <v>30000</v>
      </c>
      <c r="AG342" s="805" t="s">
        <v>3883</v>
      </c>
      <c r="AH342" s="651" t="str">
        <f>Data2025!W341</f>
        <v>082166714290</v>
      </c>
    </row>
    <row r="343" spans="1:36" s="501" customFormat="1" ht="16.5" thickTop="1" thickBot="1">
      <c r="A343" s="636">
        <f>Data2025!G342</f>
        <v>336</v>
      </c>
      <c r="B343" s="637">
        <f>Data2025!K342</f>
        <v>0</v>
      </c>
      <c r="C343" s="638" t="str">
        <f>Data2025!D342</f>
        <v>05. 08. 02.</v>
      </c>
      <c r="D343" s="639" t="str">
        <f>Data2025!C342</f>
        <v>5.1.02.01.01.0012</v>
      </c>
      <c r="E343" s="265">
        <f>Data2025!E342</f>
        <v>0</v>
      </c>
      <c r="F343" s="640">
        <f>Data2025!F342</f>
        <v>0</v>
      </c>
      <c r="G343" s="265">
        <f>Data2025!H342</f>
        <v>0</v>
      </c>
      <c r="H343" s="265">
        <f t="shared" si="18"/>
        <v>0</v>
      </c>
      <c r="I343" s="641">
        <f>Data2025!J342</f>
        <v>0</v>
      </c>
      <c r="J343" s="381" t="str">
        <f>Data2025!L342</f>
        <v>Jasa Perbaikan dinding kelas</v>
      </c>
      <c r="K343" s="381" t="str">
        <f>Data2025!M342</f>
        <v>Bayar Jasa Perbaikan</v>
      </c>
      <c r="L343" s="642">
        <f>Data2025!N342</f>
        <v>1</v>
      </c>
      <c r="M343" s="642" t="str">
        <f>Data2025!O342</f>
        <v>kegiatan</v>
      </c>
      <c r="N343" s="643">
        <f>Data2025!P342</f>
        <v>1800000</v>
      </c>
      <c r="O343" s="644">
        <f>Data2025!Q342</f>
        <v>1800000</v>
      </c>
      <c r="P343" s="645" t="s">
        <v>3094</v>
      </c>
      <c r="Q343" s="646" t="e">
        <f>VLOOKUP(K343,Sheet1!$C$1:$D$101,2,)</f>
        <v>#N/A</v>
      </c>
      <c r="R343" s="496">
        <v>125000</v>
      </c>
      <c r="S343" s="504">
        <v>135000</v>
      </c>
      <c r="T343" s="648">
        <f>Data2025!T342</f>
        <v>0</v>
      </c>
      <c r="U343" s="497" t="s">
        <v>538</v>
      </c>
      <c r="V343" s="648" t="e">
        <f>Data2025!V342</f>
        <v>#N/A</v>
      </c>
      <c r="W343" s="648" t="e">
        <f>Data2025!X342</f>
        <v>#N/A</v>
      </c>
      <c r="X343" s="497" t="s">
        <v>541</v>
      </c>
      <c r="Y343" s="268" t="str">
        <f t="shared" si="19"/>
        <v>Pemeliharaan</v>
      </c>
      <c r="Z343" s="649" t="str">
        <f t="shared" si="20"/>
        <v>Pemeliharaan</v>
      </c>
      <c r="AA343" s="498" t="s">
        <v>3363</v>
      </c>
      <c r="AB343" s="499">
        <v>25000</v>
      </c>
      <c r="AC343" s="499">
        <v>125000</v>
      </c>
      <c r="AD343" s="496">
        <v>125000</v>
      </c>
      <c r="AE343" s="500">
        <v>112612.61261261262</v>
      </c>
      <c r="AF343" s="500">
        <v>125000</v>
      </c>
      <c r="AG343" s="805" t="s">
        <v>3883</v>
      </c>
      <c r="AH343" s="651" t="e">
        <f>Data2025!W342</f>
        <v>#N/A</v>
      </c>
    </row>
    <row r="344" spans="1:36" ht="16.5" thickTop="1" thickBot="1">
      <c r="A344" s="636">
        <f>Data2025!G343</f>
        <v>337</v>
      </c>
      <c r="B344" s="637">
        <f>Data2025!K343</f>
        <v>0</v>
      </c>
      <c r="C344" s="638" t="str">
        <f>Data2025!D343</f>
        <v>05. 08. 02.</v>
      </c>
      <c r="D344" s="639" t="str">
        <f>Data2025!C343</f>
        <v>5.1.02.01.01.0012</v>
      </c>
      <c r="E344" s="265">
        <f>Data2025!E343</f>
        <v>0</v>
      </c>
      <c r="F344" s="640">
        <f>Data2025!F343</f>
        <v>0</v>
      </c>
      <c r="G344" s="265">
        <f>Data2025!H343</f>
        <v>0</v>
      </c>
      <c r="H344" s="265">
        <f t="shared" si="18"/>
        <v>0</v>
      </c>
      <c r="I344" s="641">
        <f>Data2025!J343</f>
        <v>0</v>
      </c>
      <c r="J344" s="381" t="str">
        <f>Data2025!L343</f>
        <v>Jasa Pemasangan Anti maling</v>
      </c>
      <c r="K344" s="381" t="str">
        <f>Data2025!M343</f>
        <v>Bayar Jasa Perbaikan</v>
      </c>
      <c r="L344" s="642">
        <f>Data2025!N343</f>
        <v>1</v>
      </c>
      <c r="M344" s="642" t="str">
        <f>Data2025!O343</f>
        <v>kegiatan</v>
      </c>
      <c r="N344" s="643">
        <f>Data2025!P343</f>
        <v>2000000</v>
      </c>
      <c r="O344" s="644">
        <f>Data2025!Q343</f>
        <v>2000000</v>
      </c>
      <c r="P344" s="645" t="s">
        <v>3094</v>
      </c>
      <c r="Q344" s="646" t="e">
        <f>VLOOKUP(K344,Sheet1!$C$1:$D$101,2,)</f>
        <v>#N/A</v>
      </c>
      <c r="R344" s="496">
        <v>500000</v>
      </c>
      <c r="S344" s="504">
        <v>520000</v>
      </c>
      <c r="T344" s="648">
        <f>Data2025!T343</f>
        <v>0</v>
      </c>
      <c r="U344" s="497" t="s">
        <v>538</v>
      </c>
      <c r="V344" s="648" t="e">
        <f>Data2025!V343</f>
        <v>#N/A</v>
      </c>
      <c r="W344" s="648" t="e">
        <f>Data2025!X343</f>
        <v>#N/A</v>
      </c>
      <c r="X344" s="497" t="s">
        <v>541</v>
      </c>
      <c r="Y344" s="268" t="str">
        <f t="shared" si="19"/>
        <v>Pemeliharaan</v>
      </c>
      <c r="Z344" s="649" t="str">
        <f t="shared" si="20"/>
        <v>Pemeliharaan</v>
      </c>
      <c r="AA344" s="498" t="s">
        <v>3365</v>
      </c>
      <c r="AB344" s="269">
        <v>50000</v>
      </c>
      <c r="AC344" s="269">
        <v>500000</v>
      </c>
      <c r="AD344" s="267">
        <v>500000</v>
      </c>
      <c r="AE344" s="270">
        <v>450450.45045045047</v>
      </c>
      <c r="AF344" s="270">
        <v>500000</v>
      </c>
      <c r="AG344" s="805" t="s">
        <v>3883</v>
      </c>
      <c r="AH344" s="651" t="e">
        <f>Data2025!W343</f>
        <v>#N/A</v>
      </c>
    </row>
    <row r="345" spans="1:36" ht="16.5" thickTop="1" thickBot="1">
      <c r="A345" s="636">
        <f>Data2025!G344</f>
        <v>338</v>
      </c>
      <c r="B345" s="637">
        <f>Data2025!K344</f>
        <v>0</v>
      </c>
      <c r="C345" s="638" t="str">
        <f>Data2025!D344</f>
        <v>05. 08. 10.</v>
      </c>
      <c r="D345" s="639" t="str">
        <f>Data2025!C344</f>
        <v>5.1.02.01.01.0031</v>
      </c>
      <c r="E345" s="265">
        <f>Data2025!E344</f>
        <v>0</v>
      </c>
      <c r="F345" s="640">
        <f>Data2025!F344</f>
        <v>0</v>
      </c>
      <c r="G345" s="265">
        <f>Data2025!H344</f>
        <v>0</v>
      </c>
      <c r="H345" s="265">
        <f t="shared" si="18"/>
        <v>0</v>
      </c>
      <c r="I345" s="641">
        <f>Data2025!J344</f>
        <v>0</v>
      </c>
      <c r="J345" s="381" t="str">
        <f>Data2025!L344</f>
        <v>bola lampu hannock-45 watt</v>
      </c>
      <c r="K345" s="381" t="str">
        <f>Data2025!M344</f>
        <v>bola lampu hannock-45 watt</v>
      </c>
      <c r="L345" s="642">
        <f>Data2025!N344</f>
        <v>23</v>
      </c>
      <c r="M345" s="642" t="str">
        <f>Data2025!O344</f>
        <v>buah</v>
      </c>
      <c r="N345" s="643">
        <f>Data2025!P344</f>
        <v>77800</v>
      </c>
      <c r="O345" s="644">
        <f>Data2025!Q344</f>
        <v>1789400</v>
      </c>
      <c r="P345" s="645" t="s">
        <v>799</v>
      </c>
      <c r="Q345" s="646" t="e">
        <f>VLOOKUP(K345,Sheet1!$C$1:$D$101,2,)</f>
        <v>#N/A</v>
      </c>
      <c r="R345" s="496">
        <v>240000</v>
      </c>
      <c r="S345" s="504">
        <v>244000</v>
      </c>
      <c r="T345" s="648" t="str">
        <f>Data2025!T344</f>
        <v>CV. GORIYAKU WIRATRADE</v>
      </c>
      <c r="U345" s="497" t="s">
        <v>538</v>
      </c>
      <c r="V345" s="648" t="str">
        <f>Data2025!V344</f>
        <v>Wirawan Bazikho</v>
      </c>
      <c r="W345" s="648" t="str">
        <f>Data2025!X344</f>
        <v>Jl. Diponegoro No. 87, Kel Pasar Telukdalam - Nias Selatan</v>
      </c>
      <c r="X345" s="497" t="s">
        <v>541</v>
      </c>
      <c r="Y345" s="268" t="str">
        <f t="shared" si="19"/>
        <v>Peralatan Listrik</v>
      </c>
      <c r="Z345" s="649" t="str">
        <f t="shared" si="20"/>
        <v>Peralatan Listrik</v>
      </c>
      <c r="AA345" s="498" t="s">
        <v>3364</v>
      </c>
      <c r="AB345" s="269">
        <v>120000</v>
      </c>
      <c r="AC345" s="269">
        <v>240000</v>
      </c>
      <c r="AD345" s="267">
        <v>240000</v>
      </c>
      <c r="AE345" s="270">
        <v>216216.21621621621</v>
      </c>
      <c r="AF345" s="270">
        <v>240000</v>
      </c>
      <c r="AG345" s="805" t="s">
        <v>3883</v>
      </c>
      <c r="AH345" s="651" t="str">
        <f>Data2025!W344</f>
        <v>082166714290</v>
      </c>
    </row>
    <row r="346" spans="1:36" s="501" customFormat="1" ht="16.5" thickTop="1" thickBot="1">
      <c r="A346" s="636">
        <f>Data2025!G345</f>
        <v>339</v>
      </c>
      <c r="B346" s="637">
        <f>Data2025!K345</f>
        <v>0</v>
      </c>
      <c r="C346" s="638" t="str">
        <f>Data2025!D345</f>
        <v>06. 05. 02.</v>
      </c>
      <c r="D346" s="639" t="str">
        <f>Data2025!C345</f>
        <v>5.1.02.01.01.0052</v>
      </c>
      <c r="E346" s="265">
        <f>Data2025!E345</f>
        <v>0</v>
      </c>
      <c r="F346" s="640">
        <f>Data2025!F345</f>
        <v>0</v>
      </c>
      <c r="G346" s="265">
        <f>Data2025!H345</f>
        <v>0</v>
      </c>
      <c r="H346" s="265">
        <f t="shared" si="18"/>
        <v>0</v>
      </c>
      <c r="I346" s="641">
        <f>Data2025!J345</f>
        <v>0</v>
      </c>
      <c r="J346" s="381" t="str">
        <f>Data2025!L345</f>
        <v>Kudapan Rapat Rutin Bulanan</v>
      </c>
      <c r="K346" s="381" t="str">
        <f>Data2025!M345</f>
        <v>Kue Besar</v>
      </c>
      <c r="L346" s="642">
        <f>Data2025!N345</f>
        <v>60</v>
      </c>
      <c r="M346" s="642" t="str">
        <f>Data2025!O345</f>
        <v>buah</v>
      </c>
      <c r="N346" s="643">
        <f>Data2025!P345</f>
        <v>15000</v>
      </c>
      <c r="O346" s="644">
        <f>Data2025!Q345</f>
        <v>900000</v>
      </c>
      <c r="P346" s="645" t="s">
        <v>280</v>
      </c>
      <c r="Q346" s="646" t="str">
        <f>VLOOKUP(K346,Sheet1!$C$1:$D$101,2,)</f>
        <v>Kue (bahan tepung terigu, gula, telur, mentega; berat 100gr, panjang 15cm, lebar 8 cm)</v>
      </c>
      <c r="R346" s="496">
        <v>30000</v>
      </c>
      <c r="S346" s="504">
        <v>34000</v>
      </c>
      <c r="T346" s="648" t="str">
        <f>Data2025!T345</f>
        <v>Rumah Roti Helena</v>
      </c>
      <c r="U346" s="497" t="s">
        <v>538</v>
      </c>
      <c r="V346" s="648" t="str">
        <f>Data2025!V345</f>
        <v>Fudi Supiyanto</v>
      </c>
      <c r="W346" s="648" t="str">
        <f>Data2025!X345</f>
        <v>Jln Ahmad Yani No.89 Kel. Pasar Telukdalam, Nias Selatan</v>
      </c>
      <c r="X346" s="497" t="s">
        <v>541</v>
      </c>
      <c r="Y346" s="268" t="str">
        <f t="shared" si="19"/>
        <v>Kudapan</v>
      </c>
      <c r="Z346" s="649" t="str">
        <f t="shared" si="20"/>
        <v>Kudapan</v>
      </c>
      <c r="AA346" s="498" t="s">
        <v>3363</v>
      </c>
      <c r="AB346" s="499">
        <v>15000</v>
      </c>
      <c r="AC346" s="499">
        <v>30000</v>
      </c>
      <c r="AD346" s="496">
        <v>30000</v>
      </c>
      <c r="AE346" s="500">
        <v>27027.027027027027</v>
      </c>
      <c r="AF346" s="500">
        <v>30000</v>
      </c>
      <c r="AG346" s="805" t="s">
        <v>3883</v>
      </c>
      <c r="AH346" s="651" t="str">
        <f>Data2025!W345</f>
        <v>082164895397</v>
      </c>
    </row>
    <row r="347" spans="1:36" s="501" customFormat="1" ht="16.5" thickTop="1" thickBot="1">
      <c r="A347" s="636">
        <f>Data2025!G346</f>
        <v>340</v>
      </c>
      <c r="B347" s="637">
        <f>Data2025!K346</f>
        <v>0</v>
      </c>
      <c r="C347" s="638" t="str">
        <f>Data2025!D346</f>
        <v>06. 05. 08.</v>
      </c>
      <c r="D347" s="639" t="str">
        <f>Data2025!C346</f>
        <v>5.1.02.01.01.0024</v>
      </c>
      <c r="E347" s="265">
        <f>Data2025!E346</f>
        <v>0</v>
      </c>
      <c r="F347" s="640">
        <f>Data2025!F346</f>
        <v>0</v>
      </c>
      <c r="G347" s="265">
        <f>Data2025!H346</f>
        <v>0</v>
      </c>
      <c r="H347" s="265">
        <f t="shared" si="18"/>
        <v>0</v>
      </c>
      <c r="I347" s="641">
        <f>Data2025!J346</f>
        <v>0</v>
      </c>
      <c r="J347" s="381" t="str">
        <f>Data2025!L346</f>
        <v>Plastik Mika</v>
      </c>
      <c r="K347" s="381" t="str">
        <f>Data2025!M346</f>
        <v>Plastik Mika</v>
      </c>
      <c r="L347" s="642">
        <f>Data2025!N346</f>
        <v>5</v>
      </c>
      <c r="M347" s="642" t="str">
        <f>Data2025!O346</f>
        <v>bungkus</v>
      </c>
      <c r="N347" s="643">
        <f>Data2025!P346</f>
        <v>60000</v>
      </c>
      <c r="O347" s="644">
        <f>Data2025!Q346</f>
        <v>300000</v>
      </c>
      <c r="P347" s="645" t="s">
        <v>710</v>
      </c>
      <c r="Q347" s="646" t="str">
        <f>VLOOKUP(K347,Sheet1!$C$1:$D$101,2,)</f>
        <v>Plastik Mika Jilid F4 (Length 21.0Cm, Width 33.0Cm, Height 7.0Cm, Weight 548Gr)</v>
      </c>
      <c r="R347" s="496">
        <v>70800</v>
      </c>
      <c r="S347" s="504">
        <v>74800</v>
      </c>
      <c r="T347" s="648" t="str">
        <f>Data2025!T346</f>
        <v>UD. JOSUA</v>
      </c>
      <c r="U347" s="497" t="s">
        <v>538</v>
      </c>
      <c r="V347" s="648" t="str">
        <f>Data2025!V346</f>
        <v>Gestiwan Bazikho</v>
      </c>
      <c r="W347" s="648" t="str">
        <f>Data2025!X346</f>
        <v>Jl. Diponegoro Kel. Pasar Telukdalam - Nias Selatan</v>
      </c>
      <c r="X347" s="497" t="s">
        <v>541</v>
      </c>
      <c r="Y347" s="268" t="str">
        <f t="shared" si="19"/>
        <v>Alat Tulis Kantor (ATK)</v>
      </c>
      <c r="Z347" s="649" t="str">
        <f t="shared" si="20"/>
        <v>Alat Tulis Kantor (ATK)</v>
      </c>
      <c r="AA347" s="498" t="s">
        <v>3363</v>
      </c>
      <c r="AB347" s="499">
        <v>35400</v>
      </c>
      <c r="AC347" s="499">
        <v>70800</v>
      </c>
      <c r="AD347" s="496">
        <v>70800</v>
      </c>
      <c r="AE347" s="500">
        <v>63783.783783783787</v>
      </c>
      <c r="AF347" s="500">
        <v>70800</v>
      </c>
      <c r="AG347" s="805" t="s">
        <v>3883</v>
      </c>
      <c r="AH347" s="651" t="str">
        <f>Data2025!W346</f>
        <v>081375309828</v>
      </c>
    </row>
    <row r="348" spans="1:36" ht="26" thickTop="1" thickBot="1">
      <c r="A348" s="636">
        <f>Data2025!G347</f>
        <v>341</v>
      </c>
      <c r="B348" s="637">
        <f>Data2025!K347</f>
        <v>0</v>
      </c>
      <c r="C348" s="638" t="str">
        <f>Data2025!D347</f>
        <v>06. 05. 08.</v>
      </c>
      <c r="D348" s="639" t="str">
        <f>Data2025!C347</f>
        <v>5.1.02.01.01.0024</v>
      </c>
      <c r="E348" s="265">
        <f>Data2025!E347</f>
        <v>0</v>
      </c>
      <c r="F348" s="640">
        <f>Data2025!F347</f>
        <v>0</v>
      </c>
      <c r="G348" s="265">
        <f>Data2025!H347</f>
        <v>0</v>
      </c>
      <c r="H348" s="265">
        <f t="shared" si="18"/>
        <v>0</v>
      </c>
      <c r="I348" s="641">
        <f>Data2025!J347</f>
        <v>0</v>
      </c>
      <c r="J348" s="381" t="str">
        <f>Data2025!L347</f>
        <v>Kertas Warna Blank Folio, Ukuran : 8,5 x 14",  70 gram</v>
      </c>
      <c r="K348" s="381" t="str">
        <f>Data2025!M347</f>
        <v>Kertas Warna Blank Folio, Ukuran : 8,5 x 14",  70 gram</v>
      </c>
      <c r="L348" s="642">
        <f>Data2025!N347</f>
        <v>2</v>
      </c>
      <c r="M348" s="642" t="str">
        <f>Data2025!O347</f>
        <v>rim</v>
      </c>
      <c r="N348" s="643">
        <f>Data2025!P347</f>
        <v>90000</v>
      </c>
      <c r="O348" s="644">
        <f>Data2025!Q347</f>
        <v>180000</v>
      </c>
      <c r="P348" s="645" t="s">
        <v>710</v>
      </c>
      <c r="Q348" s="646" t="str">
        <f>VLOOKUP(K348,Sheet1!$C$1:$D$101,2,)</f>
        <v>Kertas Hvs Warna 70 Gsm (Length 21.0Cm, Width 33.0Cm, Height 7.0Cm, Weight 2400Gr)</v>
      </c>
      <c r="R348" s="496">
        <v>200000</v>
      </c>
      <c r="S348" s="504">
        <v>220000</v>
      </c>
      <c r="T348" s="648" t="str">
        <f>Data2025!T347</f>
        <v>UD. JOSUA</v>
      </c>
      <c r="U348" s="497" t="s">
        <v>538</v>
      </c>
      <c r="V348" s="648" t="str">
        <f>Data2025!V347</f>
        <v>Gestiwan Bazikho</v>
      </c>
      <c r="W348" s="648" t="str">
        <f>Data2025!X347</f>
        <v>Jl. Diponegoro Kel. Pasar Telukdalam - Nias Selatan</v>
      </c>
      <c r="X348" s="497" t="s">
        <v>541</v>
      </c>
      <c r="Y348" s="268" t="str">
        <f t="shared" si="19"/>
        <v>Alat Tulis Kantor (ATK)</v>
      </c>
      <c r="Z348" s="649" t="str">
        <f t="shared" si="20"/>
        <v>Alat Tulis Kantor (ATK)</v>
      </c>
      <c r="AA348" s="498" t="s">
        <v>3362</v>
      </c>
      <c r="AB348" s="269">
        <v>20000</v>
      </c>
      <c r="AC348" s="269">
        <v>200000</v>
      </c>
      <c r="AD348" s="267">
        <v>200000</v>
      </c>
      <c r="AE348" s="270">
        <v>180180.18018018018</v>
      </c>
      <c r="AF348" s="270">
        <v>200000</v>
      </c>
      <c r="AG348" s="805" t="s">
        <v>3883</v>
      </c>
      <c r="AH348" s="651" t="str">
        <f>Data2025!W347</f>
        <v>081375309828</v>
      </c>
    </row>
    <row r="349" spans="1:36" s="501" customFormat="1" ht="16.5" thickTop="1" thickBot="1">
      <c r="A349" s="636">
        <f>Data2025!G348</f>
        <v>342</v>
      </c>
      <c r="B349" s="637">
        <f>Data2025!K348</f>
        <v>0</v>
      </c>
      <c r="C349" s="638" t="str">
        <f>Data2025!D348</f>
        <v>06. 05. 08.</v>
      </c>
      <c r="D349" s="639" t="str">
        <f>Data2025!C348</f>
        <v>5.1.02.01.01.0024</v>
      </c>
      <c r="E349" s="265">
        <f>Data2025!E348</f>
        <v>0</v>
      </c>
      <c r="F349" s="640">
        <f>Data2025!F348</f>
        <v>0</v>
      </c>
      <c r="G349" s="265">
        <f>Data2025!H348</f>
        <v>0</v>
      </c>
      <c r="H349" s="265">
        <f t="shared" si="18"/>
        <v>0</v>
      </c>
      <c r="I349" s="641">
        <f>Data2025!J348</f>
        <v>0</v>
      </c>
      <c r="J349" s="381" t="str">
        <f>Data2025!L348</f>
        <v>Kertas Lain-Lain Kertas Buffalo</v>
      </c>
      <c r="K349" s="381" t="str">
        <f>Data2025!M348</f>
        <v>Kertas Lain-Lain Kertas Buffalo</v>
      </c>
      <c r="L349" s="642">
        <f>Data2025!N348</f>
        <v>5</v>
      </c>
      <c r="M349" s="642" t="str">
        <f>Data2025!O348</f>
        <v>bungkus</v>
      </c>
      <c r="N349" s="643">
        <f>Data2025!P348</f>
        <v>31000</v>
      </c>
      <c r="O349" s="644">
        <f>Data2025!Q348</f>
        <v>155000</v>
      </c>
      <c r="P349" s="645" t="s">
        <v>710</v>
      </c>
      <c r="Q349" s="646" t="str">
        <f>VLOOKUP(K349,Sheet1!$C$1:$D$101,2,)</f>
        <v>Kertas Buffalo F4 (Length 21.0Cm, Width 33.0Cm, Height 7.0Cm, Weight 1006Gr)</v>
      </c>
      <c r="R349" s="496">
        <v>440000</v>
      </c>
      <c r="S349" s="504">
        <v>448000</v>
      </c>
      <c r="T349" s="648" t="str">
        <f>Data2025!T348</f>
        <v>UD. JOSUA</v>
      </c>
      <c r="U349" s="497" t="s">
        <v>538</v>
      </c>
      <c r="V349" s="648" t="str">
        <f>Data2025!V348</f>
        <v>Gestiwan Bazikho</v>
      </c>
      <c r="W349" s="648" t="str">
        <f>Data2025!X348</f>
        <v>Jl. Diponegoro Kel. Pasar Telukdalam - Nias Selatan</v>
      </c>
      <c r="X349" s="497" t="s">
        <v>541</v>
      </c>
      <c r="Y349" s="268" t="str">
        <f t="shared" si="19"/>
        <v>Alat Tulis Kantor (ATK)</v>
      </c>
      <c r="Z349" s="649" t="str">
        <f t="shared" si="20"/>
        <v>Alat Tulis Kantor (ATK)</v>
      </c>
      <c r="AA349" s="498" t="s">
        <v>3367</v>
      </c>
      <c r="AB349" s="499">
        <v>110000</v>
      </c>
      <c r="AC349" s="499">
        <v>440000</v>
      </c>
      <c r="AD349" s="496">
        <v>440000</v>
      </c>
      <c r="AE349" s="500">
        <v>396396.39639639639</v>
      </c>
      <c r="AF349" s="500">
        <v>440000</v>
      </c>
      <c r="AG349" s="805" t="s">
        <v>3883</v>
      </c>
      <c r="AH349" s="651" t="str">
        <f>Data2025!W348</f>
        <v>081375309828</v>
      </c>
      <c r="AI349" s="502"/>
      <c r="AJ349" s="502"/>
    </row>
    <row r="350" spans="1:36" ht="26" thickTop="1" thickBot="1">
      <c r="A350" s="636">
        <f>Data2025!G349</f>
        <v>343</v>
      </c>
      <c r="B350" s="637">
        <f>Data2025!K349</f>
        <v>0</v>
      </c>
      <c r="C350" s="638" t="str">
        <f>Data2025!D349</f>
        <v>06. 05. 08.</v>
      </c>
      <c r="D350" s="639" t="str">
        <f>Data2025!C349</f>
        <v>5.1.02.01.01.0024</v>
      </c>
      <c r="E350" s="265">
        <f>Data2025!E349</f>
        <v>0</v>
      </c>
      <c r="F350" s="640">
        <f>Data2025!F349</f>
        <v>0</v>
      </c>
      <c r="G350" s="265">
        <f>Data2025!H349</f>
        <v>0</v>
      </c>
      <c r="H350" s="265">
        <f t="shared" si="18"/>
        <v>0</v>
      </c>
      <c r="I350" s="641">
        <f>Data2025!J349</f>
        <v>0</v>
      </c>
      <c r="J350" s="381" t="str">
        <f>Data2025!L349</f>
        <v>Kertas Post-It Warna Warni  Sign Here</v>
      </c>
      <c r="K350" s="381" t="str">
        <f>Data2025!M349</f>
        <v>Kertas Post-It Warna Warni  Sign Here</v>
      </c>
      <c r="L350" s="642">
        <f>Data2025!N349</f>
        <v>5</v>
      </c>
      <c r="M350" s="642" t="str">
        <f>Data2025!O349</f>
        <v>buah</v>
      </c>
      <c r="N350" s="643">
        <f>Data2025!P349</f>
        <v>22800</v>
      </c>
      <c r="O350" s="644">
        <f>Data2025!Q349</f>
        <v>114000</v>
      </c>
      <c r="P350" s="645" t="s">
        <v>710</v>
      </c>
      <c r="Q350" s="646" t="str">
        <f>VLOOKUP(K350,Sheet1!$C$1:$D$101,2,)</f>
        <v>Post It Warna Warni (Length 7.0Cm, Width 7.0Cm, Height 7.0Cm, Weight 44Gr)</v>
      </c>
      <c r="R350" s="496">
        <v>25000</v>
      </c>
      <c r="S350" s="504">
        <v>35000</v>
      </c>
      <c r="T350" s="648" t="str">
        <f>Data2025!T349</f>
        <v>UD. JOSUA</v>
      </c>
      <c r="U350" s="497" t="s">
        <v>538</v>
      </c>
      <c r="V350" s="648" t="str">
        <f>Data2025!V349</f>
        <v>Gestiwan Bazikho</v>
      </c>
      <c r="W350" s="648" t="str">
        <f>Data2025!X349</f>
        <v>Jl. Diponegoro Kel. Pasar Telukdalam - Nias Selatan</v>
      </c>
      <c r="X350" s="497" t="s">
        <v>541</v>
      </c>
      <c r="Y350" s="268" t="str">
        <f t="shared" si="19"/>
        <v>Alat Tulis Kantor (ATK)</v>
      </c>
      <c r="Z350" s="649" t="str">
        <f t="shared" si="20"/>
        <v>Alat Tulis Kantor (ATK)</v>
      </c>
      <c r="AA350" s="498" t="s">
        <v>3362</v>
      </c>
      <c r="AB350" s="269">
        <v>5000</v>
      </c>
      <c r="AC350" s="269">
        <v>25000</v>
      </c>
      <c r="AD350" s="267">
        <v>25000</v>
      </c>
      <c r="AE350" s="270">
        <v>22522.522522522522</v>
      </c>
      <c r="AF350" s="270">
        <v>25000</v>
      </c>
      <c r="AG350" s="805" t="s">
        <v>3883</v>
      </c>
      <c r="AH350" s="651" t="str">
        <f>Data2025!W349</f>
        <v>081375309828</v>
      </c>
    </row>
    <row r="351" spans="1:36" ht="26" thickTop="1" thickBot="1">
      <c r="A351" s="636">
        <f>Data2025!G350</f>
        <v>344</v>
      </c>
      <c r="B351" s="637">
        <f>Data2025!K350</f>
        <v>0</v>
      </c>
      <c r="C351" s="638" t="str">
        <f>Data2025!D350</f>
        <v>06. 05. 08.</v>
      </c>
      <c r="D351" s="639" t="str">
        <f>Data2025!C350</f>
        <v>5.1.02.01.01.0024</v>
      </c>
      <c r="E351" s="265">
        <f>Data2025!E350</f>
        <v>0</v>
      </c>
      <c r="F351" s="640">
        <f>Data2025!F350</f>
        <v>0</v>
      </c>
      <c r="G351" s="265">
        <f>Data2025!H350</f>
        <v>0</v>
      </c>
      <c r="H351" s="265">
        <f t="shared" si="18"/>
        <v>0</v>
      </c>
      <c r="I351" s="641">
        <f>Data2025!J350</f>
        <v>0</v>
      </c>
      <c r="J351" s="381" t="str">
        <f>Data2025!L350</f>
        <v>Kertas HVS 60 gram Merk : Paper One HVS F4 uk. 8.27"x11.69"</v>
      </c>
      <c r="K351" s="381" t="str">
        <f>Data2025!M350</f>
        <v>Kertas HVS 60 gram Merk : Paper One HVS F4 uk. 8.27"x11.69"</v>
      </c>
      <c r="L351" s="642">
        <f>Data2025!N350</f>
        <v>10</v>
      </c>
      <c r="M351" s="642" t="str">
        <f>Data2025!O350</f>
        <v>rim</v>
      </c>
      <c r="N351" s="643">
        <f>Data2025!P350</f>
        <v>48500</v>
      </c>
      <c r="O351" s="644">
        <f>Data2025!Q350</f>
        <v>485000</v>
      </c>
      <c r="P351" s="645" t="s">
        <v>710</v>
      </c>
      <c r="Q351" s="646" t="str">
        <f>VLOOKUP(K351,Sheet1!$C$1:$D$101,2,)</f>
        <v>Kertas Hvs 60Gsm Paper One F4 (Length 33.0Cm, Width 21.0Cm, Height 7.0Cm, Weight 1400Gr)</v>
      </c>
      <c r="R351" s="496">
        <v>2000000</v>
      </c>
      <c r="S351" s="504">
        <v>2080000</v>
      </c>
      <c r="T351" s="648" t="str">
        <f>Data2025!T350</f>
        <v>UD. JOSUA</v>
      </c>
      <c r="U351" s="497" t="s">
        <v>538</v>
      </c>
      <c r="V351" s="648" t="str">
        <f>Data2025!V350</f>
        <v>Gestiwan Bazikho</v>
      </c>
      <c r="W351" s="648" t="str">
        <f>Data2025!X350</f>
        <v>Jl. Diponegoro Kel. Pasar Telukdalam - Nias Selatan</v>
      </c>
      <c r="X351" s="497" t="s">
        <v>541</v>
      </c>
      <c r="Y351" s="268" t="str">
        <f t="shared" si="19"/>
        <v>Alat Tulis Kantor (ATK)</v>
      </c>
      <c r="Z351" s="649" t="str">
        <f t="shared" si="20"/>
        <v>Alat Tulis Kantor (ATK)</v>
      </c>
      <c r="AA351" s="498" t="s">
        <v>3369</v>
      </c>
      <c r="AB351" s="269">
        <v>50000</v>
      </c>
      <c r="AC351" s="269">
        <v>2000000</v>
      </c>
      <c r="AD351" s="267">
        <v>2000000</v>
      </c>
      <c r="AE351" s="270">
        <v>1801801.8018018019</v>
      </c>
      <c r="AF351" s="270">
        <v>2000000</v>
      </c>
      <c r="AG351" s="805" t="s">
        <v>3883</v>
      </c>
      <c r="AH351" s="651" t="str">
        <f>Data2025!W350</f>
        <v>081375309828</v>
      </c>
    </row>
    <row r="352" spans="1:36" s="501" customFormat="1" ht="38.5" thickTop="1" thickBot="1">
      <c r="A352" s="636">
        <f>Data2025!G351</f>
        <v>345</v>
      </c>
      <c r="B352" s="637">
        <f>Data2025!K351</f>
        <v>0</v>
      </c>
      <c r="C352" s="638" t="str">
        <f>Data2025!D351</f>
        <v>06. 05. 08.</v>
      </c>
      <c r="D352" s="639" t="str">
        <f>Data2025!C351</f>
        <v>5.1.02.01.01.0024</v>
      </c>
      <c r="E352" s="265">
        <f>Data2025!E351</f>
        <v>0</v>
      </c>
      <c r="F352" s="640">
        <f>Data2025!F351</f>
        <v>0</v>
      </c>
      <c r="G352" s="265">
        <f>Data2025!H351</f>
        <v>0</v>
      </c>
      <c r="H352" s="265">
        <f t="shared" si="18"/>
        <v>0</v>
      </c>
      <c r="I352" s="641">
        <f>Data2025!J351</f>
        <v>0</v>
      </c>
      <c r="J352" s="381" t="str">
        <f>Data2025!L351</f>
        <v>Kertas HVS 80 gram Merk : Paper One A4, Ukuran : 8,27" x 11,69", Isi : 500 lembar</v>
      </c>
      <c r="K352" s="381" t="str">
        <f>Data2025!M351</f>
        <v>Kertas HVS 80 gram Merk : Paper One A4, Ukuran : 8,27" x 11,69", Isi : 500 lembar</v>
      </c>
      <c r="L352" s="642">
        <f>Data2025!N351</f>
        <v>40</v>
      </c>
      <c r="M352" s="642" t="str">
        <f>Data2025!O351</f>
        <v>rim</v>
      </c>
      <c r="N352" s="643">
        <f>Data2025!P351</f>
        <v>50000</v>
      </c>
      <c r="O352" s="644">
        <f>Data2025!Q351</f>
        <v>2000000</v>
      </c>
      <c r="P352" s="645" t="s">
        <v>710</v>
      </c>
      <c r="Q352" s="646" t="str">
        <f>VLOOKUP(K352,Sheet1!$C$1:$D$101,2,)</f>
        <v>Kertas Hvs 80 Gram Merk : Paper One A4, Ukuran : 8,27" X 11,69", Isi : 500 Lembar</v>
      </c>
      <c r="R352" s="496">
        <v>550000</v>
      </c>
      <c r="S352" s="504">
        <v>750000</v>
      </c>
      <c r="T352" s="648" t="str">
        <f>Data2025!T351</f>
        <v>UD. JOSUA</v>
      </c>
      <c r="U352" s="497" t="s">
        <v>538</v>
      </c>
      <c r="V352" s="648" t="str">
        <f>Data2025!V351</f>
        <v>Gestiwan Bazikho</v>
      </c>
      <c r="W352" s="648" t="str">
        <f>Data2025!X351</f>
        <v>Jl. Diponegoro Kel. Pasar Telukdalam - Nias Selatan</v>
      </c>
      <c r="X352" s="497" t="s">
        <v>541</v>
      </c>
      <c r="Y352" s="268" t="str">
        <f t="shared" si="19"/>
        <v>Alat Tulis Kantor (ATK)</v>
      </c>
      <c r="Z352" s="649" t="str">
        <f t="shared" si="20"/>
        <v>Alat Tulis Kantor (ATK)</v>
      </c>
      <c r="AA352" s="498" t="s">
        <v>3363</v>
      </c>
      <c r="AB352" s="499">
        <v>5500</v>
      </c>
      <c r="AC352" s="499">
        <v>550000</v>
      </c>
      <c r="AD352" s="496">
        <v>550000</v>
      </c>
      <c r="AE352" s="500">
        <v>495495.4954954955</v>
      </c>
      <c r="AF352" s="500">
        <v>550000</v>
      </c>
      <c r="AG352" s="805" t="s">
        <v>3883</v>
      </c>
      <c r="AH352" s="651" t="str">
        <f>Data2025!W351</f>
        <v>081375309828</v>
      </c>
    </row>
    <row r="353" spans="1:36" s="501" customFormat="1" ht="16.5" thickTop="1" thickBot="1">
      <c r="A353" s="636">
        <f>Data2025!G352</f>
        <v>346</v>
      </c>
      <c r="B353" s="637">
        <f>Data2025!K352</f>
        <v>0</v>
      </c>
      <c r="C353" s="638" t="str">
        <f>Data2025!D352</f>
        <v>06. 05. 08.</v>
      </c>
      <c r="D353" s="639" t="str">
        <f>Data2025!C352</f>
        <v>5.1.02.01.01.0024</v>
      </c>
      <c r="E353" s="265">
        <f>Data2025!E352</f>
        <v>0</v>
      </c>
      <c r="F353" s="640">
        <f>Data2025!F352</f>
        <v>0</v>
      </c>
      <c r="G353" s="265">
        <f>Data2025!H352</f>
        <v>0</v>
      </c>
      <c r="H353" s="265">
        <f t="shared" si="18"/>
        <v>0</v>
      </c>
      <c r="I353" s="641">
        <f>Data2025!J352</f>
        <v>0</v>
      </c>
      <c r="J353" s="381" t="str">
        <f>Data2025!L352</f>
        <v>Kertas StensiI</v>
      </c>
      <c r="K353" s="381" t="str">
        <f>Data2025!M352</f>
        <v>Kertas StensiI</v>
      </c>
      <c r="L353" s="642">
        <f>Data2025!N352</f>
        <v>10</v>
      </c>
      <c r="M353" s="642" t="str">
        <f>Data2025!O352</f>
        <v>bungkus</v>
      </c>
      <c r="N353" s="643">
        <f>Data2025!P352</f>
        <v>50000</v>
      </c>
      <c r="O353" s="644">
        <f>Data2025!Q352</f>
        <v>500000</v>
      </c>
      <c r="P353" s="645" t="s">
        <v>710</v>
      </c>
      <c r="Q353" s="646" t="str">
        <f>VLOOKUP(K353,Sheet1!$C$1:$D$101,2,)</f>
        <v>Kertas Stencil Folio (Length 33.0Cm, Width 21.0Cm, Height 5.0Cm, Weight 1400Gr)</v>
      </c>
      <c r="R353" s="496">
        <v>48000</v>
      </c>
      <c r="S353" s="504">
        <v>50000</v>
      </c>
      <c r="T353" s="648" t="str">
        <f>Data2025!T352</f>
        <v>UD. JOSUA</v>
      </c>
      <c r="U353" s="497" t="s">
        <v>538</v>
      </c>
      <c r="V353" s="648" t="str">
        <f>Data2025!V352</f>
        <v>Gestiwan Bazikho</v>
      </c>
      <c r="W353" s="648" t="str">
        <f>Data2025!X352</f>
        <v>Jl. Diponegoro Kel. Pasar Telukdalam - Nias Selatan</v>
      </c>
      <c r="X353" s="497" t="s">
        <v>541</v>
      </c>
      <c r="Y353" s="268" t="str">
        <f t="shared" si="19"/>
        <v>Alat Tulis Kantor (ATK)</v>
      </c>
      <c r="Z353" s="649" t="str">
        <f t="shared" si="20"/>
        <v>Alat Tulis Kantor (ATK)</v>
      </c>
      <c r="AA353" s="498" t="s">
        <v>3362</v>
      </c>
      <c r="AB353" s="499">
        <v>48000</v>
      </c>
      <c r="AC353" s="499">
        <v>48000</v>
      </c>
      <c r="AD353" s="496">
        <v>48000</v>
      </c>
      <c r="AE353" s="500">
        <v>43243.243243243247</v>
      </c>
      <c r="AF353" s="500">
        <v>48000</v>
      </c>
      <c r="AG353" s="805" t="s">
        <v>3883</v>
      </c>
      <c r="AH353" s="651" t="str">
        <f>Data2025!W352</f>
        <v>081375309828</v>
      </c>
    </row>
    <row r="354" spans="1:36" s="501" customFormat="1" ht="16.5" thickTop="1" thickBot="1">
      <c r="A354" s="636">
        <f>Data2025!G353</f>
        <v>347</v>
      </c>
      <c r="B354" s="637">
        <f>Data2025!K353</f>
        <v>0</v>
      </c>
      <c r="C354" s="638" t="str">
        <f>Data2025!D353</f>
        <v>06. 05. 08.</v>
      </c>
      <c r="D354" s="639" t="str">
        <f>Data2025!C353</f>
        <v>5.1.02.01.01.0024</v>
      </c>
      <c r="E354" s="265">
        <f>Data2025!E353</f>
        <v>0</v>
      </c>
      <c r="F354" s="640">
        <f>Data2025!F353</f>
        <v>0</v>
      </c>
      <c r="G354" s="265">
        <f>Data2025!H353</f>
        <v>0</v>
      </c>
      <c r="H354" s="265">
        <f t="shared" si="18"/>
        <v>0</v>
      </c>
      <c r="I354" s="641">
        <f>Data2025!J353</f>
        <v>0</v>
      </c>
      <c r="J354" s="381" t="str">
        <f>Data2025!L353</f>
        <v>Kertas Label</v>
      </c>
      <c r="K354" s="381" t="str">
        <f>Data2025!M353</f>
        <v>Kertas Label</v>
      </c>
      <c r="L354" s="642">
        <f>Data2025!N353</f>
        <v>5</v>
      </c>
      <c r="M354" s="642" t="str">
        <f>Data2025!O353</f>
        <v>lembar</v>
      </c>
      <c r="N354" s="643">
        <f>Data2025!P353</f>
        <v>25000</v>
      </c>
      <c r="O354" s="644">
        <f>Data2025!Q353</f>
        <v>125000</v>
      </c>
      <c r="P354" s="645" t="s">
        <v>710</v>
      </c>
      <c r="Q354" s="646" t="str">
        <f>VLOOKUP(K354,Sheet1!$C$1:$D$101,2,)</f>
        <v>KERTAS LEBEL KOTAK (Length 5.0cm, Width 5.0cm, Height 7.0cm, Weight 5gr)</v>
      </c>
      <c r="R354" s="496">
        <v>114000</v>
      </c>
      <c r="S354" s="504">
        <v>124000</v>
      </c>
      <c r="T354" s="648" t="str">
        <f>Data2025!T353</f>
        <v>UD. JOSUA</v>
      </c>
      <c r="U354" s="497" t="s">
        <v>538</v>
      </c>
      <c r="V354" s="648" t="str">
        <f>Data2025!V353</f>
        <v>Gestiwan Bazikho</v>
      </c>
      <c r="W354" s="648" t="str">
        <f>Data2025!X353</f>
        <v>Jl. Diponegoro Kel. Pasar Telukdalam - Nias Selatan</v>
      </c>
      <c r="X354" s="497" t="s">
        <v>541</v>
      </c>
      <c r="Y354" s="268" t="str">
        <f t="shared" si="19"/>
        <v>Alat Tulis Kantor (ATK)</v>
      </c>
      <c r="Z354" s="649" t="str">
        <f t="shared" si="20"/>
        <v>Alat Tulis Kantor (ATK)</v>
      </c>
      <c r="AA354" s="498" t="s">
        <v>3363</v>
      </c>
      <c r="AB354" s="499">
        <v>22800</v>
      </c>
      <c r="AC354" s="499">
        <v>114000</v>
      </c>
      <c r="AD354" s="496">
        <v>114000</v>
      </c>
      <c r="AE354" s="500">
        <v>102702.70270270271</v>
      </c>
      <c r="AF354" s="500">
        <v>114000</v>
      </c>
      <c r="AG354" s="805" t="s">
        <v>3883</v>
      </c>
      <c r="AH354" s="651" t="str">
        <f>Data2025!W353</f>
        <v>081375309828</v>
      </c>
      <c r="AI354" s="502"/>
      <c r="AJ354" s="502"/>
    </row>
    <row r="355" spans="1:36" s="501" customFormat="1" ht="26" thickTop="1" thickBot="1">
      <c r="A355" s="636">
        <f>Data2025!G354</f>
        <v>348</v>
      </c>
      <c r="B355" s="637">
        <f>Data2025!K354</f>
        <v>0</v>
      </c>
      <c r="C355" s="638" t="str">
        <f>Data2025!D354</f>
        <v>06. 05. 08.</v>
      </c>
      <c r="D355" s="639" t="str">
        <f>Data2025!C354</f>
        <v>5.1.02.01.01.0024</v>
      </c>
      <c r="E355" s="265">
        <f>Data2025!E354</f>
        <v>0</v>
      </c>
      <c r="F355" s="640">
        <f>Data2025!F354</f>
        <v>0</v>
      </c>
      <c r="G355" s="265">
        <f>Data2025!H354</f>
        <v>0</v>
      </c>
      <c r="H355" s="265">
        <f t="shared" si="18"/>
        <v>0</v>
      </c>
      <c r="I355" s="641">
        <f>Data2025!J354</f>
        <v>0</v>
      </c>
      <c r="J355" s="381" t="str">
        <f>Data2025!L354</f>
        <v>Amplop Coklat Merk : GSU Ukuran : 1/2 folio, bergaris</v>
      </c>
      <c r="K355" s="381" t="str">
        <f>Data2025!M354</f>
        <v>Amplop Coklat Merk : GSU Ukuran : 1/2 folio, bergaris</v>
      </c>
      <c r="L355" s="642">
        <f>Data2025!N354</f>
        <v>1</v>
      </c>
      <c r="M355" s="642" t="str">
        <f>Data2025!O354</f>
        <v>bungkus</v>
      </c>
      <c r="N355" s="643">
        <f>Data2025!P354</f>
        <v>45000</v>
      </c>
      <c r="O355" s="644">
        <f>Data2025!Q354</f>
        <v>45000</v>
      </c>
      <c r="P355" s="645" t="s">
        <v>710</v>
      </c>
      <c r="Q355" s="646" t="str">
        <f>VLOOKUP(K355,Sheet1!$C$1:$D$101,2,)</f>
        <v>Amplop Coklat (Merk : GSU Ukuran : 1/2 folio, bergaris)</v>
      </c>
      <c r="R355" s="496">
        <v>50000</v>
      </c>
      <c r="S355" s="504">
        <v>60000</v>
      </c>
      <c r="T355" s="648" t="str">
        <f>Data2025!T354</f>
        <v>UD. JOSUA</v>
      </c>
      <c r="U355" s="497" t="s">
        <v>538</v>
      </c>
      <c r="V355" s="648" t="str">
        <f>Data2025!V354</f>
        <v>Gestiwan Bazikho</v>
      </c>
      <c r="W355" s="648" t="str">
        <f>Data2025!X354</f>
        <v>Jl. Diponegoro Kel. Pasar Telukdalam - Nias Selatan</v>
      </c>
      <c r="X355" s="497" t="s">
        <v>541</v>
      </c>
      <c r="Y355" s="268" t="str">
        <f t="shared" si="19"/>
        <v>Alat Tulis Kantor (ATK)</v>
      </c>
      <c r="Z355" s="649" t="str">
        <f t="shared" si="20"/>
        <v>Alat Tulis Kantor (ATK)</v>
      </c>
      <c r="AA355" s="498" t="s">
        <v>3363</v>
      </c>
      <c r="AB355" s="499">
        <v>10000</v>
      </c>
      <c r="AC355" s="499">
        <v>50000</v>
      </c>
      <c r="AD355" s="496">
        <v>50000</v>
      </c>
      <c r="AE355" s="500">
        <v>45045.045045045044</v>
      </c>
      <c r="AF355" s="500">
        <v>50000</v>
      </c>
      <c r="AG355" s="805" t="s">
        <v>3883</v>
      </c>
      <c r="AH355" s="651" t="str">
        <f>Data2025!W354</f>
        <v>081375309828</v>
      </c>
    </row>
    <row r="356" spans="1:36" s="501" customFormat="1" ht="26" thickTop="1" thickBot="1">
      <c r="A356" s="636">
        <f>Data2025!G355</f>
        <v>349</v>
      </c>
      <c r="B356" s="637">
        <f>Data2025!K355</f>
        <v>0</v>
      </c>
      <c r="C356" s="638" t="str">
        <f>Data2025!D355</f>
        <v>06. 05. 08.</v>
      </c>
      <c r="D356" s="639" t="str">
        <f>Data2025!C355</f>
        <v>5.1.02.01.01.0024</v>
      </c>
      <c r="E356" s="265">
        <f>Data2025!E355</f>
        <v>0</v>
      </c>
      <c r="F356" s="640">
        <f>Data2025!F355</f>
        <v>0</v>
      </c>
      <c r="G356" s="265">
        <f>Data2025!H355</f>
        <v>0</v>
      </c>
      <c r="H356" s="265">
        <f t="shared" si="18"/>
        <v>0</v>
      </c>
      <c r="I356" s="641">
        <f>Data2025!J355</f>
        <v>0</v>
      </c>
      <c r="J356" s="381" t="str">
        <f>Data2025!L355</f>
        <v>Amplop Coklat Merk : Garda Ukuran Cabinet</v>
      </c>
      <c r="K356" s="381" t="str">
        <f>Data2025!M355</f>
        <v>Amplop Coklat Merk : Garda Ukuran Cabinet</v>
      </c>
      <c r="L356" s="642">
        <f>Data2025!N355</f>
        <v>3</v>
      </c>
      <c r="M356" s="642" t="str">
        <f>Data2025!O355</f>
        <v>bungkus</v>
      </c>
      <c r="N356" s="643">
        <f>Data2025!P355</f>
        <v>23000</v>
      </c>
      <c r="O356" s="644">
        <f>Data2025!Q355</f>
        <v>69000</v>
      </c>
      <c r="P356" s="645" t="s">
        <v>710</v>
      </c>
      <c r="Q356" s="646" t="str">
        <f>VLOOKUP(K356,Sheet1!$C$1:$D$101,2,)</f>
        <v>Amplop (Merk : Amplop Garda Ukuran : Super Kabinet Warna : Coklat polos Isi / Pack :100 pcs Ukuran : 14 cm x 27 cm)</v>
      </c>
      <c r="R356" s="496">
        <v>165000</v>
      </c>
      <c r="S356" s="504">
        <v>185000</v>
      </c>
      <c r="T356" s="648" t="str">
        <f>Data2025!T355</f>
        <v>UD. JOSUA</v>
      </c>
      <c r="U356" s="497" t="s">
        <v>538</v>
      </c>
      <c r="V356" s="648" t="str">
        <f>Data2025!V355</f>
        <v>Gestiwan Bazikho</v>
      </c>
      <c r="W356" s="648" t="str">
        <f>Data2025!X355</f>
        <v>Jl. Diponegoro Kel. Pasar Telukdalam - Nias Selatan</v>
      </c>
      <c r="X356" s="497" t="s">
        <v>541</v>
      </c>
      <c r="Y356" s="268" t="str">
        <f t="shared" si="19"/>
        <v>Alat Tulis Kantor (ATK)</v>
      </c>
      <c r="Z356" s="649" t="str">
        <f t="shared" si="20"/>
        <v>Alat Tulis Kantor (ATK)</v>
      </c>
      <c r="AA356" s="498" t="s">
        <v>3362</v>
      </c>
      <c r="AB356" s="499">
        <v>16500</v>
      </c>
      <c r="AC356" s="499">
        <v>165000</v>
      </c>
      <c r="AD356" s="496">
        <v>165000</v>
      </c>
      <c r="AE356" s="500">
        <v>148648.64864864864</v>
      </c>
      <c r="AF356" s="500">
        <v>165000</v>
      </c>
      <c r="AG356" s="805" t="s">
        <v>3883</v>
      </c>
      <c r="AH356" s="651" t="str">
        <f>Data2025!W355</f>
        <v>081375309828</v>
      </c>
    </row>
    <row r="357" spans="1:36" s="501" customFormat="1" ht="26" thickTop="1" thickBot="1">
      <c r="A357" s="636">
        <f>Data2025!G356</f>
        <v>350</v>
      </c>
      <c r="B357" s="637">
        <f>Data2025!K356</f>
        <v>0</v>
      </c>
      <c r="C357" s="638" t="str">
        <f>Data2025!D356</f>
        <v>06. 05. 08.</v>
      </c>
      <c r="D357" s="639" t="str">
        <f>Data2025!C356</f>
        <v>5.1.02.01.01.0024</v>
      </c>
      <c r="E357" s="265">
        <f>Data2025!E356</f>
        <v>0</v>
      </c>
      <c r="F357" s="640">
        <f>Data2025!F356</f>
        <v>0</v>
      </c>
      <c r="G357" s="265">
        <f>Data2025!H356</f>
        <v>0</v>
      </c>
      <c r="H357" s="265">
        <f t="shared" si="18"/>
        <v>0</v>
      </c>
      <c r="I357" s="641">
        <f>Data2025!J356</f>
        <v>0</v>
      </c>
      <c r="J357" s="381" t="str">
        <f>Data2025!L356</f>
        <v>Amplop Coklat Merk : GSU Ukuran Folio polos</v>
      </c>
      <c r="K357" s="381" t="str">
        <f>Data2025!M356</f>
        <v>Amplop Coklat Merk : GSU Ukuran Folio polos</v>
      </c>
      <c r="L357" s="642">
        <f>Data2025!N356</f>
        <v>2</v>
      </c>
      <c r="M357" s="642" t="str">
        <f>Data2025!O356</f>
        <v>bungkus</v>
      </c>
      <c r="N357" s="643">
        <f>Data2025!P356</f>
        <v>60000</v>
      </c>
      <c r="O357" s="644">
        <f>Data2025!Q356</f>
        <v>120000</v>
      </c>
      <c r="P357" s="645" t="s">
        <v>710</v>
      </c>
      <c r="Q357" s="646" t="str">
        <f>VLOOKUP(K357,Sheet1!$C$1:$D$101,2,)</f>
        <v>Amplop Coklat Folio (Berat: 1000 gram. Panjang: 25 cm. Lebar: 5 cm. Tinggi: 35 cm)</v>
      </c>
      <c r="R357" s="496">
        <v>510000</v>
      </c>
      <c r="S357" s="504">
        <v>522000</v>
      </c>
      <c r="T357" s="648" t="str">
        <f>Data2025!T356</f>
        <v>UD. JOSUA</v>
      </c>
      <c r="U357" s="497" t="s">
        <v>538</v>
      </c>
      <c r="V357" s="648" t="str">
        <f>Data2025!V356</f>
        <v>Gestiwan Bazikho</v>
      </c>
      <c r="W357" s="648" t="str">
        <f>Data2025!X356</f>
        <v>Jl. Diponegoro Kel. Pasar Telukdalam - Nias Selatan</v>
      </c>
      <c r="X357" s="497" t="s">
        <v>541</v>
      </c>
      <c r="Y357" s="268" t="str">
        <f t="shared" si="19"/>
        <v>Alat Tulis Kantor (ATK)</v>
      </c>
      <c r="Z357" s="649" t="str">
        <f t="shared" si="20"/>
        <v>Alat Tulis Kantor (ATK)</v>
      </c>
      <c r="AA357" s="498" t="s">
        <v>3367</v>
      </c>
      <c r="AB357" s="499">
        <v>85000</v>
      </c>
      <c r="AC357" s="499">
        <v>510000</v>
      </c>
      <c r="AD357" s="496">
        <v>510000</v>
      </c>
      <c r="AE357" s="500">
        <v>459459.45945945947</v>
      </c>
      <c r="AF357" s="500">
        <v>510000</v>
      </c>
      <c r="AG357" s="805" t="s">
        <v>3883</v>
      </c>
      <c r="AH357" s="651" t="str">
        <f>Data2025!W356</f>
        <v>081375309828</v>
      </c>
    </row>
    <row r="358" spans="1:36" s="501" customFormat="1" ht="26" thickTop="1" thickBot="1">
      <c r="A358" s="636">
        <f>Data2025!G357</f>
        <v>351</v>
      </c>
      <c r="B358" s="637">
        <f>Data2025!K357</f>
        <v>0</v>
      </c>
      <c r="C358" s="638" t="str">
        <f>Data2025!D357</f>
        <v>06. 05. 08.</v>
      </c>
      <c r="D358" s="639" t="str">
        <f>Data2025!C357</f>
        <v>5.1.02.01.01.0024</v>
      </c>
      <c r="E358" s="265">
        <f>Data2025!E357</f>
        <v>0</v>
      </c>
      <c r="F358" s="640">
        <f>Data2025!F357</f>
        <v>0</v>
      </c>
      <c r="G358" s="265">
        <f>Data2025!H357</f>
        <v>0</v>
      </c>
      <c r="H358" s="265">
        <f t="shared" si="18"/>
        <v>0</v>
      </c>
      <c r="I358" s="641">
        <f>Data2025!J357</f>
        <v>0</v>
      </c>
      <c r="J358" s="381" t="str">
        <f>Data2025!L357</f>
        <v>Amplop Panjang Putih Polos Merk : Jaya Ukuran : 11 x 23 cm</v>
      </c>
      <c r="K358" s="381" t="str">
        <f>Data2025!M357</f>
        <v>Amplop Panjang Putih Polos Merk : Jaya Ukuran : 11 x 23 cm</v>
      </c>
      <c r="L358" s="642">
        <f>Data2025!N357</f>
        <v>1</v>
      </c>
      <c r="M358" s="642" t="str">
        <f>Data2025!O357</f>
        <v>kotak</v>
      </c>
      <c r="N358" s="643">
        <f>Data2025!P357</f>
        <v>48000</v>
      </c>
      <c r="O358" s="644">
        <f>Data2025!Q357</f>
        <v>48000</v>
      </c>
      <c r="P358" s="645" t="s">
        <v>710</v>
      </c>
      <c r="Q358" s="646" t="str">
        <f>VLOOKUP(K358,Sheet1!$C$1:$D$101,2,)</f>
        <v xml:space="preserve"> Amplop Panjang Putih Polos (Merk : Jaya Ukuran : 11 x 23 cm)</v>
      </c>
      <c r="R358" s="496">
        <v>180000</v>
      </c>
      <c r="S358" s="504">
        <v>184000</v>
      </c>
      <c r="T358" s="648" t="str">
        <f>Data2025!T357</f>
        <v>UD. JOSUA</v>
      </c>
      <c r="U358" s="497" t="s">
        <v>538</v>
      </c>
      <c r="V358" s="648" t="str">
        <f>Data2025!V357</f>
        <v>Gestiwan Bazikho</v>
      </c>
      <c r="W358" s="648" t="str">
        <f>Data2025!X357</f>
        <v>Jl. Diponegoro Kel. Pasar Telukdalam - Nias Selatan</v>
      </c>
      <c r="X358" s="497" t="s">
        <v>541</v>
      </c>
      <c r="Y358" s="268" t="str">
        <f t="shared" si="19"/>
        <v>Alat Tulis Kantor (ATK)</v>
      </c>
      <c r="Z358" s="649" t="str">
        <f t="shared" si="20"/>
        <v>Alat Tulis Kantor (ATK)</v>
      </c>
      <c r="AA358" s="498" t="s">
        <v>3369</v>
      </c>
      <c r="AB358" s="499">
        <v>90000</v>
      </c>
      <c r="AC358" s="499">
        <v>180000</v>
      </c>
      <c r="AD358" s="496">
        <v>180000</v>
      </c>
      <c r="AE358" s="500">
        <v>162162.16216216216</v>
      </c>
      <c r="AF358" s="500">
        <v>180000</v>
      </c>
      <c r="AG358" s="805" t="s">
        <v>3883</v>
      </c>
      <c r="AH358" s="651" t="str">
        <f>Data2025!W357</f>
        <v>081375309828</v>
      </c>
      <c r="AI358" s="502"/>
      <c r="AJ358" s="502"/>
    </row>
    <row r="359" spans="1:36" s="501" customFormat="1" ht="16.5" thickTop="1" thickBot="1">
      <c r="A359" s="636">
        <f>Data2025!G358</f>
        <v>352</v>
      </c>
      <c r="B359" s="637">
        <f>Data2025!K358</f>
        <v>0</v>
      </c>
      <c r="C359" s="638" t="str">
        <f>Data2025!D358</f>
        <v>06. 05. 08.</v>
      </c>
      <c r="D359" s="639" t="str">
        <f>Data2025!C358</f>
        <v>5.1.02.01.01.0024</v>
      </c>
      <c r="E359" s="265">
        <f>Data2025!E358</f>
        <v>0</v>
      </c>
      <c r="F359" s="640">
        <f>Data2025!F358</f>
        <v>0</v>
      </c>
      <c r="G359" s="265">
        <f>Data2025!H358</f>
        <v>0</v>
      </c>
      <c r="H359" s="265">
        <f t="shared" si="18"/>
        <v>0</v>
      </c>
      <c r="I359" s="641">
        <f>Data2025!J358</f>
        <v>0</v>
      </c>
      <c r="J359" s="381" t="str">
        <f>Data2025!L358</f>
        <v>Ballpoint Drawing Pen 0,1 Snowman</v>
      </c>
      <c r="K359" s="381" t="str">
        <f>Data2025!M358</f>
        <v>Ballpoint Drawing Pen 0,1 Snowman</v>
      </c>
      <c r="L359" s="642">
        <f>Data2025!N358</f>
        <v>1</v>
      </c>
      <c r="M359" s="642" t="str">
        <f>Data2025!O358</f>
        <v>lusin</v>
      </c>
      <c r="N359" s="643">
        <f>Data2025!P358</f>
        <v>95000</v>
      </c>
      <c r="O359" s="644">
        <f>Data2025!Q358</f>
        <v>95000</v>
      </c>
      <c r="P359" s="645" t="s">
        <v>710</v>
      </c>
      <c r="Q359" s="646" t="str">
        <f>VLOOKUP(K359,Sheet1!$C$1:$D$101,2,)</f>
        <v>Ballpoint Drawing Pen 0,5 Snowman (Length 5.0Cm, Width 5.0Cm, Height 5.0Cm, Weight 5Gr)</v>
      </c>
      <c r="R359" s="496">
        <v>325000</v>
      </c>
      <c r="S359" s="504">
        <v>335000</v>
      </c>
      <c r="T359" s="648" t="str">
        <f>Data2025!T358</f>
        <v>UD. JOSUA</v>
      </c>
      <c r="U359" s="497" t="s">
        <v>538</v>
      </c>
      <c r="V359" s="648" t="str">
        <f>Data2025!V358</f>
        <v>Gestiwan Bazikho</v>
      </c>
      <c r="W359" s="648" t="str">
        <f>Data2025!X358</f>
        <v>Jl. Diponegoro Kel. Pasar Telukdalam - Nias Selatan</v>
      </c>
      <c r="X359" s="497" t="s">
        <v>541</v>
      </c>
      <c r="Y359" s="268" t="str">
        <f t="shared" si="19"/>
        <v>Alat Tulis Kantor (ATK)</v>
      </c>
      <c r="Z359" s="649" t="str">
        <f t="shared" si="20"/>
        <v>Alat Tulis Kantor (ATK)</v>
      </c>
      <c r="AA359" s="498" t="s">
        <v>3365</v>
      </c>
      <c r="AB359" s="499">
        <v>65000</v>
      </c>
      <c r="AC359" s="499">
        <v>325000</v>
      </c>
      <c r="AD359" s="496">
        <v>325000</v>
      </c>
      <c r="AE359" s="500">
        <v>292792.79279279278</v>
      </c>
      <c r="AF359" s="500">
        <v>325000</v>
      </c>
      <c r="AG359" s="805" t="s">
        <v>3883</v>
      </c>
      <c r="AH359" s="651" t="str">
        <f>Data2025!W358</f>
        <v>081375309828</v>
      </c>
    </row>
    <row r="360" spans="1:36" s="501" customFormat="1" ht="16.5" thickTop="1" thickBot="1">
      <c r="A360" s="636">
        <f>Data2025!G359</f>
        <v>353</v>
      </c>
      <c r="B360" s="637">
        <f>Data2025!K359</f>
        <v>0</v>
      </c>
      <c r="C360" s="638" t="str">
        <f>Data2025!D359</f>
        <v>06. 05. 08.</v>
      </c>
      <c r="D360" s="639" t="str">
        <f>Data2025!C359</f>
        <v>5.1.02.01.01.0024</v>
      </c>
      <c r="E360" s="265">
        <f>Data2025!E359</f>
        <v>0</v>
      </c>
      <c r="F360" s="640">
        <f>Data2025!F359</f>
        <v>0</v>
      </c>
      <c r="G360" s="265">
        <f>Data2025!H359</f>
        <v>0</v>
      </c>
      <c r="H360" s="265">
        <f t="shared" si="18"/>
        <v>0</v>
      </c>
      <c r="I360" s="641">
        <f>Data2025!J359</f>
        <v>0</v>
      </c>
      <c r="J360" s="381" t="str">
        <f>Data2025!L359</f>
        <v>Ballpoint Standard AE7</v>
      </c>
      <c r="K360" s="381" t="str">
        <f>Data2025!M359</f>
        <v>Ballpoint Standard AE7</v>
      </c>
      <c r="L360" s="642">
        <f>Data2025!N359</f>
        <v>2</v>
      </c>
      <c r="M360" s="642" t="str">
        <f>Data2025!O359</f>
        <v>lusin</v>
      </c>
      <c r="N360" s="643">
        <f>Data2025!P359</f>
        <v>20000</v>
      </c>
      <c r="O360" s="644">
        <f>Data2025!Q359</f>
        <v>40000</v>
      </c>
      <c r="P360" s="645" t="s">
        <v>710</v>
      </c>
      <c r="Q360" s="646" t="str">
        <f>VLOOKUP(K360,Sheet1!$C$1:$D$101,2,)</f>
        <v>Ballpoint Standard AE7 (Jenis Barang: Pulpen Merk: Standard Tipe: AE-7 Ukuran: 0.5 mm; Warna Tinta, hitam)</v>
      </c>
      <c r="R360" s="496">
        <v>239200</v>
      </c>
      <c r="S360" s="504">
        <v>247200</v>
      </c>
      <c r="T360" s="648" t="str">
        <f>Data2025!T359</f>
        <v>UD. JOSUA</v>
      </c>
      <c r="U360" s="497" t="s">
        <v>538</v>
      </c>
      <c r="V360" s="648" t="str">
        <f>Data2025!V359</f>
        <v>Gestiwan Bazikho</v>
      </c>
      <c r="W360" s="648" t="str">
        <f>Data2025!X359</f>
        <v>Jl. Diponegoro Kel. Pasar Telukdalam - Nias Selatan</v>
      </c>
      <c r="X360" s="497" t="s">
        <v>541</v>
      </c>
      <c r="Y360" s="268" t="str">
        <f t="shared" si="19"/>
        <v>Alat Tulis Kantor (ATK)</v>
      </c>
      <c r="Z360" s="649" t="str">
        <f t="shared" si="20"/>
        <v>Alat Tulis Kantor (ATK)</v>
      </c>
      <c r="AA360" s="498" t="s">
        <v>3363</v>
      </c>
      <c r="AB360" s="499">
        <v>59800</v>
      </c>
      <c r="AC360" s="499">
        <v>239200</v>
      </c>
      <c r="AD360" s="496">
        <v>239200</v>
      </c>
      <c r="AE360" s="500">
        <v>215495.4954954955</v>
      </c>
      <c r="AF360" s="500">
        <v>239200</v>
      </c>
      <c r="AG360" s="805" t="s">
        <v>3883</v>
      </c>
      <c r="AH360" s="651" t="str">
        <f>Data2025!W359</f>
        <v>081375309828</v>
      </c>
    </row>
    <row r="361" spans="1:36" s="501" customFormat="1" ht="16.5" thickTop="1" thickBot="1">
      <c r="A361" s="636">
        <f>Data2025!G360</f>
        <v>354</v>
      </c>
      <c r="B361" s="637">
        <f>Data2025!K360</f>
        <v>0</v>
      </c>
      <c r="C361" s="638" t="str">
        <f>Data2025!D360</f>
        <v>06. 05. 08.</v>
      </c>
      <c r="D361" s="639" t="str">
        <f>Data2025!C360</f>
        <v>5.1.02.01.01.0024</v>
      </c>
      <c r="E361" s="265">
        <f>Data2025!E360</f>
        <v>0</v>
      </c>
      <c r="F361" s="640">
        <f>Data2025!F360</f>
        <v>0</v>
      </c>
      <c r="G361" s="265">
        <f>Data2025!H360</f>
        <v>0</v>
      </c>
      <c r="H361" s="265">
        <f t="shared" si="18"/>
        <v>0</v>
      </c>
      <c r="I361" s="641">
        <f>Data2025!J360</f>
        <v>0</v>
      </c>
      <c r="J361" s="381" t="str">
        <f>Data2025!L360</f>
        <v>Ballpoint Pilot G2</v>
      </c>
      <c r="K361" s="381" t="str">
        <f>Data2025!M360</f>
        <v>Ballpoint Pilot G2</v>
      </c>
      <c r="L361" s="642">
        <f>Data2025!N360</f>
        <v>1</v>
      </c>
      <c r="M361" s="642" t="str">
        <f>Data2025!O360</f>
        <v>lusin</v>
      </c>
      <c r="N361" s="643">
        <f>Data2025!P360</f>
        <v>235000</v>
      </c>
      <c r="O361" s="644">
        <f>Data2025!Q360</f>
        <v>235000</v>
      </c>
      <c r="P361" s="645" t="s">
        <v>710</v>
      </c>
      <c r="Q361" s="646" t="str">
        <f>VLOOKUP(K361,Sheet1!$C$1:$D$101,2,)</f>
        <v>Ballpoint Pilot G2 (Length 5.0Cm, Width 5.0Cm, Height 5.0Cm, Weight 5Gr)</v>
      </c>
      <c r="R361" s="496">
        <v>60000</v>
      </c>
      <c r="S361" s="504">
        <v>66000</v>
      </c>
      <c r="T361" s="648" t="str">
        <f>Data2025!T360</f>
        <v>UD. JOSUA</v>
      </c>
      <c r="U361" s="497" t="s">
        <v>538</v>
      </c>
      <c r="V361" s="648" t="str">
        <f>Data2025!V360</f>
        <v>Gestiwan Bazikho</v>
      </c>
      <c r="W361" s="648" t="str">
        <f>Data2025!X360</f>
        <v>Jl. Diponegoro Kel. Pasar Telukdalam - Nias Selatan</v>
      </c>
      <c r="X361" s="497" t="s">
        <v>541</v>
      </c>
      <c r="Y361" s="268" t="str">
        <f t="shared" si="19"/>
        <v>Alat Tulis Kantor (ATK)</v>
      </c>
      <c r="Z361" s="649" t="str">
        <f t="shared" si="20"/>
        <v>Alat Tulis Kantor (ATK)</v>
      </c>
      <c r="AA361" s="498" t="s">
        <v>3363</v>
      </c>
      <c r="AB361" s="499">
        <v>20000</v>
      </c>
      <c r="AC361" s="499">
        <v>60000</v>
      </c>
      <c r="AD361" s="496">
        <v>60000</v>
      </c>
      <c r="AE361" s="500">
        <v>54054.054054054053</v>
      </c>
      <c r="AF361" s="500">
        <v>60000</v>
      </c>
      <c r="AG361" s="805" t="s">
        <v>3883</v>
      </c>
      <c r="AH361" s="651" t="str">
        <f>Data2025!W360</f>
        <v>081375309828</v>
      </c>
    </row>
    <row r="362" spans="1:36" s="501" customFormat="1" ht="16.5" thickTop="1" thickBot="1">
      <c r="A362" s="636">
        <f>Data2025!G361</f>
        <v>355</v>
      </c>
      <c r="B362" s="637">
        <f>Data2025!K361</f>
        <v>0</v>
      </c>
      <c r="C362" s="638" t="str">
        <f>Data2025!D361</f>
        <v>06. 05. 08.</v>
      </c>
      <c r="D362" s="639" t="str">
        <f>Data2025!C361</f>
        <v>5.1.02.01.01.0024</v>
      </c>
      <c r="E362" s="265">
        <f>Data2025!E361</f>
        <v>0</v>
      </c>
      <c r="F362" s="640">
        <f>Data2025!F361</f>
        <v>0</v>
      </c>
      <c r="G362" s="265">
        <f>Data2025!H361</f>
        <v>0</v>
      </c>
      <c r="H362" s="265">
        <f t="shared" si="18"/>
        <v>0</v>
      </c>
      <c r="I362" s="641">
        <f>Data2025!J361</f>
        <v>0</v>
      </c>
      <c r="J362" s="381" t="str">
        <f>Data2025!L361</f>
        <v>Binder Klip  nomor 107</v>
      </c>
      <c r="K362" s="381" t="str">
        <f>Data2025!M361</f>
        <v>Binder Klip  nomor 107</v>
      </c>
      <c r="L362" s="642">
        <f>Data2025!N361</f>
        <v>5</v>
      </c>
      <c r="M362" s="642" t="str">
        <f>Data2025!O361</f>
        <v>kotak</v>
      </c>
      <c r="N362" s="643">
        <f>Data2025!P361</f>
        <v>7800</v>
      </c>
      <c r="O362" s="644">
        <f>Data2025!Q361</f>
        <v>39000</v>
      </c>
      <c r="P362" s="645" t="s">
        <v>710</v>
      </c>
      <c r="Q362" s="646" t="str">
        <f>VLOOKUP(K362,Sheet1!$C$1:$D$101,2,)</f>
        <v>Binder Clip N0 107 (Length 5.0Cm, Width 5.0Cm, Height 5.0Cm, Weight 5Gr)</v>
      </c>
      <c r="R362" s="496">
        <v>40000</v>
      </c>
      <c r="S362" s="504">
        <v>44000</v>
      </c>
      <c r="T362" s="648" t="str">
        <f>Data2025!T361</f>
        <v>UD. JOSUA</v>
      </c>
      <c r="U362" s="497" t="s">
        <v>538</v>
      </c>
      <c r="V362" s="648" t="str">
        <f>Data2025!V361</f>
        <v>Gestiwan Bazikho</v>
      </c>
      <c r="W362" s="648" t="str">
        <f>Data2025!X361</f>
        <v>Jl. Diponegoro Kel. Pasar Telukdalam - Nias Selatan</v>
      </c>
      <c r="X362" s="497" t="s">
        <v>541</v>
      </c>
      <c r="Y362" s="268" t="str">
        <f t="shared" si="19"/>
        <v>Alat Tulis Kantor (ATK)</v>
      </c>
      <c r="Z362" s="649" t="str">
        <f t="shared" si="20"/>
        <v>Alat Tulis Kantor (ATK)</v>
      </c>
      <c r="AA362" s="498" t="s">
        <v>3363</v>
      </c>
      <c r="AB362" s="499">
        <v>20000</v>
      </c>
      <c r="AC362" s="499">
        <v>40000</v>
      </c>
      <c r="AD362" s="496">
        <v>40000</v>
      </c>
      <c r="AE362" s="500">
        <v>36036.036036036036</v>
      </c>
      <c r="AF362" s="500">
        <v>40000</v>
      </c>
      <c r="AG362" s="805" t="s">
        <v>3883</v>
      </c>
      <c r="AH362" s="651" t="str">
        <f>Data2025!W361</f>
        <v>081375309828</v>
      </c>
    </row>
    <row r="363" spans="1:36" s="501" customFormat="1" ht="16.5" thickTop="1" thickBot="1">
      <c r="A363" s="636">
        <f>Data2025!G362</f>
        <v>356</v>
      </c>
      <c r="B363" s="637">
        <f>Data2025!K362</f>
        <v>0</v>
      </c>
      <c r="C363" s="638" t="str">
        <f>Data2025!D362</f>
        <v>06. 05. 08.</v>
      </c>
      <c r="D363" s="639" t="str">
        <f>Data2025!C362</f>
        <v>5.1.02.01.01.0024</v>
      </c>
      <c r="E363" s="265">
        <f>Data2025!E362</f>
        <v>0</v>
      </c>
      <c r="F363" s="640">
        <f>Data2025!F362</f>
        <v>0</v>
      </c>
      <c r="G363" s="265">
        <f>Data2025!H362</f>
        <v>0</v>
      </c>
      <c r="H363" s="265">
        <f t="shared" si="18"/>
        <v>0</v>
      </c>
      <c r="I363" s="641">
        <f>Data2025!J362</f>
        <v>0</v>
      </c>
      <c r="J363" s="381" t="str">
        <f>Data2025!L362</f>
        <v>Binder Klip  nomor 111</v>
      </c>
      <c r="K363" s="381" t="str">
        <f>Data2025!M362</f>
        <v>Binder Klip  nomor 111</v>
      </c>
      <c r="L363" s="642">
        <f>Data2025!N362</f>
        <v>5</v>
      </c>
      <c r="M363" s="642" t="str">
        <f>Data2025!O362</f>
        <v>kotak</v>
      </c>
      <c r="N363" s="643">
        <f>Data2025!P362</f>
        <v>11000</v>
      </c>
      <c r="O363" s="644">
        <f>Data2025!Q362</f>
        <v>55000</v>
      </c>
      <c r="P363" s="645" t="s">
        <v>710</v>
      </c>
      <c r="Q363" s="646" t="str">
        <f>VLOOKUP(K363,Sheet1!$C$1:$D$101,2,)</f>
        <v>Binder Clip No 111 (Length 5.0Cm, Width 5.0Cm, Height 5.0Cm, Weight 5Gr)</v>
      </c>
      <c r="R363" s="496">
        <v>40000</v>
      </c>
      <c r="S363" s="504">
        <v>44000</v>
      </c>
      <c r="T363" s="648" t="str">
        <f>Data2025!T362</f>
        <v>UD. JOSUA</v>
      </c>
      <c r="U363" s="497" t="s">
        <v>538</v>
      </c>
      <c r="V363" s="648" t="str">
        <f>Data2025!V362</f>
        <v>Gestiwan Bazikho</v>
      </c>
      <c r="W363" s="648" t="str">
        <f>Data2025!X362</f>
        <v>Jl. Diponegoro Kel. Pasar Telukdalam - Nias Selatan</v>
      </c>
      <c r="X363" s="497" t="s">
        <v>541</v>
      </c>
      <c r="Y363" s="268" t="str">
        <f t="shared" si="19"/>
        <v>Alat Tulis Kantor (ATK)</v>
      </c>
      <c r="Z363" s="649" t="str">
        <f t="shared" si="20"/>
        <v>Alat Tulis Kantor (ATK)</v>
      </c>
      <c r="AA363" s="498" t="s">
        <v>3364</v>
      </c>
      <c r="AB363" s="499">
        <v>20000</v>
      </c>
      <c r="AC363" s="499">
        <v>40000</v>
      </c>
      <c r="AD363" s="496">
        <v>40000</v>
      </c>
      <c r="AE363" s="500">
        <v>36036.036036036036</v>
      </c>
      <c r="AF363" s="500">
        <v>40000</v>
      </c>
      <c r="AG363" s="805" t="s">
        <v>3883</v>
      </c>
      <c r="AH363" s="651" t="str">
        <f>Data2025!W362</f>
        <v>081375309828</v>
      </c>
      <c r="AI363" s="502"/>
      <c r="AJ363" s="502"/>
    </row>
    <row r="364" spans="1:36" s="501" customFormat="1" ht="16.5" thickTop="1" thickBot="1">
      <c r="A364" s="636">
        <f>Data2025!G363</f>
        <v>357</v>
      </c>
      <c r="B364" s="637">
        <f>Data2025!K363</f>
        <v>0</v>
      </c>
      <c r="C364" s="638" t="str">
        <f>Data2025!D363</f>
        <v>06. 05. 08.</v>
      </c>
      <c r="D364" s="639" t="str">
        <f>Data2025!C363</f>
        <v>5.1.02.01.01.0024</v>
      </c>
      <c r="E364" s="265">
        <f>Data2025!E363</f>
        <v>0</v>
      </c>
      <c r="F364" s="640">
        <f>Data2025!F363</f>
        <v>0</v>
      </c>
      <c r="G364" s="265">
        <f>Data2025!H363</f>
        <v>0</v>
      </c>
      <c r="H364" s="265">
        <f t="shared" si="18"/>
        <v>0</v>
      </c>
      <c r="I364" s="641">
        <f>Data2025!J363</f>
        <v>0</v>
      </c>
      <c r="J364" s="381" t="str">
        <f>Data2025!L363</f>
        <v>Binder Klip  nomor 200</v>
      </c>
      <c r="K364" s="381" t="str">
        <f>Data2025!M363</f>
        <v>Binder Klip  nomor 200</v>
      </c>
      <c r="L364" s="642">
        <f>Data2025!N363</f>
        <v>10</v>
      </c>
      <c r="M364" s="642" t="str">
        <f>Data2025!O363</f>
        <v>kotak</v>
      </c>
      <c r="N364" s="643">
        <f>Data2025!P363</f>
        <v>16500</v>
      </c>
      <c r="O364" s="644">
        <f>Data2025!Q363</f>
        <v>165000</v>
      </c>
      <c r="P364" s="645" t="s">
        <v>710</v>
      </c>
      <c r="Q364" s="646" t="str">
        <f>VLOOKUP(K364,Sheet1!$C$1:$D$101,2,)</f>
        <v>Binder Clip Nomor 200 (Length 5.0Cm, Width 5.0Cm, Height 5.0Cm, Weight 5Gr)</v>
      </c>
      <c r="R364" s="496">
        <v>440000</v>
      </c>
      <c r="S364" s="504">
        <v>448000</v>
      </c>
      <c r="T364" s="648" t="str">
        <f>Data2025!T363</f>
        <v>UD. JOSUA</v>
      </c>
      <c r="U364" s="497" t="s">
        <v>538</v>
      </c>
      <c r="V364" s="648" t="str">
        <f>Data2025!V363</f>
        <v>Gestiwan Bazikho</v>
      </c>
      <c r="W364" s="648" t="str">
        <f>Data2025!X363</f>
        <v>Jl. Diponegoro Kel. Pasar Telukdalam - Nias Selatan</v>
      </c>
      <c r="X364" s="497" t="s">
        <v>541</v>
      </c>
      <c r="Y364" s="268" t="str">
        <f t="shared" si="19"/>
        <v>Alat Tulis Kantor (ATK)</v>
      </c>
      <c r="Z364" s="649" t="str">
        <f t="shared" si="20"/>
        <v>Alat Tulis Kantor (ATK)</v>
      </c>
      <c r="AA364" s="498" t="s">
        <v>3367</v>
      </c>
      <c r="AB364" s="499">
        <v>110000</v>
      </c>
      <c r="AC364" s="499">
        <v>440000</v>
      </c>
      <c r="AD364" s="496">
        <v>440000</v>
      </c>
      <c r="AE364" s="500">
        <v>396396.39639639639</v>
      </c>
      <c r="AF364" s="500">
        <v>440000</v>
      </c>
      <c r="AG364" s="805" t="s">
        <v>3883</v>
      </c>
      <c r="AH364" s="651" t="str">
        <f>Data2025!W363</f>
        <v>081375309828</v>
      </c>
    </row>
    <row r="365" spans="1:36" s="501" customFormat="1" ht="16.5" thickTop="1" thickBot="1">
      <c r="A365" s="636">
        <f>Data2025!G364</f>
        <v>358</v>
      </c>
      <c r="B365" s="637">
        <f>Data2025!K364</f>
        <v>0</v>
      </c>
      <c r="C365" s="638" t="str">
        <f>Data2025!D364</f>
        <v>06. 05. 08.</v>
      </c>
      <c r="D365" s="639" t="str">
        <f>Data2025!C364</f>
        <v>5.1.02.01.01.0024</v>
      </c>
      <c r="E365" s="265">
        <f>Data2025!E364</f>
        <v>0</v>
      </c>
      <c r="F365" s="640">
        <f>Data2025!F364</f>
        <v>0</v>
      </c>
      <c r="G365" s="265">
        <f>Data2025!H364</f>
        <v>0</v>
      </c>
      <c r="H365" s="265">
        <f t="shared" si="18"/>
        <v>0</v>
      </c>
      <c r="I365" s="641">
        <f>Data2025!J364</f>
        <v>0</v>
      </c>
      <c r="J365" s="381" t="str">
        <f>Data2025!L364</f>
        <v>Binder Klip  nomor 260</v>
      </c>
      <c r="K365" s="381" t="str">
        <f>Data2025!M364</f>
        <v>Binder Klip  nomor 260</v>
      </c>
      <c r="L365" s="642">
        <f>Data2025!N364</f>
        <v>10</v>
      </c>
      <c r="M365" s="642" t="str">
        <f>Data2025!O364</f>
        <v>kotak</v>
      </c>
      <c r="N365" s="643">
        <f>Data2025!P364</f>
        <v>20000</v>
      </c>
      <c r="O365" s="644">
        <f>Data2025!Q364</f>
        <v>200000</v>
      </c>
      <c r="P365" s="645" t="s">
        <v>710</v>
      </c>
      <c r="Q365" s="646" t="str">
        <f>VLOOKUP(K365,Sheet1!$C$1:$D$101,2,)</f>
        <v>Binder Clip No 260 (Length 5.0Cm, Width 5.0Cm, Height 5.0Cm, Weight 5Gr)</v>
      </c>
      <c r="R365" s="496">
        <v>87500</v>
      </c>
      <c r="S365" s="504">
        <v>89500</v>
      </c>
      <c r="T365" s="648" t="str">
        <f>Data2025!T364</f>
        <v>UD. JOSUA</v>
      </c>
      <c r="U365" s="497" t="s">
        <v>538</v>
      </c>
      <c r="V365" s="648" t="str">
        <f>Data2025!V364</f>
        <v>Gestiwan Bazikho</v>
      </c>
      <c r="W365" s="648" t="str">
        <f>Data2025!X364</f>
        <v>Jl. Diponegoro Kel. Pasar Telukdalam - Nias Selatan</v>
      </c>
      <c r="X365" s="497" t="s">
        <v>541</v>
      </c>
      <c r="Y365" s="268" t="str">
        <f t="shared" si="19"/>
        <v>Alat Tulis Kantor (ATK)</v>
      </c>
      <c r="Z365" s="649" t="str">
        <f t="shared" si="20"/>
        <v>Alat Tulis Kantor (ATK)</v>
      </c>
      <c r="AA365" s="498" t="s">
        <v>3370</v>
      </c>
      <c r="AB365" s="499">
        <v>87500</v>
      </c>
      <c r="AC365" s="499">
        <v>87500</v>
      </c>
      <c r="AD365" s="496">
        <v>87500</v>
      </c>
      <c r="AE365" s="500">
        <v>78828.828828828831</v>
      </c>
      <c r="AF365" s="500">
        <v>87500</v>
      </c>
      <c r="AG365" s="805" t="s">
        <v>3883</v>
      </c>
      <c r="AH365" s="651" t="str">
        <f>Data2025!W364</f>
        <v>081375309828</v>
      </c>
      <c r="AI365" s="502"/>
      <c r="AJ365" s="502"/>
    </row>
    <row r="366" spans="1:36" s="501" customFormat="1" ht="26" thickTop="1" thickBot="1">
      <c r="A366" s="636">
        <f>Data2025!G365</f>
        <v>359</v>
      </c>
      <c r="B366" s="637">
        <f>Data2025!K365</f>
        <v>0</v>
      </c>
      <c r="C366" s="638" t="str">
        <f>Data2025!D365</f>
        <v>06. 05. 08.</v>
      </c>
      <c r="D366" s="639" t="str">
        <f>Data2025!C365</f>
        <v>5.1.02.01.01.0024</v>
      </c>
      <c r="E366" s="265">
        <f>Data2025!E365</f>
        <v>0</v>
      </c>
      <c r="F366" s="640">
        <f>Data2025!F365</f>
        <v>0</v>
      </c>
      <c r="G366" s="265">
        <f>Data2025!H365</f>
        <v>0</v>
      </c>
      <c r="H366" s="265">
        <f t="shared" si="18"/>
        <v>0</v>
      </c>
      <c r="I366" s="641">
        <f>Data2025!J365</f>
        <v>0</v>
      </c>
      <c r="J366" s="381" t="str">
        <f>Data2025!L365</f>
        <v>Binder Klip Merk : KENKO nomor 105</v>
      </c>
      <c r="K366" s="381" t="str">
        <f>Data2025!M365</f>
        <v>Binder Klip Merk : KENKO nomor 105</v>
      </c>
      <c r="L366" s="642">
        <f>Data2025!N365</f>
        <v>2</v>
      </c>
      <c r="M366" s="642" t="str">
        <f>Data2025!O365</f>
        <v>kotak</v>
      </c>
      <c r="N366" s="643">
        <f>Data2025!P365</f>
        <v>5000</v>
      </c>
      <c r="O366" s="644">
        <f>Data2025!Q365</f>
        <v>10000</v>
      </c>
      <c r="P366" s="645" t="s">
        <v>710</v>
      </c>
      <c r="Q366" s="646" t="str">
        <f>VLOOKUP(K366,Sheet1!$C$1:$D$101,2,)</f>
        <v xml:space="preserve">Binder Clip merk kenko NO 105 (Length 5.0cm, Width 5.0cm, Height 5.0cm, Weight 5gr)  </v>
      </c>
      <c r="R366" s="496">
        <v>50000</v>
      </c>
      <c r="S366" s="504">
        <v>58000</v>
      </c>
      <c r="T366" s="648" t="str">
        <f>Data2025!T365</f>
        <v>UD. JOSUA</v>
      </c>
      <c r="U366" s="497" t="s">
        <v>538</v>
      </c>
      <c r="V366" s="648" t="str">
        <f>Data2025!V365</f>
        <v>Gestiwan Bazikho</v>
      </c>
      <c r="W366" s="648" t="str">
        <f>Data2025!X365</f>
        <v>Jl. Diponegoro Kel. Pasar Telukdalam - Nias Selatan</v>
      </c>
      <c r="X366" s="497" t="s">
        <v>541</v>
      </c>
      <c r="Y366" s="268" t="str">
        <f t="shared" si="19"/>
        <v>Alat Tulis Kantor (ATK)</v>
      </c>
      <c r="Z366" s="649" t="str">
        <f t="shared" si="20"/>
        <v>Alat Tulis Kantor (ATK)</v>
      </c>
      <c r="AA366" s="498" t="s">
        <v>3363</v>
      </c>
      <c r="AB366" s="499">
        <v>12500</v>
      </c>
      <c r="AC366" s="499">
        <v>50000</v>
      </c>
      <c r="AD366" s="496">
        <v>50000</v>
      </c>
      <c r="AE366" s="500">
        <v>45045.045045045044</v>
      </c>
      <c r="AF366" s="500">
        <v>50000</v>
      </c>
      <c r="AG366" s="805" t="s">
        <v>3883</v>
      </c>
      <c r="AH366" s="651" t="str">
        <f>Data2025!W365</f>
        <v>081375309828</v>
      </c>
    </row>
    <row r="367" spans="1:36" s="501" customFormat="1" ht="16.5" thickTop="1" thickBot="1">
      <c r="A367" s="636">
        <f>Data2025!G366</f>
        <v>360</v>
      </c>
      <c r="B367" s="637">
        <f>Data2025!K366</f>
        <v>0</v>
      </c>
      <c r="C367" s="638" t="str">
        <f>Data2025!D366</f>
        <v>06. 05. 08.</v>
      </c>
      <c r="D367" s="639" t="str">
        <f>Data2025!C366</f>
        <v>5.1.02.01.01.0024</v>
      </c>
      <c r="E367" s="265">
        <f>Data2025!E366</f>
        <v>0</v>
      </c>
      <c r="F367" s="640">
        <f>Data2025!F366</f>
        <v>0</v>
      </c>
      <c r="G367" s="265">
        <f>Data2025!H366</f>
        <v>0</v>
      </c>
      <c r="H367" s="265">
        <f t="shared" si="18"/>
        <v>0</v>
      </c>
      <c r="I367" s="641">
        <f>Data2025!J366</f>
        <v>0</v>
      </c>
      <c r="J367" s="381" t="str">
        <f>Data2025!L366</f>
        <v>Map Binder</v>
      </c>
      <c r="K367" s="381" t="str">
        <f>Data2025!M366</f>
        <v>Map Binder</v>
      </c>
      <c r="L367" s="642">
        <f>Data2025!N366</f>
        <v>12</v>
      </c>
      <c r="M367" s="642" t="str">
        <f>Data2025!O366</f>
        <v>buah</v>
      </c>
      <c r="N367" s="643">
        <f>Data2025!P366</f>
        <v>35500</v>
      </c>
      <c r="O367" s="644">
        <f>Data2025!Q366</f>
        <v>426000</v>
      </c>
      <c r="P367" s="645" t="s">
        <v>710</v>
      </c>
      <c r="Q367" s="646" t="str">
        <f>VLOOKUP(K367,Sheet1!$C$1:$D$101,2,)</f>
        <v>Map Binder (Length 5.0Cm, Width 5.0Cm, Height 5.0Cm, Weight 5Gr)</v>
      </c>
      <c r="R367" s="496">
        <v>125000</v>
      </c>
      <c r="S367" s="504">
        <v>135000</v>
      </c>
      <c r="T367" s="648" t="str">
        <f>Data2025!T366</f>
        <v>UD. JOSUA</v>
      </c>
      <c r="U367" s="497" t="s">
        <v>538</v>
      </c>
      <c r="V367" s="648" t="str">
        <f>Data2025!V366</f>
        <v>Gestiwan Bazikho</v>
      </c>
      <c r="W367" s="648" t="str">
        <f>Data2025!X366</f>
        <v>Jl. Diponegoro Kel. Pasar Telukdalam - Nias Selatan</v>
      </c>
      <c r="X367" s="497" t="s">
        <v>541</v>
      </c>
      <c r="Y367" s="268" t="str">
        <f t="shared" si="19"/>
        <v>Alat Tulis Kantor (ATK)</v>
      </c>
      <c r="Z367" s="649" t="str">
        <f t="shared" si="20"/>
        <v>Alat Tulis Kantor (ATK)</v>
      </c>
      <c r="AA367" s="498" t="s">
        <v>3363</v>
      </c>
      <c r="AB367" s="499">
        <v>25000</v>
      </c>
      <c r="AC367" s="499">
        <v>125000</v>
      </c>
      <c r="AD367" s="496">
        <v>125000</v>
      </c>
      <c r="AE367" s="500">
        <v>112612.61261261262</v>
      </c>
      <c r="AF367" s="500">
        <v>125000</v>
      </c>
      <c r="AG367" s="805" t="s">
        <v>3883</v>
      </c>
      <c r="AH367" s="651" t="str">
        <f>Data2025!W366</f>
        <v>081375309828</v>
      </c>
      <c r="AI367" s="502"/>
      <c r="AJ367" s="502"/>
    </row>
    <row r="368" spans="1:36" s="501" customFormat="1" ht="16.5" thickTop="1" thickBot="1">
      <c r="A368" s="636">
        <f>Data2025!G367</f>
        <v>361</v>
      </c>
      <c r="B368" s="637">
        <f>Data2025!K367</f>
        <v>0</v>
      </c>
      <c r="C368" s="638" t="str">
        <f>Data2025!D367</f>
        <v>06. 05. 08.</v>
      </c>
      <c r="D368" s="639" t="str">
        <f>Data2025!C367</f>
        <v>5.1.02.01.01.0024</v>
      </c>
      <c r="E368" s="265">
        <f>Data2025!E367</f>
        <v>0</v>
      </c>
      <c r="F368" s="640">
        <f>Data2025!F367</f>
        <v>0</v>
      </c>
      <c r="G368" s="265">
        <f>Data2025!H367</f>
        <v>0</v>
      </c>
      <c r="H368" s="265">
        <f t="shared" si="18"/>
        <v>0</v>
      </c>
      <c r="I368" s="641">
        <f>Data2025!J367</f>
        <v>0</v>
      </c>
      <c r="J368" s="381" t="str">
        <f>Data2025!L367</f>
        <v>Stofmap Kertas</v>
      </c>
      <c r="K368" s="381" t="str">
        <f>Data2025!M367</f>
        <v>Stofmap Kertas</v>
      </c>
      <c r="L368" s="642">
        <f>Data2025!N367</f>
        <v>1</v>
      </c>
      <c r="M368" s="642" t="str">
        <f>Data2025!O367</f>
        <v>pak</v>
      </c>
      <c r="N368" s="643">
        <f>Data2025!P367</f>
        <v>88000</v>
      </c>
      <c r="O368" s="644">
        <f>Data2025!Q367</f>
        <v>88000</v>
      </c>
      <c r="P368" s="645" t="s">
        <v>710</v>
      </c>
      <c r="Q368" s="646" t="str">
        <f>VLOOKUP(K368,Sheet1!$C$1:$D$101,2,)</f>
        <v>Stofmap Kertas (Length 5.0Cm, Width 5.0Cm, Height 5.0Cm, Weight 5Gr)</v>
      </c>
      <c r="R368" s="496">
        <v>240000</v>
      </c>
      <c r="S368" s="504">
        <v>256000</v>
      </c>
      <c r="T368" s="648" t="str">
        <f>Data2025!T367</f>
        <v>UD. JOSUA</v>
      </c>
      <c r="U368" s="497" t="s">
        <v>538</v>
      </c>
      <c r="V368" s="648" t="str">
        <f>Data2025!V367</f>
        <v>Gestiwan Bazikho</v>
      </c>
      <c r="W368" s="648" t="str">
        <f>Data2025!X367</f>
        <v>Jl. Diponegoro Kel. Pasar Telukdalam - Nias Selatan</v>
      </c>
      <c r="X368" s="497" t="s">
        <v>541</v>
      </c>
      <c r="Y368" s="268" t="str">
        <f t="shared" si="19"/>
        <v>Alat Tulis Kantor (ATK)</v>
      </c>
      <c r="Z368" s="649" t="str">
        <f t="shared" si="20"/>
        <v>Alat Tulis Kantor (ATK)</v>
      </c>
      <c r="AA368" s="498" t="s">
        <v>3367</v>
      </c>
      <c r="AB368" s="499">
        <v>30000</v>
      </c>
      <c r="AC368" s="499">
        <v>240000</v>
      </c>
      <c r="AD368" s="496">
        <v>240000</v>
      </c>
      <c r="AE368" s="500">
        <v>216216.21621621621</v>
      </c>
      <c r="AF368" s="500">
        <v>240000</v>
      </c>
      <c r="AG368" s="805" t="s">
        <v>3883</v>
      </c>
      <c r="AH368" s="651" t="str">
        <f>Data2025!W367</f>
        <v>081375309828</v>
      </c>
    </row>
    <row r="369" spans="1:36" s="501" customFormat="1" ht="16.5" thickTop="1" thickBot="1">
      <c r="A369" s="636">
        <f>Data2025!G368</f>
        <v>362</v>
      </c>
      <c r="B369" s="637">
        <f>Data2025!K368</f>
        <v>0</v>
      </c>
      <c r="C369" s="638" t="str">
        <f>Data2025!D368</f>
        <v>06. 05. 08.</v>
      </c>
      <c r="D369" s="639" t="str">
        <f>Data2025!C368</f>
        <v>5.1.02.01.01.0024</v>
      </c>
      <c r="E369" s="265">
        <f>Data2025!E368</f>
        <v>0</v>
      </c>
      <c r="F369" s="640">
        <f>Data2025!F368</f>
        <v>0</v>
      </c>
      <c r="G369" s="265">
        <f>Data2025!H368</f>
        <v>0</v>
      </c>
      <c r="H369" s="265">
        <f t="shared" si="18"/>
        <v>0</v>
      </c>
      <c r="I369" s="641">
        <f>Data2025!J368</f>
        <v>0</v>
      </c>
      <c r="J369" s="381" t="str">
        <f>Data2025!L368</f>
        <v>Stofmap Transparan tali</v>
      </c>
      <c r="K369" s="381" t="str">
        <f>Data2025!M368</f>
        <v>Stofmap Transparan tali</v>
      </c>
      <c r="L369" s="642">
        <f>Data2025!N368</f>
        <v>100</v>
      </c>
      <c r="M369" s="642" t="str">
        <f>Data2025!O368</f>
        <v>buah</v>
      </c>
      <c r="N369" s="643">
        <f>Data2025!P368</f>
        <v>5500</v>
      </c>
      <c r="O369" s="644">
        <f>Data2025!Q368</f>
        <v>550000</v>
      </c>
      <c r="P369" s="645" t="s">
        <v>710</v>
      </c>
      <c r="Q369" s="646" t="str">
        <f>VLOOKUP(K369,Sheet1!$C$1:$D$101,2,)</f>
        <v>Stofmap Transparan tali (Merk : Jenia Tipe : 2 Kancing + Tali Ukuran : 255 x 375 mm Bahan : Plastik PP 0,14 Micron)</v>
      </c>
      <c r="R369" s="496">
        <v>485000</v>
      </c>
      <c r="S369" s="504">
        <v>505000</v>
      </c>
      <c r="T369" s="648" t="str">
        <f>Data2025!T368</f>
        <v>UD. JOSUA</v>
      </c>
      <c r="U369" s="497" t="s">
        <v>538</v>
      </c>
      <c r="V369" s="648" t="str">
        <f>Data2025!V368</f>
        <v>Gestiwan Bazikho</v>
      </c>
      <c r="W369" s="648" t="str">
        <f>Data2025!X368</f>
        <v>Jl. Diponegoro Kel. Pasar Telukdalam - Nias Selatan</v>
      </c>
      <c r="X369" s="497" t="s">
        <v>541</v>
      </c>
      <c r="Y369" s="268" t="str">
        <f t="shared" si="19"/>
        <v>Alat Tulis Kantor (ATK)</v>
      </c>
      <c r="Z369" s="649" t="str">
        <f t="shared" si="20"/>
        <v>Alat Tulis Kantor (ATK)</v>
      </c>
      <c r="AA369" s="498" t="s">
        <v>3369</v>
      </c>
      <c r="AB369" s="499">
        <v>48500</v>
      </c>
      <c r="AC369" s="499">
        <v>485000</v>
      </c>
      <c r="AD369" s="496">
        <v>485000</v>
      </c>
      <c r="AE369" s="500">
        <v>436936.93693693692</v>
      </c>
      <c r="AF369" s="500">
        <v>485000</v>
      </c>
      <c r="AG369" s="805" t="s">
        <v>3883</v>
      </c>
      <c r="AH369" s="651" t="str">
        <f>Data2025!W368</f>
        <v>081375309828</v>
      </c>
    </row>
    <row r="370" spans="1:36" s="501" customFormat="1" ht="16.5" thickTop="1" thickBot="1">
      <c r="A370" s="636">
        <f>Data2025!G369</f>
        <v>363</v>
      </c>
      <c r="B370" s="637">
        <f>Data2025!K369</f>
        <v>0</v>
      </c>
      <c r="C370" s="638" t="str">
        <f>Data2025!D369</f>
        <v>06. 05. 08.</v>
      </c>
      <c r="D370" s="639" t="str">
        <f>Data2025!C369</f>
        <v>5.1.02.01.01.0024</v>
      </c>
      <c r="E370" s="265">
        <f>Data2025!E369</f>
        <v>0</v>
      </c>
      <c r="F370" s="640">
        <f>Data2025!F369</f>
        <v>0</v>
      </c>
      <c r="G370" s="265">
        <f>Data2025!H369</f>
        <v>0</v>
      </c>
      <c r="H370" s="265">
        <f t="shared" si="18"/>
        <v>0</v>
      </c>
      <c r="I370" s="641">
        <f>Data2025!J369</f>
        <v>0</v>
      </c>
      <c r="J370" s="381" t="str">
        <f>Data2025!L369</f>
        <v>Stofmap Transparan</v>
      </c>
      <c r="K370" s="381" t="str">
        <f>Data2025!M369</f>
        <v>Stofmap Transparan</v>
      </c>
      <c r="L370" s="642">
        <f>Data2025!N369</f>
        <v>100</v>
      </c>
      <c r="M370" s="642" t="str">
        <f>Data2025!O369</f>
        <v>buah</v>
      </c>
      <c r="N370" s="643">
        <f>Data2025!P369</f>
        <v>5500</v>
      </c>
      <c r="O370" s="644">
        <f>Data2025!Q369</f>
        <v>550000</v>
      </c>
      <c r="P370" s="645" t="s">
        <v>710</v>
      </c>
      <c r="Q370" s="646" t="str">
        <f>VLOOKUP(K370,Sheet1!$C$1:$D$101,2,)</f>
        <v>Stofmap Transparan (Length 5.0Cm, Width 5.0Cm, Height 5.0Cm, Weight 5Gr)</v>
      </c>
      <c r="R370" s="496">
        <v>297000</v>
      </c>
      <c r="S370" s="504">
        <v>309000</v>
      </c>
      <c r="T370" s="648" t="str">
        <f>Data2025!T369</f>
        <v>UD. JOSUA</v>
      </c>
      <c r="U370" s="497" t="s">
        <v>538</v>
      </c>
      <c r="V370" s="648" t="str">
        <f>Data2025!V369</f>
        <v>Gestiwan Bazikho</v>
      </c>
      <c r="W370" s="648" t="str">
        <f>Data2025!X369</f>
        <v>Jl. Diponegoro Kel. Pasar Telukdalam - Nias Selatan</v>
      </c>
      <c r="X370" s="497" t="s">
        <v>541</v>
      </c>
      <c r="Y370" s="268" t="str">
        <f t="shared" si="19"/>
        <v>Alat Tulis Kantor (ATK)</v>
      </c>
      <c r="Z370" s="649" t="str">
        <f t="shared" si="20"/>
        <v>Alat Tulis Kantor (ATK)</v>
      </c>
      <c r="AA370" s="498" t="s">
        <v>3363</v>
      </c>
      <c r="AB370" s="499">
        <v>49500</v>
      </c>
      <c r="AC370" s="499">
        <v>297000</v>
      </c>
      <c r="AD370" s="496">
        <v>297000</v>
      </c>
      <c r="AE370" s="500">
        <v>267567.56756756757</v>
      </c>
      <c r="AF370" s="500">
        <v>297000</v>
      </c>
      <c r="AG370" s="805" t="s">
        <v>3883</v>
      </c>
      <c r="AH370" s="651" t="str">
        <f>Data2025!W369</f>
        <v>081375309828</v>
      </c>
    </row>
    <row r="371" spans="1:36" s="501" customFormat="1" ht="16.5" thickTop="1" thickBot="1">
      <c r="A371" s="636">
        <f>Data2025!G370</f>
        <v>364</v>
      </c>
      <c r="B371" s="637">
        <f>Data2025!K370</f>
        <v>0</v>
      </c>
      <c r="C371" s="638" t="str">
        <f>Data2025!D370</f>
        <v>06. 05. 08.</v>
      </c>
      <c r="D371" s="639" t="str">
        <f>Data2025!C370</f>
        <v>5.1.02.01.01.0024</v>
      </c>
      <c r="E371" s="265">
        <f>Data2025!E370</f>
        <v>0</v>
      </c>
      <c r="F371" s="640">
        <f>Data2025!F370</f>
        <v>0</v>
      </c>
      <c r="G371" s="265">
        <f>Data2025!H370</f>
        <v>0</v>
      </c>
      <c r="H371" s="265">
        <f t="shared" si="18"/>
        <v>0</v>
      </c>
      <c r="I371" s="641">
        <f>Data2025!J370</f>
        <v>0</v>
      </c>
      <c r="J371" s="381" t="str">
        <f>Data2025!L370</f>
        <v>Binder Klip Ordner</v>
      </c>
      <c r="K371" s="381" t="str">
        <f>Data2025!M370</f>
        <v>Binder Klip Ordner</v>
      </c>
      <c r="L371" s="642">
        <f>Data2025!N370</f>
        <v>6</v>
      </c>
      <c r="M371" s="642" t="str">
        <f>Data2025!O370</f>
        <v>buah</v>
      </c>
      <c r="N371" s="643">
        <f>Data2025!P370</f>
        <v>49500</v>
      </c>
      <c r="O371" s="644">
        <f>Data2025!Q370</f>
        <v>297000</v>
      </c>
      <c r="P371" s="645" t="s">
        <v>710</v>
      </c>
      <c r="Q371" s="646" t="str">
        <f>VLOOKUP(K371,Sheet1!$C$1:$D$101,2,)</f>
        <v>Binder Klip Ordner (Length 5.0Cm, Width 5.0Cm, Height 5.0Cm, Weight 5Gr)</v>
      </c>
      <c r="R371" s="496">
        <v>335000</v>
      </c>
      <c r="S371" s="504">
        <v>345000</v>
      </c>
      <c r="T371" s="648" t="str">
        <f>Data2025!T370</f>
        <v>UD. JOSUA</v>
      </c>
      <c r="U371" s="497" t="s">
        <v>538</v>
      </c>
      <c r="V371" s="648" t="str">
        <f>Data2025!V370</f>
        <v>Gestiwan Bazikho</v>
      </c>
      <c r="W371" s="648" t="str">
        <f>Data2025!X370</f>
        <v>Jl. Diponegoro Kel. Pasar Telukdalam - Nias Selatan</v>
      </c>
      <c r="X371" s="497" t="s">
        <v>541</v>
      </c>
      <c r="Y371" s="268" t="str">
        <f t="shared" si="19"/>
        <v>Alat Tulis Kantor (ATK)</v>
      </c>
      <c r="Z371" s="649" t="str">
        <f t="shared" si="20"/>
        <v>Alat Tulis Kantor (ATK)</v>
      </c>
      <c r="AA371" s="498" t="s">
        <v>3367</v>
      </c>
      <c r="AB371" s="499">
        <v>67000</v>
      </c>
      <c r="AC371" s="499">
        <v>335000</v>
      </c>
      <c r="AD371" s="496">
        <v>335000</v>
      </c>
      <c r="AE371" s="500">
        <v>301801.80180180183</v>
      </c>
      <c r="AF371" s="500">
        <v>335000</v>
      </c>
      <c r="AG371" s="805" t="s">
        <v>3883</v>
      </c>
      <c r="AH371" s="651" t="str">
        <f>Data2025!W370</f>
        <v>081375309828</v>
      </c>
      <c r="AI371" s="502"/>
      <c r="AJ371" s="502"/>
    </row>
    <row r="372" spans="1:36" s="501" customFormat="1" ht="26" thickTop="1" thickBot="1">
      <c r="A372" s="636">
        <f>Data2025!G371</f>
        <v>365</v>
      </c>
      <c r="B372" s="637">
        <f>Data2025!K371</f>
        <v>0</v>
      </c>
      <c r="C372" s="638" t="str">
        <f>Data2025!D371</f>
        <v>06. 05. 08.</v>
      </c>
      <c r="D372" s="639" t="str">
        <f>Data2025!C371</f>
        <v>5.1.02.01.01.0024</v>
      </c>
      <c r="E372" s="265">
        <f>Data2025!E371</f>
        <v>0</v>
      </c>
      <c r="F372" s="640">
        <f>Data2025!F371</f>
        <v>0</v>
      </c>
      <c r="G372" s="265">
        <f>Data2025!H371</f>
        <v>0</v>
      </c>
      <c r="H372" s="265">
        <f t="shared" si="18"/>
        <v>0</v>
      </c>
      <c r="I372" s="641">
        <f>Data2025!J371</f>
        <v>0</v>
      </c>
      <c r="J372" s="381" t="str">
        <f>Data2025!L371</f>
        <v>Box File Merk : Bantex Ukuran : 115x270x325 mm</v>
      </c>
      <c r="K372" s="381" t="str">
        <f>Data2025!M371</f>
        <v>Box File Merk : Bantex Ukuran : 115x270x325 mm</v>
      </c>
      <c r="L372" s="642">
        <f>Data2025!N371</f>
        <v>4</v>
      </c>
      <c r="M372" s="642" t="str">
        <f>Data2025!O371</f>
        <v>buah</v>
      </c>
      <c r="N372" s="643">
        <f>Data2025!P371</f>
        <v>59000</v>
      </c>
      <c r="O372" s="644">
        <f>Data2025!Q371</f>
        <v>236000</v>
      </c>
      <c r="P372" s="645" t="s">
        <v>710</v>
      </c>
      <c r="Q372" s="646" t="str">
        <f>VLOOKUP(K372,Sheet1!$C$1:$D$101,2,)</f>
        <v>Box File (Length 5.0Cm, Width 5.0Cm, Height 5.0Cm, Weight 5Gr)</v>
      </c>
      <c r="R372" s="496">
        <v>205500</v>
      </c>
      <c r="S372" s="504">
        <v>235500</v>
      </c>
      <c r="T372" s="648" t="str">
        <f>Data2025!T371</f>
        <v>UD. JOSUA</v>
      </c>
      <c r="U372" s="497" t="s">
        <v>538</v>
      </c>
      <c r="V372" s="648" t="str">
        <f>Data2025!V371</f>
        <v>Gestiwan Bazikho</v>
      </c>
      <c r="W372" s="648" t="str">
        <f>Data2025!X371</f>
        <v>Jl. Diponegoro Kel. Pasar Telukdalam - Nias Selatan</v>
      </c>
      <c r="X372" s="497" t="s">
        <v>541</v>
      </c>
      <c r="Y372" s="268" t="str">
        <f t="shared" si="19"/>
        <v>Alat Tulis Kantor (ATK)</v>
      </c>
      <c r="Z372" s="649" t="str">
        <f t="shared" si="20"/>
        <v>Alat Tulis Kantor (ATK)</v>
      </c>
      <c r="AA372" s="498" t="s">
        <v>3363</v>
      </c>
      <c r="AB372" s="499">
        <v>13700</v>
      </c>
      <c r="AC372" s="499">
        <v>205500</v>
      </c>
      <c r="AD372" s="496">
        <v>205500</v>
      </c>
      <c r="AE372" s="500">
        <v>185135.13513513515</v>
      </c>
      <c r="AF372" s="500">
        <v>205500</v>
      </c>
      <c r="AG372" s="805" t="s">
        <v>3883</v>
      </c>
      <c r="AH372" s="651" t="str">
        <f>Data2025!W371</f>
        <v>081375309828</v>
      </c>
    </row>
    <row r="373" spans="1:36" s="501" customFormat="1" ht="16.5" thickTop="1" thickBot="1">
      <c r="A373" s="636">
        <f>Data2025!G372</f>
        <v>366</v>
      </c>
      <c r="B373" s="637">
        <f>Data2025!K372</f>
        <v>0</v>
      </c>
      <c r="C373" s="638" t="str">
        <f>Data2025!D372</f>
        <v>06. 05. 08.</v>
      </c>
      <c r="D373" s="639" t="str">
        <f>Data2025!C372</f>
        <v>5.1.02.01.01.0024</v>
      </c>
      <c r="E373" s="265">
        <f>Data2025!E372</f>
        <v>0</v>
      </c>
      <c r="F373" s="640">
        <f>Data2025!F372</f>
        <v>0</v>
      </c>
      <c r="G373" s="265">
        <f>Data2025!H372</f>
        <v>0</v>
      </c>
      <c r="H373" s="265">
        <f t="shared" si="18"/>
        <v>0</v>
      </c>
      <c r="I373" s="641">
        <f>Data2025!J372</f>
        <v>0</v>
      </c>
      <c r="J373" s="381" t="str">
        <f>Data2025!L372</f>
        <v>Sampul Plastik</v>
      </c>
      <c r="K373" s="381" t="str">
        <f>Data2025!M372</f>
        <v>Sampul Plastik</v>
      </c>
      <c r="L373" s="642">
        <f>Data2025!N372</f>
        <v>5</v>
      </c>
      <c r="M373" s="642" t="str">
        <f>Data2025!O372</f>
        <v>bungkus</v>
      </c>
      <c r="N373" s="643">
        <f>Data2025!P372</f>
        <v>65000</v>
      </c>
      <c r="O373" s="644">
        <f>Data2025!Q372</f>
        <v>325000</v>
      </c>
      <c r="P373" s="645" t="s">
        <v>710</v>
      </c>
      <c r="Q373" s="646" t="str">
        <f>VLOOKUP(K373,Sheet1!$C$1:$D$101,2,)</f>
        <v>Sampul Plastik (Length 5.0Cm, Width 5.0Cm, Height 5.0Cm, Weight 5Gr)</v>
      </c>
      <c r="R373" s="496">
        <v>121000</v>
      </c>
      <c r="S373" s="504">
        <v>141000</v>
      </c>
      <c r="T373" s="648" t="str">
        <f>Data2025!T372</f>
        <v>UD. JOSUA</v>
      </c>
      <c r="U373" s="497" t="s">
        <v>538</v>
      </c>
      <c r="V373" s="648" t="str">
        <f>Data2025!V372</f>
        <v>Gestiwan Bazikho</v>
      </c>
      <c r="W373" s="648" t="str">
        <f>Data2025!X372</f>
        <v>Jl. Diponegoro Kel. Pasar Telukdalam - Nias Selatan</v>
      </c>
      <c r="X373" s="497" t="s">
        <v>541</v>
      </c>
      <c r="Y373" s="268" t="str">
        <f t="shared" si="19"/>
        <v>Alat Tulis Kantor (ATK)</v>
      </c>
      <c r="Z373" s="649" t="str">
        <f t="shared" si="20"/>
        <v>Alat Tulis Kantor (ATK)</v>
      </c>
      <c r="AA373" s="498" t="s">
        <v>3363</v>
      </c>
      <c r="AB373" s="499">
        <v>12100</v>
      </c>
      <c r="AC373" s="499">
        <v>121000</v>
      </c>
      <c r="AD373" s="496">
        <v>121000</v>
      </c>
      <c r="AE373" s="500">
        <v>109009.00900900901</v>
      </c>
      <c r="AF373" s="500">
        <v>121000</v>
      </c>
      <c r="AG373" s="805" t="s">
        <v>3883</v>
      </c>
      <c r="AH373" s="651" t="str">
        <f>Data2025!W372</f>
        <v>081375309828</v>
      </c>
    </row>
    <row r="374" spans="1:36" s="501" customFormat="1" ht="18.649999999999999" customHeight="1" thickTop="1" thickBot="1">
      <c r="A374" s="636">
        <f>Data2025!G373</f>
        <v>367</v>
      </c>
      <c r="B374" s="637">
        <f>Data2025!K373</f>
        <v>0</v>
      </c>
      <c r="C374" s="638" t="str">
        <f>Data2025!D373</f>
        <v>06. 05. 08.</v>
      </c>
      <c r="D374" s="639" t="str">
        <f>Data2025!C373</f>
        <v>5.1.02.01.01.0024</v>
      </c>
      <c r="E374" s="265">
        <f>Data2025!E373</f>
        <v>0</v>
      </c>
      <c r="F374" s="640">
        <f>Data2025!F373</f>
        <v>0</v>
      </c>
      <c r="G374" s="265">
        <f>Data2025!H373</f>
        <v>0</v>
      </c>
      <c r="H374" s="265">
        <f t="shared" si="18"/>
        <v>0</v>
      </c>
      <c r="I374" s="641">
        <f>Data2025!J373</f>
        <v>0</v>
      </c>
      <c r="J374" s="381" t="str">
        <f>Data2025!L373</f>
        <v>Tinta Printer Canon 740 Hitam-740 Hitam</v>
      </c>
      <c r="K374" s="381" t="str">
        <f>Data2025!M373</f>
        <v>Tinta Printer Canon 740 Hitam-740 Hitam</v>
      </c>
      <c r="L374" s="642">
        <f>Data2025!N373</f>
        <v>8</v>
      </c>
      <c r="M374" s="642" t="str">
        <f>Data2025!O373</f>
        <v>botol</v>
      </c>
      <c r="N374" s="643">
        <f>Data2025!P373</f>
        <v>30000</v>
      </c>
      <c r="O374" s="644">
        <f>Data2025!Q373</f>
        <v>240000</v>
      </c>
      <c r="P374" s="645" t="s">
        <v>710</v>
      </c>
      <c r="Q374" s="646" t="str">
        <f>VLOOKUP(K374,Sheet1!$C$1:$D$101,2,)</f>
        <v>Tinta Printer Canon Aiflo Hitam (Length 5.0cm, Width 5.0cm, Height 5.0cm, Weight 5gr)</v>
      </c>
      <c r="R374" s="496">
        <v>45000</v>
      </c>
      <c r="S374" s="504">
        <v>51000</v>
      </c>
      <c r="T374" s="648" t="str">
        <f>Data2025!T373</f>
        <v>UD. JOSUA</v>
      </c>
      <c r="U374" s="497" t="s">
        <v>538</v>
      </c>
      <c r="V374" s="648" t="str">
        <f>Data2025!V373</f>
        <v>Gestiwan Bazikho</v>
      </c>
      <c r="W374" s="648" t="str">
        <f>Data2025!X373</f>
        <v>Jl. Diponegoro Kel. Pasar Telukdalam - Nias Selatan</v>
      </c>
      <c r="X374" s="497" t="s">
        <v>541</v>
      </c>
      <c r="Y374" s="268" t="str">
        <f t="shared" si="19"/>
        <v>Alat Tulis Kantor (ATK)</v>
      </c>
      <c r="Z374" s="649" t="str">
        <f t="shared" si="20"/>
        <v>Alat Tulis Kantor (ATK)</v>
      </c>
      <c r="AA374" s="498" t="s">
        <v>3363</v>
      </c>
      <c r="AB374" s="499">
        <v>15000</v>
      </c>
      <c r="AC374" s="499">
        <v>45000</v>
      </c>
      <c r="AD374" s="496">
        <v>45000</v>
      </c>
      <c r="AE374" s="500">
        <v>40540.54054054054</v>
      </c>
      <c r="AF374" s="500">
        <v>45000</v>
      </c>
      <c r="AG374" s="805" t="s">
        <v>3883</v>
      </c>
      <c r="AH374" s="651" t="str">
        <f>Data2025!W373</f>
        <v>081375309828</v>
      </c>
    </row>
    <row r="375" spans="1:36" s="501" customFormat="1" ht="26" thickTop="1" thickBot="1">
      <c r="A375" s="636">
        <f>Data2025!G374</f>
        <v>368</v>
      </c>
      <c r="B375" s="637">
        <f>Data2025!K374</f>
        <v>0</v>
      </c>
      <c r="C375" s="638" t="str">
        <f>Data2025!D374</f>
        <v>06. 05. 08.</v>
      </c>
      <c r="D375" s="639" t="str">
        <f>Data2025!C374</f>
        <v>5.1.02.01.01.0024</v>
      </c>
      <c r="E375" s="265">
        <f>Data2025!E374</f>
        <v>0</v>
      </c>
      <c r="F375" s="640">
        <f>Data2025!F374</f>
        <v>0</v>
      </c>
      <c r="G375" s="265">
        <f>Data2025!H374</f>
        <v>0</v>
      </c>
      <c r="H375" s="265">
        <f t="shared" si="18"/>
        <v>0</v>
      </c>
      <c r="I375" s="641">
        <f>Data2025!J374</f>
        <v>0</v>
      </c>
      <c r="J375" s="381" t="str">
        <f>Data2025!L374</f>
        <v>Tinta Printer Canon 741 Warna-741 Warna</v>
      </c>
      <c r="K375" s="381" t="str">
        <f>Data2025!M374</f>
        <v>Tinta Printer Canon 741 Warna-741 Warna</v>
      </c>
      <c r="L375" s="642">
        <f>Data2025!N374</f>
        <v>12</v>
      </c>
      <c r="M375" s="642" t="str">
        <f>Data2025!O374</f>
        <v>botol</v>
      </c>
      <c r="N375" s="643">
        <f>Data2025!P374</f>
        <v>33000</v>
      </c>
      <c r="O375" s="644">
        <f>Data2025!Q374</f>
        <v>396000</v>
      </c>
      <c r="P375" s="645" t="s">
        <v>710</v>
      </c>
      <c r="Q375" s="646" t="str">
        <f>VLOOKUP(K375,Sheet1!$C$1:$D$101,2,)</f>
        <v>Tinta Printer Canon Aiflo Warna (Length 5.0cm, Width 5.0cm, Height 5.0cm, Weight 5gr)</v>
      </c>
      <c r="R375" s="496">
        <v>300000</v>
      </c>
      <c r="S375" s="504">
        <v>320000</v>
      </c>
      <c r="T375" s="648" t="str">
        <f>Data2025!T374</f>
        <v>UD. JOSUA</v>
      </c>
      <c r="U375" s="497" t="s">
        <v>538</v>
      </c>
      <c r="V375" s="648" t="str">
        <f>Data2025!V374</f>
        <v>Gestiwan Bazikho</v>
      </c>
      <c r="W375" s="648" t="str">
        <f>Data2025!X374</f>
        <v>Jl. Diponegoro Kel. Pasar Telukdalam - Nias Selatan</v>
      </c>
      <c r="X375" s="497" t="s">
        <v>541</v>
      </c>
      <c r="Y375" s="268" t="str">
        <f t="shared" si="19"/>
        <v>Alat Tulis Kantor (ATK)</v>
      </c>
      <c r="Z375" s="649" t="str">
        <f t="shared" si="20"/>
        <v>Alat Tulis Kantor (ATK)</v>
      </c>
      <c r="AA375" s="498" t="s">
        <v>3367</v>
      </c>
      <c r="AB375" s="499">
        <v>30000</v>
      </c>
      <c r="AC375" s="499">
        <v>300000</v>
      </c>
      <c r="AD375" s="496">
        <v>300000</v>
      </c>
      <c r="AE375" s="500">
        <v>270270.2702702703</v>
      </c>
      <c r="AF375" s="500">
        <v>300000</v>
      </c>
      <c r="AG375" s="805" t="s">
        <v>3883</v>
      </c>
      <c r="AH375" s="651" t="str">
        <f>Data2025!W374</f>
        <v>081375309828</v>
      </c>
    </row>
    <row r="376" spans="1:36" s="501" customFormat="1" ht="26" thickTop="1" thickBot="1">
      <c r="A376" s="636">
        <f>Data2025!G375</f>
        <v>369</v>
      </c>
      <c r="B376" s="637">
        <f>Data2025!K375</f>
        <v>0</v>
      </c>
      <c r="C376" s="638" t="str">
        <f>Data2025!D375</f>
        <v>06. 05. 08.</v>
      </c>
      <c r="D376" s="639" t="str">
        <f>Data2025!C375</f>
        <v>5.1.02.01.01.0024</v>
      </c>
      <c r="E376" s="265">
        <f>Data2025!E375</f>
        <v>0</v>
      </c>
      <c r="F376" s="640">
        <f>Data2025!F375</f>
        <v>0</v>
      </c>
      <c r="G376" s="265">
        <f>Data2025!H375</f>
        <v>0</v>
      </c>
      <c r="H376" s="265">
        <f t="shared" si="18"/>
        <v>0</v>
      </c>
      <c r="I376" s="641">
        <f>Data2025!J375</f>
        <v>0</v>
      </c>
      <c r="J376" s="381" t="str">
        <f>Data2025!L375</f>
        <v>C. Tinta Printer EPSON Toner Epson 664 Black</v>
      </c>
      <c r="K376" s="381" t="str">
        <f>Data2025!M375</f>
        <v>C. Tinta Printer EPSON Toner Epson 664 Black</v>
      </c>
      <c r="L376" s="642">
        <f>Data2025!N375</f>
        <v>6</v>
      </c>
      <c r="M376" s="642" t="str">
        <f>Data2025!O375</f>
        <v>botol</v>
      </c>
      <c r="N376" s="643">
        <f>Data2025!P375</f>
        <v>85000</v>
      </c>
      <c r="O376" s="644">
        <f>Data2025!Q375</f>
        <v>510000</v>
      </c>
      <c r="P376" s="645" t="s">
        <v>710</v>
      </c>
      <c r="Q376" s="646" t="str">
        <f>VLOOKUP(K376,Sheet1!$C$1:$D$101,2,)</f>
        <v>Tinta Printer Epson 664 Hitam (Length 5.0Cm, Width 5.0Cm, Height 5.0Cm, Weight 5Gr)</v>
      </c>
      <c r="R376" s="496">
        <v>60000</v>
      </c>
      <c r="S376" s="504">
        <v>70000</v>
      </c>
      <c r="T376" s="648" t="str">
        <f>Data2025!T375</f>
        <v>UD. JOSUA</v>
      </c>
      <c r="U376" s="497" t="s">
        <v>538</v>
      </c>
      <c r="V376" s="648" t="str">
        <f>Data2025!V375</f>
        <v>Gestiwan Bazikho</v>
      </c>
      <c r="W376" s="648" t="str">
        <f>Data2025!X375</f>
        <v>Jl. Diponegoro Kel. Pasar Telukdalam - Nias Selatan</v>
      </c>
      <c r="X376" s="497" t="s">
        <v>541</v>
      </c>
      <c r="Y376" s="268" t="str">
        <f t="shared" si="19"/>
        <v>Alat Tulis Kantor (ATK)</v>
      </c>
      <c r="Z376" s="649" t="str">
        <f t="shared" si="20"/>
        <v>Alat Tulis Kantor (ATK)</v>
      </c>
      <c r="AA376" s="498" t="s">
        <v>3363</v>
      </c>
      <c r="AB376" s="499">
        <v>12000</v>
      </c>
      <c r="AC376" s="499">
        <v>60000</v>
      </c>
      <c r="AD376" s="496">
        <v>60000</v>
      </c>
      <c r="AE376" s="500">
        <v>54054.054054054053</v>
      </c>
      <c r="AF376" s="500">
        <v>60000</v>
      </c>
      <c r="AG376" s="805" t="s">
        <v>3883</v>
      </c>
      <c r="AH376" s="651" t="str">
        <f>Data2025!W375</f>
        <v>081375309828</v>
      </c>
      <c r="AI376" s="502"/>
      <c r="AJ376" s="502"/>
    </row>
    <row r="377" spans="1:36" s="501" customFormat="1" ht="26" thickTop="1" thickBot="1">
      <c r="A377" s="636">
        <f>Data2025!G376</f>
        <v>370</v>
      </c>
      <c r="B377" s="637">
        <f>Data2025!K376</f>
        <v>0</v>
      </c>
      <c r="C377" s="638" t="str">
        <f>Data2025!D376</f>
        <v>06. 05. 08.</v>
      </c>
      <c r="D377" s="639" t="str">
        <f>Data2025!C376</f>
        <v>5.1.02.01.01.0024</v>
      </c>
      <c r="E377" s="265">
        <f>Data2025!E376</f>
        <v>0</v>
      </c>
      <c r="F377" s="640">
        <f>Data2025!F376</f>
        <v>0</v>
      </c>
      <c r="G377" s="265">
        <f>Data2025!H376</f>
        <v>0</v>
      </c>
      <c r="H377" s="265">
        <f t="shared" si="18"/>
        <v>0</v>
      </c>
      <c r="I377" s="641">
        <f>Data2025!J376</f>
        <v>0</v>
      </c>
      <c r="J377" s="381" t="str">
        <f>Data2025!L376</f>
        <v>C. Tinta Printer EPSON Tinta Printer Epson Yellow</v>
      </c>
      <c r="K377" s="381" t="str">
        <f>Data2025!M376</f>
        <v>C. Tinta Printer EPSON Tinta Printer Epson Yellow</v>
      </c>
      <c r="L377" s="642">
        <f>Data2025!N376</f>
        <v>4</v>
      </c>
      <c r="M377" s="642" t="str">
        <f>Data2025!O376</f>
        <v>botol</v>
      </c>
      <c r="N377" s="643">
        <f>Data2025!P376</f>
        <v>110000</v>
      </c>
      <c r="O377" s="644">
        <f>Data2025!Q376</f>
        <v>440000</v>
      </c>
      <c r="P377" s="645" t="s">
        <v>710</v>
      </c>
      <c r="Q377" s="646" t="str">
        <f>VLOOKUP(K377,Sheet1!$C$1:$D$101,2,)</f>
        <v>Tinta Printer Epson 664 Kuning (Length 5.0Cm, Width 5.0Cm, Height 5.0Cm, Weight 5Gr)</v>
      </c>
      <c r="R377" s="496">
        <v>150000</v>
      </c>
      <c r="S377" s="504">
        <v>174000</v>
      </c>
      <c r="T377" s="648" t="str">
        <f>Data2025!T376</f>
        <v>UD. JOSUA</v>
      </c>
      <c r="U377" s="497" t="s">
        <v>538</v>
      </c>
      <c r="V377" s="648" t="str">
        <f>Data2025!V376</f>
        <v>Gestiwan Bazikho</v>
      </c>
      <c r="W377" s="648" t="str">
        <f>Data2025!X376</f>
        <v>Jl. Diponegoro Kel. Pasar Telukdalam - Nias Selatan</v>
      </c>
      <c r="X377" s="497" t="s">
        <v>541</v>
      </c>
      <c r="Y377" s="268" t="str">
        <f t="shared" si="19"/>
        <v>Alat Tulis Kantor (ATK)</v>
      </c>
      <c r="Z377" s="649" t="str">
        <f t="shared" si="20"/>
        <v>Alat Tulis Kantor (ATK)</v>
      </c>
      <c r="AA377" s="498" t="s">
        <v>3363</v>
      </c>
      <c r="AB377" s="499">
        <v>12500</v>
      </c>
      <c r="AC377" s="499">
        <v>150000</v>
      </c>
      <c r="AD377" s="496">
        <v>150000</v>
      </c>
      <c r="AE377" s="500">
        <v>135135.13513513515</v>
      </c>
      <c r="AF377" s="500">
        <v>150000</v>
      </c>
      <c r="AG377" s="805" t="s">
        <v>3883</v>
      </c>
      <c r="AH377" s="651" t="str">
        <f>Data2025!W376</f>
        <v>081375309828</v>
      </c>
    </row>
    <row r="378" spans="1:36" s="501" customFormat="1" ht="26" thickTop="1" thickBot="1">
      <c r="A378" s="636">
        <f>Data2025!G377</f>
        <v>371</v>
      </c>
      <c r="B378" s="637">
        <f>Data2025!K377</f>
        <v>0</v>
      </c>
      <c r="C378" s="638" t="str">
        <f>Data2025!D377</f>
        <v>06. 05. 08.</v>
      </c>
      <c r="D378" s="639" t="str">
        <f>Data2025!C377</f>
        <v>5.1.02.01.01.0024</v>
      </c>
      <c r="E378" s="265">
        <f>Data2025!E377</f>
        <v>0</v>
      </c>
      <c r="F378" s="640">
        <f>Data2025!F377</f>
        <v>0</v>
      </c>
      <c r="G378" s="265">
        <f>Data2025!H377</f>
        <v>0</v>
      </c>
      <c r="H378" s="265">
        <f t="shared" si="18"/>
        <v>0</v>
      </c>
      <c r="I378" s="641">
        <f>Data2025!J377</f>
        <v>0</v>
      </c>
      <c r="J378" s="381" t="str">
        <f>Data2025!L377</f>
        <v>C. Tinta Printer EPSON Tinta Printer Epson Blue</v>
      </c>
      <c r="K378" s="381" t="str">
        <f>Data2025!M377</f>
        <v>C. Tinta Printer EPSON Tinta Printer Epson Blue</v>
      </c>
      <c r="L378" s="642">
        <f>Data2025!N377</f>
        <v>4</v>
      </c>
      <c r="M378" s="642" t="str">
        <f>Data2025!O377</f>
        <v>botol</v>
      </c>
      <c r="N378" s="643">
        <f>Data2025!P377</f>
        <v>110000</v>
      </c>
      <c r="O378" s="644">
        <f>Data2025!Q377</f>
        <v>440000</v>
      </c>
      <c r="P378" s="645" t="s">
        <v>710</v>
      </c>
      <c r="Q378" s="646" t="str">
        <f>VLOOKUP(K378,Sheet1!$C$1:$D$101,2,)</f>
        <v>Tinta Printer Epson 664 Biru (Length 5.0Cm, Width 5.0Cm, Height 5.0Cm, Weight 5Gr)</v>
      </c>
      <c r="R378" s="496">
        <v>60000</v>
      </c>
      <c r="S378" s="504">
        <v>70000</v>
      </c>
      <c r="T378" s="648" t="str">
        <f>Data2025!T377</f>
        <v>UD. JOSUA</v>
      </c>
      <c r="U378" s="497" t="s">
        <v>538</v>
      </c>
      <c r="V378" s="648" t="str">
        <f>Data2025!V377</f>
        <v>Gestiwan Bazikho</v>
      </c>
      <c r="W378" s="648" t="str">
        <f>Data2025!X377</f>
        <v>Jl. Diponegoro Kel. Pasar Telukdalam - Nias Selatan</v>
      </c>
      <c r="X378" s="497" t="s">
        <v>541</v>
      </c>
      <c r="Y378" s="268" t="str">
        <f t="shared" si="19"/>
        <v>Alat Tulis Kantor (ATK)</v>
      </c>
      <c r="Z378" s="649" t="str">
        <f t="shared" si="20"/>
        <v>Alat Tulis Kantor (ATK)</v>
      </c>
      <c r="AA378" s="498" t="s">
        <v>3363</v>
      </c>
      <c r="AB378" s="499">
        <v>12000</v>
      </c>
      <c r="AC378" s="499">
        <v>60000</v>
      </c>
      <c r="AD378" s="496">
        <v>60000</v>
      </c>
      <c r="AE378" s="500">
        <v>54054.054054054053</v>
      </c>
      <c r="AF378" s="500">
        <v>60000</v>
      </c>
      <c r="AG378" s="805" t="s">
        <v>3883</v>
      </c>
      <c r="AH378" s="651" t="str">
        <f>Data2025!W377</f>
        <v>081375309828</v>
      </c>
    </row>
    <row r="379" spans="1:36" s="501" customFormat="1" ht="26" thickTop="1" thickBot="1">
      <c r="A379" s="636">
        <f>Data2025!G378</f>
        <v>372</v>
      </c>
      <c r="B379" s="637">
        <f>Data2025!K378</f>
        <v>0</v>
      </c>
      <c r="C379" s="638" t="str">
        <f>Data2025!D378</f>
        <v>06. 05. 08.</v>
      </c>
      <c r="D379" s="639" t="str">
        <f>Data2025!C378</f>
        <v>5.1.02.01.01.0024</v>
      </c>
      <c r="E379" s="265">
        <f>Data2025!E378</f>
        <v>0</v>
      </c>
      <c r="F379" s="640">
        <f>Data2025!F378</f>
        <v>0</v>
      </c>
      <c r="G379" s="265">
        <f>Data2025!H378</f>
        <v>0</v>
      </c>
      <c r="H379" s="265">
        <f t="shared" si="18"/>
        <v>0</v>
      </c>
      <c r="I379" s="641">
        <f>Data2025!J378</f>
        <v>0</v>
      </c>
      <c r="J379" s="381" t="str">
        <f>Data2025!L378</f>
        <v>C. Tinta Printer EPSON Tinta Printer Epson Read</v>
      </c>
      <c r="K379" s="381" t="str">
        <f>Data2025!M378</f>
        <v>C. Tinta Printer EPSON Tinta Printer Epson Read</v>
      </c>
      <c r="L379" s="642">
        <f>Data2025!N378</f>
        <v>4</v>
      </c>
      <c r="M379" s="642" t="str">
        <f>Data2025!O378</f>
        <v>botol</v>
      </c>
      <c r="N379" s="643">
        <f>Data2025!P378</f>
        <v>110000</v>
      </c>
      <c r="O379" s="644">
        <f>Data2025!Q378</f>
        <v>440000</v>
      </c>
      <c r="P379" s="645" t="s">
        <v>710</v>
      </c>
      <c r="Q379" s="646" t="str">
        <f>VLOOKUP(K379,Sheet1!$C$1:$D$101,2,)</f>
        <v>Tinta Printer Epson 664 Merah (Length 5.0Cm, Width 5.0Cm, Height 5.0Cm, Weight 5Gr)</v>
      </c>
      <c r="R379" s="496">
        <v>350000</v>
      </c>
      <c r="S379" s="504">
        <v>360000</v>
      </c>
      <c r="T379" s="648" t="str">
        <f>Data2025!T378</f>
        <v>UD. JOSUA</v>
      </c>
      <c r="U379" s="497" t="s">
        <v>538</v>
      </c>
      <c r="V379" s="648" t="str">
        <f>Data2025!V378</f>
        <v>Gestiwan Bazikho</v>
      </c>
      <c r="W379" s="648" t="str">
        <f>Data2025!X378</f>
        <v>Jl. Diponegoro Kel. Pasar Telukdalam - Nias Selatan</v>
      </c>
      <c r="X379" s="497" t="s">
        <v>541</v>
      </c>
      <c r="Y379" s="268" t="str">
        <f t="shared" si="19"/>
        <v>Alat Tulis Kantor (ATK)</v>
      </c>
      <c r="Z379" s="649" t="str">
        <f t="shared" si="20"/>
        <v>Alat Tulis Kantor (ATK)</v>
      </c>
      <c r="AA379" s="498" t="s">
        <v>3371</v>
      </c>
      <c r="AB379" s="499">
        <v>70000</v>
      </c>
      <c r="AC379" s="499">
        <v>350000</v>
      </c>
      <c r="AD379" s="496">
        <v>350000</v>
      </c>
      <c r="AE379" s="500">
        <v>315315.31531531533</v>
      </c>
      <c r="AF379" s="500">
        <v>350000</v>
      </c>
      <c r="AG379" s="805" t="s">
        <v>3883</v>
      </c>
      <c r="AH379" s="651" t="str">
        <f>Data2025!W378</f>
        <v>081375309828</v>
      </c>
    </row>
    <row r="380" spans="1:36" ht="16.5" thickTop="1" thickBot="1">
      <c r="A380" s="636">
        <f>Data2025!G379</f>
        <v>373</v>
      </c>
      <c r="B380" s="637">
        <f>Data2025!K379</f>
        <v>0</v>
      </c>
      <c r="C380" s="638" t="str">
        <f>Data2025!D379</f>
        <v>06. 05. 08.</v>
      </c>
      <c r="D380" s="639" t="str">
        <f>Data2025!C379</f>
        <v>5.1.02.01.01.0024</v>
      </c>
      <c r="E380" s="265">
        <f>Data2025!E379</f>
        <v>0</v>
      </c>
      <c r="F380" s="640">
        <f>Data2025!F379</f>
        <v>0</v>
      </c>
      <c r="G380" s="265">
        <f>Data2025!H379</f>
        <v>0</v>
      </c>
      <c r="H380" s="265">
        <f t="shared" si="18"/>
        <v>0</v>
      </c>
      <c r="I380" s="641">
        <f>Data2025!J379</f>
        <v>0</v>
      </c>
      <c r="J380" s="381" t="str">
        <f>Data2025!L379</f>
        <v>Lakban Besar</v>
      </c>
      <c r="K380" s="381" t="str">
        <f>Data2025!M379</f>
        <v>Lakban Besar</v>
      </c>
      <c r="L380" s="642">
        <f>Data2025!N379</f>
        <v>5</v>
      </c>
      <c r="M380" s="642" t="str">
        <f>Data2025!O379</f>
        <v>buah</v>
      </c>
      <c r="N380" s="643">
        <f>Data2025!P379</f>
        <v>25000</v>
      </c>
      <c r="O380" s="644">
        <f>Data2025!Q379</f>
        <v>125000</v>
      </c>
      <c r="P380" s="645" t="s">
        <v>710</v>
      </c>
      <c r="Q380" s="646" t="str">
        <f>VLOOKUP(K380,Sheet1!$C$1:$D$101,2,)</f>
        <v>Lakban Hitam Besar (Brand : Daimaru • Ukuran : 48 mm x 109 Yard)</v>
      </c>
      <c r="R380" s="267">
        <v>7308700</v>
      </c>
      <c r="S380" s="647">
        <v>11136650</v>
      </c>
      <c r="T380" s="648" t="str">
        <f>Data2025!T379</f>
        <v>UD. JOSUA</v>
      </c>
      <c r="U380" s="268" t="s">
        <v>538</v>
      </c>
      <c r="V380" s="648" t="str">
        <f>Data2025!V379</f>
        <v>Gestiwan Bazikho</v>
      </c>
      <c r="W380" s="648" t="str">
        <f>Data2025!X379</f>
        <v>Jl. Diponegoro Kel. Pasar Telukdalam - Nias Selatan</v>
      </c>
      <c r="X380" s="268" t="s">
        <v>541</v>
      </c>
      <c r="Y380" s="268" t="str">
        <f t="shared" si="19"/>
        <v>Alat Tulis Kantor (ATK)</v>
      </c>
      <c r="Z380" s="649" t="str">
        <f t="shared" si="20"/>
        <v>Alat Tulis Kantor (ATK)</v>
      </c>
      <c r="AA380" s="650" t="s">
        <v>3368</v>
      </c>
      <c r="AB380" s="269">
        <v>350</v>
      </c>
      <c r="AC380" s="269">
        <v>1658650</v>
      </c>
      <c r="AD380" s="267">
        <v>7308700</v>
      </c>
      <c r="AE380" s="270">
        <v>6584414.4144144142</v>
      </c>
      <c r="AF380" s="270">
        <v>7308700</v>
      </c>
      <c r="AG380" s="805" t="s">
        <v>3883</v>
      </c>
      <c r="AH380" s="651" t="str">
        <f>Data2025!W379</f>
        <v>081375309828</v>
      </c>
    </row>
    <row r="381" spans="1:36" ht="16.5" thickTop="1" thickBot="1">
      <c r="A381" s="636">
        <f>Data2025!G380</f>
        <v>374</v>
      </c>
      <c r="B381" s="637">
        <f>Data2025!K380</f>
        <v>0</v>
      </c>
      <c r="C381" s="638" t="str">
        <f>Data2025!D380</f>
        <v>06. 05. 08.</v>
      </c>
      <c r="D381" s="639" t="str">
        <f>Data2025!C380</f>
        <v>5.1.02.01.01.0024</v>
      </c>
      <c r="E381" s="265">
        <f>Data2025!E380</f>
        <v>0</v>
      </c>
      <c r="F381" s="640">
        <f>Data2025!F380</f>
        <v>0</v>
      </c>
      <c r="G381" s="265">
        <f>Data2025!H380</f>
        <v>0</v>
      </c>
      <c r="H381" s="265">
        <f t="shared" si="18"/>
        <v>0</v>
      </c>
      <c r="I381" s="641">
        <f>Data2025!J380</f>
        <v>0</v>
      </c>
      <c r="J381" s="381" t="str">
        <f>Data2025!L380</f>
        <v>Lakban Bening</v>
      </c>
      <c r="K381" s="381" t="str">
        <f>Data2025!M380</f>
        <v>Lakban Bening</v>
      </c>
      <c r="L381" s="642">
        <f>Data2025!N380</f>
        <v>5</v>
      </c>
      <c r="M381" s="642" t="str">
        <f>Data2025!O380</f>
        <v>buah</v>
      </c>
      <c r="N381" s="643">
        <f>Data2025!P380</f>
        <v>15000</v>
      </c>
      <c r="O381" s="644">
        <f>Data2025!Q380</f>
        <v>75000</v>
      </c>
      <c r="P381" s="645" t="s">
        <v>710</v>
      </c>
      <c r="Q381" s="646" t="str">
        <f>VLOOKUP(K381,Sheet1!$C$1:$D$101,2,)</f>
        <v>Isolasi Bening Sedang Mpi Solatip 24 X 72 Yard 1 Inc</v>
      </c>
      <c r="R381" s="267">
        <v>1633800</v>
      </c>
      <c r="S381" s="647">
        <v>1675800</v>
      </c>
      <c r="T381" s="648" t="str">
        <f>Data2025!T380</f>
        <v>UD. JOSUA</v>
      </c>
      <c r="U381" s="268" t="s">
        <v>3392</v>
      </c>
      <c r="V381" s="648" t="str">
        <f>Data2025!V380</f>
        <v>Gestiwan Bazikho</v>
      </c>
      <c r="W381" s="648" t="str">
        <f>Data2025!X380</f>
        <v>Jl. Diponegoro Kel. Pasar Telukdalam - Nias Selatan</v>
      </c>
      <c r="X381" s="268" t="s">
        <v>2723</v>
      </c>
      <c r="Y381" s="268" t="str">
        <f t="shared" si="19"/>
        <v>Alat Tulis Kantor (ATK)</v>
      </c>
      <c r="Z381" s="649" t="str">
        <f t="shared" si="20"/>
        <v>Alat Tulis Kantor (ATK)</v>
      </c>
      <c r="AA381" s="650" t="s">
        <v>3363</v>
      </c>
      <c r="AB381" s="269">
        <v>77800</v>
      </c>
      <c r="AC381" s="269">
        <v>1633800</v>
      </c>
      <c r="AD381" s="267">
        <v>1633800</v>
      </c>
      <c r="AE381" s="270">
        <v>1471891.8918918918</v>
      </c>
      <c r="AF381" s="270">
        <v>1633800</v>
      </c>
      <c r="AG381" s="805" t="s">
        <v>3883</v>
      </c>
      <c r="AH381" s="651" t="str">
        <f>Data2025!W380</f>
        <v>081375309828</v>
      </c>
    </row>
    <row r="382" spans="1:36" ht="16.5" thickTop="1" thickBot="1">
      <c r="A382" s="636">
        <f>Data2025!G381</f>
        <v>375</v>
      </c>
      <c r="B382" s="637">
        <f>Data2025!K381</f>
        <v>0</v>
      </c>
      <c r="C382" s="638" t="str">
        <f>Data2025!D381</f>
        <v>06. 05. 08.</v>
      </c>
      <c r="D382" s="639" t="str">
        <f>Data2025!C381</f>
        <v>5.1.02.01.01.0024</v>
      </c>
      <c r="E382" s="265">
        <f>Data2025!E381</f>
        <v>0</v>
      </c>
      <c r="F382" s="640">
        <f>Data2025!F381</f>
        <v>0</v>
      </c>
      <c r="G382" s="265">
        <f>Data2025!H381</f>
        <v>0</v>
      </c>
      <c r="H382" s="265">
        <f t="shared" si="18"/>
        <v>0</v>
      </c>
      <c r="I382" s="641">
        <f>Data2025!J381</f>
        <v>0</v>
      </c>
      <c r="J382" s="381" t="str">
        <f>Data2025!L381</f>
        <v>Lakban Bening</v>
      </c>
      <c r="K382" s="381" t="str">
        <f>Data2025!M381</f>
        <v>Lakban Bening</v>
      </c>
      <c r="L382" s="642">
        <f>Data2025!N381</f>
        <v>5</v>
      </c>
      <c r="M382" s="642" t="str">
        <f>Data2025!O381</f>
        <v>buah</v>
      </c>
      <c r="N382" s="643">
        <f>Data2025!P381</f>
        <v>10000</v>
      </c>
      <c r="O382" s="644">
        <f>Data2025!Q381</f>
        <v>50000</v>
      </c>
      <c r="P382" s="645" t="s">
        <v>710</v>
      </c>
      <c r="Q382" s="646" t="str">
        <f>VLOOKUP(K382,Sheet1!$C$1:$D$101,2,)</f>
        <v>Isolasi Bening Sedang Mpi Solatip 24 X 72 Yard 1 Inc</v>
      </c>
      <c r="R382" s="267">
        <v>1500000</v>
      </c>
      <c r="S382" s="647">
        <v>1700000</v>
      </c>
      <c r="T382" s="648" t="str">
        <f>Data2025!T381</f>
        <v>UD. JOSUA</v>
      </c>
      <c r="U382" s="268" t="s">
        <v>2531</v>
      </c>
      <c r="V382" s="648" t="str">
        <f>Data2025!V381</f>
        <v>Gestiwan Bazikho</v>
      </c>
      <c r="W382" s="648" t="str">
        <f>Data2025!X381</f>
        <v>Jl. Diponegoro Kel. Pasar Telukdalam - Nias Selatan</v>
      </c>
      <c r="X382" s="268" t="s">
        <v>2529</v>
      </c>
      <c r="Y382" s="268" t="str">
        <f t="shared" si="19"/>
        <v>Alat Tulis Kantor (ATK)</v>
      </c>
      <c r="Z382" s="649" t="str">
        <f t="shared" si="20"/>
        <v>Alat Tulis Kantor (ATK)</v>
      </c>
      <c r="AA382" s="650" t="s">
        <v>3362</v>
      </c>
      <c r="AB382" s="269">
        <v>15000</v>
      </c>
      <c r="AC382" s="269">
        <v>1500000</v>
      </c>
      <c r="AD382" s="267">
        <v>1500000</v>
      </c>
      <c r="AE382" s="270">
        <v>1351351.3513513515</v>
      </c>
      <c r="AF382" s="270">
        <v>1500000</v>
      </c>
      <c r="AG382" s="805" t="s">
        <v>3883</v>
      </c>
      <c r="AH382" s="651" t="str">
        <f>Data2025!W381</f>
        <v>081375309828</v>
      </c>
    </row>
    <row r="383" spans="1:36" ht="30" thickTop="1" thickBot="1">
      <c r="A383" s="636">
        <f>Data2025!G382</f>
        <v>376</v>
      </c>
      <c r="B383" s="637">
        <f>Data2025!K382</f>
        <v>0</v>
      </c>
      <c r="C383" s="638" t="str">
        <f>Data2025!D382</f>
        <v>06. 05. 08.</v>
      </c>
      <c r="D383" s="639" t="str">
        <f>Data2025!C382</f>
        <v>5.1.02.01.01.0024</v>
      </c>
      <c r="E383" s="265">
        <f>Data2025!E382</f>
        <v>0</v>
      </c>
      <c r="F383" s="640">
        <f>Data2025!F382</f>
        <v>0</v>
      </c>
      <c r="G383" s="265">
        <f>Data2025!H382</f>
        <v>0</v>
      </c>
      <c r="H383" s="265">
        <f t="shared" si="18"/>
        <v>0</v>
      </c>
      <c r="I383" s="641">
        <f>Data2025!J382</f>
        <v>0</v>
      </c>
      <c r="J383" s="381" t="str">
        <f>Data2025!L382</f>
        <v>Lakban Hitam--</v>
      </c>
      <c r="K383" s="381" t="str">
        <f>Data2025!M382</f>
        <v>Lakban Hitam--</v>
      </c>
      <c r="L383" s="642">
        <f>Data2025!N382</f>
        <v>5</v>
      </c>
      <c r="M383" s="642" t="str">
        <f>Data2025!O382</f>
        <v>buah</v>
      </c>
      <c r="N383" s="643">
        <f>Data2025!P382</f>
        <v>15000</v>
      </c>
      <c r="O383" s="644">
        <f>Data2025!Q382</f>
        <v>75000</v>
      </c>
      <c r="P383" s="645" t="s">
        <v>710</v>
      </c>
      <c r="Q383" s="646" t="str">
        <f>VLOOKUP(K383,Sheet1!$C$1:$D$101,2,)</f>
        <v>Lakban Hitam (Length 5.0Cm, Width 5.0Cm, Height 5.0Cm, Weight 5Gr)</v>
      </c>
      <c r="R383" s="267">
        <v>600000</v>
      </c>
      <c r="S383" s="647">
        <v>604000</v>
      </c>
      <c r="T383" s="648" t="str">
        <f>Data2025!T382</f>
        <v>UD. JOSUA</v>
      </c>
      <c r="U383" s="268" t="s">
        <v>1040</v>
      </c>
      <c r="V383" s="648" t="str">
        <f>Data2025!V382</f>
        <v>Gestiwan Bazikho</v>
      </c>
      <c r="W383" s="648" t="str">
        <f>Data2025!X382</f>
        <v>Jl. Diponegoro Kel. Pasar Telukdalam - Nias Selatan</v>
      </c>
      <c r="X383" s="523" t="s">
        <v>541</v>
      </c>
      <c r="Y383" s="268" t="str">
        <f t="shared" si="19"/>
        <v>Alat Tulis Kantor (ATK)</v>
      </c>
      <c r="Z383" s="649" t="str">
        <f t="shared" si="20"/>
        <v>Alat Tulis Kantor (ATK)</v>
      </c>
      <c r="AA383" s="650" t="s">
        <v>3363</v>
      </c>
      <c r="AB383" s="269">
        <v>300000</v>
      </c>
      <c r="AC383" s="269">
        <v>600000</v>
      </c>
      <c r="AD383" s="267">
        <v>600000</v>
      </c>
      <c r="AE383" s="270">
        <v>540540.54054054059</v>
      </c>
      <c r="AF383" s="270">
        <v>600000</v>
      </c>
      <c r="AG383" s="805" t="s">
        <v>3883</v>
      </c>
      <c r="AH383" s="651" t="str">
        <f>Data2025!W382</f>
        <v>081375309828</v>
      </c>
    </row>
    <row r="384" spans="1:36" ht="26" thickTop="1" thickBot="1">
      <c r="A384" s="636">
        <f>Data2025!G383</f>
        <v>377</v>
      </c>
      <c r="B384" s="637">
        <f>Data2025!K383</f>
        <v>0</v>
      </c>
      <c r="C384" s="638" t="str">
        <f>Data2025!D383</f>
        <v>06. 05. 08.</v>
      </c>
      <c r="D384" s="639" t="str">
        <f>Data2025!C383</f>
        <v>5.1.02.01.01.0024</v>
      </c>
      <c r="E384" s="265">
        <f>Data2025!E383</f>
        <v>0</v>
      </c>
      <c r="F384" s="640">
        <f>Data2025!F383</f>
        <v>0</v>
      </c>
      <c r="G384" s="265">
        <f>Data2025!H383</f>
        <v>0</v>
      </c>
      <c r="H384" s="265">
        <f t="shared" si="18"/>
        <v>0</v>
      </c>
      <c r="I384" s="641">
        <f>Data2025!J383</f>
        <v>0</v>
      </c>
      <c r="J384" s="381" t="str">
        <f>Data2025!L383</f>
        <v>lakban hitam-ukuran : lebar 2 inch, panjang 12m, bahan : kain</v>
      </c>
      <c r="K384" s="381" t="str">
        <f>Data2025!M383</f>
        <v>lakban hitam-ukuran : lebar 2 inch, panjang 12m, bahan : kain</v>
      </c>
      <c r="L384" s="642">
        <f>Data2025!N383</f>
        <v>4</v>
      </c>
      <c r="M384" s="642" t="str">
        <f>Data2025!O383</f>
        <v>buah</v>
      </c>
      <c r="N384" s="643">
        <f>Data2025!P383</f>
        <v>12500</v>
      </c>
      <c r="O384" s="644">
        <f>Data2025!Q383</f>
        <v>50000</v>
      </c>
      <c r="P384" s="645" t="s">
        <v>710</v>
      </c>
      <c r="Q384" s="646" t="str">
        <f>VLOOKUP(K384,Sheet1!$C$1:$D$101,2,)</f>
        <v>Lakban Hitam Kecil (ukuran : lebar 2 inch, panjang 12m, bahan : kain)</v>
      </c>
      <c r="R384" s="267">
        <v>4000000</v>
      </c>
      <c r="S384" s="647">
        <v>4200000</v>
      </c>
      <c r="T384" s="648" t="str">
        <f>Data2025!T383</f>
        <v>UD. JOSUA</v>
      </c>
      <c r="U384" s="268" t="s">
        <v>2520</v>
      </c>
      <c r="V384" s="648" t="str">
        <f>Data2025!V383</f>
        <v>Gestiwan Bazikho</v>
      </c>
      <c r="W384" s="648" t="str">
        <f>Data2025!X383</f>
        <v>Jl. Diponegoro Kel. Pasar Telukdalam - Nias Selatan</v>
      </c>
      <c r="X384" s="268" t="s">
        <v>3391</v>
      </c>
      <c r="Y384" s="268" t="str">
        <f t="shared" si="19"/>
        <v>Alat Tulis Kantor (ATK)</v>
      </c>
      <c r="Z384" s="649" t="str">
        <f t="shared" si="20"/>
        <v>Alat Tulis Kantor (ATK)</v>
      </c>
      <c r="AA384" s="650" t="s">
        <v>3362</v>
      </c>
      <c r="AB384" s="269">
        <v>40000</v>
      </c>
      <c r="AC384" s="269">
        <v>4000000</v>
      </c>
      <c r="AD384" s="267">
        <v>4000000</v>
      </c>
      <c r="AE384" s="270">
        <v>3603603.6036036038</v>
      </c>
      <c r="AF384" s="270">
        <v>4000000</v>
      </c>
      <c r="AG384" s="805" t="s">
        <v>3883</v>
      </c>
      <c r="AH384" s="651" t="str">
        <f>Data2025!W383</f>
        <v>081375309828</v>
      </c>
    </row>
    <row r="385" spans="1:34" ht="26" thickTop="1" thickBot="1">
      <c r="A385" s="636">
        <f>Data2025!G384</f>
        <v>378</v>
      </c>
      <c r="B385" s="637">
        <f>Data2025!K384</f>
        <v>0</v>
      </c>
      <c r="C385" s="638" t="str">
        <f>Data2025!D384</f>
        <v>06. 05. 08.</v>
      </c>
      <c r="D385" s="639" t="str">
        <f>Data2025!C384</f>
        <v>5.1.02.01.01.0024</v>
      </c>
      <c r="E385" s="265">
        <f>Data2025!E384</f>
        <v>0</v>
      </c>
      <c r="F385" s="640">
        <f>Data2025!F384</f>
        <v>0</v>
      </c>
      <c r="G385" s="265">
        <f>Data2025!H384</f>
        <v>0</v>
      </c>
      <c r="H385" s="265">
        <f t="shared" si="18"/>
        <v>0</v>
      </c>
      <c r="I385" s="641">
        <f>Data2025!J384</f>
        <v>0</v>
      </c>
      <c r="J385" s="381" t="str">
        <f>Data2025!L384</f>
        <v>Lakban Hitam uk 2 " Warna hitam uk. 2 "</v>
      </c>
      <c r="K385" s="381" t="str">
        <f>Data2025!M384</f>
        <v>Lakban Hitam uk 2 " Warna hitam uk. 2 "</v>
      </c>
      <c r="L385" s="642">
        <f>Data2025!N384</f>
        <v>5</v>
      </c>
      <c r="M385" s="642" t="str">
        <f>Data2025!O384</f>
        <v>buah</v>
      </c>
      <c r="N385" s="643">
        <f>Data2025!P384</f>
        <v>25000</v>
      </c>
      <c r="O385" s="644">
        <f>Data2025!Q384</f>
        <v>125000</v>
      </c>
      <c r="P385" s="645" t="s">
        <v>710</v>
      </c>
      <c r="Q385" s="646" t="str">
        <f>VLOOKUP(K385,Sheet1!$C$1:$D$101,2,)</f>
        <v>Lakban Warna Uk 2" Warna Hitam (Ukuran 90Yard Lebar : 48Mm)</v>
      </c>
      <c r="R385" s="267">
        <v>900000</v>
      </c>
      <c r="S385" s="647">
        <v>1360000</v>
      </c>
      <c r="T385" s="648" t="str">
        <f>Data2025!T384</f>
        <v>UD. JOSUA</v>
      </c>
      <c r="U385" s="268" t="s">
        <v>2531</v>
      </c>
      <c r="V385" s="648" t="str">
        <f>Data2025!V384</f>
        <v>Gestiwan Bazikho</v>
      </c>
      <c r="W385" s="648" t="str">
        <f>Data2025!X384</f>
        <v>Jl. Diponegoro Kel. Pasar Telukdalam - Nias Selatan</v>
      </c>
      <c r="X385" s="268" t="s">
        <v>2529</v>
      </c>
      <c r="Y385" s="268" t="str">
        <f t="shared" si="19"/>
        <v>Alat Tulis Kantor (ATK)</v>
      </c>
      <c r="Z385" s="649" t="str">
        <f t="shared" si="20"/>
        <v>Alat Tulis Kantor (ATK)</v>
      </c>
      <c r="AA385" s="650" t="s">
        <v>3362</v>
      </c>
      <c r="AB385" s="269">
        <v>15000</v>
      </c>
      <c r="AC385" s="269">
        <v>1200000</v>
      </c>
      <c r="AD385" s="267">
        <v>900000</v>
      </c>
      <c r="AE385" s="270">
        <v>810810.81081081077</v>
      </c>
      <c r="AF385" s="270">
        <v>900000</v>
      </c>
      <c r="AG385" s="805" t="s">
        <v>3883</v>
      </c>
      <c r="AH385" s="651" t="str">
        <f>Data2025!W384</f>
        <v>081375309828</v>
      </c>
    </row>
    <row r="386" spans="1:34" ht="26" thickTop="1" thickBot="1">
      <c r="A386" s="636">
        <f>Data2025!G385</f>
        <v>379</v>
      </c>
      <c r="B386" s="637">
        <f>Data2025!K385</f>
        <v>0</v>
      </c>
      <c r="C386" s="638" t="str">
        <f>Data2025!D385</f>
        <v>06. 05. 08.</v>
      </c>
      <c r="D386" s="639" t="str">
        <f>Data2025!C385</f>
        <v>5.1.02.01.01.0024</v>
      </c>
      <c r="E386" s="265">
        <f>Data2025!E385</f>
        <v>0</v>
      </c>
      <c r="F386" s="640">
        <f>Data2025!F385</f>
        <v>0</v>
      </c>
      <c r="G386" s="265">
        <f>Data2025!H385</f>
        <v>0</v>
      </c>
      <c r="H386" s="265">
        <f t="shared" si="18"/>
        <v>0</v>
      </c>
      <c r="I386" s="641">
        <f>Data2025!J385</f>
        <v>0</v>
      </c>
      <c r="J386" s="381" t="str">
        <f>Data2025!L385</f>
        <v>Lakban warna Uk 2" Warna Coklat Cofiie</v>
      </c>
      <c r="K386" s="381" t="str">
        <f>Data2025!M385</f>
        <v>Lakban warna Uk 2" Warna Coklat Cofiie</v>
      </c>
      <c r="L386" s="642">
        <f>Data2025!N385</f>
        <v>3</v>
      </c>
      <c r="M386" s="642" t="str">
        <f>Data2025!O385</f>
        <v>buah</v>
      </c>
      <c r="N386" s="643">
        <f>Data2025!P385</f>
        <v>20000</v>
      </c>
      <c r="O386" s="644">
        <f>Data2025!Q385</f>
        <v>60000</v>
      </c>
      <c r="P386" s="645" t="s">
        <v>710</v>
      </c>
      <c r="Q386" s="646" t="str">
        <f>VLOOKUP(K386,Sheet1!$C$1:$D$101,2,)</f>
        <v>Lakban Warna Uk 2" Warna Coklat Cofiie (Ukuran 90Yard Lebar : 48Mm)</v>
      </c>
      <c r="R386" s="267">
        <v>2400000</v>
      </c>
      <c r="S386" s="647">
        <v>3360000</v>
      </c>
      <c r="T386" s="648" t="str">
        <f>Data2025!T385</f>
        <v>UD. JOSUA</v>
      </c>
      <c r="U386" s="268" t="s">
        <v>2520</v>
      </c>
      <c r="V386" s="648" t="str">
        <f>Data2025!V385</f>
        <v>Gestiwan Bazikho</v>
      </c>
      <c r="W386" s="648" t="str">
        <f>Data2025!X385</f>
        <v>Jl. Diponegoro Kel. Pasar Telukdalam - Nias Selatan</v>
      </c>
      <c r="X386" s="268" t="s">
        <v>3391</v>
      </c>
      <c r="Y386" s="268" t="str">
        <f t="shared" si="19"/>
        <v>Alat Tulis Kantor (ATK)</v>
      </c>
      <c r="Z386" s="649" t="str">
        <f t="shared" si="20"/>
        <v>Alat Tulis Kantor (ATK)</v>
      </c>
      <c r="AA386" s="650" t="s">
        <v>3362</v>
      </c>
      <c r="AB386" s="269">
        <v>40000</v>
      </c>
      <c r="AC386" s="269">
        <v>3200000</v>
      </c>
      <c r="AD386" s="267">
        <v>2400000</v>
      </c>
      <c r="AE386" s="270">
        <v>2162162.1621621624</v>
      </c>
      <c r="AF386" s="270">
        <v>2400000</v>
      </c>
      <c r="AG386" s="805" t="s">
        <v>3883</v>
      </c>
      <c r="AH386" s="651" t="str">
        <f>Data2025!W385</f>
        <v>081375309828</v>
      </c>
    </row>
    <row r="387" spans="1:34" ht="26" thickTop="1" thickBot="1">
      <c r="A387" s="636">
        <f>Data2025!G386</f>
        <v>380</v>
      </c>
      <c r="B387" s="637">
        <f>Data2025!K386</f>
        <v>0</v>
      </c>
      <c r="C387" s="638" t="str">
        <f>Data2025!D386</f>
        <v>06. 05. 08.</v>
      </c>
      <c r="D387" s="639" t="str">
        <f>Data2025!C386</f>
        <v>5.1.02.01.01.0024</v>
      </c>
      <c r="E387" s="265">
        <f>Data2025!E386</f>
        <v>0</v>
      </c>
      <c r="F387" s="640">
        <f>Data2025!F386</f>
        <v>0</v>
      </c>
      <c r="G387" s="265">
        <f>Data2025!H386</f>
        <v>0</v>
      </c>
      <c r="H387" s="265">
        <f t="shared" si="18"/>
        <v>0</v>
      </c>
      <c r="I387" s="641">
        <f>Data2025!J386</f>
        <v>0</v>
      </c>
      <c r="J387" s="381" t="str">
        <f>Data2025!L386</f>
        <v>Spidol Refil Spidol White Board Snowman</v>
      </c>
      <c r="K387" s="381" t="str">
        <f>Data2025!M386</f>
        <v>Spidol Refil Spidol White Board Snowman</v>
      </c>
      <c r="L387" s="642">
        <f>Data2025!N386</f>
        <v>10</v>
      </c>
      <c r="M387" s="642" t="str">
        <f>Data2025!O386</f>
        <v>buah</v>
      </c>
      <c r="N387" s="643">
        <f>Data2025!P386</f>
        <v>20900</v>
      </c>
      <c r="O387" s="644">
        <f>Data2025!Q386</f>
        <v>209000</v>
      </c>
      <c r="P387" s="645" t="s">
        <v>710</v>
      </c>
      <c r="Q387" s="646" t="str">
        <f>VLOOKUP(K387,Sheet1!$C$1:$D$101,2,)</f>
        <v>Spidol Refil Spidol White Board Snowman (Panjang. : 10 Cm ; Lebar. : 5 Cm ; Tinggi. : 7 Cm ; Berat. : 500 Gr)</v>
      </c>
      <c r="R387" s="267">
        <v>900000</v>
      </c>
      <c r="S387" s="647">
        <v>1020000</v>
      </c>
      <c r="T387" s="648" t="str">
        <f>Data2025!T386</f>
        <v>UD. JOSUA</v>
      </c>
      <c r="U387" s="268" t="s">
        <v>2531</v>
      </c>
      <c r="V387" s="648" t="str">
        <f>Data2025!V386</f>
        <v>Gestiwan Bazikho</v>
      </c>
      <c r="W387" s="648" t="str">
        <f>Data2025!X386</f>
        <v>Jl. Diponegoro Kel. Pasar Telukdalam - Nias Selatan</v>
      </c>
      <c r="X387" s="268" t="s">
        <v>2529</v>
      </c>
      <c r="Y387" s="268" t="str">
        <f t="shared" si="19"/>
        <v>Alat Tulis Kantor (ATK)</v>
      </c>
      <c r="Z387" s="649" t="str">
        <f t="shared" si="20"/>
        <v>Alat Tulis Kantor (ATK)</v>
      </c>
      <c r="AA387" s="650" t="s">
        <v>3362</v>
      </c>
      <c r="AB387" s="269">
        <v>15000</v>
      </c>
      <c r="AC387" s="269">
        <v>900000</v>
      </c>
      <c r="AD387" s="267">
        <v>900000</v>
      </c>
      <c r="AE387" s="270">
        <v>810810.81081081077</v>
      </c>
      <c r="AF387" s="270">
        <v>900000</v>
      </c>
      <c r="AG387" s="805" t="s">
        <v>3883</v>
      </c>
      <c r="AH387" s="651" t="str">
        <f>Data2025!W386</f>
        <v>081375309828</v>
      </c>
    </row>
    <row r="388" spans="1:34" ht="16.5" thickTop="1" thickBot="1">
      <c r="A388" s="636">
        <f>Data2025!G387</f>
        <v>381</v>
      </c>
      <c r="B388" s="637">
        <f>Data2025!K387</f>
        <v>0</v>
      </c>
      <c r="C388" s="638" t="str">
        <f>Data2025!D387</f>
        <v>06. 05. 08.</v>
      </c>
      <c r="D388" s="639" t="str">
        <f>Data2025!C387</f>
        <v>5.1.02.01.01.0024</v>
      </c>
      <c r="E388" s="265">
        <f>Data2025!E387</f>
        <v>0</v>
      </c>
      <c r="F388" s="640">
        <f>Data2025!F387</f>
        <v>0</v>
      </c>
      <c r="G388" s="265">
        <f>Data2025!H387</f>
        <v>0</v>
      </c>
      <c r="H388" s="265">
        <f t="shared" si="18"/>
        <v>0</v>
      </c>
      <c r="I388" s="641">
        <f>Data2025!J387</f>
        <v>0</v>
      </c>
      <c r="J388" s="381" t="str">
        <f>Data2025!L387</f>
        <v>Spidol White board</v>
      </c>
      <c r="K388" s="381" t="str">
        <f>Data2025!M387</f>
        <v>Spidol White board</v>
      </c>
      <c r="L388" s="642">
        <f>Data2025!N387</f>
        <v>2</v>
      </c>
      <c r="M388" s="642" t="str">
        <f>Data2025!O387</f>
        <v>lusin</v>
      </c>
      <c r="N388" s="643">
        <f>Data2025!P387</f>
        <v>120000</v>
      </c>
      <c r="O388" s="644">
        <f>Data2025!Q387</f>
        <v>240000</v>
      </c>
      <c r="P388" s="645" t="s">
        <v>710</v>
      </c>
      <c r="Q388" s="646" t="str">
        <f>VLOOKUP(K388,Sheet1!$C$1:$D$101,2,)</f>
        <v>Spidol White Board (Berat Produk 0.5 Kg, Panjang Produk 10 Cm, Lebar Produk 3 Cm, Tinggi Produk 10 Cm)</v>
      </c>
      <c r="R388" s="267">
        <v>2400000</v>
      </c>
      <c r="S388" s="647">
        <v>2520000</v>
      </c>
      <c r="T388" s="648" t="str">
        <f>Data2025!T387</f>
        <v>UD. JOSUA</v>
      </c>
      <c r="U388" s="268" t="s">
        <v>2520</v>
      </c>
      <c r="V388" s="648" t="str">
        <f>Data2025!V387</f>
        <v>Gestiwan Bazikho</v>
      </c>
      <c r="W388" s="648" t="str">
        <f>Data2025!X387</f>
        <v>Jl. Diponegoro Kel. Pasar Telukdalam - Nias Selatan</v>
      </c>
      <c r="X388" s="268" t="s">
        <v>3391</v>
      </c>
      <c r="Y388" s="268" t="str">
        <f t="shared" si="19"/>
        <v>Alat Tulis Kantor (ATK)</v>
      </c>
      <c r="Z388" s="649" t="str">
        <f t="shared" si="20"/>
        <v>Alat Tulis Kantor (ATK)</v>
      </c>
      <c r="AA388" s="650" t="s">
        <v>3362</v>
      </c>
      <c r="AB388" s="269">
        <v>40000</v>
      </c>
      <c r="AC388" s="269">
        <v>2400000</v>
      </c>
      <c r="AD388" s="267">
        <v>2400000</v>
      </c>
      <c r="AE388" s="270">
        <v>2162162.1621621624</v>
      </c>
      <c r="AF388" s="270">
        <v>2400000</v>
      </c>
      <c r="AG388" s="805" t="s">
        <v>3883</v>
      </c>
      <c r="AH388" s="651" t="str">
        <f>Data2025!W387</f>
        <v>081375309828</v>
      </c>
    </row>
    <row r="389" spans="1:34" ht="16.5" thickTop="1" thickBot="1">
      <c r="A389" s="636">
        <f>Data2025!G388</f>
        <v>382</v>
      </c>
      <c r="B389" s="637">
        <f>Data2025!K388</f>
        <v>0</v>
      </c>
      <c r="C389" s="638" t="str">
        <f>Data2025!D388</f>
        <v>06. 05. 08.</v>
      </c>
      <c r="D389" s="639" t="str">
        <f>Data2025!C388</f>
        <v>5.1.02.01.01.0024</v>
      </c>
      <c r="E389" s="265">
        <f>Data2025!E388</f>
        <v>0</v>
      </c>
      <c r="F389" s="640">
        <f>Data2025!F388</f>
        <v>0</v>
      </c>
      <c r="G389" s="265">
        <f>Data2025!H388</f>
        <v>0</v>
      </c>
      <c r="H389" s="265">
        <f t="shared" ref="H389:H452" si="21">G389</f>
        <v>0</v>
      </c>
      <c r="I389" s="641">
        <f>Data2025!J388</f>
        <v>0</v>
      </c>
      <c r="J389" s="381" t="str">
        <f>Data2025!L388</f>
        <v>Stapler HD-10--</v>
      </c>
      <c r="K389" s="381" t="str">
        <f>Data2025!M388</f>
        <v>Stapler HD-10--</v>
      </c>
      <c r="L389" s="642">
        <f>Data2025!N388</f>
        <v>2</v>
      </c>
      <c r="M389" s="642" t="str">
        <f>Data2025!O388</f>
        <v>buah</v>
      </c>
      <c r="N389" s="643">
        <f>Data2025!P388</f>
        <v>20000</v>
      </c>
      <c r="O389" s="644">
        <f>Data2025!Q388</f>
        <v>40000</v>
      </c>
      <c r="P389" s="645" t="s">
        <v>710</v>
      </c>
      <c r="Q389" s="646" t="str">
        <f>VLOOKUP(K389,Sheet1!$C$1:$D$101,2,)</f>
        <v>Stapler HD-10 (Merk : MAX Ukuran : 3.5 x 10 cm)</v>
      </c>
      <c r="R389" s="267">
        <v>900000</v>
      </c>
      <c r="S389" s="647">
        <v>1020000</v>
      </c>
      <c r="T389" s="648" t="str">
        <f>Data2025!T388</f>
        <v>UD. JOSUA</v>
      </c>
      <c r="U389" s="268" t="s">
        <v>2531</v>
      </c>
      <c r="V389" s="648" t="str">
        <f>Data2025!V388</f>
        <v>Gestiwan Bazikho</v>
      </c>
      <c r="W389" s="648" t="str">
        <f>Data2025!X388</f>
        <v>Jl. Diponegoro Kel. Pasar Telukdalam - Nias Selatan</v>
      </c>
      <c r="X389" s="268" t="s">
        <v>2529</v>
      </c>
      <c r="Y389" s="268" t="str">
        <f t="shared" ref="Y389:Y452" si="22">P389</f>
        <v>Alat Tulis Kantor (ATK)</v>
      </c>
      <c r="Z389" s="649" t="str">
        <f t="shared" ref="Z389:Z452" si="23">Y389</f>
        <v>Alat Tulis Kantor (ATK)</v>
      </c>
      <c r="AA389" s="650" t="s">
        <v>3362</v>
      </c>
      <c r="AB389" s="269">
        <v>15000</v>
      </c>
      <c r="AC389" s="269">
        <v>900000</v>
      </c>
      <c r="AD389" s="267">
        <v>900000</v>
      </c>
      <c r="AE389" s="270">
        <v>810810.81081081077</v>
      </c>
      <c r="AF389" s="270">
        <v>900000</v>
      </c>
      <c r="AG389" s="805" t="s">
        <v>3883</v>
      </c>
      <c r="AH389" s="651" t="str">
        <f>Data2025!W388</f>
        <v>081375309828</v>
      </c>
    </row>
    <row r="390" spans="1:34" ht="16.5" thickTop="1" thickBot="1">
      <c r="A390" s="636">
        <f>Data2025!G389</f>
        <v>383</v>
      </c>
      <c r="B390" s="637">
        <f>Data2025!K389</f>
        <v>0</v>
      </c>
      <c r="C390" s="638" t="str">
        <f>Data2025!D389</f>
        <v>06. 05. 08.</v>
      </c>
      <c r="D390" s="639" t="str">
        <f>Data2025!C389</f>
        <v>5.1.02.01.01.0024</v>
      </c>
      <c r="E390" s="265">
        <f>Data2025!E389</f>
        <v>0</v>
      </c>
      <c r="F390" s="640">
        <f>Data2025!F389</f>
        <v>0</v>
      </c>
      <c r="G390" s="265">
        <f>Data2025!H389</f>
        <v>0</v>
      </c>
      <c r="H390" s="265">
        <f t="shared" si="21"/>
        <v>0</v>
      </c>
      <c r="I390" s="641">
        <f>Data2025!J389</f>
        <v>0</v>
      </c>
      <c r="J390" s="381" t="str">
        <f>Data2025!L389</f>
        <v>Stapler Stapler No, 50 MAX</v>
      </c>
      <c r="K390" s="381" t="str">
        <f>Data2025!M389</f>
        <v>Stapler Stapler No, 50 MAX</v>
      </c>
      <c r="L390" s="642">
        <f>Data2025!N389</f>
        <v>2</v>
      </c>
      <c r="M390" s="642" t="str">
        <f>Data2025!O389</f>
        <v>buah</v>
      </c>
      <c r="N390" s="643">
        <f>Data2025!P389</f>
        <v>25000</v>
      </c>
      <c r="O390" s="644">
        <f>Data2025!Q389</f>
        <v>50000</v>
      </c>
      <c r="P390" s="645" t="s">
        <v>710</v>
      </c>
      <c r="Q390" s="646" t="str">
        <f>VLOOKUP(K390,Sheet1!$C$1:$D$101,2,)</f>
        <v>Stapler 50 (Length 5.0Cm, Width 5.0Cm, Height 5.0Cm, Weight 5Gr)</v>
      </c>
      <c r="R390" s="267">
        <v>2400000</v>
      </c>
      <c r="S390" s="647">
        <v>2520000</v>
      </c>
      <c r="T390" s="648" t="str">
        <f>Data2025!T389</f>
        <v>UD. JOSUA</v>
      </c>
      <c r="U390" s="268" t="s">
        <v>2520</v>
      </c>
      <c r="V390" s="648" t="str">
        <f>Data2025!V389</f>
        <v>Gestiwan Bazikho</v>
      </c>
      <c r="W390" s="648" t="str">
        <f>Data2025!X389</f>
        <v>Jl. Diponegoro Kel. Pasar Telukdalam - Nias Selatan</v>
      </c>
      <c r="X390" s="268" t="s">
        <v>3391</v>
      </c>
      <c r="Y390" s="268" t="str">
        <f t="shared" si="22"/>
        <v>Alat Tulis Kantor (ATK)</v>
      </c>
      <c r="Z390" s="649" t="str">
        <f t="shared" si="23"/>
        <v>Alat Tulis Kantor (ATK)</v>
      </c>
      <c r="AA390" s="650" t="s">
        <v>3362</v>
      </c>
      <c r="AB390" s="269">
        <v>40000</v>
      </c>
      <c r="AC390" s="269">
        <v>2400000</v>
      </c>
      <c r="AD390" s="267">
        <v>2400000</v>
      </c>
      <c r="AE390" s="270">
        <v>2162162.1621621624</v>
      </c>
      <c r="AF390" s="270">
        <v>2400000</v>
      </c>
      <c r="AG390" s="805" t="s">
        <v>3883</v>
      </c>
      <c r="AH390" s="651" t="str">
        <f>Data2025!W389</f>
        <v>081375309828</v>
      </c>
    </row>
    <row r="391" spans="1:34" ht="16.5" thickTop="1" thickBot="1">
      <c r="A391" s="636">
        <f>Data2025!G390</f>
        <v>384</v>
      </c>
      <c r="B391" s="637">
        <f>Data2025!K390</f>
        <v>0</v>
      </c>
      <c r="C391" s="638" t="str">
        <f>Data2025!D390</f>
        <v>06. 05. 08.</v>
      </c>
      <c r="D391" s="639" t="str">
        <f>Data2025!C390</f>
        <v>5.1.02.01.01.0024</v>
      </c>
      <c r="E391" s="265">
        <f>Data2025!E390</f>
        <v>0</v>
      </c>
      <c r="F391" s="640">
        <f>Data2025!F390</f>
        <v>0</v>
      </c>
      <c r="G391" s="265">
        <f>Data2025!H390</f>
        <v>0</v>
      </c>
      <c r="H391" s="265">
        <f t="shared" si="21"/>
        <v>0</v>
      </c>
      <c r="I391" s="641">
        <f>Data2025!J390</f>
        <v>0</v>
      </c>
      <c r="J391" s="381" t="str">
        <f>Data2025!L390</f>
        <v>Lem Fox isi 500 gram--</v>
      </c>
      <c r="K391" s="381" t="str">
        <f>Data2025!M390</f>
        <v>Lem Fox isi 500 gram--</v>
      </c>
      <c r="L391" s="642">
        <f>Data2025!N390</f>
        <v>2</v>
      </c>
      <c r="M391" s="642" t="str">
        <f>Data2025!O390</f>
        <v>buah</v>
      </c>
      <c r="N391" s="643">
        <f>Data2025!P390</f>
        <v>37000</v>
      </c>
      <c r="O391" s="644">
        <f>Data2025!Q390</f>
        <v>74000</v>
      </c>
      <c r="P391" s="645" t="s">
        <v>710</v>
      </c>
      <c r="Q391" s="646" t="str">
        <f>VLOOKUP(K391,Sheet1!$C$1:$D$101,2,)</f>
        <v>Lem Fox Isi 500 Gram (Bahan Pvc, Berat 500Gr, Ukuran Botol Putih 500Gr)</v>
      </c>
      <c r="R391" s="267">
        <v>1812220</v>
      </c>
      <c r="S391" s="647">
        <v>2002000</v>
      </c>
      <c r="T391" s="648" t="str">
        <f>Data2025!T390</f>
        <v>UD. JOSUA</v>
      </c>
      <c r="U391" s="268" t="s">
        <v>538</v>
      </c>
      <c r="V391" s="648" t="str">
        <f>Data2025!V390</f>
        <v>Gestiwan Bazikho</v>
      </c>
      <c r="W391" s="648" t="str">
        <f>Data2025!X390</f>
        <v>Jl. Diponegoro Kel. Pasar Telukdalam - Nias Selatan</v>
      </c>
      <c r="X391" s="268" t="s">
        <v>540</v>
      </c>
      <c r="Y391" s="268" t="str">
        <f t="shared" si="22"/>
        <v>Alat Tulis Kantor (ATK)</v>
      </c>
      <c r="Z391" s="649" t="str">
        <f t="shared" si="23"/>
        <v>Alat Tulis Kantor (ATK)</v>
      </c>
      <c r="AA391" s="650" t="s">
        <v>3373</v>
      </c>
      <c r="AB391" s="269">
        <v>2000000</v>
      </c>
      <c r="AC391" s="269">
        <v>2000000</v>
      </c>
      <c r="AD391" s="267">
        <v>1812220</v>
      </c>
      <c r="AE391" s="270">
        <v>1632630.6306306308</v>
      </c>
      <c r="AF391" s="270">
        <v>1812220</v>
      </c>
      <c r="AG391" s="805" t="s">
        <v>3883</v>
      </c>
      <c r="AH391" s="651" t="str">
        <f>Data2025!W390</f>
        <v>081375309828</v>
      </c>
    </row>
    <row r="392" spans="1:34" ht="16.5" thickTop="1" thickBot="1">
      <c r="A392" s="636">
        <f>Data2025!G391</f>
        <v>385</v>
      </c>
      <c r="B392" s="637">
        <f>Data2025!K391</f>
        <v>0</v>
      </c>
      <c r="C392" s="638" t="str">
        <f>Data2025!D391</f>
        <v>06. 05. 08.</v>
      </c>
      <c r="D392" s="639" t="str">
        <f>Data2025!C391</f>
        <v>5.1.02.01.01.0024</v>
      </c>
      <c r="E392" s="265">
        <f>Data2025!E391</f>
        <v>0</v>
      </c>
      <c r="F392" s="640">
        <f>Data2025!F391</f>
        <v>0</v>
      </c>
      <c r="G392" s="265">
        <f>Data2025!H391</f>
        <v>0</v>
      </c>
      <c r="H392" s="265">
        <f t="shared" si="21"/>
        <v>0</v>
      </c>
      <c r="I392" s="641">
        <f>Data2025!J391</f>
        <v>0</v>
      </c>
      <c r="J392" s="381" t="str">
        <f>Data2025!L391</f>
        <v>PAPER CLIP  Paper Clip No 1</v>
      </c>
      <c r="K392" s="381" t="str">
        <f>Data2025!M391</f>
        <v>PAPER CLIP  Paper Clip No 1</v>
      </c>
      <c r="L392" s="642">
        <f>Data2025!N391</f>
        <v>5</v>
      </c>
      <c r="M392" s="642" t="str">
        <f>Data2025!O391</f>
        <v>kotak</v>
      </c>
      <c r="N392" s="643">
        <f>Data2025!P391</f>
        <v>6000</v>
      </c>
      <c r="O392" s="644">
        <f>Data2025!Q391</f>
        <v>30000</v>
      </c>
      <c r="P392" s="645" t="s">
        <v>710</v>
      </c>
      <c r="Q392" s="646" t="str">
        <f>VLOOKUP(K392,Sheet1!$C$1:$D$101,2,)</f>
        <v>Paper Clip No 1 (Length 5.0Cm, Width 5.0Cm, Height 5.0Cm, Weight 5Gr)</v>
      </c>
      <c r="R392" s="267">
        <v>1168359</v>
      </c>
      <c r="S392" s="647">
        <v>1502000</v>
      </c>
      <c r="T392" s="648" t="str">
        <f>Data2025!T391</f>
        <v>UD. JOSUA</v>
      </c>
      <c r="U392" s="268" t="s">
        <v>538</v>
      </c>
      <c r="V392" s="648" t="str">
        <f>Data2025!V391</f>
        <v>Gestiwan Bazikho</v>
      </c>
      <c r="W392" s="648" t="str">
        <f>Data2025!X391</f>
        <v>Jl. Diponegoro Kel. Pasar Telukdalam - Nias Selatan</v>
      </c>
      <c r="X392" s="268" t="s">
        <v>540</v>
      </c>
      <c r="Y392" s="268" t="str">
        <f t="shared" si="22"/>
        <v>Alat Tulis Kantor (ATK)</v>
      </c>
      <c r="Z392" s="649" t="str">
        <f t="shared" si="23"/>
        <v>Alat Tulis Kantor (ATK)</v>
      </c>
      <c r="AA392" s="650" t="s">
        <v>3373</v>
      </c>
      <c r="AB392" s="269">
        <v>1500000</v>
      </c>
      <c r="AC392" s="269">
        <v>1500000</v>
      </c>
      <c r="AD392" s="267">
        <v>1168359</v>
      </c>
      <c r="AE392" s="270">
        <v>1052575.6756756757</v>
      </c>
      <c r="AF392" s="270">
        <v>1168359</v>
      </c>
      <c r="AG392" s="805" t="s">
        <v>3883</v>
      </c>
      <c r="AH392" s="651" t="str">
        <f>Data2025!W391</f>
        <v>081375309828</v>
      </c>
    </row>
    <row r="393" spans="1:34" ht="16.5" thickTop="1" thickBot="1">
      <c r="A393" s="636">
        <f>Data2025!G392</f>
        <v>386</v>
      </c>
      <c r="B393" s="637">
        <f>Data2025!K392</f>
        <v>0</v>
      </c>
      <c r="C393" s="638" t="str">
        <f>Data2025!D392</f>
        <v>06. 05. 08.</v>
      </c>
      <c r="D393" s="639" t="str">
        <f>Data2025!C392</f>
        <v>5.1.02.01.01.0024</v>
      </c>
      <c r="E393" s="265">
        <f>Data2025!E392</f>
        <v>0</v>
      </c>
      <c r="F393" s="640">
        <f>Data2025!F392</f>
        <v>0</v>
      </c>
      <c r="G393" s="265">
        <f>Data2025!H392</f>
        <v>0</v>
      </c>
      <c r="H393" s="265">
        <f t="shared" si="21"/>
        <v>0</v>
      </c>
      <c r="I393" s="641">
        <f>Data2025!J392</f>
        <v>0</v>
      </c>
      <c r="J393" s="381" t="str">
        <f>Data2025!L392</f>
        <v>Paper Clip No 1  Paper Clip No 3</v>
      </c>
      <c r="K393" s="381" t="str">
        <f>Data2025!M392</f>
        <v>Paper Clip No 1  Paper Clip No 3</v>
      </c>
      <c r="L393" s="642">
        <f>Data2025!N392</f>
        <v>5</v>
      </c>
      <c r="M393" s="642" t="str">
        <f>Data2025!O392</f>
        <v>kotak</v>
      </c>
      <c r="N393" s="643">
        <f>Data2025!P392</f>
        <v>6000</v>
      </c>
      <c r="O393" s="644">
        <f>Data2025!Q392</f>
        <v>30000</v>
      </c>
      <c r="P393" s="645" t="s">
        <v>710</v>
      </c>
      <c r="Q393" s="646" t="str">
        <f>VLOOKUP(K393,Sheet1!$C$1:$D$101,2,)</f>
        <v>Paper Clip No 3 (Length 5.0Cm, Width 5.0Cm, Height 5.0Cm, Weight 5Gr)</v>
      </c>
      <c r="R393" s="267">
        <v>1050000</v>
      </c>
      <c r="S393" s="647">
        <v>1200000</v>
      </c>
      <c r="T393" s="648" t="str">
        <f>Data2025!T392</f>
        <v>UD. JOSUA</v>
      </c>
      <c r="U393" s="268" t="s">
        <v>2531</v>
      </c>
      <c r="V393" s="648" t="str">
        <f>Data2025!V392</f>
        <v>Gestiwan Bazikho</v>
      </c>
      <c r="W393" s="648" t="str">
        <f>Data2025!X392</f>
        <v>Jl. Diponegoro Kel. Pasar Telukdalam - Nias Selatan</v>
      </c>
      <c r="X393" s="268" t="s">
        <v>2529</v>
      </c>
      <c r="Y393" s="268" t="str">
        <f t="shared" si="22"/>
        <v>Alat Tulis Kantor (ATK)</v>
      </c>
      <c r="Z393" s="649" t="str">
        <f t="shared" si="23"/>
        <v>Alat Tulis Kantor (ATK)</v>
      </c>
      <c r="AA393" s="650" t="s">
        <v>3362</v>
      </c>
      <c r="AB393" s="269">
        <v>14000</v>
      </c>
      <c r="AC393" s="269">
        <v>1050000</v>
      </c>
      <c r="AD393" s="267">
        <v>1050000</v>
      </c>
      <c r="AE393" s="270">
        <v>945945.94594594592</v>
      </c>
      <c r="AF393" s="270">
        <v>1050000</v>
      </c>
      <c r="AG393" s="805" t="s">
        <v>3883</v>
      </c>
      <c r="AH393" s="651" t="str">
        <f>Data2025!W392</f>
        <v>081375309828</v>
      </c>
    </row>
    <row r="394" spans="1:34" ht="26" thickTop="1" thickBot="1">
      <c r="A394" s="636">
        <f>Data2025!G393</f>
        <v>387</v>
      </c>
      <c r="B394" s="637">
        <f>Data2025!K393</f>
        <v>0</v>
      </c>
      <c r="C394" s="638" t="str">
        <f>Data2025!D393</f>
        <v>06. 05. 08.</v>
      </c>
      <c r="D394" s="639" t="str">
        <f>Data2025!C393</f>
        <v>5.1.02.01.01.0024</v>
      </c>
      <c r="E394" s="265">
        <f>Data2025!E393</f>
        <v>0</v>
      </c>
      <c r="F394" s="640">
        <f>Data2025!F393</f>
        <v>0</v>
      </c>
      <c r="G394" s="265">
        <f>Data2025!H393</f>
        <v>0</v>
      </c>
      <c r="H394" s="265">
        <f t="shared" si="21"/>
        <v>0</v>
      </c>
      <c r="I394" s="641">
        <f>Data2025!J393</f>
        <v>0</v>
      </c>
      <c r="J394" s="381" t="str">
        <f>Data2025!L393</f>
        <v>gunting kertas-ukuran : panjang 21cm x lebar 8cm, stainless steel</v>
      </c>
      <c r="K394" s="381" t="str">
        <f>Data2025!M393</f>
        <v>gunting kertas-ukuran : panjang 21cm x lebar 8cm, stainless steel</v>
      </c>
      <c r="L394" s="642">
        <f>Data2025!N393</f>
        <v>2</v>
      </c>
      <c r="M394" s="642" t="str">
        <f>Data2025!O393</f>
        <v>buah</v>
      </c>
      <c r="N394" s="643">
        <f>Data2025!P393</f>
        <v>20000</v>
      </c>
      <c r="O394" s="644">
        <f>Data2025!Q393</f>
        <v>40000</v>
      </c>
      <c r="P394" s="645" t="s">
        <v>710</v>
      </c>
      <c r="Q394" s="646" t="str">
        <f>VLOOKUP(K394,Sheet1!$C$1:$D$101,2,)</f>
        <v>Gunting Besar (Length 5.0Cm, Width 5.0Cm, Height 5.0Cm, Weight 5Gr)</v>
      </c>
      <c r="R394" s="267">
        <v>3000000</v>
      </c>
      <c r="S394" s="647">
        <v>3150000</v>
      </c>
      <c r="T394" s="648" t="str">
        <f>Data2025!T393</f>
        <v>UD. JOSUA</v>
      </c>
      <c r="U394" s="268" t="s">
        <v>2520</v>
      </c>
      <c r="V394" s="648" t="str">
        <f>Data2025!V393</f>
        <v>Gestiwan Bazikho</v>
      </c>
      <c r="W394" s="648" t="str">
        <f>Data2025!X393</f>
        <v>Jl. Diponegoro Kel. Pasar Telukdalam - Nias Selatan</v>
      </c>
      <c r="X394" s="268" t="s">
        <v>3391</v>
      </c>
      <c r="Y394" s="268" t="str">
        <f t="shared" si="22"/>
        <v>Alat Tulis Kantor (ATK)</v>
      </c>
      <c r="Z394" s="649" t="str">
        <f t="shared" si="23"/>
        <v>Alat Tulis Kantor (ATK)</v>
      </c>
      <c r="AA394" s="650" t="s">
        <v>3362</v>
      </c>
      <c r="AB394" s="269">
        <v>40000</v>
      </c>
      <c r="AC394" s="269">
        <v>3000000</v>
      </c>
      <c r="AD394" s="267">
        <v>3000000</v>
      </c>
      <c r="AE394" s="270">
        <v>2702702.702702703</v>
      </c>
      <c r="AF394" s="270">
        <v>3000000</v>
      </c>
      <c r="AG394" s="805" t="s">
        <v>3883</v>
      </c>
      <c r="AH394" s="651" t="str">
        <f>Data2025!W393</f>
        <v>081375309828</v>
      </c>
    </row>
    <row r="395" spans="1:34" ht="16.5" thickTop="1" thickBot="1">
      <c r="A395" s="636">
        <f>Data2025!G394</f>
        <v>388</v>
      </c>
      <c r="B395" s="637">
        <f>Data2025!K394</f>
        <v>0</v>
      </c>
      <c r="C395" s="638" t="str">
        <f>Data2025!D394</f>
        <v>06. 05. 08.</v>
      </c>
      <c r="D395" s="639" t="str">
        <f>Data2025!C394</f>
        <v>5.1.02.01.01.0024</v>
      </c>
      <c r="E395" s="265">
        <f>Data2025!E394</f>
        <v>0</v>
      </c>
      <c r="F395" s="640">
        <f>Data2025!F394</f>
        <v>0</v>
      </c>
      <c r="G395" s="265">
        <f>Data2025!H394</f>
        <v>0</v>
      </c>
      <c r="H395" s="265">
        <f t="shared" si="21"/>
        <v>0</v>
      </c>
      <c r="I395" s="641">
        <f>Data2025!J394</f>
        <v>0</v>
      </c>
      <c r="J395" s="381" t="str">
        <f>Data2025!L394</f>
        <v>Pisau Cutter Kenko L-500</v>
      </c>
      <c r="K395" s="381" t="str">
        <f>Data2025!M394</f>
        <v>Pisau Cutter Kenko L-500</v>
      </c>
      <c r="L395" s="642">
        <f>Data2025!N394</f>
        <v>2</v>
      </c>
      <c r="M395" s="642" t="str">
        <f>Data2025!O394</f>
        <v>buah</v>
      </c>
      <c r="N395" s="643">
        <f>Data2025!P394</f>
        <v>15000</v>
      </c>
      <c r="O395" s="644">
        <f>Data2025!Q394</f>
        <v>30000</v>
      </c>
      <c r="P395" s="645" t="s">
        <v>710</v>
      </c>
      <c r="Q395" s="646" t="str">
        <f>VLOOKUP(K395,Sheet1!$C$1:$D$101,2,)</f>
        <v>Cutter L500 (Length 5.0Cm, Width 5.0Cm, Height 5.0Cm, Weight 5Gr)</v>
      </c>
      <c r="R395" s="267">
        <v>1000000</v>
      </c>
      <c r="S395" s="647">
        <v>1002000</v>
      </c>
      <c r="T395" s="648" t="str">
        <f>Data2025!T394</f>
        <v>UD. JOSUA</v>
      </c>
      <c r="U395" s="268" t="s">
        <v>538</v>
      </c>
      <c r="V395" s="648" t="str">
        <f>Data2025!V394</f>
        <v>Gestiwan Bazikho</v>
      </c>
      <c r="W395" s="648" t="str">
        <f>Data2025!X394</f>
        <v>Jl. Diponegoro Kel. Pasar Telukdalam - Nias Selatan</v>
      </c>
      <c r="X395" s="268" t="s">
        <v>540</v>
      </c>
      <c r="Y395" s="268" t="str">
        <f t="shared" si="22"/>
        <v>Alat Tulis Kantor (ATK)</v>
      </c>
      <c r="Z395" s="649" t="str">
        <f t="shared" si="23"/>
        <v>Alat Tulis Kantor (ATK)</v>
      </c>
      <c r="AA395" s="650" t="s">
        <v>3373</v>
      </c>
      <c r="AB395" s="269">
        <v>1000000</v>
      </c>
      <c r="AC395" s="269">
        <v>1000000</v>
      </c>
      <c r="AD395" s="267">
        <v>1000000</v>
      </c>
      <c r="AE395" s="270">
        <v>900900.90090090095</v>
      </c>
      <c r="AF395" s="270">
        <v>1000000</v>
      </c>
      <c r="AG395" s="805" t="s">
        <v>3883</v>
      </c>
      <c r="AH395" s="651" t="str">
        <f>Data2025!W394</f>
        <v>081375309828</v>
      </c>
    </row>
    <row r="396" spans="1:34" s="501" customFormat="1" ht="16.5" thickTop="1" thickBot="1">
      <c r="A396" s="636">
        <f>Data2025!G395</f>
        <v>389</v>
      </c>
      <c r="B396" s="637">
        <f>Data2025!K395</f>
        <v>0</v>
      </c>
      <c r="C396" s="638" t="str">
        <f>Data2025!D395</f>
        <v>06. 05. 08.</v>
      </c>
      <c r="D396" s="639" t="str">
        <f>Data2025!C395</f>
        <v>5.1.02.01.01.0024</v>
      </c>
      <c r="E396" s="265">
        <f>Data2025!E395</f>
        <v>0</v>
      </c>
      <c r="F396" s="640">
        <f>Data2025!F395</f>
        <v>0</v>
      </c>
      <c r="G396" s="265">
        <f>Data2025!H395</f>
        <v>0</v>
      </c>
      <c r="H396" s="265">
        <f t="shared" si="21"/>
        <v>0</v>
      </c>
      <c r="I396" s="641">
        <f>Data2025!J395</f>
        <v>0</v>
      </c>
      <c r="J396" s="381" t="str">
        <f>Data2025!L395</f>
        <v>Baterey Kecil</v>
      </c>
      <c r="K396" s="381" t="str">
        <f>Data2025!M395</f>
        <v>Baterey Kecil</v>
      </c>
      <c r="L396" s="642">
        <f>Data2025!N395</f>
        <v>5</v>
      </c>
      <c r="M396" s="642" t="str">
        <f>Data2025!O395</f>
        <v>pasang</v>
      </c>
      <c r="N396" s="643">
        <f>Data2025!P395</f>
        <v>20000</v>
      </c>
      <c r="O396" s="644">
        <f>Data2025!Q395</f>
        <v>100000</v>
      </c>
      <c r="P396" s="645" t="s">
        <v>710</v>
      </c>
      <c r="Q396" s="646" t="str">
        <f>VLOOKUP(K396,Sheet1!$C$1:$D$101,2,)</f>
        <v>Baterey Kecil (Type: Aa; Tegangan: 1.5 Volt; Ukuran: 14 X 50 Mm)</v>
      </c>
      <c r="R396" s="496">
        <v>2475000</v>
      </c>
      <c r="S396" s="504">
        <v>2541000</v>
      </c>
      <c r="T396" s="648" t="str">
        <f>Data2025!T395</f>
        <v>UD. JOSUA</v>
      </c>
      <c r="U396" s="497" t="s">
        <v>538</v>
      </c>
      <c r="V396" s="648" t="str">
        <f>Data2025!V395</f>
        <v>Gestiwan Bazikho</v>
      </c>
      <c r="W396" s="648" t="str">
        <f>Data2025!X395</f>
        <v>Jl. Diponegoro Kel. Pasar Telukdalam - Nias Selatan</v>
      </c>
      <c r="X396" s="497" t="s">
        <v>540</v>
      </c>
      <c r="Y396" s="268" t="str">
        <f t="shared" si="22"/>
        <v>Alat Tulis Kantor (ATK)</v>
      </c>
      <c r="Z396" s="649" t="str">
        <f t="shared" si="23"/>
        <v>Alat Tulis Kantor (ATK)</v>
      </c>
      <c r="AA396" s="498" t="s">
        <v>3374</v>
      </c>
      <c r="AB396" s="499">
        <v>75000</v>
      </c>
      <c r="AC396" s="499">
        <v>2475000</v>
      </c>
      <c r="AD396" s="496">
        <v>2475000</v>
      </c>
      <c r="AE396" s="500">
        <v>2229729.7297297297</v>
      </c>
      <c r="AF396" s="500">
        <v>2475000</v>
      </c>
      <c r="AG396" s="805" t="s">
        <v>3883</v>
      </c>
      <c r="AH396" s="651" t="str">
        <f>Data2025!W395</f>
        <v>081375309828</v>
      </c>
    </row>
    <row r="397" spans="1:34" s="501" customFormat="1" ht="16.5" thickTop="1" thickBot="1">
      <c r="A397" s="636">
        <f>Data2025!G396</f>
        <v>390</v>
      </c>
      <c r="B397" s="637">
        <f>Data2025!K396</f>
        <v>0</v>
      </c>
      <c r="C397" s="638" t="str">
        <f>Data2025!D396</f>
        <v>06. 05. 08.</v>
      </c>
      <c r="D397" s="639" t="str">
        <f>Data2025!C396</f>
        <v>5.1.02.01.01.0026</v>
      </c>
      <c r="E397" s="265">
        <f>Data2025!E396</f>
        <v>0</v>
      </c>
      <c r="F397" s="640">
        <f>Data2025!F396</f>
        <v>0</v>
      </c>
      <c r="G397" s="265">
        <f>Data2025!H396</f>
        <v>0</v>
      </c>
      <c r="H397" s="265">
        <f t="shared" si="21"/>
        <v>0</v>
      </c>
      <c r="I397" s="641">
        <f>Data2025!J396</f>
        <v>0</v>
      </c>
      <c r="J397" s="381" t="str">
        <f>Data2025!L396</f>
        <v>Foto Copy Filio dan Kuarto</v>
      </c>
      <c r="K397" s="381" t="str">
        <f>Data2025!M396</f>
        <v>Foto Copy Filio dan Kuarto</v>
      </c>
      <c r="L397" s="642">
        <f>Data2025!N396</f>
        <v>20880</v>
      </c>
      <c r="M397" s="642" t="str">
        <f>Data2025!O396</f>
        <v>lembar</v>
      </c>
      <c r="N397" s="643">
        <f>Data2025!P396</f>
        <v>350</v>
      </c>
      <c r="O397" s="644">
        <f>Data2025!Q396</f>
        <v>7308000</v>
      </c>
      <c r="P397" s="645" t="s">
        <v>710</v>
      </c>
      <c r="Q397" s="646" t="str">
        <f>VLOOKUP(K397,Sheet1!$C$1:$D$101,2,)</f>
        <v>Kertas HVS 70 gram Sinar Dunia A4, Ukuran : 8,27" x 11,69"</v>
      </c>
      <c r="R397" s="496">
        <v>2550000</v>
      </c>
      <c r="S397" s="504">
        <v>2618000</v>
      </c>
      <c r="T397" s="648" t="str">
        <f>Data2025!T396</f>
        <v>UD. JOSUA</v>
      </c>
      <c r="U397" s="497" t="s">
        <v>538</v>
      </c>
      <c r="V397" s="648" t="str">
        <f>Data2025!V396</f>
        <v>Gestiwan Bazikho</v>
      </c>
      <c r="W397" s="648" t="str">
        <f>Data2025!X396</f>
        <v>Jl. Diponegoro Kel. Pasar Telukdalam - Nias Selatan</v>
      </c>
      <c r="X397" s="497" t="s">
        <v>540</v>
      </c>
      <c r="Y397" s="268" t="str">
        <f t="shared" si="22"/>
        <v>Alat Tulis Kantor (ATK)</v>
      </c>
      <c r="Z397" s="649" t="str">
        <f t="shared" si="23"/>
        <v>Alat Tulis Kantor (ATK)</v>
      </c>
      <c r="AA397" s="498" t="s">
        <v>3374</v>
      </c>
      <c r="AB397" s="499">
        <v>75000</v>
      </c>
      <c r="AC397" s="499">
        <v>2550000</v>
      </c>
      <c r="AD397" s="496">
        <v>2550000</v>
      </c>
      <c r="AE397" s="500">
        <v>2297297.2972972975</v>
      </c>
      <c r="AF397" s="500">
        <v>2550000</v>
      </c>
      <c r="AG397" s="805" t="s">
        <v>3883</v>
      </c>
      <c r="AH397" s="651" t="str">
        <f>Data2025!W396</f>
        <v>081375309828</v>
      </c>
    </row>
    <row r="398" spans="1:34" s="501" customFormat="1" ht="16.5" thickTop="1" thickBot="1">
      <c r="A398" s="636">
        <f>Data2025!G397</f>
        <v>391</v>
      </c>
      <c r="B398" s="637">
        <f>Data2025!K397</f>
        <v>0</v>
      </c>
      <c r="C398" s="638" t="str">
        <f>Data2025!D397</f>
        <v>06. 05. 09.</v>
      </c>
      <c r="D398" s="639" t="str">
        <f>Data2025!C397</f>
        <v>5.1.02.01.01.0030</v>
      </c>
      <c r="E398" s="265">
        <f>Data2025!E397</f>
        <v>0</v>
      </c>
      <c r="F398" s="640">
        <f>Data2025!F397</f>
        <v>0</v>
      </c>
      <c r="G398" s="265">
        <f>Data2025!H397</f>
        <v>0</v>
      </c>
      <c r="H398" s="265">
        <f t="shared" si="21"/>
        <v>0</v>
      </c>
      <c r="I398" s="641">
        <f>Data2025!J397</f>
        <v>0</v>
      </c>
      <c r="J398" s="381" t="str">
        <f>Data2025!L397</f>
        <v>Tisu--</v>
      </c>
      <c r="K398" s="381" t="str">
        <f>Data2025!M397</f>
        <v>Tisu--</v>
      </c>
      <c r="L398" s="642">
        <f>Data2025!N397</f>
        <v>12</v>
      </c>
      <c r="M398" s="642" t="str">
        <f>Data2025!O397</f>
        <v>buah</v>
      </c>
      <c r="N398" s="643">
        <f>Data2025!P397</f>
        <v>12500</v>
      </c>
      <c r="O398" s="644">
        <f>Data2025!Q397</f>
        <v>150000</v>
      </c>
      <c r="P398" s="645" t="s">
        <v>710</v>
      </c>
      <c r="Q398" s="646" t="str">
        <f>VLOOKUP(K398,Sheet1!$C$1:$D$101,2,)</f>
        <v>Tissue (Merk JOLLY 250 Sheets 2 Ply, Berat Volume = 285 gr)</v>
      </c>
      <c r="R398" s="496">
        <v>2250000</v>
      </c>
      <c r="S398" s="504">
        <v>2310000</v>
      </c>
      <c r="T398" s="648" t="str">
        <f>Data2025!T397</f>
        <v>UD. JOSUA</v>
      </c>
      <c r="U398" s="497" t="s">
        <v>538</v>
      </c>
      <c r="V398" s="648" t="str">
        <f>Data2025!V397</f>
        <v>Gestiwan Bazikho</v>
      </c>
      <c r="W398" s="648" t="str">
        <f>Data2025!X397</f>
        <v>Jl. Diponegoro Kel. Pasar Telukdalam - Nias Selatan</v>
      </c>
      <c r="X398" s="497" t="s">
        <v>540</v>
      </c>
      <c r="Y398" s="268" t="str">
        <f t="shared" si="22"/>
        <v>Alat Tulis Kantor (ATK)</v>
      </c>
      <c r="Z398" s="649" t="str">
        <f t="shared" si="23"/>
        <v>Alat Tulis Kantor (ATK)</v>
      </c>
      <c r="AA398" s="498" t="s">
        <v>3374</v>
      </c>
      <c r="AB398" s="499">
        <v>75000</v>
      </c>
      <c r="AC398" s="499">
        <v>2250000</v>
      </c>
      <c r="AD398" s="496">
        <v>2250000</v>
      </c>
      <c r="AE398" s="500">
        <v>2027027.027027027</v>
      </c>
      <c r="AF398" s="500">
        <v>2250000</v>
      </c>
      <c r="AG398" s="805" t="s">
        <v>3883</v>
      </c>
      <c r="AH398" s="651" t="str">
        <f>Data2025!W397</f>
        <v>081375309828</v>
      </c>
    </row>
    <row r="399" spans="1:34" s="501" customFormat="1" ht="16.5" thickTop="1" thickBot="1">
      <c r="A399" s="636">
        <f>Data2025!G398</f>
        <v>392</v>
      </c>
      <c r="B399" s="637">
        <f>Data2025!K398</f>
        <v>0</v>
      </c>
      <c r="C399" s="638" t="str">
        <f>Data2025!D398</f>
        <v>06. 05. 09.</v>
      </c>
      <c r="D399" s="639" t="str">
        <f>Data2025!C398</f>
        <v>5.1.02.01.01.0030</v>
      </c>
      <c r="E399" s="265">
        <f>Data2025!E398</f>
        <v>0</v>
      </c>
      <c r="F399" s="640">
        <f>Data2025!F398</f>
        <v>0</v>
      </c>
      <c r="G399" s="265">
        <f>Data2025!H398</f>
        <v>0</v>
      </c>
      <c r="H399" s="265">
        <f t="shared" si="21"/>
        <v>0</v>
      </c>
      <c r="I399" s="641">
        <f>Data2025!J398</f>
        <v>0</v>
      </c>
      <c r="J399" s="381" t="str">
        <f>Data2025!L398</f>
        <v>vixal 500ml</v>
      </c>
      <c r="K399" s="381" t="str">
        <f>Data2025!M398</f>
        <v>vixal 500ml</v>
      </c>
      <c r="L399" s="642">
        <f>Data2025!N398</f>
        <v>10</v>
      </c>
      <c r="M399" s="642" t="str">
        <f>Data2025!O398</f>
        <v>botol</v>
      </c>
      <c r="N399" s="643">
        <f>Data2025!P398</f>
        <v>30000</v>
      </c>
      <c r="O399" s="644">
        <f>Data2025!Q398</f>
        <v>300000</v>
      </c>
      <c r="P399" s="645" t="s">
        <v>2609</v>
      </c>
      <c r="Q399" s="646" t="str">
        <f>VLOOKUP(K399,Sheet1!$C$1:$D$101,2,)</f>
        <v>Pembersih Lantai (Merk vixal, Kemasan Botol, isi  500ml)</v>
      </c>
      <c r="R399" s="496">
        <v>2475000</v>
      </c>
      <c r="S399" s="504">
        <v>2541000</v>
      </c>
      <c r="T399" s="648" t="str">
        <f>Data2025!T398</f>
        <v>UD. JOSUA</v>
      </c>
      <c r="U399" s="497" t="s">
        <v>538</v>
      </c>
      <c r="V399" s="648" t="str">
        <f>Data2025!V398</f>
        <v>Gestiwan Bazikho</v>
      </c>
      <c r="W399" s="648" t="str">
        <f>Data2025!X398</f>
        <v>Jl. Diponegoro Kel. Pasar Telukdalam - Nias Selatan</v>
      </c>
      <c r="X399" s="497" t="s">
        <v>540</v>
      </c>
      <c r="Y399" s="268" t="str">
        <f t="shared" si="22"/>
        <v>Alat Kebersihan</v>
      </c>
      <c r="Z399" s="649" t="str">
        <f t="shared" si="23"/>
        <v>Alat Kebersihan</v>
      </c>
      <c r="AA399" s="498" t="s">
        <v>3374</v>
      </c>
      <c r="AB399" s="499">
        <v>75000</v>
      </c>
      <c r="AC399" s="499">
        <v>2475000</v>
      </c>
      <c r="AD399" s="496">
        <v>2475000</v>
      </c>
      <c r="AE399" s="500">
        <v>2229729.7297297297</v>
      </c>
      <c r="AF399" s="500">
        <v>2475000</v>
      </c>
      <c r="AG399" s="805" t="s">
        <v>3883</v>
      </c>
      <c r="AH399" s="651" t="str">
        <f>Data2025!W398</f>
        <v>081375309828</v>
      </c>
    </row>
    <row r="400" spans="1:34" s="501" customFormat="1" ht="26" thickTop="1" thickBot="1">
      <c r="A400" s="636">
        <f>Data2025!G399</f>
        <v>393</v>
      </c>
      <c r="B400" s="637">
        <f>Data2025!K399</f>
        <v>0</v>
      </c>
      <c r="C400" s="638" t="str">
        <f>Data2025!D399</f>
        <v>06. 05. 09.</v>
      </c>
      <c r="D400" s="639" t="str">
        <f>Data2025!C399</f>
        <v>5.1.02.01.01.0030</v>
      </c>
      <c r="E400" s="265">
        <f>Data2025!E399</f>
        <v>0</v>
      </c>
      <c r="F400" s="640">
        <f>Data2025!F399</f>
        <v>0</v>
      </c>
      <c r="G400" s="265">
        <f>Data2025!H399</f>
        <v>0</v>
      </c>
      <c r="H400" s="265">
        <f t="shared" si="21"/>
        <v>0</v>
      </c>
      <c r="I400" s="641">
        <f>Data2025!J399</f>
        <v>0</v>
      </c>
      <c r="J400" s="381" t="str">
        <f>Data2025!L399</f>
        <v>Perlengkapan Kebersihan Pembersih Lantai Super Pel Varian 800ml</v>
      </c>
      <c r="K400" s="381" t="str">
        <f>J400</f>
        <v>Perlengkapan Kebersihan Pembersih Lantai Super Pel Varian 800ml</v>
      </c>
      <c r="L400" s="642">
        <f>Data2025!N399</f>
        <v>15</v>
      </c>
      <c r="M400" s="642" t="str">
        <f>Data2025!O399</f>
        <v>buah</v>
      </c>
      <c r="N400" s="643">
        <f>Data2025!P399</f>
        <v>13500</v>
      </c>
      <c r="O400" s="644">
        <f>Data2025!Q399</f>
        <v>202500</v>
      </c>
      <c r="P400" s="645" t="s">
        <v>2609</v>
      </c>
      <c r="Q400" s="646" t="str">
        <f>VLOOKUP(K400,Sheet1!$C$1:$D$101,2,)</f>
        <v>Super Pel (Merek: Super Pel, Varian 800ml/Refill)</v>
      </c>
      <c r="R400" s="496">
        <v>2100000</v>
      </c>
      <c r="S400" s="504">
        <v>2156000</v>
      </c>
      <c r="T400" s="648" t="str">
        <f>Data2025!T399</f>
        <v>UD. JOSUA</v>
      </c>
      <c r="U400" s="497" t="s">
        <v>538</v>
      </c>
      <c r="V400" s="648" t="str">
        <f>Data2025!V399</f>
        <v>Gestiwan Bazikho</v>
      </c>
      <c r="W400" s="648" t="str">
        <f>Data2025!X399</f>
        <v>Jl. Diponegoro Kel. Pasar Telukdalam - Nias Selatan</v>
      </c>
      <c r="X400" s="497" t="s">
        <v>540</v>
      </c>
      <c r="Y400" s="268" t="str">
        <f t="shared" si="22"/>
        <v>Alat Kebersihan</v>
      </c>
      <c r="Z400" s="649" t="str">
        <f t="shared" si="23"/>
        <v>Alat Kebersihan</v>
      </c>
      <c r="AA400" s="498" t="s">
        <v>3374</v>
      </c>
      <c r="AB400" s="499">
        <v>75000</v>
      </c>
      <c r="AC400" s="499">
        <v>2100000</v>
      </c>
      <c r="AD400" s="496">
        <v>2100000</v>
      </c>
      <c r="AE400" s="500">
        <v>1891891.8918918918</v>
      </c>
      <c r="AF400" s="500">
        <v>2100000</v>
      </c>
      <c r="AG400" s="805" t="s">
        <v>3883</v>
      </c>
      <c r="AH400" s="651" t="str">
        <f>Data2025!W399</f>
        <v>081375309828</v>
      </c>
    </row>
    <row r="401" spans="1:34" s="501" customFormat="1" ht="16.5" thickTop="1" thickBot="1">
      <c r="A401" s="636">
        <f>Data2025!G400</f>
        <v>394</v>
      </c>
      <c r="B401" s="637">
        <f>Data2025!K400</f>
        <v>0</v>
      </c>
      <c r="C401" s="638" t="str">
        <f>Data2025!D400</f>
        <v>06. 05. 09.</v>
      </c>
      <c r="D401" s="639" t="str">
        <f>Data2025!C400</f>
        <v>5.1.02.01.01.0030</v>
      </c>
      <c r="E401" s="265">
        <f>Data2025!E400</f>
        <v>0</v>
      </c>
      <c r="F401" s="640">
        <f>Data2025!F400</f>
        <v>0</v>
      </c>
      <c r="G401" s="265">
        <f>Data2025!H400</f>
        <v>0</v>
      </c>
      <c r="H401" s="265">
        <f t="shared" si="21"/>
        <v>0</v>
      </c>
      <c r="I401" s="641">
        <f>Data2025!J400</f>
        <v>0</v>
      </c>
      <c r="J401" s="381" t="str">
        <f>Data2025!L400</f>
        <v>Cairan Pembersih Kaca</v>
      </c>
      <c r="K401" s="381" t="str">
        <f t="shared" ref="K401:K406" si="24">J401</f>
        <v>Cairan Pembersih Kaca</v>
      </c>
      <c r="L401" s="642">
        <f>Data2025!N400</f>
        <v>5</v>
      </c>
      <c r="M401" s="642" t="str">
        <f>Data2025!O400</f>
        <v>buah</v>
      </c>
      <c r="N401" s="643">
        <f>Data2025!P400</f>
        <v>12000</v>
      </c>
      <c r="O401" s="644">
        <f>Data2025!Q400</f>
        <v>60000</v>
      </c>
      <c r="P401" s="645" t="s">
        <v>2609</v>
      </c>
      <c r="Q401" s="646" t="str">
        <f>VLOOKUP(K401,Sheet1!$C$1:$D$101,2,)</f>
        <v>Cling (Merek: Cling, Varian: Ocean Fresh 425 ml)</v>
      </c>
      <c r="R401" s="496">
        <v>2475000</v>
      </c>
      <c r="S401" s="504">
        <v>2541000</v>
      </c>
      <c r="T401" s="648" t="str">
        <f>Data2025!T400</f>
        <v>UD. JOSUA</v>
      </c>
      <c r="U401" s="497" t="s">
        <v>538</v>
      </c>
      <c r="V401" s="648" t="str">
        <f>Data2025!V400</f>
        <v>Gestiwan Bazikho</v>
      </c>
      <c r="W401" s="648" t="str">
        <f>Data2025!X400</f>
        <v>Jl. Diponegoro Kel. Pasar Telukdalam - Nias Selatan</v>
      </c>
      <c r="X401" s="497" t="s">
        <v>540</v>
      </c>
      <c r="Y401" s="268" t="str">
        <f t="shared" si="22"/>
        <v>Alat Kebersihan</v>
      </c>
      <c r="Z401" s="649" t="str">
        <f t="shared" si="23"/>
        <v>Alat Kebersihan</v>
      </c>
      <c r="AA401" s="498" t="s">
        <v>3374</v>
      </c>
      <c r="AB401" s="499">
        <v>75000</v>
      </c>
      <c r="AC401" s="499">
        <v>2475000</v>
      </c>
      <c r="AD401" s="496">
        <v>2475000</v>
      </c>
      <c r="AE401" s="500">
        <v>2229729.7297297297</v>
      </c>
      <c r="AF401" s="500">
        <v>2475000</v>
      </c>
      <c r="AG401" s="805" t="s">
        <v>3883</v>
      </c>
      <c r="AH401" s="651" t="str">
        <f>Data2025!W400</f>
        <v>081375309828</v>
      </c>
    </row>
    <row r="402" spans="1:34" s="501" customFormat="1" ht="26" thickTop="1" thickBot="1">
      <c r="A402" s="636">
        <f>Data2025!G401</f>
        <v>395</v>
      </c>
      <c r="B402" s="637">
        <f>Data2025!K401</f>
        <v>0</v>
      </c>
      <c r="C402" s="638" t="str">
        <f>Data2025!D401</f>
        <v>06. 05. 09.</v>
      </c>
      <c r="D402" s="639" t="str">
        <f>Data2025!C401</f>
        <v>5.1.02.01.01.0030</v>
      </c>
      <c r="E402" s="265">
        <f>Data2025!E401</f>
        <v>0</v>
      </c>
      <c r="F402" s="640">
        <f>Data2025!F401</f>
        <v>0</v>
      </c>
      <c r="G402" s="265">
        <f>Data2025!H401</f>
        <v>0</v>
      </c>
      <c r="H402" s="265">
        <f t="shared" si="21"/>
        <v>0</v>
      </c>
      <c r="I402" s="641">
        <f>Data2025!J401</f>
        <v>0</v>
      </c>
      <c r="J402" s="381" t="str">
        <f>Data2025!L401</f>
        <v>Perlengkapan Kebersihan Pembersih Pakaian Sunlight Refil 800ml</v>
      </c>
      <c r="K402" s="381" t="str">
        <f t="shared" si="24"/>
        <v>Perlengkapan Kebersihan Pembersih Pakaian Sunlight Refil 800ml</v>
      </c>
      <c r="L402" s="642">
        <f>Data2025!N401</f>
        <v>3</v>
      </c>
      <c r="M402" s="642" t="str">
        <f>Data2025!O401</f>
        <v>buah</v>
      </c>
      <c r="N402" s="643">
        <f>Data2025!P401</f>
        <v>15000</v>
      </c>
      <c r="O402" s="644">
        <f>Data2025!Q401</f>
        <v>45000</v>
      </c>
      <c r="P402" s="645" t="s">
        <v>2609</v>
      </c>
      <c r="Q402" s="646" t="str">
        <f>VLOOKUP(K402,Sheet1!$C$1:$D$101,2,)</f>
        <v>Sunlight (Merk: Sunlight, Varian 800ml/Refill)</v>
      </c>
      <c r="R402" s="496">
        <v>2000000</v>
      </c>
      <c r="S402" s="504">
        <v>2002000</v>
      </c>
      <c r="T402" s="648" t="str">
        <f>Data2025!T401</f>
        <v>UD. JOSUA</v>
      </c>
      <c r="U402" s="497" t="s">
        <v>538</v>
      </c>
      <c r="V402" s="648" t="str">
        <f>Data2025!V401</f>
        <v>Gestiwan Bazikho</v>
      </c>
      <c r="W402" s="648" t="str">
        <f>Data2025!X401</f>
        <v>Jl. Diponegoro Kel. Pasar Telukdalam - Nias Selatan</v>
      </c>
      <c r="X402" s="497" t="s">
        <v>540</v>
      </c>
      <c r="Y402" s="268" t="str">
        <f t="shared" si="22"/>
        <v>Alat Kebersihan</v>
      </c>
      <c r="Z402" s="649" t="str">
        <f t="shared" si="23"/>
        <v>Alat Kebersihan</v>
      </c>
      <c r="AA402" s="498" t="s">
        <v>3373</v>
      </c>
      <c r="AB402" s="499">
        <v>2000000</v>
      </c>
      <c r="AC402" s="499">
        <v>2000000</v>
      </c>
      <c r="AD402" s="496">
        <v>2000000</v>
      </c>
      <c r="AE402" s="500">
        <v>1801801.8018018019</v>
      </c>
      <c r="AF402" s="500">
        <v>2000000</v>
      </c>
      <c r="AG402" s="805" t="s">
        <v>3883</v>
      </c>
      <c r="AH402" s="651" t="str">
        <f>Data2025!W401</f>
        <v>081375309828</v>
      </c>
    </row>
    <row r="403" spans="1:34" s="501" customFormat="1" ht="16.5" thickTop="1" thickBot="1">
      <c r="A403" s="636">
        <f>Data2025!G402</f>
        <v>396</v>
      </c>
      <c r="B403" s="637">
        <f>Data2025!K402</f>
        <v>0</v>
      </c>
      <c r="C403" s="638" t="str">
        <f>Data2025!D402</f>
        <v>06. 05. 09.</v>
      </c>
      <c r="D403" s="639" t="str">
        <f>Data2025!C402</f>
        <v>5.1.02.01.01.0030</v>
      </c>
      <c r="E403" s="265">
        <f>Data2025!E402</f>
        <v>0</v>
      </c>
      <c r="F403" s="640">
        <f>Data2025!F402</f>
        <v>0</v>
      </c>
      <c r="G403" s="265">
        <f>Data2025!H402</f>
        <v>0</v>
      </c>
      <c r="H403" s="265">
        <f t="shared" si="21"/>
        <v>0</v>
      </c>
      <c r="I403" s="641">
        <f>Data2025!J402</f>
        <v>0</v>
      </c>
      <c r="J403" s="381" t="str">
        <f>Data2025!L402</f>
        <v>Spon Cuci</v>
      </c>
      <c r="K403" s="381" t="str">
        <f t="shared" si="24"/>
        <v>Spon Cuci</v>
      </c>
      <c r="L403" s="642">
        <f>Data2025!N402</f>
        <v>5</v>
      </c>
      <c r="M403" s="642" t="str">
        <f>Data2025!O402</f>
        <v>buah</v>
      </c>
      <c r="N403" s="643">
        <f>Data2025!P402</f>
        <v>12000</v>
      </c>
      <c r="O403" s="644">
        <f>Data2025!Q402</f>
        <v>60000</v>
      </c>
      <c r="P403" s="645" t="s">
        <v>2609</v>
      </c>
      <c r="Q403" s="646" t="str">
        <f>VLOOKUP(K403,Sheet1!$C$1:$D$101,2,)</f>
        <v>Spon Cuci (ukuran tebal 3 cm, panjang 7cm x 9cm)</v>
      </c>
      <c r="R403" s="496">
        <v>2000000</v>
      </c>
      <c r="S403" s="504">
        <v>2002000</v>
      </c>
      <c r="T403" s="648" t="str">
        <f>Data2025!T402</f>
        <v>UD. JOSUA</v>
      </c>
      <c r="U403" s="497" t="s">
        <v>538</v>
      </c>
      <c r="V403" s="648" t="str">
        <f>Data2025!V402</f>
        <v>Gestiwan Bazikho</v>
      </c>
      <c r="W403" s="648" t="str">
        <f>Data2025!X402</f>
        <v>Jl. Diponegoro Kel. Pasar Telukdalam - Nias Selatan</v>
      </c>
      <c r="X403" s="497" t="s">
        <v>540</v>
      </c>
      <c r="Y403" s="268" t="str">
        <f t="shared" si="22"/>
        <v>Alat Kebersihan</v>
      </c>
      <c r="Z403" s="649" t="str">
        <f t="shared" si="23"/>
        <v>Alat Kebersihan</v>
      </c>
      <c r="AA403" s="498" t="s">
        <v>3373</v>
      </c>
      <c r="AB403" s="499">
        <v>2000000</v>
      </c>
      <c r="AC403" s="499">
        <v>2000000</v>
      </c>
      <c r="AD403" s="496">
        <v>2000000</v>
      </c>
      <c r="AE403" s="500">
        <v>1801801.8018018019</v>
      </c>
      <c r="AF403" s="500">
        <v>2000000</v>
      </c>
      <c r="AG403" s="805" t="s">
        <v>3883</v>
      </c>
      <c r="AH403" s="651" t="str">
        <f>Data2025!W402</f>
        <v>081375309828</v>
      </c>
    </row>
    <row r="404" spans="1:34" ht="16.5" thickTop="1" thickBot="1">
      <c r="A404" s="636">
        <f>Data2025!G403</f>
        <v>397</v>
      </c>
      <c r="B404" s="637">
        <f>Data2025!K403</f>
        <v>0</v>
      </c>
      <c r="C404" s="638" t="str">
        <f>Data2025!D403</f>
        <v>06. 05. 09.</v>
      </c>
      <c r="D404" s="639" t="str">
        <f>Data2025!C403</f>
        <v>5.1.02.01.01.0030</v>
      </c>
      <c r="E404" s="265">
        <f>Data2025!E403</f>
        <v>0</v>
      </c>
      <c r="F404" s="640">
        <f>Data2025!F403</f>
        <v>0</v>
      </c>
      <c r="G404" s="265">
        <f>Data2025!H403</f>
        <v>0</v>
      </c>
      <c r="H404" s="265">
        <f t="shared" si="21"/>
        <v>0</v>
      </c>
      <c r="I404" s="641">
        <f>Data2025!J403</f>
        <v>0</v>
      </c>
      <c r="J404" s="381" t="str">
        <f>Data2025!L403</f>
        <v>Handsoap/Pencuci Tangan</v>
      </c>
      <c r="K404" s="381" t="str">
        <f t="shared" si="24"/>
        <v>Handsoap/Pencuci Tangan</v>
      </c>
      <c r="L404" s="642">
        <f>Data2025!N403</f>
        <v>5</v>
      </c>
      <c r="M404" s="642" t="str">
        <f>Data2025!O403</f>
        <v>botol</v>
      </c>
      <c r="N404" s="643">
        <f>Data2025!P403</f>
        <v>67000</v>
      </c>
      <c r="O404" s="644">
        <f>Data2025!Q403</f>
        <v>335000</v>
      </c>
      <c r="P404" s="645" t="s">
        <v>2609</v>
      </c>
      <c r="Q404" s="646" t="str">
        <f>VLOOKUP(K404,Sheet1!$C$1:$D$101,2,)</f>
        <v>Handsoap/Pencuci Tangan (Antibacterial Hand Soap - 250ml, ekstrak aloevera)</v>
      </c>
      <c r="R404" s="496">
        <v>2000000</v>
      </c>
      <c r="S404" s="504">
        <v>2002000</v>
      </c>
      <c r="T404" s="648" t="str">
        <f>Data2025!T403</f>
        <v>UD. JOSUA</v>
      </c>
      <c r="U404" s="268" t="s">
        <v>538</v>
      </c>
      <c r="V404" s="648" t="str">
        <f>Data2025!V403</f>
        <v>Gestiwan Bazikho</v>
      </c>
      <c r="W404" s="648" t="str">
        <f>Data2025!X403</f>
        <v>Jl. Diponegoro Kel. Pasar Telukdalam - Nias Selatan</v>
      </c>
      <c r="X404" s="268" t="s">
        <v>540</v>
      </c>
      <c r="Y404" s="268" t="str">
        <f t="shared" si="22"/>
        <v>Alat Kebersihan</v>
      </c>
      <c r="Z404" s="649" t="str">
        <f t="shared" si="23"/>
        <v>Alat Kebersihan</v>
      </c>
      <c r="AA404" s="498" t="s">
        <v>3373</v>
      </c>
      <c r="AB404" s="269">
        <v>2000000</v>
      </c>
      <c r="AC404" s="269">
        <v>2000000</v>
      </c>
      <c r="AD404" s="267">
        <v>2000000</v>
      </c>
      <c r="AE404" s="270">
        <v>1801801.8018018019</v>
      </c>
      <c r="AF404" s="270">
        <v>2000000</v>
      </c>
      <c r="AG404" s="805" t="s">
        <v>3883</v>
      </c>
      <c r="AH404" s="651" t="str">
        <f>Data2025!W403</f>
        <v>081375309828</v>
      </c>
    </row>
    <row r="405" spans="1:34" ht="16.5" thickTop="1" thickBot="1">
      <c r="A405" s="636">
        <f>Data2025!G404</f>
        <v>398</v>
      </c>
      <c r="B405" s="637">
        <f>Data2025!K404</f>
        <v>0</v>
      </c>
      <c r="C405" s="638" t="str">
        <f>Data2025!D404</f>
        <v>06. 05. 09.</v>
      </c>
      <c r="D405" s="639" t="str">
        <f>Data2025!C404</f>
        <v>5.1.02.01.01.0030</v>
      </c>
      <c r="E405" s="265">
        <f>Data2025!E404</f>
        <v>0</v>
      </c>
      <c r="F405" s="640">
        <f>Data2025!F404</f>
        <v>0</v>
      </c>
      <c r="G405" s="265">
        <f>Data2025!H404</f>
        <v>0</v>
      </c>
      <c r="H405" s="265">
        <f t="shared" si="21"/>
        <v>0</v>
      </c>
      <c r="I405" s="641">
        <f>Data2025!J404</f>
        <v>0</v>
      </c>
      <c r="J405" s="381" t="str">
        <f>Data2025!L404</f>
        <v>Pengharum Ruangan</v>
      </c>
      <c r="K405" s="381" t="str">
        <f t="shared" si="24"/>
        <v>Pengharum Ruangan</v>
      </c>
      <c r="L405" s="642">
        <f>Data2025!N404</f>
        <v>10</v>
      </c>
      <c r="M405" s="642" t="str">
        <f>Data2025!O404</f>
        <v>buah</v>
      </c>
      <c r="N405" s="643">
        <f>Data2025!P404</f>
        <v>12100</v>
      </c>
      <c r="O405" s="644">
        <f>Data2025!Q404</f>
        <v>121000</v>
      </c>
      <c r="P405" s="645" t="s">
        <v>2609</v>
      </c>
      <c r="Q405" s="646" t="str">
        <f>VLOOKUP(K405,Sheet1!$C$1:$D$101,2,)</f>
        <v>Pengharum Ruangan (Stella Pengharum Ruangan Gantung Lavender 42 g)</v>
      </c>
      <c r="R405" s="496">
        <v>2000000</v>
      </c>
      <c r="S405" s="504">
        <v>2002000</v>
      </c>
      <c r="T405" s="648" t="str">
        <f>Data2025!T404</f>
        <v>UD. JOSUA</v>
      </c>
      <c r="U405" s="268" t="s">
        <v>538</v>
      </c>
      <c r="V405" s="648" t="str">
        <f>Data2025!V404</f>
        <v>Gestiwan Bazikho</v>
      </c>
      <c r="W405" s="648" t="str">
        <f>Data2025!X404</f>
        <v>Jl. Diponegoro Kel. Pasar Telukdalam - Nias Selatan</v>
      </c>
      <c r="X405" s="268" t="s">
        <v>540</v>
      </c>
      <c r="Y405" s="268" t="str">
        <f t="shared" si="22"/>
        <v>Alat Kebersihan</v>
      </c>
      <c r="Z405" s="649" t="str">
        <f t="shared" si="23"/>
        <v>Alat Kebersihan</v>
      </c>
      <c r="AA405" s="498" t="s">
        <v>3373</v>
      </c>
      <c r="AB405" s="269">
        <v>2000000</v>
      </c>
      <c r="AC405" s="269">
        <v>2000000</v>
      </c>
      <c r="AD405" s="267">
        <v>2000000</v>
      </c>
      <c r="AE405" s="270">
        <v>1801801.8018018019</v>
      </c>
      <c r="AF405" s="270">
        <v>2000000</v>
      </c>
      <c r="AG405" s="805" t="s">
        <v>3883</v>
      </c>
      <c r="AH405" s="651" t="str">
        <f>Data2025!W404</f>
        <v>081375309828</v>
      </c>
    </row>
    <row r="406" spans="1:34" ht="16.5" thickTop="1" thickBot="1">
      <c r="A406" s="636">
        <f>Data2025!G405</f>
        <v>399</v>
      </c>
      <c r="B406" s="637">
        <f>Data2025!K405</f>
        <v>0</v>
      </c>
      <c r="C406" s="638" t="str">
        <f>Data2025!D405</f>
        <v>06. 05. 09.</v>
      </c>
      <c r="D406" s="639" t="str">
        <f>Data2025!C405</f>
        <v>5.1.02.01.01.0030</v>
      </c>
      <c r="E406" s="265">
        <f>Data2025!E405</f>
        <v>0</v>
      </c>
      <c r="F406" s="640">
        <f>Data2025!F405</f>
        <v>0</v>
      </c>
      <c r="G406" s="265">
        <f>Data2025!H405</f>
        <v>0</v>
      </c>
      <c r="H406" s="265">
        <f t="shared" si="21"/>
        <v>0</v>
      </c>
      <c r="I406" s="641">
        <f>Data2025!J405</f>
        <v>0</v>
      </c>
      <c r="J406" s="381" t="str">
        <f>Data2025!L405</f>
        <v>Hand Sanitizer-Unit</v>
      </c>
      <c r="K406" s="381" t="str">
        <f t="shared" si="24"/>
        <v>Hand Sanitizer-Unit</v>
      </c>
      <c r="L406" s="642">
        <f>Data2025!N405</f>
        <v>5</v>
      </c>
      <c r="M406" s="642" t="str">
        <f>Data2025!O405</f>
        <v>unit</v>
      </c>
      <c r="N406" s="643">
        <f>Data2025!P405</f>
        <v>70000</v>
      </c>
      <c r="O406" s="644">
        <f>Data2025!Q405</f>
        <v>350000</v>
      </c>
      <c r="P406" s="645" t="s">
        <v>2609</v>
      </c>
      <c r="Q406" s="646" t="str">
        <f>VLOOKUP(K406,Sheet1!$C$1:$D$101,2,)</f>
        <v>Hand Sanitizer (Kemasan Botol 500ml)</v>
      </c>
      <c r="R406" s="496">
        <v>2000000</v>
      </c>
      <c r="S406" s="504">
        <v>2002000</v>
      </c>
      <c r="T406" s="648" t="str">
        <f>Data2025!T405</f>
        <v>UD. JOSUA</v>
      </c>
      <c r="U406" s="268" t="s">
        <v>538</v>
      </c>
      <c r="V406" s="648" t="str">
        <f>Data2025!V405</f>
        <v>Gestiwan Bazikho</v>
      </c>
      <c r="W406" s="648" t="str">
        <f>Data2025!X405</f>
        <v>Jl. Diponegoro Kel. Pasar Telukdalam - Nias Selatan</v>
      </c>
      <c r="X406" s="268" t="s">
        <v>540</v>
      </c>
      <c r="Y406" s="268" t="str">
        <f t="shared" si="22"/>
        <v>Alat Kebersihan</v>
      </c>
      <c r="Z406" s="649" t="str">
        <f t="shared" si="23"/>
        <v>Alat Kebersihan</v>
      </c>
      <c r="AA406" s="498" t="s">
        <v>3373</v>
      </c>
      <c r="AB406" s="269">
        <v>2000000</v>
      </c>
      <c r="AC406" s="269">
        <v>2000000</v>
      </c>
      <c r="AD406" s="267">
        <v>2000000</v>
      </c>
      <c r="AE406" s="270">
        <v>1801801.8018018019</v>
      </c>
      <c r="AF406" s="270">
        <v>2000000</v>
      </c>
      <c r="AG406" s="805" t="s">
        <v>3883</v>
      </c>
      <c r="AH406" s="651" t="str">
        <f>Data2025!W405</f>
        <v>081375309828</v>
      </c>
    </row>
    <row r="407" spans="1:34" ht="16.5" thickTop="1" thickBot="1">
      <c r="A407" s="636">
        <f>Data2025!G406</f>
        <v>400</v>
      </c>
      <c r="B407" s="637">
        <f>Data2025!K406</f>
        <v>0</v>
      </c>
      <c r="C407" s="638" t="str">
        <f>Data2025!D406</f>
        <v>06. 07. 01.</v>
      </c>
      <c r="D407" s="639" t="str">
        <f>Data2025!C406</f>
        <v>5.1.02.02.01.0061</v>
      </c>
      <c r="E407" s="265">
        <f>Data2025!E406</f>
        <v>0</v>
      </c>
      <c r="F407" s="640">
        <f>Data2025!F406</f>
        <v>0</v>
      </c>
      <c r="G407" s="265">
        <f>Data2025!H406</f>
        <v>0</v>
      </c>
      <c r="H407" s="265">
        <f t="shared" si="21"/>
        <v>0</v>
      </c>
      <c r="I407" s="641">
        <f>Data2025!J406</f>
        <v>0</v>
      </c>
      <c r="J407" s="381" t="str">
        <f>Data2025!L406</f>
        <v>Biaya Rekening Listrik--</v>
      </c>
      <c r="K407" s="381" t="str">
        <f>Data2025!M406</f>
        <v>Langanan Jasa Listrik</v>
      </c>
      <c r="L407" s="642">
        <f>Data2025!N406</f>
        <v>1</v>
      </c>
      <c r="M407" s="642" t="str">
        <f>Data2025!O406</f>
        <v>bulan</v>
      </c>
      <c r="N407" s="643">
        <f>Data2025!P406</f>
        <v>2000000</v>
      </c>
      <c r="O407" s="644">
        <f>Data2025!Q406</f>
        <v>2000000</v>
      </c>
      <c r="P407" s="645" t="s">
        <v>2664</v>
      </c>
      <c r="Q407" s="646" t="e">
        <f>VLOOKUP(K407,Sheet1!$C$1:$D$101,2,)</f>
        <v>#N/A</v>
      </c>
      <c r="R407" s="496">
        <v>1000000</v>
      </c>
      <c r="S407" s="504">
        <v>1002000</v>
      </c>
      <c r="T407" s="648">
        <f>Data2025!T406</f>
        <v>0</v>
      </c>
      <c r="U407" s="268" t="s">
        <v>538</v>
      </c>
      <c r="V407" s="648" t="e">
        <f>Data2025!V406</f>
        <v>#N/A</v>
      </c>
      <c r="W407" s="648" t="e">
        <f>Data2025!X406</f>
        <v>#N/A</v>
      </c>
      <c r="X407" s="268" t="s">
        <v>540</v>
      </c>
      <c r="Y407" s="268" t="str">
        <f t="shared" si="22"/>
        <v>Jasa PLN</v>
      </c>
      <c r="Z407" s="649" t="str">
        <f t="shared" si="23"/>
        <v>Jasa PLN</v>
      </c>
      <c r="AA407" s="498" t="s">
        <v>3373</v>
      </c>
      <c r="AB407" s="269">
        <v>1000000</v>
      </c>
      <c r="AC407" s="269">
        <v>1000000</v>
      </c>
      <c r="AD407" s="267">
        <v>1000000</v>
      </c>
      <c r="AE407" s="270">
        <v>900900.90090090095</v>
      </c>
      <c r="AF407" s="270">
        <v>1000000</v>
      </c>
      <c r="AG407" s="805" t="s">
        <v>3883</v>
      </c>
      <c r="AH407" s="651" t="e">
        <f>Data2025!W406</f>
        <v>#N/A</v>
      </c>
    </row>
    <row r="408" spans="1:34" ht="16.5" thickTop="1" thickBot="1">
      <c r="A408" s="636">
        <f>Data2025!G407</f>
        <v>401</v>
      </c>
      <c r="B408" s="637">
        <f>Data2025!K407</f>
        <v>0</v>
      </c>
      <c r="C408" s="638" t="str">
        <f>Data2025!D407</f>
        <v>06. 07. 05.</v>
      </c>
      <c r="D408" s="639" t="str">
        <f>Data2025!C407</f>
        <v>5.1.02.02.01.0063</v>
      </c>
      <c r="E408" s="265">
        <f>Data2025!E407</f>
        <v>0</v>
      </c>
      <c r="F408" s="640">
        <f>Data2025!F407</f>
        <v>0</v>
      </c>
      <c r="G408" s="265">
        <f>Data2025!H407</f>
        <v>0</v>
      </c>
      <c r="H408" s="265">
        <f t="shared" si="21"/>
        <v>0</v>
      </c>
      <c r="I408" s="641">
        <f>Data2025!J407</f>
        <v>0</v>
      </c>
      <c r="J408" s="381" t="str">
        <f>Data2025!L407</f>
        <v>Biaya Langganan Internet--</v>
      </c>
      <c r="K408" s="381" t="str">
        <f>Data2025!M407</f>
        <v>Langganan Jasa Indihome</v>
      </c>
      <c r="L408" s="642">
        <f>Data2025!N407</f>
        <v>1</v>
      </c>
      <c r="M408" s="642" t="str">
        <f>Data2025!O407</f>
        <v>bulan</v>
      </c>
      <c r="N408" s="643">
        <f>Data2025!P407</f>
        <v>1500000</v>
      </c>
      <c r="O408" s="644">
        <f>Data2025!Q407</f>
        <v>1500000</v>
      </c>
      <c r="P408" s="645" t="s">
        <v>2668</v>
      </c>
      <c r="Q408" s="646" t="e">
        <f>VLOOKUP(K408,Sheet1!$C$1:$D$101,2,)</f>
        <v>#N/A</v>
      </c>
      <c r="R408" s="267">
        <v>1250000</v>
      </c>
      <c r="S408" s="647">
        <v>1300000</v>
      </c>
      <c r="T408" s="648">
        <f>Data2025!T407</f>
        <v>0</v>
      </c>
      <c r="U408" s="268" t="s">
        <v>2531</v>
      </c>
      <c r="V408" s="648" t="e">
        <f>Data2025!V407</f>
        <v>#N/A</v>
      </c>
      <c r="W408" s="648" t="e">
        <f>Data2025!X407</f>
        <v>#N/A</v>
      </c>
      <c r="X408" s="268" t="s">
        <v>2529</v>
      </c>
      <c r="Y408" s="268" t="str">
        <f t="shared" si="22"/>
        <v>Jasa Internet</v>
      </c>
      <c r="Z408" s="649" t="str">
        <f t="shared" si="23"/>
        <v>Jasa Internet</v>
      </c>
      <c r="AA408" s="650" t="s">
        <v>3372</v>
      </c>
      <c r="AB408" s="269">
        <v>50000</v>
      </c>
      <c r="AC408" s="269">
        <v>1250000</v>
      </c>
      <c r="AD408" s="267">
        <v>1250000</v>
      </c>
      <c r="AE408" s="270">
        <v>1126126.1261261262</v>
      </c>
      <c r="AF408" s="270">
        <v>1250000</v>
      </c>
      <c r="AG408" s="805" t="s">
        <v>3883</v>
      </c>
      <c r="AH408" s="651" t="e">
        <f>Data2025!W407</f>
        <v>#N/A</v>
      </c>
    </row>
    <row r="409" spans="1:34" ht="16.5" thickTop="1" thickBot="1">
      <c r="A409" s="636">
        <f>Data2025!G408</f>
        <v>402</v>
      </c>
      <c r="B409" s="637">
        <f>Data2025!K408</f>
        <v>0</v>
      </c>
      <c r="C409" s="638" t="str">
        <f>Data2025!D408</f>
        <v>07. 12. 01.</v>
      </c>
      <c r="D409" s="639" t="str">
        <f>Data2025!C408</f>
        <v>5.1.02.02.01.0013</v>
      </c>
      <c r="E409" s="265">
        <f>Data2025!E408</f>
        <v>0</v>
      </c>
      <c r="F409" s="640">
        <f>Data2025!F408</f>
        <v>0</v>
      </c>
      <c r="G409" s="265">
        <f>Data2025!H408</f>
        <v>0</v>
      </c>
      <c r="H409" s="265">
        <f t="shared" si="21"/>
        <v>0</v>
      </c>
      <c r="I409" s="641">
        <f>Data2025!J408</f>
        <v>0</v>
      </c>
      <c r="J409" s="381" t="str">
        <f>Data2025!L408</f>
        <v>Selatieli Nehe</v>
      </c>
      <c r="K409" s="381" t="str">
        <f>Data2025!M408</f>
        <v>Gaji Guru Tidak Tetap Sekolah</v>
      </c>
      <c r="L409" s="642">
        <f>Data2025!N408</f>
        <v>41</v>
      </c>
      <c r="M409" s="642" t="str">
        <f>Data2025!O408</f>
        <v>jpl</v>
      </c>
      <c r="N409" s="643">
        <f>Data2025!P408</f>
        <v>60000</v>
      </c>
      <c r="O409" s="644">
        <f>Data2025!Q408</f>
        <v>2460000</v>
      </c>
      <c r="P409" s="645" t="s">
        <v>3867</v>
      </c>
      <c r="Q409" s="646" t="e">
        <f>VLOOKUP(K409,Sheet1!$C$1:$D$101,2,)</f>
        <v>#N/A</v>
      </c>
      <c r="R409" s="267">
        <v>32400000</v>
      </c>
      <c r="S409" s="647">
        <v>32402000</v>
      </c>
      <c r="T409" s="648">
        <f>Data2025!T408</f>
        <v>0</v>
      </c>
      <c r="U409" s="268" t="s">
        <v>3392</v>
      </c>
      <c r="V409" s="648" t="e">
        <f>Data2025!V408</f>
        <v>#N/A</v>
      </c>
      <c r="W409" s="648" t="e">
        <f>Data2025!X408</f>
        <v>#N/A</v>
      </c>
      <c r="X409" s="268" t="s">
        <v>2723</v>
      </c>
      <c r="Y409" s="268" t="str">
        <f t="shared" si="22"/>
        <v>Honorarium</v>
      </c>
      <c r="Z409" s="649" t="str">
        <f t="shared" si="23"/>
        <v>Honorarium</v>
      </c>
      <c r="AA409" s="650" t="s">
        <v>3371</v>
      </c>
      <c r="AB409" s="269">
        <v>32400000</v>
      </c>
      <c r="AC409" s="269">
        <v>32400000</v>
      </c>
      <c r="AD409" s="267">
        <v>32400000</v>
      </c>
      <c r="AE409" s="270">
        <v>29189189.189189188</v>
      </c>
      <c r="AF409" s="270">
        <v>32400000</v>
      </c>
      <c r="AG409" s="805" t="s">
        <v>3883</v>
      </c>
      <c r="AH409" s="651" t="e">
        <f>Data2025!W408</f>
        <v>#N/A</v>
      </c>
    </row>
    <row r="410" spans="1:34" ht="16.5" thickTop="1" thickBot="1">
      <c r="A410" s="636">
        <f>Data2025!G409</f>
        <v>403</v>
      </c>
      <c r="B410" s="637">
        <f>Data2025!K409</f>
        <v>0</v>
      </c>
      <c r="C410" s="638" t="str">
        <f>Data2025!D409</f>
        <v>07. 12. 01.</v>
      </c>
      <c r="D410" s="639" t="str">
        <f>Data2025!C409</f>
        <v>5.1.02.02.01.0013</v>
      </c>
      <c r="E410" s="265">
        <f>Data2025!E409</f>
        <v>0</v>
      </c>
      <c r="F410" s="640">
        <f>Data2025!F409</f>
        <v>0</v>
      </c>
      <c r="G410" s="265">
        <f>Data2025!H409</f>
        <v>0</v>
      </c>
      <c r="H410" s="265">
        <f t="shared" si="21"/>
        <v>0</v>
      </c>
      <c r="I410" s="641">
        <f>Data2025!J409</f>
        <v>0</v>
      </c>
      <c r="J410" s="381" t="str">
        <f>Data2025!L409</f>
        <v>Arifin Metodi Bate'e</v>
      </c>
      <c r="K410" s="381" t="str">
        <f>Data2025!M409</f>
        <v>Gaji Guru Tidak Tetap Sekolah</v>
      </c>
      <c r="L410" s="642">
        <f>Data2025!N409</f>
        <v>34</v>
      </c>
      <c r="M410" s="642" t="str">
        <f>Data2025!O409</f>
        <v>jpl</v>
      </c>
      <c r="N410" s="643">
        <f>Data2025!P409</f>
        <v>60000</v>
      </c>
      <c r="O410" s="644">
        <f>Data2025!Q409</f>
        <v>2040000</v>
      </c>
      <c r="P410" s="645" t="s">
        <v>3867</v>
      </c>
      <c r="Q410" s="646" t="e">
        <f>VLOOKUP(K410,Sheet1!$C$1:$D$101,2,)</f>
        <v>#N/A</v>
      </c>
      <c r="R410" s="496">
        <v>16600000</v>
      </c>
      <c r="S410" s="504">
        <v>16602000</v>
      </c>
      <c r="T410" s="648">
        <f>Data2025!T409</f>
        <v>0</v>
      </c>
      <c r="U410" s="268" t="s">
        <v>538</v>
      </c>
      <c r="V410" s="648" t="e">
        <f>Data2025!V409</f>
        <v>#N/A</v>
      </c>
      <c r="W410" s="648" t="e">
        <f>Data2025!X409</f>
        <v>#N/A</v>
      </c>
      <c r="X410" s="268" t="s">
        <v>540</v>
      </c>
      <c r="Y410" s="268" t="str">
        <f t="shared" si="22"/>
        <v>Honorarium</v>
      </c>
      <c r="Z410" s="649" t="str">
        <f t="shared" si="23"/>
        <v>Honorarium</v>
      </c>
      <c r="AA410" s="498" t="s">
        <v>3377</v>
      </c>
      <c r="AB410" s="269">
        <v>16600000</v>
      </c>
      <c r="AC410" s="269">
        <v>16600000</v>
      </c>
      <c r="AD410" s="267">
        <v>16600000</v>
      </c>
      <c r="AE410" s="270">
        <v>14954954.954954956</v>
      </c>
      <c r="AF410" s="270">
        <v>16600000</v>
      </c>
      <c r="AG410" s="805" t="s">
        <v>3883</v>
      </c>
      <c r="AH410" s="651" t="e">
        <f>Data2025!W409</f>
        <v>#N/A</v>
      </c>
    </row>
    <row r="411" spans="1:34" ht="16.5" thickTop="1" thickBot="1">
      <c r="A411" s="636">
        <f>Data2025!G410</f>
        <v>404</v>
      </c>
      <c r="B411" s="637">
        <f>Data2025!K410</f>
        <v>0</v>
      </c>
      <c r="C411" s="638" t="str">
        <f>Data2025!D410</f>
        <v>07. 12. 01.</v>
      </c>
      <c r="D411" s="639" t="str">
        <f>Data2025!C410</f>
        <v>5.1.02.02.01.0013</v>
      </c>
      <c r="E411" s="265">
        <f>Data2025!E410</f>
        <v>0</v>
      </c>
      <c r="F411" s="640">
        <f>Data2025!F410</f>
        <v>0</v>
      </c>
      <c r="G411" s="265">
        <f>Data2025!H410</f>
        <v>0</v>
      </c>
      <c r="H411" s="265">
        <f t="shared" si="21"/>
        <v>0</v>
      </c>
      <c r="I411" s="641">
        <f>Data2025!J410</f>
        <v>0</v>
      </c>
      <c r="J411" s="381" t="str">
        <f>Data2025!L410</f>
        <v>Ferdiwati Wau</v>
      </c>
      <c r="K411" s="381" t="str">
        <f>Data2025!M410</f>
        <v>Gaji Guru Tidak Tetap Sekolah</v>
      </c>
      <c r="L411" s="642">
        <f>Data2025!N410</f>
        <v>34</v>
      </c>
      <c r="M411" s="642" t="str">
        <f>Data2025!O410</f>
        <v>jpl</v>
      </c>
      <c r="N411" s="643">
        <f>Data2025!P410</f>
        <v>60000</v>
      </c>
      <c r="O411" s="644">
        <f>Data2025!Q410</f>
        <v>2040000</v>
      </c>
      <c r="P411" s="645" t="s">
        <v>3867</v>
      </c>
      <c r="Q411" s="646" t="e">
        <f>VLOOKUP(K411,Sheet1!$C$1:$D$101,2,)</f>
        <v>#N/A</v>
      </c>
      <c r="R411" s="267">
        <v>900000</v>
      </c>
      <c r="S411" s="647">
        <v>1020000</v>
      </c>
      <c r="T411" s="648">
        <f>Data2025!T410</f>
        <v>0</v>
      </c>
      <c r="U411" s="268" t="s">
        <v>2531</v>
      </c>
      <c r="V411" s="648" t="e">
        <f>Data2025!V410</f>
        <v>#N/A</v>
      </c>
      <c r="W411" s="648" t="e">
        <f>Data2025!X410</f>
        <v>#N/A</v>
      </c>
      <c r="X411" s="268" t="s">
        <v>2529</v>
      </c>
      <c r="Y411" s="268" t="str">
        <f t="shared" si="22"/>
        <v>Honorarium</v>
      </c>
      <c r="Z411" s="649" t="str">
        <f t="shared" si="23"/>
        <v>Honorarium</v>
      </c>
      <c r="AA411" s="650" t="s">
        <v>3363</v>
      </c>
      <c r="AB411" s="269">
        <v>15000</v>
      </c>
      <c r="AC411" s="269">
        <v>900000</v>
      </c>
      <c r="AD411" s="267">
        <v>900000</v>
      </c>
      <c r="AE411" s="270">
        <v>810810.81081081077</v>
      </c>
      <c r="AF411" s="270">
        <v>900000</v>
      </c>
      <c r="AG411" s="805" t="s">
        <v>3883</v>
      </c>
      <c r="AH411" s="651" t="e">
        <f>Data2025!W410</f>
        <v>#N/A</v>
      </c>
    </row>
    <row r="412" spans="1:34" ht="16.5" thickTop="1" thickBot="1">
      <c r="A412" s="636">
        <f>Data2025!G411</f>
        <v>405</v>
      </c>
      <c r="B412" s="637">
        <f>Data2025!K411</f>
        <v>0</v>
      </c>
      <c r="C412" s="638" t="str">
        <f>Data2025!D411</f>
        <v>07. 12. 01.</v>
      </c>
      <c r="D412" s="639" t="str">
        <f>Data2025!C411</f>
        <v>5.1.02.02.01.0013</v>
      </c>
      <c r="E412" s="265">
        <f>Data2025!E411</f>
        <v>0</v>
      </c>
      <c r="F412" s="640">
        <f>Data2025!F411</f>
        <v>0</v>
      </c>
      <c r="G412" s="265">
        <f>Data2025!H411</f>
        <v>0</v>
      </c>
      <c r="H412" s="265">
        <f t="shared" si="21"/>
        <v>0</v>
      </c>
      <c r="I412" s="641">
        <f>Data2025!J411</f>
        <v>0</v>
      </c>
      <c r="J412" s="381" t="str">
        <f>Data2025!L411</f>
        <v>Noni Alfanita Sarumaha, S.Pd</v>
      </c>
      <c r="K412" s="381" t="str">
        <f>Data2025!M411</f>
        <v>Gaji Guru Tidak Tetap Sekolah</v>
      </c>
      <c r="L412" s="642">
        <f>Data2025!N411</f>
        <v>37</v>
      </c>
      <c r="M412" s="642" t="str">
        <f>Data2025!O411</f>
        <v>jpl</v>
      </c>
      <c r="N412" s="643">
        <f>Data2025!P411</f>
        <v>60000</v>
      </c>
      <c r="O412" s="644">
        <f>Data2025!Q411</f>
        <v>2220000</v>
      </c>
      <c r="P412" s="645" t="s">
        <v>3867</v>
      </c>
      <c r="Q412" s="646" t="e">
        <f>VLOOKUP(K412,Sheet1!$C$1:$D$101,2,)</f>
        <v>#N/A</v>
      </c>
      <c r="R412" s="496">
        <v>55000</v>
      </c>
      <c r="S412" s="504">
        <v>65000</v>
      </c>
      <c r="T412" s="648">
        <f>Data2025!T411</f>
        <v>0</v>
      </c>
      <c r="U412" s="497" t="s">
        <v>538</v>
      </c>
      <c r="V412" s="648" t="e">
        <f>Data2025!V411</f>
        <v>#N/A</v>
      </c>
      <c r="W412" s="648" t="e">
        <f>Data2025!X411</f>
        <v>#N/A</v>
      </c>
      <c r="X412" s="497" t="s">
        <v>541</v>
      </c>
      <c r="Y412" s="268" t="str">
        <f t="shared" si="22"/>
        <v>Honorarium</v>
      </c>
      <c r="Z412" s="649" t="str">
        <f t="shared" si="23"/>
        <v>Honorarium</v>
      </c>
      <c r="AA412" s="498" t="s">
        <v>3362</v>
      </c>
      <c r="AB412" s="269">
        <v>11000</v>
      </c>
      <c r="AC412" s="269">
        <v>55000</v>
      </c>
      <c r="AD412" s="267">
        <v>55000</v>
      </c>
      <c r="AE412" s="270">
        <v>49549.549549549549</v>
      </c>
      <c r="AF412" s="270">
        <v>55000</v>
      </c>
      <c r="AG412" s="805" t="s">
        <v>3883</v>
      </c>
      <c r="AH412" s="651" t="e">
        <f>Data2025!W411</f>
        <v>#N/A</v>
      </c>
    </row>
    <row r="413" spans="1:34" s="501" customFormat="1" ht="16.5" thickTop="1" thickBot="1">
      <c r="A413" s="636">
        <f>Data2025!G412</f>
        <v>406</v>
      </c>
      <c r="B413" s="637">
        <f>Data2025!K412</f>
        <v>0</v>
      </c>
      <c r="C413" s="638" t="str">
        <f>Data2025!D412</f>
        <v>07. 12. 01.</v>
      </c>
      <c r="D413" s="639" t="str">
        <f>Data2025!C412</f>
        <v>5.1.02.02.01.0013</v>
      </c>
      <c r="E413" s="265">
        <f>Data2025!E412</f>
        <v>0</v>
      </c>
      <c r="F413" s="640">
        <f>Data2025!F412</f>
        <v>0</v>
      </c>
      <c r="G413" s="265">
        <f>Data2025!H412</f>
        <v>0</v>
      </c>
      <c r="H413" s="265">
        <f t="shared" si="21"/>
        <v>0</v>
      </c>
      <c r="I413" s="641">
        <f>Data2025!J412</f>
        <v>0</v>
      </c>
      <c r="J413" s="381" t="str">
        <f>Data2025!L412</f>
        <v>EMILA HAFO</v>
      </c>
      <c r="K413" s="381" t="str">
        <f>Data2025!M412</f>
        <v>Gaji Guru Tidak Tetap Sekolah</v>
      </c>
      <c r="L413" s="642">
        <f>Data2025!N412</f>
        <v>35</v>
      </c>
      <c r="M413" s="642" t="str">
        <f>Data2025!O412</f>
        <v>jpl</v>
      </c>
      <c r="N413" s="643">
        <f>Data2025!P412</f>
        <v>60000</v>
      </c>
      <c r="O413" s="644">
        <f>Data2025!Q412</f>
        <v>2100000</v>
      </c>
      <c r="P413" s="645" t="s">
        <v>3867</v>
      </c>
      <c r="Q413" s="646" t="e">
        <f>VLOOKUP(K413,Sheet1!$C$1:$D$101,2,)</f>
        <v>#N/A</v>
      </c>
      <c r="R413" s="496">
        <v>95000</v>
      </c>
      <c r="S413" s="504">
        <v>97000</v>
      </c>
      <c r="T413" s="648">
        <f>Data2025!T412</f>
        <v>0</v>
      </c>
      <c r="U413" s="497" t="s">
        <v>538</v>
      </c>
      <c r="V413" s="648" t="e">
        <f>Data2025!V412</f>
        <v>#N/A</v>
      </c>
      <c r="W413" s="648" t="e">
        <f>Data2025!X412</f>
        <v>#N/A</v>
      </c>
      <c r="X413" s="497" t="s">
        <v>541</v>
      </c>
      <c r="Y413" s="268" t="str">
        <f t="shared" si="22"/>
        <v>Honorarium</v>
      </c>
      <c r="Z413" s="649" t="str">
        <f t="shared" si="23"/>
        <v>Honorarium</v>
      </c>
      <c r="AA413" s="498" t="s">
        <v>3364</v>
      </c>
      <c r="AB413" s="499">
        <v>95000</v>
      </c>
      <c r="AC413" s="499">
        <v>95000</v>
      </c>
      <c r="AD413" s="496">
        <v>95000</v>
      </c>
      <c r="AE413" s="500">
        <v>85585.585585585592</v>
      </c>
      <c r="AF413" s="500">
        <v>95000</v>
      </c>
      <c r="AG413" s="805" t="s">
        <v>3883</v>
      </c>
      <c r="AH413" s="651" t="e">
        <f>Data2025!W412</f>
        <v>#N/A</v>
      </c>
    </row>
    <row r="414" spans="1:34" s="501" customFormat="1" ht="16.5" thickTop="1" thickBot="1">
      <c r="A414" s="636">
        <f>Data2025!G413</f>
        <v>407</v>
      </c>
      <c r="B414" s="637">
        <f>Data2025!K413</f>
        <v>0</v>
      </c>
      <c r="C414" s="638" t="str">
        <f>Data2025!D413</f>
        <v>07. 12. 01.</v>
      </c>
      <c r="D414" s="639" t="str">
        <f>Data2025!C413</f>
        <v>5.1.02.02.01.0013</v>
      </c>
      <c r="E414" s="265">
        <f>Data2025!E413</f>
        <v>0</v>
      </c>
      <c r="F414" s="640">
        <f>Data2025!F413</f>
        <v>0</v>
      </c>
      <c r="G414" s="265">
        <f>Data2025!H413</f>
        <v>0</v>
      </c>
      <c r="H414" s="265">
        <f t="shared" si="21"/>
        <v>0</v>
      </c>
      <c r="I414" s="641">
        <f>Data2025!J413</f>
        <v>0</v>
      </c>
      <c r="J414" s="381" t="str">
        <f>Data2025!L413</f>
        <v>Asep Nurhidayat</v>
      </c>
      <c r="K414" s="381" t="str">
        <f>Data2025!M413</f>
        <v>Gaji Guru Tidak Tetap Sekolah</v>
      </c>
      <c r="L414" s="642">
        <f>Data2025!N413</f>
        <v>21</v>
      </c>
      <c r="M414" s="642" t="str">
        <f>Data2025!O413</f>
        <v>jpl</v>
      </c>
      <c r="N414" s="643">
        <f>Data2025!P413</f>
        <v>60000</v>
      </c>
      <c r="O414" s="644">
        <f>Data2025!Q413</f>
        <v>1260000</v>
      </c>
      <c r="P414" s="645" t="s">
        <v>3867</v>
      </c>
      <c r="Q414" s="646" t="e">
        <f>VLOOKUP(K414,Sheet1!$C$1:$D$101,2,)</f>
        <v>#N/A</v>
      </c>
      <c r="R414" s="496">
        <v>550000</v>
      </c>
      <c r="S414" s="504">
        <v>750000</v>
      </c>
      <c r="T414" s="648">
        <f>Data2025!T413</f>
        <v>0</v>
      </c>
      <c r="U414" s="497" t="s">
        <v>538</v>
      </c>
      <c r="V414" s="648" t="e">
        <f>Data2025!V413</f>
        <v>#N/A</v>
      </c>
      <c r="W414" s="648" t="e">
        <f>Data2025!X413</f>
        <v>#N/A</v>
      </c>
      <c r="X414" s="497" t="s">
        <v>541</v>
      </c>
      <c r="Y414" s="268" t="str">
        <f t="shared" si="22"/>
        <v>Honorarium</v>
      </c>
      <c r="Z414" s="649" t="str">
        <f t="shared" si="23"/>
        <v>Honorarium</v>
      </c>
      <c r="AA414" s="498" t="s">
        <v>3363</v>
      </c>
      <c r="AB414" s="499">
        <v>5500</v>
      </c>
      <c r="AC414" s="499">
        <v>550000</v>
      </c>
      <c r="AD414" s="496">
        <v>550000</v>
      </c>
      <c r="AE414" s="500">
        <v>495495.4954954955</v>
      </c>
      <c r="AF414" s="500">
        <v>550000</v>
      </c>
      <c r="AG414" s="805" t="s">
        <v>3883</v>
      </c>
      <c r="AH414" s="651" t="e">
        <f>Data2025!W413</f>
        <v>#N/A</v>
      </c>
    </row>
    <row r="415" spans="1:34" s="501" customFormat="1" ht="16.5" thickTop="1" thickBot="1">
      <c r="A415" s="636">
        <f>Data2025!G414</f>
        <v>408</v>
      </c>
      <c r="B415" s="637">
        <f>Data2025!K414</f>
        <v>0</v>
      </c>
      <c r="C415" s="638" t="str">
        <f>Data2025!D414</f>
        <v>07. 12. 01.</v>
      </c>
      <c r="D415" s="639" t="str">
        <f>Data2025!C414</f>
        <v>5.1.02.02.01.0013</v>
      </c>
      <c r="E415" s="265">
        <f>Data2025!E414</f>
        <v>0</v>
      </c>
      <c r="F415" s="640">
        <f>Data2025!F414</f>
        <v>0</v>
      </c>
      <c r="G415" s="265">
        <f>Data2025!H414</f>
        <v>0</v>
      </c>
      <c r="H415" s="265">
        <f t="shared" si="21"/>
        <v>0</v>
      </c>
      <c r="I415" s="641">
        <f>Data2025!J414</f>
        <v>0</v>
      </c>
      <c r="J415" s="381" t="str">
        <f>Data2025!L414</f>
        <v>Amonius Dakhi</v>
      </c>
      <c r="K415" s="381" t="str">
        <f>Data2025!M414</f>
        <v>Gaji Guru Tidak Tetap Sekolah</v>
      </c>
      <c r="L415" s="642">
        <f>Data2025!N414</f>
        <v>24</v>
      </c>
      <c r="M415" s="642" t="str">
        <f>Data2025!O414</f>
        <v>orang / jam pelajaran</v>
      </c>
      <c r="N415" s="643">
        <f>Data2025!P414</f>
        <v>50000</v>
      </c>
      <c r="O415" s="644">
        <f>Data2025!Q414</f>
        <v>1200000</v>
      </c>
      <c r="P415" s="645" t="s">
        <v>3867</v>
      </c>
      <c r="Q415" s="646" t="e">
        <f>VLOOKUP(K415,Sheet1!$C$1:$D$101,2,)</f>
        <v>#N/A</v>
      </c>
      <c r="R415" s="496">
        <v>120000</v>
      </c>
      <c r="S415" s="504">
        <v>124000</v>
      </c>
      <c r="T415" s="648">
        <f>Data2025!T414</f>
        <v>0</v>
      </c>
      <c r="U415" s="497" t="s">
        <v>538</v>
      </c>
      <c r="V415" s="648" t="e">
        <f>Data2025!V414</f>
        <v>#N/A</v>
      </c>
      <c r="W415" s="648" t="e">
        <f>Data2025!X414</f>
        <v>#N/A</v>
      </c>
      <c r="X415" s="497" t="s">
        <v>541</v>
      </c>
      <c r="Y415" s="268" t="str">
        <f t="shared" si="22"/>
        <v>Honorarium</v>
      </c>
      <c r="Z415" s="649" t="str">
        <f t="shared" si="23"/>
        <v>Honorarium</v>
      </c>
      <c r="AA415" s="498" t="s">
        <v>3365</v>
      </c>
      <c r="AB415" s="499">
        <v>60000</v>
      </c>
      <c r="AC415" s="499">
        <v>120000</v>
      </c>
      <c r="AD415" s="496">
        <v>120000</v>
      </c>
      <c r="AE415" s="500">
        <v>108108.10810810811</v>
      </c>
      <c r="AF415" s="500">
        <v>120000</v>
      </c>
      <c r="AG415" s="805" t="s">
        <v>3883</v>
      </c>
      <c r="AH415" s="651" t="e">
        <f>Data2025!W414</f>
        <v>#N/A</v>
      </c>
    </row>
    <row r="416" spans="1:34" s="501" customFormat="1" ht="16.5" thickTop="1" thickBot="1">
      <c r="A416" s="636">
        <f>Data2025!G415</f>
        <v>409</v>
      </c>
      <c r="B416" s="637">
        <f>Data2025!K415</f>
        <v>0</v>
      </c>
      <c r="C416" s="638" t="str">
        <f>Data2025!D415</f>
        <v>07. 12. 01.</v>
      </c>
      <c r="D416" s="639" t="str">
        <f>Data2025!C415</f>
        <v>5.1.02.02.01.0013</v>
      </c>
      <c r="E416" s="265">
        <f>Data2025!E415</f>
        <v>0</v>
      </c>
      <c r="F416" s="640">
        <f>Data2025!F415</f>
        <v>0</v>
      </c>
      <c r="G416" s="265">
        <f>Data2025!H415</f>
        <v>0</v>
      </c>
      <c r="H416" s="265">
        <f t="shared" si="21"/>
        <v>0</v>
      </c>
      <c r="I416" s="641">
        <f>Data2025!J415</f>
        <v>0</v>
      </c>
      <c r="J416" s="381" t="str">
        <f>Data2025!L415</f>
        <v>NELPI KARIANA WATI GOHAE</v>
      </c>
      <c r="K416" s="381" t="str">
        <f>Data2025!M415</f>
        <v>Gaji Guru Tidak Tetap Sekolah</v>
      </c>
      <c r="L416" s="642">
        <f>Data2025!N415</f>
        <v>24</v>
      </c>
      <c r="M416" s="642" t="str">
        <f>Data2025!O415</f>
        <v>orang / jam pelajaran</v>
      </c>
      <c r="N416" s="643">
        <f>Data2025!P415</f>
        <v>50000</v>
      </c>
      <c r="O416" s="644">
        <f>Data2025!Q415</f>
        <v>1200000</v>
      </c>
      <c r="P416" s="645" t="s">
        <v>3867</v>
      </c>
      <c r="Q416" s="646" t="e">
        <f>VLOOKUP(K416,Sheet1!$C$1:$D$101,2,)</f>
        <v>#N/A</v>
      </c>
      <c r="R416" s="496">
        <v>40000</v>
      </c>
      <c r="S416" s="504">
        <v>44000</v>
      </c>
      <c r="T416" s="648">
        <f>Data2025!T415</f>
        <v>0</v>
      </c>
      <c r="U416" s="497" t="s">
        <v>538</v>
      </c>
      <c r="V416" s="648" t="e">
        <f>Data2025!V415</f>
        <v>#N/A</v>
      </c>
      <c r="W416" s="648" t="e">
        <f>Data2025!X415</f>
        <v>#N/A</v>
      </c>
      <c r="X416" s="497" t="s">
        <v>541</v>
      </c>
      <c r="Y416" s="268" t="str">
        <f t="shared" si="22"/>
        <v>Honorarium</v>
      </c>
      <c r="Z416" s="649" t="str">
        <f t="shared" si="23"/>
        <v>Honorarium</v>
      </c>
      <c r="AA416" s="498" t="s">
        <v>3363</v>
      </c>
      <c r="AB416" s="499">
        <v>20000</v>
      </c>
      <c r="AC416" s="499">
        <v>40000</v>
      </c>
      <c r="AD416" s="496">
        <v>40000</v>
      </c>
      <c r="AE416" s="500">
        <v>36036.036036036036</v>
      </c>
      <c r="AF416" s="500">
        <v>40000</v>
      </c>
      <c r="AG416" s="805" t="s">
        <v>3883</v>
      </c>
      <c r="AH416" s="651" t="e">
        <f>Data2025!W415</f>
        <v>#N/A</v>
      </c>
    </row>
    <row r="417" spans="1:36" ht="26" thickTop="1" thickBot="1">
      <c r="A417" s="636">
        <f>Data2025!G416</f>
        <v>410</v>
      </c>
      <c r="B417" s="637">
        <f>Data2025!K416</f>
        <v>0</v>
      </c>
      <c r="C417" s="638" t="str">
        <f>Data2025!D416</f>
        <v>07. 12. 01.</v>
      </c>
      <c r="D417" s="639" t="str">
        <f>Data2025!C416</f>
        <v>5.1.02.02.01.0013</v>
      </c>
      <c r="E417" s="265">
        <f>Data2025!E416</f>
        <v>0</v>
      </c>
      <c r="F417" s="640">
        <f>Data2025!F416</f>
        <v>0</v>
      </c>
      <c r="G417" s="265">
        <f>Data2025!H416</f>
        <v>0</v>
      </c>
      <c r="H417" s="265">
        <f t="shared" si="21"/>
        <v>0</v>
      </c>
      <c r="I417" s="641">
        <f>Data2025!J416</f>
        <v>0</v>
      </c>
      <c r="J417" s="381" t="str">
        <f>Data2025!L416</f>
        <v>MERCY GRACE KARTIKA SARI ZAGOTO (1558776677230122)</v>
      </c>
      <c r="K417" s="381" t="str">
        <f>Data2025!M416</f>
        <v>Gaji Guru Tidak Tetap Sekolah</v>
      </c>
      <c r="L417" s="642">
        <f>Data2025!N416</f>
        <v>35</v>
      </c>
      <c r="M417" s="642" t="str">
        <f>Data2025!O416</f>
        <v>orang / jam pelajaran</v>
      </c>
      <c r="N417" s="643">
        <f>Data2025!P416</f>
        <v>50000</v>
      </c>
      <c r="O417" s="644">
        <f>Data2025!Q416</f>
        <v>1750000</v>
      </c>
      <c r="P417" s="645" t="s">
        <v>3867</v>
      </c>
      <c r="Q417" s="646" t="e">
        <f>VLOOKUP(K417,Sheet1!$C$1:$D$101,2,)</f>
        <v>#N/A</v>
      </c>
      <c r="R417" s="496">
        <v>155000</v>
      </c>
      <c r="S417" s="504">
        <v>165000</v>
      </c>
      <c r="T417" s="648">
        <f>Data2025!T416</f>
        <v>0</v>
      </c>
      <c r="U417" s="497" t="s">
        <v>538</v>
      </c>
      <c r="V417" s="648" t="e">
        <f>Data2025!V416</f>
        <v>#N/A</v>
      </c>
      <c r="W417" s="648" t="e">
        <f>Data2025!X416</f>
        <v>#N/A</v>
      </c>
      <c r="X417" s="497" t="s">
        <v>541</v>
      </c>
      <c r="Y417" s="268" t="str">
        <f t="shared" si="22"/>
        <v>Honorarium</v>
      </c>
      <c r="Z417" s="649" t="str">
        <f t="shared" si="23"/>
        <v>Honorarium</v>
      </c>
      <c r="AA417" s="498" t="s">
        <v>3365</v>
      </c>
      <c r="AB417" s="269">
        <v>31000</v>
      </c>
      <c r="AC417" s="269">
        <v>155000</v>
      </c>
      <c r="AD417" s="267">
        <v>155000</v>
      </c>
      <c r="AE417" s="270">
        <v>139639.63963963964</v>
      </c>
      <c r="AF417" s="270">
        <v>155000</v>
      </c>
      <c r="AG417" s="805" t="s">
        <v>3883</v>
      </c>
      <c r="AH417" s="651" t="e">
        <f>Data2025!W416</f>
        <v>#N/A</v>
      </c>
    </row>
    <row r="418" spans="1:36" ht="16.5" thickTop="1" thickBot="1">
      <c r="A418" s="636">
        <f>Data2025!G417</f>
        <v>411</v>
      </c>
      <c r="B418" s="637">
        <f>Data2025!K417</f>
        <v>0</v>
      </c>
      <c r="C418" s="638" t="str">
        <f>Data2025!D417</f>
        <v>07. 12. 02.</v>
      </c>
      <c r="D418" s="639" t="str">
        <f>Data2025!C417</f>
        <v>5.1.02.02.01.0026</v>
      </c>
      <c r="E418" s="265">
        <f>Data2025!E417</f>
        <v>0</v>
      </c>
      <c r="F418" s="640">
        <f>Data2025!F417</f>
        <v>0</v>
      </c>
      <c r="G418" s="265">
        <f>Data2025!H417</f>
        <v>0</v>
      </c>
      <c r="H418" s="265">
        <f t="shared" si="21"/>
        <v>0</v>
      </c>
      <c r="I418" s="641">
        <f>Data2025!J417</f>
        <v>0</v>
      </c>
      <c r="J418" s="381" t="str">
        <f>Data2025!L417</f>
        <v>Estera Nehe</v>
      </c>
      <c r="K418" s="381" t="str">
        <f>Data2025!M417</f>
        <v>Gaji Pegawai Tidak Tetap Sekolah</v>
      </c>
      <c r="L418" s="642">
        <f>Data2025!N417</f>
        <v>1</v>
      </c>
      <c r="M418" s="642" t="str">
        <f>Data2025!O417</f>
        <v>bulan</v>
      </c>
      <c r="N418" s="643">
        <f>Data2025!P417</f>
        <v>2000000</v>
      </c>
      <c r="O418" s="644">
        <f>Data2025!Q417</f>
        <v>2000000</v>
      </c>
      <c r="P418" s="645" t="s">
        <v>3867</v>
      </c>
      <c r="Q418" s="646" t="e">
        <f>VLOOKUP(K418,Sheet1!$C$1:$D$101,2,)</f>
        <v>#N/A</v>
      </c>
      <c r="R418" s="496">
        <v>40000</v>
      </c>
      <c r="S418" s="504">
        <v>44000</v>
      </c>
      <c r="T418" s="648">
        <f>Data2025!T417</f>
        <v>0</v>
      </c>
      <c r="U418" s="497" t="s">
        <v>538</v>
      </c>
      <c r="V418" s="648" t="e">
        <f>Data2025!V417</f>
        <v>#N/A</v>
      </c>
      <c r="W418" s="648" t="e">
        <f>Data2025!X417</f>
        <v>#N/A</v>
      </c>
      <c r="X418" s="497" t="s">
        <v>541</v>
      </c>
      <c r="Y418" s="268" t="str">
        <f t="shared" si="22"/>
        <v>Honorarium</v>
      </c>
      <c r="Z418" s="649" t="str">
        <f t="shared" si="23"/>
        <v>Honorarium</v>
      </c>
      <c r="AA418" s="498" t="s">
        <v>3366</v>
      </c>
      <c r="AB418" s="269">
        <v>20000</v>
      </c>
      <c r="AC418" s="269">
        <v>40000</v>
      </c>
      <c r="AD418" s="267">
        <v>40000</v>
      </c>
      <c r="AE418" s="270">
        <v>36036.036036036036</v>
      </c>
      <c r="AF418" s="270">
        <v>40000</v>
      </c>
      <c r="AG418" s="805" t="s">
        <v>3883</v>
      </c>
      <c r="AH418" s="651" t="e">
        <f>Data2025!W417</f>
        <v>#N/A</v>
      </c>
    </row>
    <row r="419" spans="1:36" ht="16.5" thickTop="1" thickBot="1">
      <c r="A419" s="636">
        <f>Data2025!G418</f>
        <v>412</v>
      </c>
      <c r="B419" s="637">
        <f>Data2025!K418</f>
        <v>0</v>
      </c>
      <c r="C419" s="638" t="str">
        <f>Data2025!D418</f>
        <v>07. 12. 02.</v>
      </c>
      <c r="D419" s="639" t="str">
        <f>Data2025!C418</f>
        <v>5.1.02.02.01.0026</v>
      </c>
      <c r="E419" s="265">
        <f>Data2025!E418</f>
        <v>0</v>
      </c>
      <c r="F419" s="640">
        <f>Data2025!F418</f>
        <v>0</v>
      </c>
      <c r="G419" s="265">
        <f>Data2025!H418</f>
        <v>0</v>
      </c>
      <c r="H419" s="265">
        <f t="shared" si="21"/>
        <v>0</v>
      </c>
      <c r="I419" s="641">
        <f>Data2025!J418</f>
        <v>0</v>
      </c>
      <c r="J419" s="381" t="str">
        <f>Data2025!L418</f>
        <v>Hatieli Buulolo</v>
      </c>
      <c r="K419" s="381" t="str">
        <f>Data2025!M418</f>
        <v>Gaji Pegawai Tidak Tetap Sekolah</v>
      </c>
      <c r="L419" s="642">
        <f>Data2025!N418</f>
        <v>1</v>
      </c>
      <c r="M419" s="642" t="str">
        <f>Data2025!O418</f>
        <v>bulan</v>
      </c>
      <c r="N419" s="643">
        <f>Data2025!P418</f>
        <v>2500000</v>
      </c>
      <c r="O419" s="644">
        <f>Data2025!Q418</f>
        <v>2500000</v>
      </c>
      <c r="P419" s="645" t="s">
        <v>3867</v>
      </c>
      <c r="Q419" s="646" t="e">
        <f>VLOOKUP(K419,Sheet1!$C$1:$D$101,2,)</f>
        <v>#N/A</v>
      </c>
      <c r="R419" s="496">
        <v>396000</v>
      </c>
      <c r="S419" s="504">
        <v>420000</v>
      </c>
      <c r="T419" s="648">
        <f>Data2025!T418</f>
        <v>0</v>
      </c>
      <c r="U419" s="497" t="s">
        <v>538</v>
      </c>
      <c r="V419" s="648" t="e">
        <f>Data2025!V418</f>
        <v>#N/A</v>
      </c>
      <c r="W419" s="648" t="e">
        <f>Data2025!X418</f>
        <v>#N/A</v>
      </c>
      <c r="X419" s="497" t="s">
        <v>541</v>
      </c>
      <c r="Y419" s="268" t="str">
        <f t="shared" si="22"/>
        <v>Honorarium</v>
      </c>
      <c r="Z419" s="649" t="str">
        <f t="shared" si="23"/>
        <v>Honorarium</v>
      </c>
      <c r="AA419" s="498" t="s">
        <v>3367</v>
      </c>
      <c r="AB419" s="269">
        <v>33000</v>
      </c>
      <c r="AC419" s="269">
        <v>396000</v>
      </c>
      <c r="AD419" s="267">
        <v>396000</v>
      </c>
      <c r="AE419" s="270">
        <v>356756.75675675675</v>
      </c>
      <c r="AF419" s="270">
        <v>396000</v>
      </c>
      <c r="AG419" s="805" t="s">
        <v>3883</v>
      </c>
      <c r="AH419" s="651" t="e">
        <f>Data2025!W418</f>
        <v>#N/A</v>
      </c>
      <c r="AI419" s="277"/>
      <c r="AJ419" s="277"/>
    </row>
    <row r="420" spans="1:36" ht="16.5" thickTop="1" thickBot="1">
      <c r="A420" s="636">
        <f>Data2025!G419</f>
        <v>413</v>
      </c>
      <c r="B420" s="637">
        <f>Data2025!K419</f>
        <v>0</v>
      </c>
      <c r="C420" s="638" t="str">
        <f>Data2025!D419</f>
        <v>07. 12. 02.</v>
      </c>
      <c r="D420" s="639" t="str">
        <f>Data2025!C419</f>
        <v>5.1.02.02.01.0026</v>
      </c>
      <c r="E420" s="265">
        <f>Data2025!E419</f>
        <v>0</v>
      </c>
      <c r="F420" s="640">
        <f>Data2025!F419</f>
        <v>0</v>
      </c>
      <c r="G420" s="265">
        <f>Data2025!H419</f>
        <v>0</v>
      </c>
      <c r="H420" s="265">
        <f t="shared" si="21"/>
        <v>0</v>
      </c>
      <c r="I420" s="641">
        <f>Data2025!J419</f>
        <v>0</v>
      </c>
      <c r="J420" s="381" t="str">
        <f>Data2025!L419</f>
        <v>David J. Sitinjak</v>
      </c>
      <c r="K420" s="381" t="str">
        <f>Data2025!M419</f>
        <v>Gaji Pegawai Tidak Tetap Sekolah</v>
      </c>
      <c r="L420" s="642">
        <f>Data2025!N419</f>
        <v>1</v>
      </c>
      <c r="M420" s="642" t="str">
        <f>Data2025!O419</f>
        <v>bulan</v>
      </c>
      <c r="N420" s="643">
        <f>Data2025!P419</f>
        <v>2500000</v>
      </c>
      <c r="O420" s="644">
        <f>Data2025!Q419</f>
        <v>2500000</v>
      </c>
      <c r="P420" s="645" t="s">
        <v>3867</v>
      </c>
      <c r="Q420" s="646" t="e">
        <f>VLOOKUP(K420,Sheet1!$C$1:$D$101,2,)</f>
        <v>#N/A</v>
      </c>
      <c r="R420" s="496">
        <v>75000</v>
      </c>
      <c r="S420" s="504">
        <v>85000</v>
      </c>
      <c r="T420" s="648">
        <f>Data2025!T419</f>
        <v>0</v>
      </c>
      <c r="U420" s="497" t="s">
        <v>538</v>
      </c>
      <c r="V420" s="648" t="e">
        <f>Data2025!V419</f>
        <v>#N/A</v>
      </c>
      <c r="W420" s="648" t="e">
        <f>Data2025!X419</f>
        <v>#N/A</v>
      </c>
      <c r="X420" s="497" t="s">
        <v>541</v>
      </c>
      <c r="Y420" s="268" t="str">
        <f t="shared" si="22"/>
        <v>Honorarium</v>
      </c>
      <c r="Z420" s="649" t="str">
        <f t="shared" si="23"/>
        <v>Honorarium</v>
      </c>
      <c r="AA420" s="498" t="s">
        <v>3363</v>
      </c>
      <c r="AB420" s="269">
        <v>15000</v>
      </c>
      <c r="AC420" s="269">
        <v>75000</v>
      </c>
      <c r="AD420" s="267">
        <v>75000</v>
      </c>
      <c r="AE420" s="270">
        <v>67567.567567567574</v>
      </c>
      <c r="AF420" s="270">
        <v>75000</v>
      </c>
      <c r="AG420" s="805" t="s">
        <v>3883</v>
      </c>
      <c r="AH420" s="651" t="e">
        <f>Data2025!W419</f>
        <v>#N/A</v>
      </c>
    </row>
    <row r="421" spans="1:36" s="501" customFormat="1" ht="16.5" thickTop="1" thickBot="1">
      <c r="A421" s="636">
        <f>Data2025!G420</f>
        <v>414</v>
      </c>
      <c r="B421" s="637">
        <f>Data2025!K420</f>
        <v>0</v>
      </c>
      <c r="C421" s="638" t="str">
        <f>Data2025!D420</f>
        <v>07. 12. 02.</v>
      </c>
      <c r="D421" s="639" t="str">
        <f>Data2025!C420</f>
        <v>5.1.02.02.01.0026</v>
      </c>
      <c r="E421" s="265">
        <f>Data2025!E420</f>
        <v>0</v>
      </c>
      <c r="F421" s="640">
        <f>Data2025!F420</f>
        <v>0</v>
      </c>
      <c r="G421" s="265">
        <f>Data2025!H420</f>
        <v>0</v>
      </c>
      <c r="H421" s="265">
        <f t="shared" si="21"/>
        <v>0</v>
      </c>
      <c r="I421" s="641">
        <f>Data2025!J420</f>
        <v>0</v>
      </c>
      <c r="J421" s="381" t="str">
        <f>Data2025!L420</f>
        <v>Siona Ziraluo</v>
      </c>
      <c r="K421" s="381" t="str">
        <f>Data2025!M420</f>
        <v>Gaji Pegawai Tidak Tetap Sekolah</v>
      </c>
      <c r="L421" s="642">
        <f>Data2025!N420</f>
        <v>1</v>
      </c>
      <c r="M421" s="642" t="str">
        <f>Data2025!O420</f>
        <v>bulan</v>
      </c>
      <c r="N421" s="643">
        <f>Data2025!P420</f>
        <v>2000000</v>
      </c>
      <c r="O421" s="644">
        <f>Data2025!Q420</f>
        <v>2000000</v>
      </c>
      <c r="P421" s="645" t="s">
        <v>3867</v>
      </c>
      <c r="Q421" s="646" t="e">
        <f>VLOOKUP(K421,Sheet1!$C$1:$D$101,2,)</f>
        <v>#N/A</v>
      </c>
      <c r="R421" s="496">
        <v>300000</v>
      </c>
      <c r="S421" s="504">
        <v>310000</v>
      </c>
      <c r="T421" s="648">
        <f>Data2025!T420</f>
        <v>0</v>
      </c>
      <c r="U421" s="497" t="s">
        <v>538</v>
      </c>
      <c r="V421" s="648" t="e">
        <f>Data2025!V420</f>
        <v>#N/A</v>
      </c>
      <c r="W421" s="648" t="e">
        <f>Data2025!X420</f>
        <v>#N/A</v>
      </c>
      <c r="X421" s="497" t="s">
        <v>541</v>
      </c>
      <c r="Y421" s="268" t="str">
        <f t="shared" si="22"/>
        <v>Honorarium</v>
      </c>
      <c r="Z421" s="649" t="str">
        <f t="shared" si="23"/>
        <v>Honorarium</v>
      </c>
      <c r="AA421" s="498" t="s">
        <v>3365</v>
      </c>
      <c r="AB421" s="499">
        <v>60000</v>
      </c>
      <c r="AC421" s="499">
        <v>300000</v>
      </c>
      <c r="AD421" s="496">
        <v>300000</v>
      </c>
      <c r="AE421" s="500">
        <v>270270.2702702703</v>
      </c>
      <c r="AF421" s="500">
        <v>300000</v>
      </c>
      <c r="AG421" s="805" t="s">
        <v>3883</v>
      </c>
      <c r="AH421" s="651" t="e">
        <f>Data2025!W420</f>
        <v>#N/A</v>
      </c>
    </row>
    <row r="422" spans="1:36" s="501" customFormat="1" ht="16.5" thickTop="1" thickBot="1">
      <c r="A422" s="636">
        <f>Data2025!G421</f>
        <v>415</v>
      </c>
      <c r="B422" s="637">
        <f>Data2025!K421</f>
        <v>0</v>
      </c>
      <c r="C422" s="638" t="str">
        <f>Data2025!D421</f>
        <v>07. 12. 02.</v>
      </c>
      <c r="D422" s="639" t="str">
        <f>Data2025!C421</f>
        <v>5.1.02.02.01.0026</v>
      </c>
      <c r="E422" s="265">
        <f>Data2025!E421</f>
        <v>0</v>
      </c>
      <c r="F422" s="640">
        <f>Data2025!F421</f>
        <v>0</v>
      </c>
      <c r="G422" s="265">
        <f>Data2025!H421</f>
        <v>0</v>
      </c>
      <c r="H422" s="265">
        <f t="shared" si="21"/>
        <v>0</v>
      </c>
      <c r="I422" s="641">
        <f>Data2025!J421</f>
        <v>0</v>
      </c>
      <c r="J422" s="381" t="str">
        <f>Data2025!L421</f>
        <v>Merdina Ziraluo</v>
      </c>
      <c r="K422" s="381" t="str">
        <f>Data2025!M421</f>
        <v>Gaji Pegawai Tidak Tetap Sekolah</v>
      </c>
      <c r="L422" s="642">
        <f>Data2025!N421</f>
        <v>1</v>
      </c>
      <c r="M422" s="642" t="str">
        <f>Data2025!O421</f>
        <v>bulan</v>
      </c>
      <c r="N422" s="643">
        <f>Data2025!P421</f>
        <v>2500000</v>
      </c>
      <c r="O422" s="644">
        <f>Data2025!Q421</f>
        <v>2500000</v>
      </c>
      <c r="P422" s="645" t="s">
        <v>3867</v>
      </c>
      <c r="Q422" s="646" t="e">
        <f>VLOOKUP(K422,Sheet1!$C$1:$D$101,2,)</f>
        <v>#N/A</v>
      </c>
      <c r="R422" s="496">
        <v>37500</v>
      </c>
      <c r="S422" s="504">
        <v>47500</v>
      </c>
      <c r="T422" s="648">
        <f>Data2025!T421</f>
        <v>0</v>
      </c>
      <c r="U422" s="497" t="s">
        <v>538</v>
      </c>
      <c r="V422" s="648" t="e">
        <f>Data2025!V421</f>
        <v>#N/A</v>
      </c>
      <c r="W422" s="648" t="e">
        <f>Data2025!X421</f>
        <v>#N/A</v>
      </c>
      <c r="X422" s="497" t="s">
        <v>541</v>
      </c>
      <c r="Y422" s="268" t="str">
        <f t="shared" si="22"/>
        <v>Honorarium</v>
      </c>
      <c r="Z422" s="649" t="str">
        <f t="shared" si="23"/>
        <v>Honorarium</v>
      </c>
      <c r="AA422" s="498" t="s">
        <v>3362</v>
      </c>
      <c r="AB422" s="499">
        <v>7500</v>
      </c>
      <c r="AC422" s="499">
        <v>37500</v>
      </c>
      <c r="AD422" s="496">
        <v>37500</v>
      </c>
      <c r="AE422" s="500">
        <v>33783.783783783787</v>
      </c>
      <c r="AF422" s="500">
        <v>37500</v>
      </c>
      <c r="AG422" s="805" t="s">
        <v>3883</v>
      </c>
      <c r="AH422" s="651" t="e">
        <f>Data2025!W421</f>
        <v>#N/A</v>
      </c>
      <c r="AI422" s="502"/>
      <c r="AJ422" s="502"/>
    </row>
    <row r="423" spans="1:36" s="501" customFormat="1" ht="16.5" thickTop="1" thickBot="1">
      <c r="A423" s="636">
        <f>Data2025!G422</f>
        <v>416</v>
      </c>
      <c r="B423" s="637">
        <f>Data2025!K422</f>
        <v>0</v>
      </c>
      <c r="C423" s="638" t="str">
        <f>Data2025!D422</f>
        <v>07. 12. 02.</v>
      </c>
      <c r="D423" s="639" t="str">
        <f>Data2025!C422</f>
        <v>5.1.02.02.01.0026</v>
      </c>
      <c r="E423" s="265">
        <f>Data2025!E422</f>
        <v>0</v>
      </c>
      <c r="F423" s="640">
        <f>Data2025!F422</f>
        <v>0</v>
      </c>
      <c r="G423" s="265">
        <f>Data2025!H422</f>
        <v>0</v>
      </c>
      <c r="H423" s="265">
        <f t="shared" si="21"/>
        <v>0</v>
      </c>
      <c r="I423" s="641">
        <f>Data2025!J422</f>
        <v>0</v>
      </c>
      <c r="J423" s="381" t="str">
        <f>Data2025!L422</f>
        <v>Oksilia Buulolo, S.S</v>
      </c>
      <c r="K423" s="381" t="str">
        <f>Data2025!M422</f>
        <v>Gaji Pegawai Tidak Tetap Sekolah</v>
      </c>
      <c r="L423" s="642">
        <f>Data2025!N422</f>
        <v>1</v>
      </c>
      <c r="M423" s="642" t="str">
        <f>Data2025!O422</f>
        <v>bulan/orang</v>
      </c>
      <c r="N423" s="643">
        <f>Data2025!P422</f>
        <v>2000000</v>
      </c>
      <c r="O423" s="644">
        <f>Data2025!Q422</f>
        <v>2000000</v>
      </c>
      <c r="P423" s="645" t="s">
        <v>3867</v>
      </c>
      <c r="Q423" s="646" t="e">
        <f>VLOOKUP(K423,Sheet1!$C$1:$D$101,2,)</f>
        <v>#N/A</v>
      </c>
      <c r="R423" s="496">
        <v>69000</v>
      </c>
      <c r="S423" s="504">
        <v>75000</v>
      </c>
      <c r="T423" s="648">
        <f>Data2025!T422</f>
        <v>0</v>
      </c>
      <c r="U423" s="497" t="s">
        <v>538</v>
      </c>
      <c r="V423" s="648" t="e">
        <f>Data2025!V422</f>
        <v>#N/A</v>
      </c>
      <c r="W423" s="648" t="e">
        <f>Data2025!X422</f>
        <v>#N/A</v>
      </c>
      <c r="X423" s="497" t="s">
        <v>541</v>
      </c>
      <c r="Y423" s="268" t="str">
        <f t="shared" si="22"/>
        <v>Honorarium</v>
      </c>
      <c r="Z423" s="649" t="str">
        <f t="shared" si="23"/>
        <v>Honorarium</v>
      </c>
      <c r="AA423" s="498" t="s">
        <v>3365</v>
      </c>
      <c r="AB423" s="499">
        <v>23000</v>
      </c>
      <c r="AC423" s="499">
        <v>69000</v>
      </c>
      <c r="AD423" s="496">
        <v>69000</v>
      </c>
      <c r="AE423" s="500">
        <v>62162.16216216216</v>
      </c>
      <c r="AF423" s="500">
        <v>69000</v>
      </c>
      <c r="AG423" s="805" t="s">
        <v>3883</v>
      </c>
      <c r="AH423" s="651" t="e">
        <f>Data2025!W422</f>
        <v>#N/A</v>
      </c>
    </row>
    <row r="424" spans="1:36" s="501" customFormat="1" ht="16.5" thickTop="1" thickBot="1">
      <c r="A424" s="636">
        <f>Data2025!G423</f>
        <v>417</v>
      </c>
      <c r="B424" s="637">
        <f>Data2025!K423</f>
        <v>0</v>
      </c>
      <c r="C424" s="638" t="str">
        <f>Data2025!D423</f>
        <v>07. 12. 02.</v>
      </c>
      <c r="D424" s="639" t="str">
        <f>Data2025!C423</f>
        <v>5.1.02.02.01.0026</v>
      </c>
      <c r="E424" s="265">
        <f>Data2025!E423</f>
        <v>0</v>
      </c>
      <c r="F424" s="640">
        <f>Data2025!F423</f>
        <v>0</v>
      </c>
      <c r="G424" s="265">
        <f>Data2025!H423</f>
        <v>0</v>
      </c>
      <c r="H424" s="265">
        <f t="shared" si="21"/>
        <v>0</v>
      </c>
      <c r="I424" s="641">
        <f>Data2025!J423</f>
        <v>0</v>
      </c>
      <c r="J424" s="381" t="str">
        <f>Data2025!L423</f>
        <v>Novika Efdimasari Halawa, S.S.I</v>
      </c>
      <c r="K424" s="381" t="str">
        <f>Data2025!M423</f>
        <v>Gaji Pegawai Tidak Tetap Sekolah</v>
      </c>
      <c r="L424" s="642">
        <f>Data2025!N423</f>
        <v>1</v>
      </c>
      <c r="M424" s="642" t="str">
        <f>Data2025!O423</f>
        <v>bulan/orang</v>
      </c>
      <c r="N424" s="643">
        <f>Data2025!P423</f>
        <v>2000000</v>
      </c>
      <c r="O424" s="644">
        <f>Data2025!Q423</f>
        <v>2000000</v>
      </c>
      <c r="P424" s="645" t="s">
        <v>3867</v>
      </c>
      <c r="Q424" s="646" t="e">
        <f>VLOOKUP(K424,Sheet1!$C$1:$D$101,2,)</f>
        <v>#N/A</v>
      </c>
      <c r="R424" s="496">
        <v>125000</v>
      </c>
      <c r="S424" s="504">
        <v>135000</v>
      </c>
      <c r="T424" s="648">
        <f>Data2025!T423</f>
        <v>0</v>
      </c>
      <c r="U424" s="497" t="s">
        <v>538</v>
      </c>
      <c r="V424" s="648" t="e">
        <f>Data2025!V423</f>
        <v>#N/A</v>
      </c>
      <c r="W424" s="648" t="e">
        <f>Data2025!X423</f>
        <v>#N/A</v>
      </c>
      <c r="X424" s="497" t="s">
        <v>541</v>
      </c>
      <c r="Y424" s="268" t="str">
        <f t="shared" si="22"/>
        <v>Honorarium</v>
      </c>
      <c r="Z424" s="649" t="str">
        <f t="shared" si="23"/>
        <v>Honorarium</v>
      </c>
      <c r="AA424" s="498" t="s">
        <v>3368</v>
      </c>
      <c r="AB424" s="499">
        <v>25000</v>
      </c>
      <c r="AC424" s="499">
        <v>125000</v>
      </c>
      <c r="AD424" s="496">
        <v>125000</v>
      </c>
      <c r="AE424" s="500">
        <v>112612.61261261262</v>
      </c>
      <c r="AF424" s="500">
        <v>125000</v>
      </c>
      <c r="AG424" s="805" t="s">
        <v>3883</v>
      </c>
      <c r="AH424" s="651" t="e">
        <f>Data2025!W423</f>
        <v>#N/A</v>
      </c>
    </row>
    <row r="425" spans="1:36" ht="16.5" thickTop="1" thickBot="1">
      <c r="A425" s="636">
        <f>Data2025!G424</f>
        <v>418</v>
      </c>
      <c r="B425" s="637">
        <f>Data2025!K424</f>
        <v>0</v>
      </c>
      <c r="C425" s="638" t="str">
        <f>Data2025!D424</f>
        <v>07. 12. 04.</v>
      </c>
      <c r="D425" s="639" t="str">
        <f>Data2025!C424</f>
        <v>5.1.02.02.01.0016</v>
      </c>
      <c r="E425" s="265">
        <f>Data2025!E424</f>
        <v>0</v>
      </c>
      <c r="F425" s="640">
        <f>Data2025!F424</f>
        <v>0</v>
      </c>
      <c r="G425" s="265">
        <f>Data2025!H424</f>
        <v>0</v>
      </c>
      <c r="H425" s="265">
        <f t="shared" si="21"/>
        <v>0</v>
      </c>
      <c r="I425" s="641">
        <f>Data2025!J424</f>
        <v>0</v>
      </c>
      <c r="J425" s="381" t="str">
        <f>Data2025!L424</f>
        <v>Zefrianus Zai</v>
      </c>
      <c r="K425" s="381" t="str">
        <f>Data2025!M424</f>
        <v>Gaji Pegawai Tidak Tetap Sekolah</v>
      </c>
      <c r="L425" s="642">
        <f>Data2025!N424</f>
        <v>1</v>
      </c>
      <c r="M425" s="642" t="str">
        <f>Data2025!O424</f>
        <v>bulan/orang</v>
      </c>
      <c r="N425" s="643">
        <f>Data2025!P424</f>
        <v>2000000</v>
      </c>
      <c r="O425" s="644">
        <f>Data2025!Q424</f>
        <v>2000000</v>
      </c>
      <c r="P425" s="645" t="s">
        <v>3867</v>
      </c>
      <c r="Q425" s="646" t="e">
        <f>VLOOKUP(K425,Sheet1!$C$1:$D$101,2,)</f>
        <v>#N/A</v>
      </c>
      <c r="R425" s="496">
        <v>209000</v>
      </c>
      <c r="S425" s="504">
        <v>229000</v>
      </c>
      <c r="T425" s="648">
        <f>Data2025!T424</f>
        <v>0</v>
      </c>
      <c r="U425" s="497" t="s">
        <v>538</v>
      </c>
      <c r="V425" s="648" t="e">
        <f>Data2025!V424</f>
        <v>#N/A</v>
      </c>
      <c r="W425" s="648" t="e">
        <f>Data2025!X424</f>
        <v>#N/A</v>
      </c>
      <c r="X425" s="497" t="s">
        <v>541</v>
      </c>
      <c r="Y425" s="268" t="str">
        <f t="shared" si="22"/>
        <v>Honorarium</v>
      </c>
      <c r="Z425" s="649" t="str">
        <f t="shared" si="23"/>
        <v>Honorarium</v>
      </c>
      <c r="AA425" s="498" t="s">
        <v>3363</v>
      </c>
      <c r="AB425" s="269">
        <v>20900</v>
      </c>
      <c r="AC425" s="269">
        <v>209000</v>
      </c>
      <c r="AD425" s="267">
        <v>209000</v>
      </c>
      <c r="AE425" s="270">
        <v>188288.28828828828</v>
      </c>
      <c r="AF425" s="270">
        <v>209000</v>
      </c>
      <c r="AG425" s="805" t="s">
        <v>3883</v>
      </c>
      <c r="AH425" s="651" t="e">
        <f>Data2025!W424</f>
        <v>#N/A</v>
      </c>
    </row>
    <row r="426" spans="1:36" ht="16.5" thickTop="1" thickBot="1">
      <c r="A426" s="636">
        <f>Data2025!G425</f>
        <v>419</v>
      </c>
      <c r="B426" s="637">
        <f>Data2025!K425</f>
        <v>0</v>
      </c>
      <c r="C426" s="638" t="str">
        <f>Data2025!D425</f>
        <v>07. 12. 04.</v>
      </c>
      <c r="D426" s="639" t="str">
        <f>Data2025!C425</f>
        <v>5.1.02.02.01.0030</v>
      </c>
      <c r="E426" s="265">
        <f>Data2025!E425</f>
        <v>0</v>
      </c>
      <c r="F426" s="640">
        <f>Data2025!F425</f>
        <v>0</v>
      </c>
      <c r="G426" s="265">
        <f>Data2025!H425</f>
        <v>0</v>
      </c>
      <c r="H426" s="265">
        <f t="shared" si="21"/>
        <v>0</v>
      </c>
      <c r="I426" s="641">
        <f>Data2025!J425</f>
        <v>0</v>
      </c>
      <c r="J426" s="381" t="str">
        <f>Data2025!L425</f>
        <v>Thomas Hondro</v>
      </c>
      <c r="K426" s="381" t="str">
        <f>Data2025!M425</f>
        <v>Gaji Pegawai Tidak Tetap Sekolah</v>
      </c>
      <c r="L426" s="642">
        <f>Data2025!N425</f>
        <v>1</v>
      </c>
      <c r="M426" s="642" t="str">
        <f>Data2025!O425</f>
        <v>bulan</v>
      </c>
      <c r="N426" s="643">
        <f>Data2025!P425</f>
        <v>1000000</v>
      </c>
      <c r="O426" s="644">
        <f>Data2025!Q425</f>
        <v>1000000</v>
      </c>
      <c r="P426" s="645" t="s">
        <v>3867</v>
      </c>
      <c r="Q426" s="646" t="e">
        <f>VLOOKUP(K426,Sheet1!$C$1:$D$101,2,)</f>
        <v>#N/A</v>
      </c>
      <c r="R426" s="496">
        <v>10000</v>
      </c>
      <c r="S426" s="504">
        <v>14000</v>
      </c>
      <c r="T426" s="648">
        <f>Data2025!T425</f>
        <v>0</v>
      </c>
      <c r="U426" s="497" t="s">
        <v>538</v>
      </c>
      <c r="V426" s="648" t="e">
        <f>Data2025!V425</f>
        <v>#N/A</v>
      </c>
      <c r="W426" s="648" t="e">
        <f>Data2025!X425</f>
        <v>#N/A</v>
      </c>
      <c r="X426" s="497" t="s">
        <v>541</v>
      </c>
      <c r="Y426" s="268" t="str">
        <f t="shared" si="22"/>
        <v>Honorarium</v>
      </c>
      <c r="Z426" s="649" t="str">
        <f t="shared" si="23"/>
        <v>Honorarium</v>
      </c>
      <c r="AA426" s="498" t="s">
        <v>3362</v>
      </c>
      <c r="AB426" s="269">
        <v>5000</v>
      </c>
      <c r="AC426" s="269">
        <v>10000</v>
      </c>
      <c r="AD426" s="267">
        <v>10000</v>
      </c>
      <c r="AE426" s="270">
        <v>9009.0090090090089</v>
      </c>
      <c r="AF426" s="270">
        <v>10000</v>
      </c>
      <c r="AG426" s="805" t="s">
        <v>3883</v>
      </c>
      <c r="AH426" s="651" t="e">
        <f>Data2025!W425</f>
        <v>#N/A</v>
      </c>
      <c r="AI426" s="277"/>
      <c r="AJ426" s="277"/>
    </row>
    <row r="427" spans="1:36" ht="16.5" thickTop="1" thickBot="1">
      <c r="A427" s="636">
        <f>Data2025!G426</f>
        <v>0</v>
      </c>
      <c r="B427" s="637">
        <f>Data2025!K426</f>
        <v>0</v>
      </c>
      <c r="C427" s="638">
        <f>Data2025!D426</f>
        <v>0</v>
      </c>
      <c r="D427" s="639">
        <f>Data2025!C426</f>
        <v>0</v>
      </c>
      <c r="E427" s="265">
        <f>Data2025!E426</f>
        <v>0</v>
      </c>
      <c r="F427" s="640">
        <f>Data2025!F426</f>
        <v>0</v>
      </c>
      <c r="G427" s="265">
        <f>Data2025!H426</f>
        <v>0</v>
      </c>
      <c r="H427" s="265">
        <f t="shared" si="21"/>
        <v>0</v>
      </c>
      <c r="I427" s="641">
        <f>Data2025!J426</f>
        <v>0</v>
      </c>
      <c r="J427" s="381">
        <f>Data2025!L426</f>
        <v>0</v>
      </c>
      <c r="K427" s="381">
        <f>Data2025!M426</f>
        <v>0</v>
      </c>
      <c r="L427" s="642">
        <f>Data2025!N426</f>
        <v>0</v>
      </c>
      <c r="M427" s="642">
        <f>Data2025!O426</f>
        <v>0</v>
      </c>
      <c r="N427" s="643">
        <f>Data2025!P426</f>
        <v>0</v>
      </c>
      <c r="O427" s="644">
        <f>Data2025!Q426</f>
        <v>552986800</v>
      </c>
      <c r="P427" s="645" t="s">
        <v>710</v>
      </c>
      <c r="Q427" s="646" t="e">
        <f>VLOOKUP(K427,Sheet1!$C$1:$D$101,2,)</f>
        <v>#N/A</v>
      </c>
      <c r="R427" s="496">
        <v>235000</v>
      </c>
      <c r="S427" s="504">
        <v>237000</v>
      </c>
      <c r="T427" s="648">
        <f>Data2025!T426</f>
        <v>0</v>
      </c>
      <c r="U427" s="497" t="s">
        <v>538</v>
      </c>
      <c r="V427" s="648">
        <f>Data2025!V426</f>
        <v>0</v>
      </c>
      <c r="W427" s="648">
        <f>Data2025!X426</f>
        <v>0</v>
      </c>
      <c r="X427" s="497" t="s">
        <v>541</v>
      </c>
      <c r="Y427" s="268" t="str">
        <f t="shared" si="22"/>
        <v>Alat Tulis Kantor (ATK)</v>
      </c>
      <c r="Z427" s="649" t="str">
        <f t="shared" si="23"/>
        <v>Alat Tulis Kantor (ATK)</v>
      </c>
      <c r="AA427" s="498" t="s">
        <v>3364</v>
      </c>
      <c r="AB427" s="269">
        <v>235000</v>
      </c>
      <c r="AC427" s="269">
        <v>235000</v>
      </c>
      <c r="AD427" s="267">
        <v>235000</v>
      </c>
      <c r="AE427" s="270">
        <v>211711.71171171172</v>
      </c>
      <c r="AF427" s="270">
        <v>235000</v>
      </c>
      <c r="AG427" s="805" t="s">
        <v>3883</v>
      </c>
      <c r="AH427" s="651">
        <f>Data2025!W426</f>
        <v>0</v>
      </c>
    </row>
    <row r="428" spans="1:36" s="501" customFormat="1" ht="16.5" thickTop="1" thickBot="1">
      <c r="A428" s="636">
        <f>Data2025!G427</f>
        <v>0</v>
      </c>
      <c r="B428" s="637">
        <f>Data2025!K427</f>
        <v>0</v>
      </c>
      <c r="C428" s="638">
        <f>Data2025!D427</f>
        <v>0</v>
      </c>
      <c r="D428" s="639">
        <f>Data2025!C427</f>
        <v>0</v>
      </c>
      <c r="E428" s="265">
        <f>Data2025!E427</f>
        <v>0</v>
      </c>
      <c r="F428" s="640">
        <f>Data2025!F427</f>
        <v>0</v>
      </c>
      <c r="G428" s="265">
        <f>Data2025!H427</f>
        <v>0</v>
      </c>
      <c r="H428" s="265">
        <f t="shared" si="21"/>
        <v>0</v>
      </c>
      <c r="I428" s="641">
        <f>Data2025!J427</f>
        <v>0</v>
      </c>
      <c r="J428" s="381">
        <f>Data2025!L427</f>
        <v>0</v>
      </c>
      <c r="K428" s="381">
        <f>Data2025!M427</f>
        <v>0</v>
      </c>
      <c r="L428" s="642">
        <f>Data2025!N427</f>
        <v>0</v>
      </c>
      <c r="M428" s="642">
        <f>Data2025!O427</f>
        <v>0</v>
      </c>
      <c r="N428" s="643">
        <f>Data2025!P427</f>
        <v>0</v>
      </c>
      <c r="O428" s="644">
        <f>Data2025!Q427</f>
        <v>0</v>
      </c>
      <c r="P428" s="645" t="s">
        <v>710</v>
      </c>
      <c r="Q428" s="646" t="e">
        <f>VLOOKUP(K428,Sheet1!$C$1:$D$101,2,)</f>
        <v>#N/A</v>
      </c>
      <c r="R428" s="496">
        <v>450000</v>
      </c>
      <c r="S428" s="504">
        <v>454000</v>
      </c>
      <c r="T428" s="648">
        <f>Data2025!T427</f>
        <v>0</v>
      </c>
      <c r="U428" s="497" t="s">
        <v>538</v>
      </c>
      <c r="V428" s="648">
        <f>Data2025!V427</f>
        <v>0</v>
      </c>
      <c r="W428" s="648">
        <f>Data2025!X427</f>
        <v>0</v>
      </c>
      <c r="X428" s="497" t="s">
        <v>541</v>
      </c>
      <c r="Y428" s="268" t="str">
        <f t="shared" si="22"/>
        <v>Alat Tulis Kantor (ATK)</v>
      </c>
      <c r="Z428" s="649" t="str">
        <f t="shared" si="23"/>
        <v>Alat Tulis Kantor (ATK)</v>
      </c>
      <c r="AA428" s="498" t="s">
        <v>3364</v>
      </c>
      <c r="AB428" s="499">
        <v>225000</v>
      </c>
      <c r="AC428" s="499">
        <v>450000</v>
      </c>
      <c r="AD428" s="496">
        <v>450000</v>
      </c>
      <c r="AE428" s="500">
        <v>405405.40540540538</v>
      </c>
      <c r="AF428" s="500">
        <v>450000</v>
      </c>
      <c r="AG428" s="805" t="s">
        <v>3883</v>
      </c>
      <c r="AH428" s="651">
        <f>Data2025!W427</f>
        <v>0</v>
      </c>
    </row>
    <row r="429" spans="1:36" s="287" customFormat="1" ht="16.5" thickTop="1" thickBot="1">
      <c r="A429" s="636">
        <f>Data2025!G428</f>
        <v>0</v>
      </c>
      <c r="B429" s="637">
        <f>Data2025!K428</f>
        <v>0</v>
      </c>
      <c r="C429" s="638">
        <f>Data2025!D428</f>
        <v>0</v>
      </c>
      <c r="D429" s="639">
        <f>Data2025!C428</f>
        <v>0</v>
      </c>
      <c r="E429" s="265">
        <f>Data2025!E428</f>
        <v>0</v>
      </c>
      <c r="F429" s="640">
        <f>Data2025!F428</f>
        <v>0</v>
      </c>
      <c r="G429" s="265">
        <f>Data2025!H428</f>
        <v>0</v>
      </c>
      <c r="H429" s="265">
        <f t="shared" si="21"/>
        <v>0</v>
      </c>
      <c r="I429" s="641">
        <f>Data2025!J428</f>
        <v>0</v>
      </c>
      <c r="J429" s="381">
        <f>Data2025!L428</f>
        <v>0</v>
      </c>
      <c r="K429" s="381">
        <f>Data2025!M428</f>
        <v>0</v>
      </c>
      <c r="L429" s="642">
        <f>Data2025!N428</f>
        <v>0</v>
      </c>
      <c r="M429" s="642">
        <f>Data2025!O428</f>
        <v>0</v>
      </c>
      <c r="N429" s="643">
        <f>Data2025!P428</f>
        <v>0</v>
      </c>
      <c r="O429" s="644">
        <f>Data2025!Q428</f>
        <v>0</v>
      </c>
      <c r="P429" s="645" t="s">
        <v>710</v>
      </c>
      <c r="Q429" s="646" t="e">
        <f>VLOOKUP(K429,Sheet1!$C$1:$D$101,2,)</f>
        <v>#N/A</v>
      </c>
      <c r="R429" s="496">
        <v>440000</v>
      </c>
      <c r="S429" s="504">
        <v>448000</v>
      </c>
      <c r="T429" s="648">
        <f>Data2025!T428</f>
        <v>0</v>
      </c>
      <c r="U429" s="497" t="s">
        <v>538</v>
      </c>
      <c r="V429" s="648">
        <f>Data2025!V428</f>
        <v>0</v>
      </c>
      <c r="W429" s="648">
        <f>Data2025!X428</f>
        <v>0</v>
      </c>
      <c r="X429" s="497" t="s">
        <v>541</v>
      </c>
      <c r="Y429" s="268" t="str">
        <f t="shared" si="22"/>
        <v>Alat Tulis Kantor (ATK)</v>
      </c>
      <c r="Z429" s="649" t="str">
        <f t="shared" si="23"/>
        <v>Alat Tulis Kantor (ATK)</v>
      </c>
      <c r="AA429" s="498" t="s">
        <v>3367</v>
      </c>
      <c r="AB429" s="269">
        <v>110000</v>
      </c>
      <c r="AC429" s="269">
        <v>440000</v>
      </c>
      <c r="AD429" s="267">
        <v>440000</v>
      </c>
      <c r="AE429" s="270">
        <v>396396.39639639639</v>
      </c>
      <c r="AF429" s="270">
        <v>440000</v>
      </c>
      <c r="AG429" s="805" t="s">
        <v>3883</v>
      </c>
      <c r="AH429" s="651">
        <f>Data2025!W428</f>
        <v>0</v>
      </c>
    </row>
    <row r="430" spans="1:36" s="501" customFormat="1" ht="16.5" thickTop="1" thickBot="1">
      <c r="A430" s="636">
        <f>Data2025!G429</f>
        <v>0</v>
      </c>
      <c r="B430" s="637">
        <f>Data2025!K429</f>
        <v>0</v>
      </c>
      <c r="C430" s="638">
        <f>Data2025!D429</f>
        <v>0</v>
      </c>
      <c r="D430" s="639">
        <f>Data2025!C429</f>
        <v>0</v>
      </c>
      <c r="E430" s="265">
        <f>Data2025!E429</f>
        <v>0</v>
      </c>
      <c r="F430" s="640">
        <f>Data2025!F429</f>
        <v>0</v>
      </c>
      <c r="G430" s="265">
        <f>Data2025!H429</f>
        <v>0</v>
      </c>
      <c r="H430" s="265">
        <f t="shared" si="21"/>
        <v>0</v>
      </c>
      <c r="I430" s="641">
        <f>Data2025!J429</f>
        <v>0</v>
      </c>
      <c r="J430" s="381">
        <f>Data2025!L429</f>
        <v>0</v>
      </c>
      <c r="K430" s="381">
        <f>Data2025!M429</f>
        <v>0</v>
      </c>
      <c r="L430" s="642">
        <f>Data2025!N429</f>
        <v>0</v>
      </c>
      <c r="M430" s="642">
        <f>Data2025!O429</f>
        <v>0</v>
      </c>
      <c r="N430" s="643">
        <f>Data2025!P429</f>
        <v>0</v>
      </c>
      <c r="O430" s="644">
        <f>Data2025!Q429</f>
        <v>0</v>
      </c>
      <c r="P430" s="645" t="s">
        <v>710</v>
      </c>
      <c r="Q430" s="646" t="e">
        <f>VLOOKUP(K430,Sheet1!$C$1:$D$101,2,)</f>
        <v>#N/A</v>
      </c>
      <c r="R430" s="496">
        <v>426000</v>
      </c>
      <c r="S430" s="504">
        <v>450000</v>
      </c>
      <c r="T430" s="648">
        <f>Data2025!T429</f>
        <v>0</v>
      </c>
      <c r="U430" s="497" t="s">
        <v>538</v>
      </c>
      <c r="V430" s="648">
        <f>Data2025!V429</f>
        <v>0</v>
      </c>
      <c r="W430" s="648">
        <f>Data2025!X429</f>
        <v>0</v>
      </c>
      <c r="X430" s="497" t="s">
        <v>541</v>
      </c>
      <c r="Y430" s="268" t="str">
        <f t="shared" si="22"/>
        <v>Alat Tulis Kantor (ATK)</v>
      </c>
      <c r="Z430" s="649" t="str">
        <f t="shared" si="23"/>
        <v>Alat Tulis Kantor (ATK)</v>
      </c>
      <c r="AA430" s="498" t="s">
        <v>3363</v>
      </c>
      <c r="AB430" s="499">
        <v>35500</v>
      </c>
      <c r="AC430" s="499">
        <v>426000</v>
      </c>
      <c r="AD430" s="496">
        <v>426000</v>
      </c>
      <c r="AE430" s="500">
        <v>383783.78378378379</v>
      </c>
      <c r="AF430" s="500">
        <v>426000</v>
      </c>
      <c r="AG430" s="805" t="s">
        <v>3883</v>
      </c>
      <c r="AH430" s="651">
        <f>Data2025!W429</f>
        <v>0</v>
      </c>
    </row>
    <row r="431" spans="1:36" s="501" customFormat="1" ht="16.5" thickTop="1" thickBot="1">
      <c r="A431" s="636">
        <f>Data2025!G430</f>
        <v>0</v>
      </c>
      <c r="B431" s="637">
        <f>Data2025!K430</f>
        <v>0</v>
      </c>
      <c r="C431" s="638">
        <f>Data2025!D430</f>
        <v>0</v>
      </c>
      <c r="D431" s="639">
        <f>Data2025!C430</f>
        <v>0</v>
      </c>
      <c r="E431" s="265">
        <f>Data2025!E430</f>
        <v>0</v>
      </c>
      <c r="F431" s="640">
        <f>Data2025!F430</f>
        <v>0</v>
      </c>
      <c r="G431" s="265">
        <f>Data2025!H430</f>
        <v>0</v>
      </c>
      <c r="H431" s="265">
        <f t="shared" si="21"/>
        <v>0</v>
      </c>
      <c r="I431" s="641">
        <f>Data2025!J430</f>
        <v>0</v>
      </c>
      <c r="J431" s="381">
        <f>Data2025!L430</f>
        <v>0</v>
      </c>
      <c r="K431" s="381">
        <f>Data2025!M430</f>
        <v>0</v>
      </c>
      <c r="L431" s="642">
        <f>Data2025!N430</f>
        <v>0</v>
      </c>
      <c r="M431" s="642">
        <f>Data2025!O430</f>
        <v>0</v>
      </c>
      <c r="N431" s="643">
        <f>Data2025!P430</f>
        <v>0</v>
      </c>
      <c r="O431" s="644">
        <f>Data2025!Q430</f>
        <v>0</v>
      </c>
      <c r="P431" s="645" t="s">
        <v>710</v>
      </c>
      <c r="Q431" s="646" t="e">
        <f>VLOOKUP(K431,Sheet1!$C$1:$D$101,2,)</f>
        <v>#N/A</v>
      </c>
      <c r="R431" s="496">
        <v>50000</v>
      </c>
      <c r="S431" s="504">
        <v>54000</v>
      </c>
      <c r="T431" s="648">
        <f>Data2025!T430</f>
        <v>0</v>
      </c>
      <c r="U431" s="497" t="s">
        <v>538</v>
      </c>
      <c r="V431" s="648">
        <f>Data2025!V430</f>
        <v>0</v>
      </c>
      <c r="W431" s="648">
        <f>Data2025!X430</f>
        <v>0</v>
      </c>
      <c r="X431" s="497" t="s">
        <v>541</v>
      </c>
      <c r="Y431" s="268" t="str">
        <f t="shared" si="22"/>
        <v>Alat Tulis Kantor (ATK)</v>
      </c>
      <c r="Z431" s="649" t="str">
        <f t="shared" si="23"/>
        <v>Alat Tulis Kantor (ATK)</v>
      </c>
      <c r="AA431" s="498" t="s">
        <v>3363</v>
      </c>
      <c r="AB431" s="499">
        <v>25000</v>
      </c>
      <c r="AC431" s="499">
        <v>50000</v>
      </c>
      <c r="AD431" s="496">
        <v>50000</v>
      </c>
      <c r="AE431" s="500">
        <v>45045.045045045044</v>
      </c>
      <c r="AF431" s="500">
        <v>50000</v>
      </c>
      <c r="AG431" s="805" t="s">
        <v>3883</v>
      </c>
      <c r="AH431" s="651">
        <f>Data2025!W430</f>
        <v>0</v>
      </c>
    </row>
    <row r="432" spans="1:36" s="501" customFormat="1" ht="16.5" thickTop="1" thickBot="1">
      <c r="A432" s="636">
        <f>Data2025!G431</f>
        <v>0</v>
      </c>
      <c r="B432" s="637">
        <f>Data2025!K431</f>
        <v>0</v>
      </c>
      <c r="C432" s="638">
        <f>Data2025!D431</f>
        <v>0</v>
      </c>
      <c r="D432" s="639">
        <f>Data2025!C431</f>
        <v>0</v>
      </c>
      <c r="E432" s="265">
        <f>Data2025!E431</f>
        <v>0</v>
      </c>
      <c r="F432" s="640">
        <f>Data2025!F431</f>
        <v>0</v>
      </c>
      <c r="G432" s="265">
        <f>Data2025!H431</f>
        <v>0</v>
      </c>
      <c r="H432" s="265">
        <f t="shared" si="21"/>
        <v>0</v>
      </c>
      <c r="I432" s="641">
        <f>Data2025!J431</f>
        <v>0</v>
      </c>
      <c r="J432" s="381">
        <f>Data2025!L431</f>
        <v>0</v>
      </c>
      <c r="K432" s="381">
        <f>Data2025!M431</f>
        <v>0</v>
      </c>
      <c r="L432" s="642">
        <f>Data2025!N431</f>
        <v>0</v>
      </c>
      <c r="M432" s="642">
        <f>Data2025!O431</f>
        <v>0</v>
      </c>
      <c r="N432" s="643">
        <f>Data2025!P431</f>
        <v>0</v>
      </c>
      <c r="O432" s="644">
        <f>Data2025!Q431</f>
        <v>0</v>
      </c>
      <c r="P432" s="645" t="s">
        <v>710</v>
      </c>
      <c r="Q432" s="646" t="e">
        <f>VLOOKUP(K432,Sheet1!$C$1:$D$101,2,)</f>
        <v>#N/A</v>
      </c>
      <c r="R432" s="496">
        <v>45000</v>
      </c>
      <c r="S432" s="504">
        <v>47000</v>
      </c>
      <c r="T432" s="648">
        <f>Data2025!T431</f>
        <v>0</v>
      </c>
      <c r="U432" s="497" t="s">
        <v>538</v>
      </c>
      <c r="V432" s="648">
        <f>Data2025!V431</f>
        <v>0</v>
      </c>
      <c r="W432" s="648">
        <f>Data2025!X431</f>
        <v>0</v>
      </c>
      <c r="X432" s="497" t="s">
        <v>541</v>
      </c>
      <c r="Y432" s="268" t="str">
        <f t="shared" si="22"/>
        <v>Alat Tulis Kantor (ATK)</v>
      </c>
      <c r="Z432" s="649" t="str">
        <f t="shared" si="23"/>
        <v>Alat Tulis Kantor (ATK)</v>
      </c>
      <c r="AA432" s="498" t="s">
        <v>3365</v>
      </c>
      <c r="AB432" s="499">
        <v>45000</v>
      </c>
      <c r="AC432" s="499">
        <v>45000</v>
      </c>
      <c r="AD432" s="496">
        <v>45000</v>
      </c>
      <c r="AE432" s="500">
        <v>40540.54054054054</v>
      </c>
      <c r="AF432" s="500">
        <v>45000</v>
      </c>
      <c r="AG432" s="805" t="s">
        <v>3883</v>
      </c>
      <c r="AH432" s="651">
        <f>Data2025!W431</f>
        <v>0</v>
      </c>
    </row>
    <row r="433" spans="1:36" s="503" customFormat="1" ht="16.5" thickTop="1" thickBot="1">
      <c r="A433" s="636">
        <f>Data2025!G432</f>
        <v>0</v>
      </c>
      <c r="B433" s="637">
        <f>Data2025!K432</f>
        <v>0</v>
      </c>
      <c r="C433" s="638">
        <f>Data2025!D432</f>
        <v>0</v>
      </c>
      <c r="D433" s="639">
        <f>Data2025!C432</f>
        <v>0</v>
      </c>
      <c r="E433" s="265">
        <f>Data2025!E432</f>
        <v>0</v>
      </c>
      <c r="F433" s="640">
        <f>Data2025!F432</f>
        <v>0</v>
      </c>
      <c r="G433" s="265">
        <f>Data2025!H432</f>
        <v>0</v>
      </c>
      <c r="H433" s="265">
        <f t="shared" si="21"/>
        <v>0</v>
      </c>
      <c r="I433" s="641">
        <f>Data2025!J432</f>
        <v>0</v>
      </c>
      <c r="J433" s="381">
        <f>Data2025!L432</f>
        <v>0</v>
      </c>
      <c r="K433" s="381">
        <f>Data2025!M432</f>
        <v>0</v>
      </c>
      <c r="L433" s="642">
        <f>Data2025!N432</f>
        <v>0</v>
      </c>
      <c r="M433" s="642">
        <f>Data2025!O432</f>
        <v>0</v>
      </c>
      <c r="N433" s="643">
        <f>Data2025!P432</f>
        <v>0</v>
      </c>
      <c r="O433" s="644">
        <f>Data2025!Q432</f>
        <v>0</v>
      </c>
      <c r="P433" s="645" t="s">
        <v>710</v>
      </c>
      <c r="Q433" s="646" t="e">
        <f>VLOOKUP(K433,Sheet1!$C$1:$D$101,2,)</f>
        <v>#N/A</v>
      </c>
      <c r="R433" s="496">
        <v>77500</v>
      </c>
      <c r="S433" s="504">
        <v>87500</v>
      </c>
      <c r="T433" s="648">
        <f>Data2025!T432</f>
        <v>0</v>
      </c>
      <c r="U433" s="497" t="s">
        <v>538</v>
      </c>
      <c r="V433" s="648">
        <f>Data2025!V432</f>
        <v>0</v>
      </c>
      <c r="W433" s="648">
        <f>Data2025!X432</f>
        <v>0</v>
      </c>
      <c r="X433" s="497" t="s">
        <v>541</v>
      </c>
      <c r="Y433" s="268" t="str">
        <f t="shared" si="22"/>
        <v>Alat Tulis Kantor (ATK)</v>
      </c>
      <c r="Z433" s="649" t="str">
        <f t="shared" si="23"/>
        <v>Alat Tulis Kantor (ATK)</v>
      </c>
      <c r="AA433" s="498" t="s">
        <v>3363</v>
      </c>
      <c r="AB433" s="499">
        <v>15500</v>
      </c>
      <c r="AC433" s="499">
        <v>77500</v>
      </c>
      <c r="AD433" s="496">
        <v>77500</v>
      </c>
      <c r="AE433" s="500">
        <v>69819.819819819822</v>
      </c>
      <c r="AF433" s="500">
        <v>77500</v>
      </c>
      <c r="AG433" s="805" t="s">
        <v>3883</v>
      </c>
      <c r="AH433" s="651">
        <f>Data2025!W432</f>
        <v>0</v>
      </c>
    </row>
    <row r="434" spans="1:36" s="501" customFormat="1" ht="16.5" thickTop="1" thickBot="1">
      <c r="A434" s="636">
        <f>Data2025!G433</f>
        <v>0</v>
      </c>
      <c r="B434" s="637">
        <f>Data2025!K433</f>
        <v>0</v>
      </c>
      <c r="C434" s="638">
        <f>Data2025!D433</f>
        <v>0</v>
      </c>
      <c r="D434" s="639">
        <f>Data2025!C433</f>
        <v>0</v>
      </c>
      <c r="E434" s="265">
        <f>Data2025!E433</f>
        <v>0</v>
      </c>
      <c r="F434" s="640">
        <f>Data2025!F433</f>
        <v>0</v>
      </c>
      <c r="G434" s="265">
        <f>Data2025!H433</f>
        <v>0</v>
      </c>
      <c r="H434" s="265">
        <f t="shared" si="21"/>
        <v>0</v>
      </c>
      <c r="I434" s="641">
        <f>Data2025!J433</f>
        <v>0</v>
      </c>
      <c r="J434" s="381">
        <f>Data2025!L433</f>
        <v>0</v>
      </c>
      <c r="K434" s="381">
        <f>Data2025!M433</f>
        <v>0</v>
      </c>
      <c r="L434" s="642">
        <f>Data2025!N433</f>
        <v>0</v>
      </c>
      <c r="M434" s="642">
        <f>Data2025!O433</f>
        <v>0</v>
      </c>
      <c r="N434" s="643">
        <f>Data2025!P433</f>
        <v>0</v>
      </c>
      <c r="O434" s="644">
        <f>Data2025!Q433</f>
        <v>0</v>
      </c>
      <c r="P434" s="645" t="s">
        <v>710</v>
      </c>
      <c r="Q434" s="646" t="e">
        <f>VLOOKUP(K434,Sheet1!$C$1:$D$101,2,)</f>
        <v>#N/A</v>
      </c>
      <c r="R434" s="496">
        <v>30000</v>
      </c>
      <c r="S434" s="504">
        <v>40000</v>
      </c>
      <c r="T434" s="648">
        <f>Data2025!T433</f>
        <v>0</v>
      </c>
      <c r="U434" s="497" t="s">
        <v>538</v>
      </c>
      <c r="V434" s="648">
        <f>Data2025!V433</f>
        <v>0</v>
      </c>
      <c r="W434" s="648">
        <f>Data2025!X433</f>
        <v>0</v>
      </c>
      <c r="X434" s="497" t="s">
        <v>541</v>
      </c>
      <c r="Y434" s="268" t="str">
        <f t="shared" si="22"/>
        <v>Alat Tulis Kantor (ATK)</v>
      </c>
      <c r="Z434" s="649" t="str">
        <f t="shared" si="23"/>
        <v>Alat Tulis Kantor (ATK)</v>
      </c>
      <c r="AA434" s="498" t="s">
        <v>3362</v>
      </c>
      <c r="AB434" s="499">
        <v>6000</v>
      </c>
      <c r="AC434" s="499">
        <v>30000</v>
      </c>
      <c r="AD434" s="496">
        <v>30000</v>
      </c>
      <c r="AE434" s="500">
        <v>27027.027027027027</v>
      </c>
      <c r="AF434" s="500">
        <v>30000</v>
      </c>
      <c r="AG434" s="805" t="s">
        <v>3883</v>
      </c>
      <c r="AH434" s="651">
        <f>Data2025!W433</f>
        <v>0</v>
      </c>
    </row>
    <row r="435" spans="1:36" s="501" customFormat="1" ht="16.5" thickTop="1" thickBot="1">
      <c r="A435" s="636">
        <f>Data2025!G434</f>
        <v>0</v>
      </c>
      <c r="B435" s="637">
        <f>Data2025!K434</f>
        <v>0</v>
      </c>
      <c r="C435" s="638">
        <f>Data2025!D434</f>
        <v>0</v>
      </c>
      <c r="D435" s="639">
        <f>Data2025!C434</f>
        <v>0</v>
      </c>
      <c r="E435" s="265">
        <f>Data2025!E434</f>
        <v>0</v>
      </c>
      <c r="F435" s="640">
        <f>Data2025!F434</f>
        <v>0</v>
      </c>
      <c r="G435" s="265">
        <f>Data2025!H434</f>
        <v>0</v>
      </c>
      <c r="H435" s="265">
        <f t="shared" si="21"/>
        <v>0</v>
      </c>
      <c r="I435" s="641">
        <f>Data2025!J434</f>
        <v>0</v>
      </c>
      <c r="J435" s="381">
        <f>Data2025!L434</f>
        <v>0</v>
      </c>
      <c r="K435" s="381">
        <f>Data2025!M434</f>
        <v>0</v>
      </c>
      <c r="L435" s="642">
        <f>Data2025!N434</f>
        <v>0</v>
      </c>
      <c r="M435" s="642">
        <f>Data2025!O434</f>
        <v>0</v>
      </c>
      <c r="N435" s="643">
        <f>Data2025!P434</f>
        <v>0</v>
      </c>
      <c r="O435" s="644">
        <f>Data2025!Q434</f>
        <v>0</v>
      </c>
      <c r="P435" s="645" t="s">
        <v>710</v>
      </c>
      <c r="Q435" s="646" t="e">
        <f>VLOOKUP(K435,Sheet1!$C$1:$D$101,2,)</f>
        <v>#N/A</v>
      </c>
      <c r="R435" s="496">
        <v>125000</v>
      </c>
      <c r="S435" s="504">
        <v>135000</v>
      </c>
      <c r="T435" s="648">
        <f>Data2025!T434</f>
        <v>0</v>
      </c>
      <c r="U435" s="497" t="s">
        <v>538</v>
      </c>
      <c r="V435" s="648">
        <f>Data2025!V434</f>
        <v>0</v>
      </c>
      <c r="W435" s="648">
        <f>Data2025!X434</f>
        <v>0</v>
      </c>
      <c r="X435" s="497" t="s">
        <v>541</v>
      </c>
      <c r="Y435" s="268" t="str">
        <f t="shared" si="22"/>
        <v>Alat Tulis Kantor (ATK)</v>
      </c>
      <c r="Z435" s="649" t="str">
        <f t="shared" si="23"/>
        <v>Alat Tulis Kantor (ATK)</v>
      </c>
      <c r="AA435" s="498" t="s">
        <v>3363</v>
      </c>
      <c r="AB435" s="499">
        <v>25000</v>
      </c>
      <c r="AC435" s="499">
        <v>125000</v>
      </c>
      <c r="AD435" s="496">
        <v>125000</v>
      </c>
      <c r="AE435" s="500">
        <v>112612.61261261262</v>
      </c>
      <c r="AF435" s="500">
        <v>125000</v>
      </c>
      <c r="AG435" s="805" t="s">
        <v>3883</v>
      </c>
      <c r="AH435" s="651">
        <f>Data2025!W434</f>
        <v>0</v>
      </c>
    </row>
    <row r="436" spans="1:36" s="501" customFormat="1" ht="16.5" thickTop="1" thickBot="1">
      <c r="A436" s="636">
        <f>Data2025!G435</f>
        <v>0</v>
      </c>
      <c r="B436" s="637">
        <f>Data2025!K435</f>
        <v>0</v>
      </c>
      <c r="C436" s="638">
        <f>Data2025!D435</f>
        <v>0</v>
      </c>
      <c r="D436" s="639">
        <f>Data2025!C435</f>
        <v>0</v>
      </c>
      <c r="E436" s="265">
        <f>Data2025!E435</f>
        <v>0</v>
      </c>
      <c r="F436" s="640">
        <f>Data2025!F435</f>
        <v>0</v>
      </c>
      <c r="G436" s="265">
        <f>Data2025!H435</f>
        <v>0</v>
      </c>
      <c r="H436" s="265">
        <f t="shared" si="21"/>
        <v>0</v>
      </c>
      <c r="I436" s="641">
        <f>Data2025!J435</f>
        <v>0</v>
      </c>
      <c r="J436" s="381">
        <f>Data2025!L435</f>
        <v>0</v>
      </c>
      <c r="K436" s="381">
        <f>Data2025!M435</f>
        <v>0</v>
      </c>
      <c r="L436" s="642">
        <f>Data2025!N435</f>
        <v>0</v>
      </c>
      <c r="M436" s="642">
        <f>Data2025!O435</f>
        <v>0</v>
      </c>
      <c r="N436" s="643">
        <f>Data2025!P435</f>
        <v>0</v>
      </c>
      <c r="O436" s="644">
        <f>Data2025!Q435</f>
        <v>0</v>
      </c>
      <c r="P436" s="645" t="s">
        <v>710</v>
      </c>
      <c r="Q436" s="646" t="e">
        <f>VLOOKUP(K436,Sheet1!$C$1:$D$101,2,)</f>
        <v>#N/A</v>
      </c>
      <c r="R436" s="496">
        <v>500000</v>
      </c>
      <c r="S436" s="504">
        <v>520000</v>
      </c>
      <c r="T436" s="648">
        <f>Data2025!T435</f>
        <v>0</v>
      </c>
      <c r="U436" s="497" t="s">
        <v>538</v>
      </c>
      <c r="V436" s="648">
        <f>Data2025!V435</f>
        <v>0</v>
      </c>
      <c r="W436" s="648">
        <f>Data2025!X435</f>
        <v>0</v>
      </c>
      <c r="X436" s="497" t="s">
        <v>541</v>
      </c>
      <c r="Y436" s="268" t="str">
        <f t="shared" si="22"/>
        <v>Alat Tulis Kantor (ATK)</v>
      </c>
      <c r="Z436" s="649" t="str">
        <f t="shared" si="23"/>
        <v>Alat Tulis Kantor (ATK)</v>
      </c>
      <c r="AA436" s="498" t="s">
        <v>3365</v>
      </c>
      <c r="AB436" s="499">
        <v>50000</v>
      </c>
      <c r="AC436" s="499">
        <v>500000</v>
      </c>
      <c r="AD436" s="496">
        <v>500000</v>
      </c>
      <c r="AE436" s="500">
        <v>450450.45045045047</v>
      </c>
      <c r="AF436" s="500">
        <v>500000</v>
      </c>
      <c r="AG436" s="805" t="s">
        <v>3883</v>
      </c>
      <c r="AH436" s="651">
        <f>Data2025!W435</f>
        <v>0</v>
      </c>
      <c r="AI436" s="502"/>
      <c r="AJ436" s="502"/>
    </row>
    <row r="437" spans="1:36" s="501" customFormat="1" ht="16.5" thickTop="1" thickBot="1">
      <c r="A437" s="636">
        <f>Data2025!G436</f>
        <v>0</v>
      </c>
      <c r="B437" s="637">
        <f>Data2025!K436</f>
        <v>0</v>
      </c>
      <c r="C437" s="638">
        <f>Data2025!D436</f>
        <v>0</v>
      </c>
      <c r="D437" s="639">
        <f>Data2025!C436</f>
        <v>0</v>
      </c>
      <c r="E437" s="265">
        <f>Data2025!E436</f>
        <v>0</v>
      </c>
      <c r="F437" s="640">
        <f>Data2025!F436</f>
        <v>0</v>
      </c>
      <c r="G437" s="265">
        <f>Data2025!H436</f>
        <v>0</v>
      </c>
      <c r="H437" s="265">
        <f t="shared" si="21"/>
        <v>0</v>
      </c>
      <c r="I437" s="641">
        <f>Data2025!J436</f>
        <v>0</v>
      </c>
      <c r="J437" s="381">
        <f>Data2025!L436</f>
        <v>0</v>
      </c>
      <c r="K437" s="381">
        <f>Data2025!M436</f>
        <v>0</v>
      </c>
      <c r="L437" s="642">
        <f>Data2025!N436</f>
        <v>0</v>
      </c>
      <c r="M437" s="642">
        <f>Data2025!O436</f>
        <v>0</v>
      </c>
      <c r="N437" s="643">
        <f>Data2025!P436</f>
        <v>0</v>
      </c>
      <c r="O437" s="644">
        <f>Data2025!Q436</f>
        <v>0</v>
      </c>
      <c r="P437" s="645" t="s">
        <v>710</v>
      </c>
      <c r="Q437" s="646" t="e">
        <f>VLOOKUP(K437,Sheet1!$C$1:$D$101,2,)</f>
        <v>#N/A</v>
      </c>
      <c r="R437" s="496">
        <v>240000</v>
      </c>
      <c r="S437" s="504">
        <v>244000</v>
      </c>
      <c r="T437" s="648">
        <f>Data2025!T436</f>
        <v>0</v>
      </c>
      <c r="U437" s="497" t="s">
        <v>538</v>
      </c>
      <c r="V437" s="648">
        <f>Data2025!V436</f>
        <v>0</v>
      </c>
      <c r="W437" s="648">
        <f>Data2025!X436</f>
        <v>0</v>
      </c>
      <c r="X437" s="497" t="s">
        <v>541</v>
      </c>
      <c r="Y437" s="268" t="str">
        <f t="shared" si="22"/>
        <v>Alat Tulis Kantor (ATK)</v>
      </c>
      <c r="Z437" s="649" t="str">
        <f t="shared" si="23"/>
        <v>Alat Tulis Kantor (ATK)</v>
      </c>
      <c r="AA437" s="498" t="s">
        <v>3364</v>
      </c>
      <c r="AB437" s="499">
        <v>120000</v>
      </c>
      <c r="AC437" s="499">
        <v>240000</v>
      </c>
      <c r="AD437" s="496">
        <v>240000</v>
      </c>
      <c r="AE437" s="500">
        <v>216216.21621621621</v>
      </c>
      <c r="AF437" s="500">
        <v>240000</v>
      </c>
      <c r="AG437" s="805" t="s">
        <v>3883</v>
      </c>
      <c r="AH437" s="651">
        <f>Data2025!W436</f>
        <v>0</v>
      </c>
    </row>
    <row r="438" spans="1:36" s="501" customFormat="1" ht="16.5" thickTop="1" thickBot="1">
      <c r="A438" s="636">
        <f>Data2025!G437</f>
        <v>0</v>
      </c>
      <c r="B438" s="637">
        <f>Data2025!K437</f>
        <v>0</v>
      </c>
      <c r="C438" s="638">
        <f>Data2025!D437</f>
        <v>0</v>
      </c>
      <c r="D438" s="639">
        <f>Data2025!C437</f>
        <v>0</v>
      </c>
      <c r="E438" s="265">
        <f>Data2025!E437</f>
        <v>0</v>
      </c>
      <c r="F438" s="640">
        <f>Data2025!F437</f>
        <v>0</v>
      </c>
      <c r="G438" s="265">
        <f>Data2025!H437</f>
        <v>0</v>
      </c>
      <c r="H438" s="265">
        <f t="shared" si="21"/>
        <v>0</v>
      </c>
      <c r="I438" s="641">
        <f>Data2025!J437</f>
        <v>0</v>
      </c>
      <c r="J438" s="381">
        <f>Data2025!L437</f>
        <v>0</v>
      </c>
      <c r="K438" s="381">
        <f>Data2025!M437</f>
        <v>0</v>
      </c>
      <c r="L438" s="642">
        <f>Data2025!N437</f>
        <v>0</v>
      </c>
      <c r="M438" s="642">
        <f>Data2025!O437</f>
        <v>0</v>
      </c>
      <c r="N438" s="643">
        <f>Data2025!P437</f>
        <v>0</v>
      </c>
      <c r="O438" s="644">
        <f>Data2025!Q437</f>
        <v>0</v>
      </c>
      <c r="P438" s="645" t="s">
        <v>710</v>
      </c>
      <c r="Q438" s="646" t="e">
        <f>VLOOKUP(K438,Sheet1!$C$1:$D$101,2,)</f>
        <v>#N/A</v>
      </c>
      <c r="R438" s="496">
        <v>30000</v>
      </c>
      <c r="S438" s="504">
        <v>34000</v>
      </c>
      <c r="T438" s="648">
        <f>Data2025!T437</f>
        <v>0</v>
      </c>
      <c r="U438" s="497" t="s">
        <v>538</v>
      </c>
      <c r="V438" s="648">
        <f>Data2025!V437</f>
        <v>0</v>
      </c>
      <c r="W438" s="648">
        <f>Data2025!X437</f>
        <v>0</v>
      </c>
      <c r="X438" s="497" t="s">
        <v>541</v>
      </c>
      <c r="Y438" s="268" t="str">
        <f t="shared" si="22"/>
        <v>Alat Tulis Kantor (ATK)</v>
      </c>
      <c r="Z438" s="649" t="str">
        <f t="shared" si="23"/>
        <v>Alat Tulis Kantor (ATK)</v>
      </c>
      <c r="AA438" s="498" t="s">
        <v>3363</v>
      </c>
      <c r="AB438" s="499">
        <v>15000</v>
      </c>
      <c r="AC438" s="499">
        <v>30000</v>
      </c>
      <c r="AD438" s="496">
        <v>30000</v>
      </c>
      <c r="AE438" s="500">
        <v>27027.027027027027</v>
      </c>
      <c r="AF438" s="500">
        <v>30000</v>
      </c>
      <c r="AG438" s="805" t="s">
        <v>3883</v>
      </c>
      <c r="AH438" s="651">
        <f>Data2025!W437</f>
        <v>0</v>
      </c>
      <c r="AI438" s="502"/>
      <c r="AJ438" s="502"/>
    </row>
    <row r="439" spans="1:36" s="501" customFormat="1" ht="16.5" thickTop="1" thickBot="1">
      <c r="A439" s="636">
        <f>Data2025!G438</f>
        <v>0</v>
      </c>
      <c r="B439" s="637">
        <f>Data2025!K438</f>
        <v>0</v>
      </c>
      <c r="C439" s="638">
        <f>Data2025!D438</f>
        <v>0</v>
      </c>
      <c r="D439" s="639">
        <f>Data2025!C438</f>
        <v>0</v>
      </c>
      <c r="E439" s="265">
        <f>Data2025!E438</f>
        <v>0</v>
      </c>
      <c r="F439" s="640">
        <f>Data2025!F438</f>
        <v>0</v>
      </c>
      <c r="G439" s="265">
        <f>Data2025!H438</f>
        <v>0</v>
      </c>
      <c r="H439" s="265">
        <f t="shared" si="21"/>
        <v>0</v>
      </c>
      <c r="I439" s="641">
        <f>Data2025!J438</f>
        <v>0</v>
      </c>
      <c r="J439" s="381">
        <f>Data2025!L438</f>
        <v>0</v>
      </c>
      <c r="K439" s="381">
        <f>Data2025!M438</f>
        <v>0</v>
      </c>
      <c r="L439" s="642">
        <f>Data2025!N438</f>
        <v>0</v>
      </c>
      <c r="M439" s="642">
        <f>Data2025!O438</f>
        <v>0</v>
      </c>
      <c r="N439" s="643">
        <f>Data2025!P438</f>
        <v>0</v>
      </c>
      <c r="O439" s="644">
        <f>Data2025!Q438</f>
        <v>0</v>
      </c>
      <c r="P439" s="645" t="s">
        <v>710</v>
      </c>
      <c r="Q439" s="646" t="e">
        <f>VLOOKUP(K439,Sheet1!$C$1:$D$101,2,)</f>
        <v>#N/A</v>
      </c>
      <c r="R439" s="496">
        <v>200000</v>
      </c>
      <c r="S439" s="504">
        <v>220000</v>
      </c>
      <c r="T439" s="648">
        <f>Data2025!T438</f>
        <v>0</v>
      </c>
      <c r="U439" s="497" t="s">
        <v>538</v>
      </c>
      <c r="V439" s="648">
        <f>Data2025!V438</f>
        <v>0</v>
      </c>
      <c r="W439" s="648">
        <f>Data2025!X438</f>
        <v>0</v>
      </c>
      <c r="X439" s="497" t="s">
        <v>541</v>
      </c>
      <c r="Y439" s="268" t="str">
        <f t="shared" si="22"/>
        <v>Alat Tulis Kantor (ATK)</v>
      </c>
      <c r="Z439" s="649" t="str">
        <f t="shared" si="23"/>
        <v>Alat Tulis Kantor (ATK)</v>
      </c>
      <c r="AA439" s="498" t="s">
        <v>3362</v>
      </c>
      <c r="AB439" s="499">
        <v>20000</v>
      </c>
      <c r="AC439" s="499">
        <v>200000</v>
      </c>
      <c r="AD439" s="496">
        <v>200000</v>
      </c>
      <c r="AE439" s="500">
        <v>180180.18018018018</v>
      </c>
      <c r="AF439" s="500">
        <v>200000</v>
      </c>
      <c r="AG439" s="805" t="s">
        <v>3883</v>
      </c>
      <c r="AH439" s="651">
        <f>Data2025!W438</f>
        <v>0</v>
      </c>
    </row>
    <row r="440" spans="1:36" s="501" customFormat="1" ht="16.5" thickTop="1" thickBot="1">
      <c r="A440" s="636">
        <f>Data2025!G439</f>
        <v>0</v>
      </c>
      <c r="B440" s="637">
        <f>Data2025!K439</f>
        <v>0</v>
      </c>
      <c r="C440" s="638">
        <f>Data2025!D439</f>
        <v>0</v>
      </c>
      <c r="D440" s="639">
        <f>Data2025!C439</f>
        <v>0</v>
      </c>
      <c r="E440" s="265">
        <f>Data2025!E439</f>
        <v>0</v>
      </c>
      <c r="F440" s="640">
        <f>Data2025!F439</f>
        <v>0</v>
      </c>
      <c r="G440" s="265">
        <f>Data2025!H439</f>
        <v>0</v>
      </c>
      <c r="H440" s="265">
        <f t="shared" si="21"/>
        <v>0</v>
      </c>
      <c r="I440" s="641">
        <f>Data2025!J439</f>
        <v>0</v>
      </c>
      <c r="J440" s="381">
        <f>Data2025!L439</f>
        <v>0</v>
      </c>
      <c r="K440" s="381">
        <f>Data2025!M439</f>
        <v>0</v>
      </c>
      <c r="L440" s="642">
        <f>Data2025!N439</f>
        <v>0</v>
      </c>
      <c r="M440" s="642">
        <f>Data2025!O439</f>
        <v>0</v>
      </c>
      <c r="N440" s="643">
        <f>Data2025!P439</f>
        <v>0</v>
      </c>
      <c r="O440" s="644">
        <f>Data2025!Q439</f>
        <v>0</v>
      </c>
      <c r="P440" s="645" t="s">
        <v>710</v>
      </c>
      <c r="Q440" s="646" t="e">
        <f>VLOOKUP(K440,Sheet1!$C$1:$D$101,2,)</f>
        <v>#N/A</v>
      </c>
      <c r="R440" s="496">
        <v>440000</v>
      </c>
      <c r="S440" s="504">
        <v>448000</v>
      </c>
      <c r="T440" s="648">
        <f>Data2025!T439</f>
        <v>0</v>
      </c>
      <c r="U440" s="497" t="s">
        <v>538</v>
      </c>
      <c r="V440" s="648">
        <f>Data2025!V439</f>
        <v>0</v>
      </c>
      <c r="W440" s="648">
        <f>Data2025!X439</f>
        <v>0</v>
      </c>
      <c r="X440" s="497" t="s">
        <v>541</v>
      </c>
      <c r="Y440" s="268" t="str">
        <f t="shared" si="22"/>
        <v>Alat Tulis Kantor (ATK)</v>
      </c>
      <c r="Z440" s="649" t="str">
        <f t="shared" si="23"/>
        <v>Alat Tulis Kantor (ATK)</v>
      </c>
      <c r="AA440" s="498" t="s">
        <v>3367</v>
      </c>
      <c r="AB440" s="499">
        <v>110000</v>
      </c>
      <c r="AC440" s="499">
        <v>440000</v>
      </c>
      <c r="AD440" s="496">
        <v>440000</v>
      </c>
      <c r="AE440" s="500">
        <v>396396.39639639639</v>
      </c>
      <c r="AF440" s="500">
        <v>440000</v>
      </c>
      <c r="AG440" s="805" t="s">
        <v>3883</v>
      </c>
      <c r="AH440" s="651">
        <f>Data2025!W439</f>
        <v>0</v>
      </c>
    </row>
    <row r="441" spans="1:36" s="501" customFormat="1" ht="16.5" thickTop="1" thickBot="1">
      <c r="A441" s="636">
        <f>Data2025!G440</f>
        <v>0</v>
      </c>
      <c r="B441" s="637">
        <f>Data2025!K440</f>
        <v>0</v>
      </c>
      <c r="C441" s="638">
        <f>Data2025!D440</f>
        <v>0</v>
      </c>
      <c r="D441" s="639">
        <f>Data2025!C440</f>
        <v>0</v>
      </c>
      <c r="E441" s="265">
        <f>Data2025!E440</f>
        <v>0</v>
      </c>
      <c r="F441" s="640">
        <f>Data2025!F440</f>
        <v>0</v>
      </c>
      <c r="G441" s="265">
        <f>Data2025!H440</f>
        <v>0</v>
      </c>
      <c r="H441" s="265">
        <f t="shared" si="21"/>
        <v>0</v>
      </c>
      <c r="I441" s="641">
        <f>Data2025!J440</f>
        <v>0</v>
      </c>
      <c r="J441" s="381">
        <f>Data2025!L440</f>
        <v>0</v>
      </c>
      <c r="K441" s="381">
        <f>Data2025!M440</f>
        <v>0</v>
      </c>
      <c r="L441" s="642">
        <f>Data2025!N440</f>
        <v>0</v>
      </c>
      <c r="M441" s="642">
        <f>Data2025!O440</f>
        <v>0</v>
      </c>
      <c r="N441" s="643">
        <f>Data2025!P440</f>
        <v>0</v>
      </c>
      <c r="O441" s="644">
        <f>Data2025!Q440</f>
        <v>0</v>
      </c>
      <c r="P441" s="645" t="s">
        <v>710</v>
      </c>
      <c r="Q441" s="646" t="e">
        <f>VLOOKUP(K441,Sheet1!$C$1:$D$101,2,)</f>
        <v>#N/A</v>
      </c>
      <c r="R441" s="496">
        <v>25000</v>
      </c>
      <c r="S441" s="504">
        <v>35000</v>
      </c>
      <c r="T441" s="648">
        <f>Data2025!T440</f>
        <v>0</v>
      </c>
      <c r="U441" s="497" t="s">
        <v>538</v>
      </c>
      <c r="V441" s="648">
        <f>Data2025!V440</f>
        <v>0</v>
      </c>
      <c r="W441" s="648">
        <f>Data2025!X440</f>
        <v>0</v>
      </c>
      <c r="X441" s="497" t="s">
        <v>541</v>
      </c>
      <c r="Y441" s="268" t="str">
        <f t="shared" si="22"/>
        <v>Alat Tulis Kantor (ATK)</v>
      </c>
      <c r="Z441" s="649" t="str">
        <f t="shared" si="23"/>
        <v>Alat Tulis Kantor (ATK)</v>
      </c>
      <c r="AA441" s="498" t="s">
        <v>3362</v>
      </c>
      <c r="AB441" s="499">
        <v>5000</v>
      </c>
      <c r="AC441" s="499">
        <v>25000</v>
      </c>
      <c r="AD441" s="496">
        <v>25000</v>
      </c>
      <c r="AE441" s="500">
        <v>22522.522522522522</v>
      </c>
      <c r="AF441" s="500">
        <v>25000</v>
      </c>
      <c r="AG441" s="805" t="s">
        <v>3883</v>
      </c>
      <c r="AH441" s="651">
        <f>Data2025!W440</f>
        <v>0</v>
      </c>
    </row>
    <row r="442" spans="1:36" s="501" customFormat="1" ht="16.5" thickTop="1" thickBot="1">
      <c r="A442" s="636">
        <f>Data2025!G441</f>
        <v>0</v>
      </c>
      <c r="B442" s="637">
        <f>Data2025!K441</f>
        <v>0</v>
      </c>
      <c r="C442" s="638">
        <f>Data2025!D441</f>
        <v>0</v>
      </c>
      <c r="D442" s="639">
        <f>Data2025!C441</f>
        <v>0</v>
      </c>
      <c r="E442" s="265">
        <f>Data2025!E441</f>
        <v>0</v>
      </c>
      <c r="F442" s="640">
        <f>Data2025!F441</f>
        <v>0</v>
      </c>
      <c r="G442" s="265">
        <f>Data2025!H441</f>
        <v>0</v>
      </c>
      <c r="H442" s="265">
        <f t="shared" si="21"/>
        <v>0</v>
      </c>
      <c r="I442" s="641">
        <f>Data2025!J441</f>
        <v>0</v>
      </c>
      <c r="J442" s="381">
        <f>Data2025!L441</f>
        <v>0</v>
      </c>
      <c r="K442" s="381">
        <f>Data2025!M441</f>
        <v>0</v>
      </c>
      <c r="L442" s="642">
        <f>Data2025!N441</f>
        <v>0</v>
      </c>
      <c r="M442" s="642">
        <f>Data2025!O441</f>
        <v>0</v>
      </c>
      <c r="N442" s="643">
        <f>Data2025!P441</f>
        <v>0</v>
      </c>
      <c r="O442" s="644">
        <f>Data2025!Q441</f>
        <v>0</v>
      </c>
      <c r="P442" s="645" t="s">
        <v>710</v>
      </c>
      <c r="Q442" s="646" t="e">
        <f>VLOOKUP(K442,Sheet1!$C$1:$D$101,2,)</f>
        <v>#N/A</v>
      </c>
      <c r="R442" s="496">
        <v>2000000</v>
      </c>
      <c r="S442" s="504">
        <v>2080000</v>
      </c>
      <c r="T442" s="648">
        <f>Data2025!T441</f>
        <v>0</v>
      </c>
      <c r="U442" s="497" t="s">
        <v>538</v>
      </c>
      <c r="V442" s="648">
        <f>Data2025!V441</f>
        <v>0</v>
      </c>
      <c r="W442" s="648">
        <f>Data2025!X441</f>
        <v>0</v>
      </c>
      <c r="X442" s="497" t="s">
        <v>541</v>
      </c>
      <c r="Y442" s="268" t="str">
        <f t="shared" si="22"/>
        <v>Alat Tulis Kantor (ATK)</v>
      </c>
      <c r="Z442" s="649" t="str">
        <f t="shared" si="23"/>
        <v>Alat Tulis Kantor (ATK)</v>
      </c>
      <c r="AA442" s="498" t="s">
        <v>3369</v>
      </c>
      <c r="AB442" s="499">
        <v>50000</v>
      </c>
      <c r="AC442" s="499">
        <v>2000000</v>
      </c>
      <c r="AD442" s="496">
        <v>2000000</v>
      </c>
      <c r="AE442" s="500">
        <v>1801801.8018018019</v>
      </c>
      <c r="AF442" s="500">
        <v>2000000</v>
      </c>
      <c r="AG442" s="805" t="s">
        <v>3883</v>
      </c>
      <c r="AH442" s="651">
        <f>Data2025!W441</f>
        <v>0</v>
      </c>
    </row>
    <row r="443" spans="1:36" s="501" customFormat="1" ht="16.5" thickTop="1" thickBot="1">
      <c r="A443" s="636">
        <f>Data2025!G442</f>
        <v>0</v>
      </c>
      <c r="B443" s="637">
        <f>Data2025!K442</f>
        <v>0</v>
      </c>
      <c r="C443" s="638">
        <f>Data2025!D442</f>
        <v>0</v>
      </c>
      <c r="D443" s="639">
        <f>Data2025!C442</f>
        <v>0</v>
      </c>
      <c r="E443" s="265">
        <f>Data2025!E442</f>
        <v>0</v>
      </c>
      <c r="F443" s="640">
        <f>Data2025!F442</f>
        <v>0</v>
      </c>
      <c r="G443" s="265">
        <f>Data2025!H442</f>
        <v>0</v>
      </c>
      <c r="H443" s="265">
        <f t="shared" si="21"/>
        <v>0</v>
      </c>
      <c r="I443" s="641">
        <f>Data2025!J442</f>
        <v>0</v>
      </c>
      <c r="J443" s="381">
        <f>Data2025!L442</f>
        <v>0</v>
      </c>
      <c r="K443" s="381">
        <f>Data2025!M442</f>
        <v>0</v>
      </c>
      <c r="L443" s="642">
        <f>Data2025!N442</f>
        <v>0</v>
      </c>
      <c r="M443" s="642">
        <f>Data2025!O442</f>
        <v>0</v>
      </c>
      <c r="N443" s="643">
        <f>Data2025!P442</f>
        <v>0</v>
      </c>
      <c r="O443" s="644">
        <f>Data2025!Q442</f>
        <v>0</v>
      </c>
      <c r="P443" s="645" t="s">
        <v>710</v>
      </c>
      <c r="Q443" s="646" t="e">
        <f>VLOOKUP(K443,Sheet1!$C$1:$D$101,2,)</f>
        <v>#N/A</v>
      </c>
      <c r="R443" s="496">
        <v>550000</v>
      </c>
      <c r="S443" s="504">
        <v>750000</v>
      </c>
      <c r="T443" s="648">
        <f>Data2025!T442</f>
        <v>0</v>
      </c>
      <c r="U443" s="497" t="s">
        <v>538</v>
      </c>
      <c r="V443" s="648">
        <f>Data2025!V442</f>
        <v>0</v>
      </c>
      <c r="W443" s="648">
        <f>Data2025!X442</f>
        <v>0</v>
      </c>
      <c r="X443" s="497" t="s">
        <v>541</v>
      </c>
      <c r="Y443" s="268" t="str">
        <f t="shared" si="22"/>
        <v>Alat Tulis Kantor (ATK)</v>
      </c>
      <c r="Z443" s="649" t="str">
        <f t="shared" si="23"/>
        <v>Alat Tulis Kantor (ATK)</v>
      </c>
      <c r="AA443" s="498" t="s">
        <v>3363</v>
      </c>
      <c r="AB443" s="499">
        <v>5500</v>
      </c>
      <c r="AC443" s="499">
        <v>550000</v>
      </c>
      <c r="AD443" s="496">
        <v>550000</v>
      </c>
      <c r="AE443" s="500">
        <v>495495.4954954955</v>
      </c>
      <c r="AF443" s="500">
        <v>550000</v>
      </c>
      <c r="AG443" s="805" t="s">
        <v>3883</v>
      </c>
      <c r="AH443" s="651">
        <f>Data2025!W442</f>
        <v>0</v>
      </c>
    </row>
    <row r="444" spans="1:36" s="501" customFormat="1" ht="16.5" thickTop="1" thickBot="1">
      <c r="A444" s="636">
        <f>Data2025!G443</f>
        <v>0</v>
      </c>
      <c r="B444" s="637">
        <f>Data2025!K443</f>
        <v>0</v>
      </c>
      <c r="C444" s="638">
        <f>Data2025!D443</f>
        <v>0</v>
      </c>
      <c r="D444" s="639">
        <f>Data2025!C443</f>
        <v>0</v>
      </c>
      <c r="E444" s="265">
        <f>Data2025!E443</f>
        <v>0</v>
      </c>
      <c r="F444" s="640">
        <f>Data2025!F443</f>
        <v>0</v>
      </c>
      <c r="G444" s="265">
        <f>Data2025!H443</f>
        <v>0</v>
      </c>
      <c r="H444" s="265">
        <f t="shared" si="21"/>
        <v>0</v>
      </c>
      <c r="I444" s="641">
        <f>Data2025!J443</f>
        <v>0</v>
      </c>
      <c r="J444" s="381">
        <f>Data2025!L443</f>
        <v>0</v>
      </c>
      <c r="K444" s="381">
        <f>Data2025!M443</f>
        <v>0</v>
      </c>
      <c r="L444" s="642">
        <f>Data2025!N443</f>
        <v>0</v>
      </c>
      <c r="M444" s="642">
        <f>Data2025!O443</f>
        <v>0</v>
      </c>
      <c r="N444" s="643">
        <f>Data2025!P443</f>
        <v>0</v>
      </c>
      <c r="O444" s="644">
        <f>Data2025!Q443</f>
        <v>0</v>
      </c>
      <c r="P444" s="645" t="s">
        <v>710</v>
      </c>
      <c r="Q444" s="646" t="e">
        <f>VLOOKUP(K444,Sheet1!$C$1:$D$101,2,)</f>
        <v>#N/A</v>
      </c>
      <c r="R444" s="496">
        <v>48000</v>
      </c>
      <c r="S444" s="504">
        <v>50000</v>
      </c>
      <c r="T444" s="648">
        <f>Data2025!T443</f>
        <v>0</v>
      </c>
      <c r="U444" s="497" t="s">
        <v>538</v>
      </c>
      <c r="V444" s="648">
        <f>Data2025!V443</f>
        <v>0</v>
      </c>
      <c r="W444" s="648">
        <f>Data2025!X443</f>
        <v>0</v>
      </c>
      <c r="X444" s="497" t="s">
        <v>541</v>
      </c>
      <c r="Y444" s="268" t="str">
        <f t="shared" si="22"/>
        <v>Alat Tulis Kantor (ATK)</v>
      </c>
      <c r="Z444" s="649" t="str">
        <f t="shared" si="23"/>
        <v>Alat Tulis Kantor (ATK)</v>
      </c>
      <c r="AA444" s="498" t="s">
        <v>3362</v>
      </c>
      <c r="AB444" s="499">
        <v>48000</v>
      </c>
      <c r="AC444" s="499">
        <v>48000</v>
      </c>
      <c r="AD444" s="496">
        <v>48000</v>
      </c>
      <c r="AE444" s="500">
        <v>43243.243243243247</v>
      </c>
      <c r="AF444" s="500">
        <v>48000</v>
      </c>
      <c r="AG444" s="805" t="s">
        <v>3883</v>
      </c>
      <c r="AH444" s="651">
        <f>Data2025!W443</f>
        <v>0</v>
      </c>
    </row>
    <row r="445" spans="1:36" s="501" customFormat="1" ht="16.5" thickTop="1" thickBot="1">
      <c r="A445" s="636">
        <f>Data2025!G444</f>
        <v>0</v>
      </c>
      <c r="B445" s="637">
        <f>Data2025!K444</f>
        <v>0</v>
      </c>
      <c r="C445" s="638">
        <f>Data2025!D444</f>
        <v>0</v>
      </c>
      <c r="D445" s="639">
        <f>Data2025!C444</f>
        <v>0</v>
      </c>
      <c r="E445" s="265">
        <f>Data2025!E444</f>
        <v>0</v>
      </c>
      <c r="F445" s="640">
        <f>Data2025!F444</f>
        <v>0</v>
      </c>
      <c r="G445" s="265">
        <f>Data2025!H444</f>
        <v>0</v>
      </c>
      <c r="H445" s="265">
        <f t="shared" si="21"/>
        <v>0</v>
      </c>
      <c r="I445" s="641">
        <f>Data2025!J444</f>
        <v>0</v>
      </c>
      <c r="J445" s="381">
        <f>Data2025!L444</f>
        <v>0</v>
      </c>
      <c r="K445" s="381">
        <f>Data2025!M444</f>
        <v>0</v>
      </c>
      <c r="L445" s="642">
        <f>Data2025!N444</f>
        <v>0</v>
      </c>
      <c r="M445" s="642">
        <f>Data2025!O444</f>
        <v>0</v>
      </c>
      <c r="N445" s="643">
        <f>Data2025!P444</f>
        <v>0</v>
      </c>
      <c r="O445" s="644">
        <f>Data2025!Q444</f>
        <v>0</v>
      </c>
      <c r="P445" s="645" t="s">
        <v>710</v>
      </c>
      <c r="Q445" s="646" t="e">
        <f>VLOOKUP(K445,Sheet1!$C$1:$D$101,2,)</f>
        <v>#N/A</v>
      </c>
      <c r="R445" s="496">
        <v>114000</v>
      </c>
      <c r="S445" s="504">
        <v>124000</v>
      </c>
      <c r="T445" s="648">
        <f>Data2025!T444</f>
        <v>0</v>
      </c>
      <c r="U445" s="497" t="s">
        <v>538</v>
      </c>
      <c r="V445" s="648">
        <f>Data2025!V444</f>
        <v>0</v>
      </c>
      <c r="W445" s="648">
        <f>Data2025!X444</f>
        <v>0</v>
      </c>
      <c r="X445" s="497" t="s">
        <v>541</v>
      </c>
      <c r="Y445" s="268" t="str">
        <f t="shared" si="22"/>
        <v>Alat Tulis Kantor (ATK)</v>
      </c>
      <c r="Z445" s="649" t="str">
        <f t="shared" si="23"/>
        <v>Alat Tulis Kantor (ATK)</v>
      </c>
      <c r="AA445" s="498" t="s">
        <v>3363</v>
      </c>
      <c r="AB445" s="499">
        <v>22800</v>
      </c>
      <c r="AC445" s="499">
        <v>114000</v>
      </c>
      <c r="AD445" s="496">
        <v>114000</v>
      </c>
      <c r="AE445" s="500">
        <v>102702.70270270271</v>
      </c>
      <c r="AF445" s="500">
        <v>114000</v>
      </c>
      <c r="AG445" s="805" t="s">
        <v>3883</v>
      </c>
      <c r="AH445" s="651">
        <f>Data2025!W444</f>
        <v>0</v>
      </c>
    </row>
    <row r="446" spans="1:36" s="501" customFormat="1" ht="16.5" thickTop="1" thickBot="1">
      <c r="A446" s="636">
        <f>Data2025!G445</f>
        <v>0</v>
      </c>
      <c r="B446" s="637">
        <f>Data2025!K445</f>
        <v>0</v>
      </c>
      <c r="C446" s="638">
        <f>Data2025!D445</f>
        <v>0</v>
      </c>
      <c r="D446" s="639">
        <f>Data2025!C445</f>
        <v>0</v>
      </c>
      <c r="E446" s="265">
        <f>Data2025!E445</f>
        <v>0</v>
      </c>
      <c r="F446" s="640">
        <f>Data2025!F445</f>
        <v>0</v>
      </c>
      <c r="G446" s="265">
        <f>Data2025!H445</f>
        <v>0</v>
      </c>
      <c r="H446" s="265">
        <f t="shared" si="21"/>
        <v>0</v>
      </c>
      <c r="I446" s="641">
        <f>Data2025!J445</f>
        <v>0</v>
      </c>
      <c r="J446" s="381">
        <f>Data2025!L445</f>
        <v>0</v>
      </c>
      <c r="K446" s="381">
        <f>Data2025!M445</f>
        <v>0</v>
      </c>
      <c r="L446" s="642">
        <f>Data2025!N445</f>
        <v>0</v>
      </c>
      <c r="M446" s="642">
        <f>Data2025!O445</f>
        <v>0</v>
      </c>
      <c r="N446" s="643">
        <f>Data2025!P445</f>
        <v>0</v>
      </c>
      <c r="O446" s="644">
        <f>Data2025!Q445</f>
        <v>0</v>
      </c>
      <c r="P446" s="645" t="s">
        <v>710</v>
      </c>
      <c r="Q446" s="646" t="e">
        <f>VLOOKUP(K446,Sheet1!$C$1:$D$101,2,)</f>
        <v>#N/A</v>
      </c>
      <c r="R446" s="496">
        <v>50000</v>
      </c>
      <c r="S446" s="504">
        <v>60000</v>
      </c>
      <c r="T446" s="648">
        <f>Data2025!T445</f>
        <v>0</v>
      </c>
      <c r="U446" s="497" t="s">
        <v>538</v>
      </c>
      <c r="V446" s="648">
        <f>Data2025!V445</f>
        <v>0</v>
      </c>
      <c r="W446" s="648">
        <f>Data2025!X445</f>
        <v>0</v>
      </c>
      <c r="X446" s="497" t="s">
        <v>541</v>
      </c>
      <c r="Y446" s="268" t="str">
        <f t="shared" si="22"/>
        <v>Alat Tulis Kantor (ATK)</v>
      </c>
      <c r="Z446" s="649" t="str">
        <f t="shared" si="23"/>
        <v>Alat Tulis Kantor (ATK)</v>
      </c>
      <c r="AA446" s="498" t="s">
        <v>3363</v>
      </c>
      <c r="AB446" s="499">
        <v>10000</v>
      </c>
      <c r="AC446" s="499">
        <v>50000</v>
      </c>
      <c r="AD446" s="496">
        <v>50000</v>
      </c>
      <c r="AE446" s="500">
        <v>45045.045045045044</v>
      </c>
      <c r="AF446" s="500">
        <v>50000</v>
      </c>
      <c r="AG446" s="805" t="s">
        <v>3883</v>
      </c>
      <c r="AH446" s="651">
        <f>Data2025!W445</f>
        <v>0</v>
      </c>
      <c r="AI446" s="502"/>
      <c r="AJ446" s="502"/>
    </row>
    <row r="447" spans="1:36" s="501" customFormat="1" ht="16.5" thickTop="1" thickBot="1">
      <c r="A447" s="636">
        <f>Data2025!G446</f>
        <v>0</v>
      </c>
      <c r="B447" s="637">
        <f>Data2025!K446</f>
        <v>0</v>
      </c>
      <c r="C447" s="638">
        <f>Data2025!D446</f>
        <v>0</v>
      </c>
      <c r="D447" s="639">
        <f>Data2025!C446</f>
        <v>0</v>
      </c>
      <c r="E447" s="265">
        <f>Data2025!E446</f>
        <v>0</v>
      </c>
      <c r="F447" s="640">
        <f>Data2025!F446</f>
        <v>0</v>
      </c>
      <c r="G447" s="265">
        <f>Data2025!H446</f>
        <v>0</v>
      </c>
      <c r="H447" s="265">
        <f t="shared" si="21"/>
        <v>0</v>
      </c>
      <c r="I447" s="641">
        <f>Data2025!J446</f>
        <v>0</v>
      </c>
      <c r="J447" s="381">
        <f>Data2025!L446</f>
        <v>0</v>
      </c>
      <c r="K447" s="381">
        <f>Data2025!M446</f>
        <v>0</v>
      </c>
      <c r="L447" s="642">
        <f>Data2025!N446</f>
        <v>0</v>
      </c>
      <c r="M447" s="642">
        <f>Data2025!O446</f>
        <v>0</v>
      </c>
      <c r="N447" s="643">
        <f>Data2025!P446</f>
        <v>0</v>
      </c>
      <c r="O447" s="644">
        <f>Data2025!Q446</f>
        <v>0</v>
      </c>
      <c r="P447" s="645" t="s">
        <v>710</v>
      </c>
      <c r="Q447" s="646" t="e">
        <f>VLOOKUP(K447,Sheet1!$C$1:$D$101,2,)</f>
        <v>#N/A</v>
      </c>
      <c r="R447" s="496">
        <v>165000</v>
      </c>
      <c r="S447" s="504">
        <v>185000</v>
      </c>
      <c r="T447" s="648">
        <f>Data2025!T446</f>
        <v>0</v>
      </c>
      <c r="U447" s="497" t="s">
        <v>538</v>
      </c>
      <c r="V447" s="648">
        <f>Data2025!V446</f>
        <v>0</v>
      </c>
      <c r="W447" s="648">
        <f>Data2025!X446</f>
        <v>0</v>
      </c>
      <c r="X447" s="497" t="s">
        <v>541</v>
      </c>
      <c r="Y447" s="268" t="str">
        <f t="shared" si="22"/>
        <v>Alat Tulis Kantor (ATK)</v>
      </c>
      <c r="Z447" s="649" t="str">
        <f t="shared" si="23"/>
        <v>Alat Tulis Kantor (ATK)</v>
      </c>
      <c r="AA447" s="498" t="s">
        <v>3362</v>
      </c>
      <c r="AB447" s="499">
        <v>16500</v>
      </c>
      <c r="AC447" s="499">
        <v>165000</v>
      </c>
      <c r="AD447" s="496">
        <v>165000</v>
      </c>
      <c r="AE447" s="500">
        <v>148648.64864864864</v>
      </c>
      <c r="AF447" s="500">
        <v>165000</v>
      </c>
      <c r="AG447" s="805" t="s">
        <v>3883</v>
      </c>
      <c r="AH447" s="651">
        <f>Data2025!W446</f>
        <v>0</v>
      </c>
    </row>
    <row r="448" spans="1:36" s="501" customFormat="1" ht="16.5" thickTop="1" thickBot="1">
      <c r="A448" s="636">
        <f>Data2025!G447</f>
        <v>0</v>
      </c>
      <c r="B448" s="637">
        <f>Data2025!K447</f>
        <v>0</v>
      </c>
      <c r="C448" s="638">
        <f>Data2025!D447</f>
        <v>0</v>
      </c>
      <c r="D448" s="639">
        <f>Data2025!C447</f>
        <v>0</v>
      </c>
      <c r="E448" s="265">
        <f>Data2025!E447</f>
        <v>0</v>
      </c>
      <c r="F448" s="640">
        <f>Data2025!F447</f>
        <v>0</v>
      </c>
      <c r="G448" s="265">
        <f>Data2025!H447</f>
        <v>0</v>
      </c>
      <c r="H448" s="265">
        <f t="shared" si="21"/>
        <v>0</v>
      </c>
      <c r="I448" s="641">
        <f>Data2025!J447</f>
        <v>0</v>
      </c>
      <c r="J448" s="381">
        <f>Data2025!L447</f>
        <v>0</v>
      </c>
      <c r="K448" s="381">
        <f>Data2025!M447</f>
        <v>0</v>
      </c>
      <c r="L448" s="642">
        <f>Data2025!N447</f>
        <v>0</v>
      </c>
      <c r="M448" s="642">
        <f>Data2025!O447</f>
        <v>0</v>
      </c>
      <c r="N448" s="643">
        <f>Data2025!P447</f>
        <v>0</v>
      </c>
      <c r="O448" s="644">
        <f>Data2025!Q447</f>
        <v>0</v>
      </c>
      <c r="P448" s="645" t="s">
        <v>710</v>
      </c>
      <c r="Q448" s="646" t="e">
        <f>VLOOKUP(K448,Sheet1!$C$1:$D$101,2,)</f>
        <v>#N/A</v>
      </c>
      <c r="R448" s="496">
        <v>100000</v>
      </c>
      <c r="S448" s="504">
        <v>110000</v>
      </c>
      <c r="T448" s="648">
        <f>Data2025!T447</f>
        <v>0</v>
      </c>
      <c r="U448" s="497" t="s">
        <v>538</v>
      </c>
      <c r="V448" s="648">
        <f>Data2025!V447</f>
        <v>0</v>
      </c>
      <c r="W448" s="648">
        <f>Data2025!X447</f>
        <v>0</v>
      </c>
      <c r="X448" s="497" t="s">
        <v>541</v>
      </c>
      <c r="Y448" s="268" t="str">
        <f t="shared" si="22"/>
        <v>Alat Tulis Kantor (ATK)</v>
      </c>
      <c r="Z448" s="649" t="str">
        <f t="shared" si="23"/>
        <v>Alat Tulis Kantor (ATK)</v>
      </c>
      <c r="AA448" s="498" t="s">
        <v>3366</v>
      </c>
      <c r="AB448" s="499">
        <v>20000</v>
      </c>
      <c r="AC448" s="499">
        <v>100000</v>
      </c>
      <c r="AD448" s="496">
        <v>100000</v>
      </c>
      <c r="AE448" s="500">
        <v>90090.090090090089</v>
      </c>
      <c r="AF448" s="500">
        <v>100000</v>
      </c>
      <c r="AG448" s="805" t="s">
        <v>3883</v>
      </c>
      <c r="AH448" s="651">
        <f>Data2025!W447</f>
        <v>0</v>
      </c>
    </row>
    <row r="449" spans="1:36" s="501" customFormat="1" ht="16.5" thickTop="1" thickBot="1">
      <c r="A449" s="636">
        <f>Data2025!G448</f>
        <v>0</v>
      </c>
      <c r="B449" s="637">
        <f>Data2025!K448</f>
        <v>0</v>
      </c>
      <c r="C449" s="638">
        <f>Data2025!D448</f>
        <v>0</v>
      </c>
      <c r="D449" s="639">
        <f>Data2025!C448</f>
        <v>0</v>
      </c>
      <c r="E449" s="265">
        <f>Data2025!E448</f>
        <v>0</v>
      </c>
      <c r="F449" s="640">
        <f>Data2025!F448</f>
        <v>0</v>
      </c>
      <c r="G449" s="265">
        <f>Data2025!H448</f>
        <v>0</v>
      </c>
      <c r="H449" s="265">
        <f t="shared" si="21"/>
        <v>0</v>
      </c>
      <c r="I449" s="641">
        <f>Data2025!J448</f>
        <v>0</v>
      </c>
      <c r="J449" s="381">
        <f>Data2025!L448</f>
        <v>0</v>
      </c>
      <c r="K449" s="381">
        <f>Data2025!M448</f>
        <v>0</v>
      </c>
      <c r="L449" s="642">
        <f>Data2025!N448</f>
        <v>0</v>
      </c>
      <c r="M449" s="642">
        <f>Data2025!O448</f>
        <v>0</v>
      </c>
      <c r="N449" s="643">
        <f>Data2025!P448</f>
        <v>0</v>
      </c>
      <c r="O449" s="644">
        <f>Data2025!Q448</f>
        <v>0</v>
      </c>
      <c r="P449" s="645" t="s">
        <v>710</v>
      </c>
      <c r="Q449" s="646" t="e">
        <f>VLOOKUP(K449,Sheet1!$C$1:$D$101,2,)</f>
        <v>#N/A</v>
      </c>
      <c r="R449" s="496">
        <v>510000</v>
      </c>
      <c r="S449" s="504">
        <v>522000</v>
      </c>
      <c r="T449" s="648">
        <f>Data2025!T448</f>
        <v>0</v>
      </c>
      <c r="U449" s="497" t="s">
        <v>538</v>
      </c>
      <c r="V449" s="648">
        <f>Data2025!V448</f>
        <v>0</v>
      </c>
      <c r="W449" s="648">
        <f>Data2025!X448</f>
        <v>0</v>
      </c>
      <c r="X449" s="497" t="s">
        <v>541</v>
      </c>
      <c r="Y449" s="268" t="str">
        <f t="shared" si="22"/>
        <v>Alat Tulis Kantor (ATK)</v>
      </c>
      <c r="Z449" s="649" t="str">
        <f t="shared" si="23"/>
        <v>Alat Tulis Kantor (ATK)</v>
      </c>
      <c r="AA449" s="498" t="s">
        <v>3367</v>
      </c>
      <c r="AB449" s="499">
        <v>85000</v>
      </c>
      <c r="AC449" s="499">
        <v>510000</v>
      </c>
      <c r="AD449" s="496">
        <v>510000</v>
      </c>
      <c r="AE449" s="500">
        <v>459459.45945945947</v>
      </c>
      <c r="AF449" s="500">
        <v>510000</v>
      </c>
      <c r="AG449" s="805" t="s">
        <v>3883</v>
      </c>
      <c r="AH449" s="651">
        <f>Data2025!W448</f>
        <v>0</v>
      </c>
      <c r="AI449" s="502"/>
      <c r="AJ449" s="502"/>
    </row>
    <row r="450" spans="1:36" s="501" customFormat="1" ht="16.5" thickTop="1" thickBot="1">
      <c r="A450" s="636">
        <f>Data2025!G449</f>
        <v>0</v>
      </c>
      <c r="B450" s="637">
        <f>Data2025!K449</f>
        <v>0</v>
      </c>
      <c r="C450" s="638">
        <f>Data2025!D449</f>
        <v>0</v>
      </c>
      <c r="D450" s="639">
        <f>Data2025!C449</f>
        <v>0</v>
      </c>
      <c r="E450" s="265">
        <f>Data2025!E449</f>
        <v>0</v>
      </c>
      <c r="F450" s="640">
        <f>Data2025!F449</f>
        <v>0</v>
      </c>
      <c r="G450" s="265">
        <f>Data2025!H449</f>
        <v>0</v>
      </c>
      <c r="H450" s="265">
        <f t="shared" si="21"/>
        <v>0</v>
      </c>
      <c r="I450" s="641">
        <f>Data2025!J449</f>
        <v>0</v>
      </c>
      <c r="J450" s="381">
        <f>Data2025!L449</f>
        <v>0</v>
      </c>
      <c r="K450" s="381">
        <f>Data2025!M449</f>
        <v>0</v>
      </c>
      <c r="L450" s="642">
        <f>Data2025!N449</f>
        <v>0</v>
      </c>
      <c r="M450" s="642">
        <f>Data2025!O449</f>
        <v>0</v>
      </c>
      <c r="N450" s="643">
        <f>Data2025!P449</f>
        <v>0</v>
      </c>
      <c r="O450" s="644">
        <f>Data2025!Q449</f>
        <v>0</v>
      </c>
      <c r="P450" s="645" t="s">
        <v>710</v>
      </c>
      <c r="Q450" s="646" t="e">
        <f>VLOOKUP(K450,Sheet1!$C$1:$D$101,2,)</f>
        <v>#N/A</v>
      </c>
      <c r="R450" s="496">
        <v>180000</v>
      </c>
      <c r="S450" s="504">
        <v>184000</v>
      </c>
      <c r="T450" s="648">
        <f>Data2025!T449</f>
        <v>0</v>
      </c>
      <c r="U450" s="497" t="s">
        <v>538</v>
      </c>
      <c r="V450" s="648">
        <f>Data2025!V449</f>
        <v>0</v>
      </c>
      <c r="W450" s="648">
        <f>Data2025!X449</f>
        <v>0</v>
      </c>
      <c r="X450" s="497" t="s">
        <v>541</v>
      </c>
      <c r="Y450" s="268" t="str">
        <f t="shared" si="22"/>
        <v>Alat Tulis Kantor (ATK)</v>
      </c>
      <c r="Z450" s="649" t="str">
        <f t="shared" si="23"/>
        <v>Alat Tulis Kantor (ATK)</v>
      </c>
      <c r="AA450" s="498" t="s">
        <v>3369</v>
      </c>
      <c r="AB450" s="499">
        <v>90000</v>
      </c>
      <c r="AC450" s="499">
        <v>180000</v>
      </c>
      <c r="AD450" s="496">
        <v>180000</v>
      </c>
      <c r="AE450" s="500">
        <v>162162.16216216216</v>
      </c>
      <c r="AF450" s="500">
        <v>180000</v>
      </c>
      <c r="AG450" s="805" t="s">
        <v>3883</v>
      </c>
      <c r="AH450" s="651">
        <f>Data2025!W449</f>
        <v>0</v>
      </c>
    </row>
    <row r="451" spans="1:36" s="501" customFormat="1" ht="16.5" thickTop="1" thickBot="1">
      <c r="A451" s="636">
        <f>Data2025!G450</f>
        <v>0</v>
      </c>
      <c r="B451" s="637">
        <f>Data2025!K450</f>
        <v>0</v>
      </c>
      <c r="C451" s="638">
        <f>Data2025!D450</f>
        <v>0</v>
      </c>
      <c r="D451" s="639">
        <f>Data2025!C450</f>
        <v>0</v>
      </c>
      <c r="E451" s="265">
        <f>Data2025!E450</f>
        <v>0</v>
      </c>
      <c r="F451" s="640">
        <f>Data2025!F450</f>
        <v>0</v>
      </c>
      <c r="G451" s="265">
        <f>Data2025!H450</f>
        <v>0</v>
      </c>
      <c r="H451" s="265">
        <f t="shared" si="21"/>
        <v>0</v>
      </c>
      <c r="I451" s="641">
        <f>Data2025!J450</f>
        <v>0</v>
      </c>
      <c r="J451" s="381">
        <f>Data2025!L450</f>
        <v>0</v>
      </c>
      <c r="K451" s="381">
        <f>Data2025!M450</f>
        <v>0</v>
      </c>
      <c r="L451" s="642">
        <f>Data2025!N450</f>
        <v>0</v>
      </c>
      <c r="M451" s="642">
        <f>Data2025!O450</f>
        <v>0</v>
      </c>
      <c r="N451" s="643">
        <f>Data2025!P450</f>
        <v>0</v>
      </c>
      <c r="O451" s="644">
        <f>Data2025!Q450</f>
        <v>0</v>
      </c>
      <c r="P451" s="645" t="s">
        <v>710</v>
      </c>
      <c r="Q451" s="646" t="e">
        <f>VLOOKUP(K451,Sheet1!$C$1:$D$101,2,)</f>
        <v>#N/A</v>
      </c>
      <c r="R451" s="496">
        <v>325000</v>
      </c>
      <c r="S451" s="504">
        <v>335000</v>
      </c>
      <c r="T451" s="648">
        <f>Data2025!T450</f>
        <v>0</v>
      </c>
      <c r="U451" s="497" t="s">
        <v>538</v>
      </c>
      <c r="V451" s="648">
        <f>Data2025!V450</f>
        <v>0</v>
      </c>
      <c r="W451" s="648">
        <f>Data2025!X450</f>
        <v>0</v>
      </c>
      <c r="X451" s="497" t="s">
        <v>541</v>
      </c>
      <c r="Y451" s="268" t="str">
        <f t="shared" si="22"/>
        <v>Alat Tulis Kantor (ATK)</v>
      </c>
      <c r="Z451" s="649" t="str">
        <f t="shared" si="23"/>
        <v>Alat Tulis Kantor (ATK)</v>
      </c>
      <c r="AA451" s="498" t="s">
        <v>3365</v>
      </c>
      <c r="AB451" s="499">
        <v>65000</v>
      </c>
      <c r="AC451" s="499">
        <v>325000</v>
      </c>
      <c r="AD451" s="496">
        <v>325000</v>
      </c>
      <c r="AE451" s="500">
        <v>292792.79279279278</v>
      </c>
      <c r="AF451" s="500">
        <v>325000</v>
      </c>
      <c r="AG451" s="805" t="s">
        <v>3883</v>
      </c>
      <c r="AH451" s="651">
        <f>Data2025!W450</f>
        <v>0</v>
      </c>
      <c r="AI451" s="502"/>
      <c r="AJ451" s="502"/>
    </row>
    <row r="452" spans="1:36" s="501" customFormat="1" ht="16.5" thickTop="1" thickBot="1">
      <c r="A452" s="636">
        <f>Data2025!G451</f>
        <v>0</v>
      </c>
      <c r="B452" s="637">
        <f>Data2025!K451</f>
        <v>0</v>
      </c>
      <c r="C452" s="638">
        <f>Data2025!D451</f>
        <v>0</v>
      </c>
      <c r="D452" s="639">
        <f>Data2025!C451</f>
        <v>0</v>
      </c>
      <c r="E452" s="265">
        <f>Data2025!E451</f>
        <v>0</v>
      </c>
      <c r="F452" s="640">
        <f>Data2025!F451</f>
        <v>0</v>
      </c>
      <c r="G452" s="265">
        <f>Data2025!H451</f>
        <v>0</v>
      </c>
      <c r="H452" s="265">
        <f t="shared" si="21"/>
        <v>0</v>
      </c>
      <c r="I452" s="641">
        <f>Data2025!J451</f>
        <v>0</v>
      </c>
      <c r="J452" s="381">
        <f>Data2025!L451</f>
        <v>0</v>
      </c>
      <c r="K452" s="381">
        <f>Data2025!M451</f>
        <v>0</v>
      </c>
      <c r="L452" s="642">
        <f>Data2025!N451</f>
        <v>0</v>
      </c>
      <c r="M452" s="642">
        <f>Data2025!O451</f>
        <v>0</v>
      </c>
      <c r="N452" s="643">
        <f>Data2025!P451</f>
        <v>0</v>
      </c>
      <c r="O452" s="644">
        <f>Data2025!Q451</f>
        <v>0</v>
      </c>
      <c r="P452" s="645" t="s">
        <v>710</v>
      </c>
      <c r="Q452" s="646" t="e">
        <f>VLOOKUP(K452,Sheet1!$C$1:$D$101,2,)</f>
        <v>#N/A</v>
      </c>
      <c r="R452" s="496">
        <v>239200</v>
      </c>
      <c r="S452" s="504">
        <v>247200</v>
      </c>
      <c r="T452" s="648">
        <f>Data2025!T451</f>
        <v>0</v>
      </c>
      <c r="U452" s="497" t="s">
        <v>538</v>
      </c>
      <c r="V452" s="648">
        <f>Data2025!V451</f>
        <v>0</v>
      </c>
      <c r="W452" s="648">
        <f>Data2025!X451</f>
        <v>0</v>
      </c>
      <c r="X452" s="497" t="s">
        <v>541</v>
      </c>
      <c r="Y452" s="268" t="str">
        <f t="shared" si="22"/>
        <v>Alat Tulis Kantor (ATK)</v>
      </c>
      <c r="Z452" s="649" t="str">
        <f t="shared" si="23"/>
        <v>Alat Tulis Kantor (ATK)</v>
      </c>
      <c r="AA452" s="498" t="s">
        <v>3363</v>
      </c>
      <c r="AB452" s="499">
        <v>59800</v>
      </c>
      <c r="AC452" s="499">
        <v>239200</v>
      </c>
      <c r="AD452" s="496">
        <v>239200</v>
      </c>
      <c r="AE452" s="500">
        <v>215495.4954954955</v>
      </c>
      <c r="AF452" s="500">
        <v>239200</v>
      </c>
      <c r="AG452" s="805" t="s">
        <v>3883</v>
      </c>
      <c r="AH452" s="651">
        <f>Data2025!W451</f>
        <v>0</v>
      </c>
    </row>
    <row r="453" spans="1:36" s="501" customFormat="1" ht="16.5" thickTop="1" thickBot="1">
      <c r="A453" s="636">
        <f>Data2025!G452</f>
        <v>0</v>
      </c>
      <c r="B453" s="637">
        <f>Data2025!K452</f>
        <v>0</v>
      </c>
      <c r="C453" s="638">
        <f>Data2025!D452</f>
        <v>0</v>
      </c>
      <c r="D453" s="639">
        <f>Data2025!C452</f>
        <v>0</v>
      </c>
      <c r="E453" s="265">
        <f>Data2025!E452</f>
        <v>0</v>
      </c>
      <c r="F453" s="640">
        <f>Data2025!F452</f>
        <v>0</v>
      </c>
      <c r="G453" s="265">
        <f>Data2025!H452</f>
        <v>0</v>
      </c>
      <c r="H453" s="265">
        <f t="shared" ref="H453:H516" si="25">G453</f>
        <v>0</v>
      </c>
      <c r="I453" s="641">
        <f>Data2025!J452</f>
        <v>0</v>
      </c>
      <c r="J453" s="381">
        <f>Data2025!L452</f>
        <v>0</v>
      </c>
      <c r="K453" s="381">
        <f>Data2025!M452</f>
        <v>0</v>
      </c>
      <c r="L453" s="642">
        <f>Data2025!N452</f>
        <v>0</v>
      </c>
      <c r="M453" s="642">
        <f>Data2025!O452</f>
        <v>0</v>
      </c>
      <c r="N453" s="643">
        <f>Data2025!P452</f>
        <v>0</v>
      </c>
      <c r="O453" s="644">
        <f>Data2025!Q452</f>
        <v>0</v>
      </c>
      <c r="P453" s="645" t="s">
        <v>710</v>
      </c>
      <c r="Q453" s="646" t="e">
        <f>VLOOKUP(K453,Sheet1!$C$1:$D$101,2,)</f>
        <v>#N/A</v>
      </c>
      <c r="R453" s="496">
        <v>60000</v>
      </c>
      <c r="S453" s="504">
        <v>66000</v>
      </c>
      <c r="T453" s="648">
        <f>Data2025!T452</f>
        <v>0</v>
      </c>
      <c r="U453" s="497" t="s">
        <v>538</v>
      </c>
      <c r="V453" s="648">
        <f>Data2025!V452</f>
        <v>0</v>
      </c>
      <c r="W453" s="648">
        <f>Data2025!X452</f>
        <v>0</v>
      </c>
      <c r="X453" s="497" t="s">
        <v>541</v>
      </c>
      <c r="Y453" s="268" t="str">
        <f t="shared" ref="Y453:Y516" si="26">P453</f>
        <v>Alat Tulis Kantor (ATK)</v>
      </c>
      <c r="Z453" s="649" t="str">
        <f t="shared" ref="Z453:Z516" si="27">Y453</f>
        <v>Alat Tulis Kantor (ATK)</v>
      </c>
      <c r="AA453" s="498" t="s">
        <v>3363</v>
      </c>
      <c r="AB453" s="499">
        <v>20000</v>
      </c>
      <c r="AC453" s="499">
        <v>60000</v>
      </c>
      <c r="AD453" s="496">
        <v>60000</v>
      </c>
      <c r="AE453" s="500">
        <v>54054.054054054053</v>
      </c>
      <c r="AF453" s="500">
        <v>60000</v>
      </c>
      <c r="AG453" s="805" t="s">
        <v>3883</v>
      </c>
      <c r="AH453" s="651">
        <f>Data2025!W452</f>
        <v>0</v>
      </c>
    </row>
    <row r="454" spans="1:36" s="501" customFormat="1" ht="16.5" thickTop="1" thickBot="1">
      <c r="A454" s="636">
        <f>Data2025!G453</f>
        <v>0</v>
      </c>
      <c r="B454" s="637">
        <f>Data2025!K453</f>
        <v>0</v>
      </c>
      <c r="C454" s="638">
        <f>Data2025!D453</f>
        <v>0</v>
      </c>
      <c r="D454" s="639">
        <f>Data2025!C453</f>
        <v>0</v>
      </c>
      <c r="E454" s="265">
        <f>Data2025!E453</f>
        <v>0</v>
      </c>
      <c r="F454" s="640">
        <f>Data2025!F453</f>
        <v>0</v>
      </c>
      <c r="G454" s="265">
        <f>Data2025!H453</f>
        <v>0</v>
      </c>
      <c r="H454" s="265">
        <f t="shared" si="25"/>
        <v>0</v>
      </c>
      <c r="I454" s="641">
        <f>Data2025!J453</f>
        <v>0</v>
      </c>
      <c r="J454" s="381">
        <f>Data2025!L453</f>
        <v>0</v>
      </c>
      <c r="K454" s="381">
        <f>Data2025!M453</f>
        <v>0</v>
      </c>
      <c r="L454" s="642">
        <f>Data2025!N453</f>
        <v>0</v>
      </c>
      <c r="M454" s="642">
        <f>Data2025!O453</f>
        <v>0</v>
      </c>
      <c r="N454" s="643">
        <f>Data2025!P453</f>
        <v>0</v>
      </c>
      <c r="O454" s="644">
        <f>Data2025!Q453</f>
        <v>0</v>
      </c>
      <c r="P454" s="645" t="s">
        <v>710</v>
      </c>
      <c r="Q454" s="646" t="e">
        <f>VLOOKUP(K454,Sheet1!$C$1:$D$101,2,)</f>
        <v>#N/A</v>
      </c>
      <c r="R454" s="496">
        <v>40000</v>
      </c>
      <c r="S454" s="504">
        <v>44000</v>
      </c>
      <c r="T454" s="648">
        <f>Data2025!T453</f>
        <v>0</v>
      </c>
      <c r="U454" s="497" t="s">
        <v>538</v>
      </c>
      <c r="V454" s="648">
        <f>Data2025!V453</f>
        <v>0</v>
      </c>
      <c r="W454" s="648">
        <f>Data2025!X453</f>
        <v>0</v>
      </c>
      <c r="X454" s="497" t="s">
        <v>541</v>
      </c>
      <c r="Y454" s="268" t="str">
        <f t="shared" si="26"/>
        <v>Alat Tulis Kantor (ATK)</v>
      </c>
      <c r="Z454" s="649" t="str">
        <f t="shared" si="27"/>
        <v>Alat Tulis Kantor (ATK)</v>
      </c>
      <c r="AA454" s="498" t="s">
        <v>3363</v>
      </c>
      <c r="AB454" s="499">
        <v>20000</v>
      </c>
      <c r="AC454" s="499">
        <v>40000</v>
      </c>
      <c r="AD454" s="496">
        <v>40000</v>
      </c>
      <c r="AE454" s="500">
        <v>36036.036036036036</v>
      </c>
      <c r="AF454" s="500">
        <v>40000</v>
      </c>
      <c r="AG454" s="805" t="s">
        <v>3883</v>
      </c>
      <c r="AH454" s="651">
        <f>Data2025!W453</f>
        <v>0</v>
      </c>
    </row>
    <row r="455" spans="1:36" s="501" customFormat="1" ht="16.5" thickTop="1" thickBot="1">
      <c r="A455" s="636">
        <f>Data2025!G454</f>
        <v>0</v>
      </c>
      <c r="B455" s="637">
        <f>Data2025!K454</f>
        <v>0</v>
      </c>
      <c r="C455" s="638">
        <f>Data2025!D454</f>
        <v>0</v>
      </c>
      <c r="D455" s="639">
        <f>Data2025!C454</f>
        <v>0</v>
      </c>
      <c r="E455" s="265">
        <f>Data2025!E454</f>
        <v>0</v>
      </c>
      <c r="F455" s="640">
        <f>Data2025!F454</f>
        <v>0</v>
      </c>
      <c r="G455" s="265">
        <f>Data2025!H454</f>
        <v>0</v>
      </c>
      <c r="H455" s="265">
        <f t="shared" si="25"/>
        <v>0</v>
      </c>
      <c r="I455" s="641">
        <f>Data2025!J454</f>
        <v>0</v>
      </c>
      <c r="J455" s="381">
        <f>Data2025!L454</f>
        <v>0</v>
      </c>
      <c r="K455" s="381">
        <f>Data2025!M454</f>
        <v>0</v>
      </c>
      <c r="L455" s="642">
        <f>Data2025!N454</f>
        <v>0</v>
      </c>
      <c r="M455" s="642">
        <f>Data2025!O454</f>
        <v>0</v>
      </c>
      <c r="N455" s="643">
        <f>Data2025!P454</f>
        <v>0</v>
      </c>
      <c r="O455" s="644">
        <f>Data2025!Q454</f>
        <v>0</v>
      </c>
      <c r="P455" s="645" t="s">
        <v>710</v>
      </c>
      <c r="Q455" s="646" t="e">
        <f>VLOOKUP(K455,Sheet1!$C$1:$D$101,2,)</f>
        <v>#N/A</v>
      </c>
      <c r="R455" s="496">
        <v>40000</v>
      </c>
      <c r="S455" s="504">
        <v>44000</v>
      </c>
      <c r="T455" s="648">
        <f>Data2025!T454</f>
        <v>0</v>
      </c>
      <c r="U455" s="497" t="s">
        <v>538</v>
      </c>
      <c r="V455" s="648">
        <f>Data2025!V454</f>
        <v>0</v>
      </c>
      <c r="W455" s="648">
        <f>Data2025!X454</f>
        <v>0</v>
      </c>
      <c r="X455" s="497" t="s">
        <v>541</v>
      </c>
      <c r="Y455" s="268" t="str">
        <f t="shared" si="26"/>
        <v>Alat Tulis Kantor (ATK)</v>
      </c>
      <c r="Z455" s="649" t="str">
        <f t="shared" si="27"/>
        <v>Alat Tulis Kantor (ATK)</v>
      </c>
      <c r="AA455" s="498" t="s">
        <v>3364</v>
      </c>
      <c r="AB455" s="499">
        <v>20000</v>
      </c>
      <c r="AC455" s="499">
        <v>40000</v>
      </c>
      <c r="AD455" s="496">
        <v>40000</v>
      </c>
      <c r="AE455" s="500">
        <v>36036.036036036036</v>
      </c>
      <c r="AF455" s="500">
        <v>40000</v>
      </c>
      <c r="AG455" s="805" t="s">
        <v>3883</v>
      </c>
      <c r="AH455" s="651">
        <f>Data2025!W454</f>
        <v>0</v>
      </c>
    </row>
    <row r="456" spans="1:36" s="501" customFormat="1" ht="16.5" thickTop="1" thickBot="1">
      <c r="A456" s="636">
        <f>Data2025!G455</f>
        <v>0</v>
      </c>
      <c r="B456" s="637">
        <f>Data2025!K455</f>
        <v>0</v>
      </c>
      <c r="C456" s="638">
        <f>Data2025!D455</f>
        <v>0</v>
      </c>
      <c r="D456" s="639">
        <f>Data2025!C455</f>
        <v>0</v>
      </c>
      <c r="E456" s="265">
        <f>Data2025!E455</f>
        <v>0</v>
      </c>
      <c r="F456" s="640">
        <f>Data2025!F455</f>
        <v>0</v>
      </c>
      <c r="G456" s="265">
        <f>Data2025!H455</f>
        <v>0</v>
      </c>
      <c r="H456" s="265">
        <f t="shared" si="25"/>
        <v>0</v>
      </c>
      <c r="I456" s="641">
        <f>Data2025!J455</f>
        <v>0</v>
      </c>
      <c r="J456" s="381">
        <f>Data2025!L455</f>
        <v>0</v>
      </c>
      <c r="K456" s="381">
        <f>Data2025!M455</f>
        <v>0</v>
      </c>
      <c r="L456" s="642">
        <f>Data2025!N455</f>
        <v>0</v>
      </c>
      <c r="M456" s="642">
        <f>Data2025!O455</f>
        <v>0</v>
      </c>
      <c r="N456" s="643">
        <f>Data2025!P455</f>
        <v>0</v>
      </c>
      <c r="O456" s="644">
        <f>Data2025!Q455</f>
        <v>0</v>
      </c>
      <c r="P456" s="645" t="s">
        <v>710</v>
      </c>
      <c r="Q456" s="646" t="e">
        <f>VLOOKUP(K456,Sheet1!$C$1:$D$101,2,)</f>
        <v>#N/A</v>
      </c>
      <c r="R456" s="496">
        <v>440000</v>
      </c>
      <c r="S456" s="504">
        <v>448000</v>
      </c>
      <c r="T456" s="648">
        <f>Data2025!T455</f>
        <v>0</v>
      </c>
      <c r="U456" s="497" t="s">
        <v>538</v>
      </c>
      <c r="V456" s="648">
        <f>Data2025!V455</f>
        <v>0</v>
      </c>
      <c r="W456" s="648">
        <f>Data2025!X455</f>
        <v>0</v>
      </c>
      <c r="X456" s="497" t="s">
        <v>541</v>
      </c>
      <c r="Y456" s="268" t="str">
        <f t="shared" si="26"/>
        <v>Alat Tulis Kantor (ATK)</v>
      </c>
      <c r="Z456" s="649" t="str">
        <f t="shared" si="27"/>
        <v>Alat Tulis Kantor (ATK)</v>
      </c>
      <c r="AA456" s="498" t="s">
        <v>3367</v>
      </c>
      <c r="AB456" s="499">
        <v>110000</v>
      </c>
      <c r="AC456" s="499">
        <v>440000</v>
      </c>
      <c r="AD456" s="496">
        <v>440000</v>
      </c>
      <c r="AE456" s="500">
        <v>396396.39639639639</v>
      </c>
      <c r="AF456" s="500">
        <v>440000</v>
      </c>
      <c r="AG456" s="805" t="s">
        <v>3883</v>
      </c>
      <c r="AH456" s="651">
        <f>Data2025!W455</f>
        <v>0</v>
      </c>
    </row>
    <row r="457" spans="1:36" s="501" customFormat="1" ht="16.5" thickTop="1" thickBot="1">
      <c r="A457" s="636">
        <f>Data2025!G456</f>
        <v>0</v>
      </c>
      <c r="B457" s="637">
        <f>Data2025!K456</f>
        <v>0</v>
      </c>
      <c r="C457" s="638">
        <f>Data2025!D456</f>
        <v>0</v>
      </c>
      <c r="D457" s="639">
        <f>Data2025!C456</f>
        <v>0</v>
      </c>
      <c r="E457" s="265">
        <f>Data2025!E456</f>
        <v>0</v>
      </c>
      <c r="F457" s="640">
        <f>Data2025!F456</f>
        <v>0</v>
      </c>
      <c r="G457" s="265">
        <f>Data2025!H456</f>
        <v>0</v>
      </c>
      <c r="H457" s="265">
        <f t="shared" si="25"/>
        <v>0</v>
      </c>
      <c r="I457" s="641">
        <f>Data2025!J456</f>
        <v>0</v>
      </c>
      <c r="J457" s="381">
        <f>Data2025!L456</f>
        <v>0</v>
      </c>
      <c r="K457" s="381">
        <f>Data2025!M456</f>
        <v>0</v>
      </c>
      <c r="L457" s="642">
        <f>Data2025!N456</f>
        <v>0</v>
      </c>
      <c r="M457" s="642">
        <f>Data2025!O456</f>
        <v>0</v>
      </c>
      <c r="N457" s="643">
        <f>Data2025!P456</f>
        <v>0</v>
      </c>
      <c r="O457" s="644">
        <f>Data2025!Q456</f>
        <v>0</v>
      </c>
      <c r="P457" s="645" t="s">
        <v>710</v>
      </c>
      <c r="Q457" s="646" t="e">
        <f>VLOOKUP(K457,Sheet1!$C$1:$D$101,2,)</f>
        <v>#N/A</v>
      </c>
      <c r="R457" s="496">
        <v>87500</v>
      </c>
      <c r="S457" s="504">
        <v>89500</v>
      </c>
      <c r="T457" s="648">
        <f>Data2025!T456</f>
        <v>0</v>
      </c>
      <c r="U457" s="497" t="s">
        <v>538</v>
      </c>
      <c r="V457" s="648">
        <f>Data2025!V456</f>
        <v>0</v>
      </c>
      <c r="W457" s="648">
        <f>Data2025!X456</f>
        <v>0</v>
      </c>
      <c r="X457" s="497" t="s">
        <v>541</v>
      </c>
      <c r="Y457" s="268" t="str">
        <f t="shared" si="26"/>
        <v>Alat Tulis Kantor (ATK)</v>
      </c>
      <c r="Z457" s="649" t="str">
        <f t="shared" si="27"/>
        <v>Alat Tulis Kantor (ATK)</v>
      </c>
      <c r="AA457" s="498" t="s">
        <v>3370</v>
      </c>
      <c r="AB457" s="499">
        <v>87500</v>
      </c>
      <c r="AC457" s="499">
        <v>87500</v>
      </c>
      <c r="AD457" s="496">
        <v>87500</v>
      </c>
      <c r="AE457" s="500">
        <v>78828.828828828831</v>
      </c>
      <c r="AF457" s="500">
        <v>87500</v>
      </c>
      <c r="AG457" s="805" t="s">
        <v>3883</v>
      </c>
      <c r="AH457" s="651">
        <f>Data2025!W456</f>
        <v>0</v>
      </c>
    </row>
    <row r="458" spans="1:36" s="501" customFormat="1" ht="16.5" thickTop="1" thickBot="1">
      <c r="A458" s="636">
        <f>Data2025!G457</f>
        <v>0</v>
      </c>
      <c r="B458" s="637">
        <f>Data2025!K457</f>
        <v>0</v>
      </c>
      <c r="C458" s="638">
        <f>Data2025!D457</f>
        <v>0</v>
      </c>
      <c r="D458" s="639">
        <f>Data2025!C457</f>
        <v>0</v>
      </c>
      <c r="E458" s="265">
        <f>Data2025!E457</f>
        <v>0</v>
      </c>
      <c r="F458" s="640">
        <f>Data2025!F457</f>
        <v>0</v>
      </c>
      <c r="G458" s="265">
        <f>Data2025!H457</f>
        <v>0</v>
      </c>
      <c r="H458" s="265">
        <f t="shared" si="25"/>
        <v>0</v>
      </c>
      <c r="I458" s="641">
        <f>Data2025!J457</f>
        <v>0</v>
      </c>
      <c r="J458" s="381">
        <f>Data2025!L457</f>
        <v>0</v>
      </c>
      <c r="K458" s="381">
        <f>Data2025!M457</f>
        <v>0</v>
      </c>
      <c r="L458" s="642">
        <f>Data2025!N457</f>
        <v>0</v>
      </c>
      <c r="M458" s="642">
        <f>Data2025!O457</f>
        <v>0</v>
      </c>
      <c r="N458" s="643">
        <f>Data2025!P457</f>
        <v>0</v>
      </c>
      <c r="O458" s="644">
        <f>Data2025!Q457</f>
        <v>0</v>
      </c>
      <c r="P458" s="645" t="s">
        <v>710</v>
      </c>
      <c r="Q458" s="646" t="e">
        <f>VLOOKUP(K458,Sheet1!$C$1:$D$101,2,)</f>
        <v>#N/A</v>
      </c>
      <c r="R458" s="496">
        <v>50000</v>
      </c>
      <c r="S458" s="504">
        <v>58000</v>
      </c>
      <c r="T458" s="648">
        <f>Data2025!T457</f>
        <v>0</v>
      </c>
      <c r="U458" s="497" t="s">
        <v>538</v>
      </c>
      <c r="V458" s="648">
        <f>Data2025!V457</f>
        <v>0</v>
      </c>
      <c r="W458" s="648">
        <f>Data2025!X457</f>
        <v>0</v>
      </c>
      <c r="X458" s="497" t="s">
        <v>541</v>
      </c>
      <c r="Y458" s="268" t="str">
        <f t="shared" si="26"/>
        <v>Alat Tulis Kantor (ATK)</v>
      </c>
      <c r="Z458" s="649" t="str">
        <f t="shared" si="27"/>
        <v>Alat Tulis Kantor (ATK)</v>
      </c>
      <c r="AA458" s="498" t="s">
        <v>3363</v>
      </c>
      <c r="AB458" s="499">
        <v>12500</v>
      </c>
      <c r="AC458" s="499">
        <v>50000</v>
      </c>
      <c r="AD458" s="496">
        <v>50000</v>
      </c>
      <c r="AE458" s="500">
        <v>45045.045045045044</v>
      </c>
      <c r="AF458" s="500">
        <v>50000</v>
      </c>
      <c r="AG458" s="805" t="s">
        <v>3883</v>
      </c>
      <c r="AH458" s="651">
        <f>Data2025!W457</f>
        <v>0</v>
      </c>
    </row>
    <row r="459" spans="1:36" s="501" customFormat="1" ht="16.5" thickTop="1" thickBot="1">
      <c r="A459" s="636">
        <f>Data2025!G458</f>
        <v>0</v>
      </c>
      <c r="B459" s="637">
        <f>Data2025!K458</f>
        <v>0</v>
      </c>
      <c r="C459" s="638">
        <f>Data2025!D458</f>
        <v>0</v>
      </c>
      <c r="D459" s="639">
        <f>Data2025!C458</f>
        <v>0</v>
      </c>
      <c r="E459" s="265">
        <f>Data2025!E458</f>
        <v>0</v>
      </c>
      <c r="F459" s="640">
        <f>Data2025!F458</f>
        <v>0</v>
      </c>
      <c r="G459" s="265">
        <f>Data2025!H458</f>
        <v>0</v>
      </c>
      <c r="H459" s="265">
        <f t="shared" si="25"/>
        <v>0</v>
      </c>
      <c r="I459" s="641">
        <f>Data2025!J458</f>
        <v>0</v>
      </c>
      <c r="J459" s="381">
        <f>Data2025!L458</f>
        <v>0</v>
      </c>
      <c r="K459" s="381">
        <f>Data2025!M458</f>
        <v>0</v>
      </c>
      <c r="L459" s="642">
        <f>Data2025!N458</f>
        <v>0</v>
      </c>
      <c r="M459" s="642">
        <f>Data2025!O458</f>
        <v>0</v>
      </c>
      <c r="N459" s="643">
        <f>Data2025!P458</f>
        <v>0</v>
      </c>
      <c r="O459" s="644">
        <f>Data2025!Q458</f>
        <v>0</v>
      </c>
      <c r="P459" s="645" t="s">
        <v>710</v>
      </c>
      <c r="Q459" s="646" t="e">
        <f>VLOOKUP(K459,Sheet1!$C$1:$D$101,2,)</f>
        <v>#N/A</v>
      </c>
      <c r="R459" s="496">
        <v>125000</v>
      </c>
      <c r="S459" s="504">
        <v>135000</v>
      </c>
      <c r="T459" s="648">
        <f>Data2025!T458</f>
        <v>0</v>
      </c>
      <c r="U459" s="497" t="s">
        <v>538</v>
      </c>
      <c r="V459" s="648">
        <f>Data2025!V458</f>
        <v>0</v>
      </c>
      <c r="W459" s="648">
        <f>Data2025!X458</f>
        <v>0</v>
      </c>
      <c r="X459" s="497" t="s">
        <v>541</v>
      </c>
      <c r="Y459" s="268" t="str">
        <f t="shared" si="26"/>
        <v>Alat Tulis Kantor (ATK)</v>
      </c>
      <c r="Z459" s="649" t="str">
        <f t="shared" si="27"/>
        <v>Alat Tulis Kantor (ATK)</v>
      </c>
      <c r="AA459" s="498" t="s">
        <v>3363</v>
      </c>
      <c r="AB459" s="499">
        <v>25000</v>
      </c>
      <c r="AC459" s="499">
        <v>125000</v>
      </c>
      <c r="AD459" s="496">
        <v>125000</v>
      </c>
      <c r="AE459" s="500">
        <v>112612.61261261262</v>
      </c>
      <c r="AF459" s="500">
        <v>125000</v>
      </c>
      <c r="AG459" s="805" t="s">
        <v>3883</v>
      </c>
      <c r="AH459" s="651">
        <f>Data2025!W458</f>
        <v>0</v>
      </c>
    </row>
    <row r="460" spans="1:36" s="501" customFormat="1" ht="16.5" thickTop="1" thickBot="1">
      <c r="A460" s="636">
        <f>Data2025!G459</f>
        <v>0</v>
      </c>
      <c r="B460" s="637">
        <f>Data2025!K459</f>
        <v>0</v>
      </c>
      <c r="C460" s="638">
        <f>Data2025!D459</f>
        <v>0</v>
      </c>
      <c r="D460" s="639">
        <f>Data2025!C459</f>
        <v>0</v>
      </c>
      <c r="E460" s="265">
        <f>Data2025!E459</f>
        <v>0</v>
      </c>
      <c r="F460" s="640">
        <f>Data2025!F459</f>
        <v>0</v>
      </c>
      <c r="G460" s="265">
        <f>Data2025!H459</f>
        <v>0</v>
      </c>
      <c r="H460" s="265">
        <f t="shared" si="25"/>
        <v>0</v>
      </c>
      <c r="I460" s="641">
        <f>Data2025!J459</f>
        <v>0</v>
      </c>
      <c r="J460" s="381">
        <f>Data2025!L459</f>
        <v>0</v>
      </c>
      <c r="K460" s="381">
        <f>Data2025!M459</f>
        <v>0</v>
      </c>
      <c r="L460" s="642">
        <f>Data2025!N459</f>
        <v>0</v>
      </c>
      <c r="M460" s="642">
        <f>Data2025!O459</f>
        <v>0</v>
      </c>
      <c r="N460" s="643">
        <f>Data2025!P459</f>
        <v>0</v>
      </c>
      <c r="O460" s="644">
        <f>Data2025!Q459</f>
        <v>0</v>
      </c>
      <c r="P460" s="645" t="s">
        <v>710</v>
      </c>
      <c r="Q460" s="646" t="e">
        <f>VLOOKUP(K460,Sheet1!$C$1:$D$101,2,)</f>
        <v>#N/A</v>
      </c>
      <c r="R460" s="496">
        <v>240000</v>
      </c>
      <c r="S460" s="504">
        <v>256000</v>
      </c>
      <c r="T460" s="648">
        <f>Data2025!T459</f>
        <v>0</v>
      </c>
      <c r="U460" s="497" t="s">
        <v>538</v>
      </c>
      <c r="V460" s="648">
        <f>Data2025!V459</f>
        <v>0</v>
      </c>
      <c r="W460" s="648">
        <f>Data2025!X459</f>
        <v>0</v>
      </c>
      <c r="X460" s="497" t="s">
        <v>541</v>
      </c>
      <c r="Y460" s="268" t="str">
        <f t="shared" si="26"/>
        <v>Alat Tulis Kantor (ATK)</v>
      </c>
      <c r="Z460" s="649" t="str">
        <f t="shared" si="27"/>
        <v>Alat Tulis Kantor (ATK)</v>
      </c>
      <c r="AA460" s="498" t="s">
        <v>3367</v>
      </c>
      <c r="AB460" s="499">
        <v>30000</v>
      </c>
      <c r="AC460" s="499">
        <v>240000</v>
      </c>
      <c r="AD460" s="496">
        <v>240000</v>
      </c>
      <c r="AE460" s="500">
        <v>216216.21621621621</v>
      </c>
      <c r="AF460" s="500">
        <v>240000</v>
      </c>
      <c r="AG460" s="805" t="s">
        <v>3883</v>
      </c>
      <c r="AH460" s="651">
        <f>Data2025!W459</f>
        <v>0</v>
      </c>
    </row>
    <row r="461" spans="1:36" s="501" customFormat="1" ht="16.5" thickTop="1" thickBot="1">
      <c r="A461" s="636">
        <f>Data2025!G460</f>
        <v>0</v>
      </c>
      <c r="B461" s="637">
        <f>Data2025!K460</f>
        <v>0</v>
      </c>
      <c r="C461" s="638">
        <f>Data2025!D460</f>
        <v>0</v>
      </c>
      <c r="D461" s="639">
        <f>Data2025!C460</f>
        <v>0</v>
      </c>
      <c r="E461" s="265">
        <f>Data2025!E460</f>
        <v>0</v>
      </c>
      <c r="F461" s="640">
        <f>Data2025!F460</f>
        <v>0</v>
      </c>
      <c r="G461" s="265">
        <f>Data2025!H460</f>
        <v>0</v>
      </c>
      <c r="H461" s="265">
        <f t="shared" si="25"/>
        <v>0</v>
      </c>
      <c r="I461" s="641">
        <f>Data2025!J460</f>
        <v>0</v>
      </c>
      <c r="J461" s="381">
        <f>Data2025!L460</f>
        <v>0</v>
      </c>
      <c r="K461" s="381">
        <f>Data2025!M460</f>
        <v>0</v>
      </c>
      <c r="L461" s="642">
        <f>Data2025!N460</f>
        <v>0</v>
      </c>
      <c r="M461" s="642">
        <f>Data2025!O460</f>
        <v>0</v>
      </c>
      <c r="N461" s="643">
        <f>Data2025!P460</f>
        <v>0</v>
      </c>
      <c r="O461" s="644">
        <f>Data2025!Q460</f>
        <v>0</v>
      </c>
      <c r="P461" s="645" t="s">
        <v>710</v>
      </c>
      <c r="Q461" s="646" t="e">
        <f>VLOOKUP(K461,Sheet1!$C$1:$D$101,2,)</f>
        <v>#N/A</v>
      </c>
      <c r="R461" s="496">
        <v>485000</v>
      </c>
      <c r="S461" s="504">
        <v>505000</v>
      </c>
      <c r="T461" s="648">
        <f>Data2025!T460</f>
        <v>0</v>
      </c>
      <c r="U461" s="497" t="s">
        <v>538</v>
      </c>
      <c r="V461" s="648">
        <f>Data2025!V460</f>
        <v>0</v>
      </c>
      <c r="W461" s="648">
        <f>Data2025!X460</f>
        <v>0</v>
      </c>
      <c r="X461" s="497" t="s">
        <v>541</v>
      </c>
      <c r="Y461" s="268" t="str">
        <f t="shared" si="26"/>
        <v>Alat Tulis Kantor (ATK)</v>
      </c>
      <c r="Z461" s="649" t="str">
        <f t="shared" si="27"/>
        <v>Alat Tulis Kantor (ATK)</v>
      </c>
      <c r="AA461" s="498" t="s">
        <v>3369</v>
      </c>
      <c r="AB461" s="499">
        <v>48500</v>
      </c>
      <c r="AC461" s="499">
        <v>485000</v>
      </c>
      <c r="AD461" s="496">
        <v>485000</v>
      </c>
      <c r="AE461" s="500">
        <v>436936.93693693692</v>
      </c>
      <c r="AF461" s="500">
        <v>485000</v>
      </c>
      <c r="AG461" s="805" t="s">
        <v>3883</v>
      </c>
      <c r="AH461" s="651">
        <f>Data2025!W460</f>
        <v>0</v>
      </c>
    </row>
    <row r="462" spans="1:36" s="501" customFormat="1" ht="16.5" thickTop="1" thickBot="1">
      <c r="A462" s="636">
        <f>Data2025!G461</f>
        <v>0</v>
      </c>
      <c r="B462" s="637">
        <f>Data2025!K461</f>
        <v>0</v>
      </c>
      <c r="C462" s="638">
        <f>Data2025!D461</f>
        <v>0</v>
      </c>
      <c r="D462" s="639">
        <f>Data2025!C461</f>
        <v>0</v>
      </c>
      <c r="E462" s="265">
        <f>Data2025!E461</f>
        <v>0</v>
      </c>
      <c r="F462" s="640">
        <f>Data2025!F461</f>
        <v>0</v>
      </c>
      <c r="G462" s="265">
        <f>Data2025!H461</f>
        <v>0</v>
      </c>
      <c r="H462" s="265">
        <f t="shared" si="25"/>
        <v>0</v>
      </c>
      <c r="I462" s="641">
        <f>Data2025!J461</f>
        <v>0</v>
      </c>
      <c r="J462" s="381">
        <f>Data2025!L461</f>
        <v>0</v>
      </c>
      <c r="K462" s="381">
        <f>Data2025!M461</f>
        <v>0</v>
      </c>
      <c r="L462" s="642">
        <f>Data2025!N461</f>
        <v>0</v>
      </c>
      <c r="M462" s="642">
        <f>Data2025!O461</f>
        <v>0</v>
      </c>
      <c r="N462" s="643">
        <f>Data2025!P461</f>
        <v>0</v>
      </c>
      <c r="O462" s="644">
        <f>Data2025!Q461</f>
        <v>0</v>
      </c>
      <c r="P462" s="645" t="s">
        <v>710</v>
      </c>
      <c r="Q462" s="646" t="e">
        <f>VLOOKUP(K462,Sheet1!$C$1:$D$101,2,)</f>
        <v>#N/A</v>
      </c>
      <c r="R462" s="496">
        <v>297000</v>
      </c>
      <c r="S462" s="504">
        <v>309000</v>
      </c>
      <c r="T462" s="648">
        <f>Data2025!T461</f>
        <v>0</v>
      </c>
      <c r="U462" s="497" t="s">
        <v>538</v>
      </c>
      <c r="V462" s="648">
        <f>Data2025!V461</f>
        <v>0</v>
      </c>
      <c r="W462" s="648">
        <f>Data2025!X461</f>
        <v>0</v>
      </c>
      <c r="X462" s="497" t="s">
        <v>541</v>
      </c>
      <c r="Y462" s="268" t="str">
        <f t="shared" si="26"/>
        <v>Alat Tulis Kantor (ATK)</v>
      </c>
      <c r="Z462" s="649" t="str">
        <f t="shared" si="27"/>
        <v>Alat Tulis Kantor (ATK)</v>
      </c>
      <c r="AA462" s="498" t="s">
        <v>3363</v>
      </c>
      <c r="AB462" s="499">
        <v>49500</v>
      </c>
      <c r="AC462" s="499">
        <v>297000</v>
      </c>
      <c r="AD462" s="496">
        <v>297000</v>
      </c>
      <c r="AE462" s="500">
        <v>267567.56756756757</v>
      </c>
      <c r="AF462" s="500">
        <v>297000</v>
      </c>
      <c r="AG462" s="805" t="s">
        <v>3883</v>
      </c>
      <c r="AH462" s="651">
        <f>Data2025!W461</f>
        <v>0</v>
      </c>
    </row>
    <row r="463" spans="1:36" s="501" customFormat="1" ht="16.5" thickTop="1" thickBot="1">
      <c r="A463" s="636">
        <f>Data2025!G462</f>
        <v>0</v>
      </c>
      <c r="B463" s="637">
        <f>Data2025!K462</f>
        <v>0</v>
      </c>
      <c r="C463" s="638">
        <f>Data2025!D462</f>
        <v>0</v>
      </c>
      <c r="D463" s="639">
        <f>Data2025!C462</f>
        <v>0</v>
      </c>
      <c r="E463" s="265">
        <f>Data2025!E462</f>
        <v>0</v>
      </c>
      <c r="F463" s="640">
        <f>Data2025!F462</f>
        <v>0</v>
      </c>
      <c r="G463" s="265">
        <f>Data2025!H462</f>
        <v>0</v>
      </c>
      <c r="H463" s="265">
        <f t="shared" si="25"/>
        <v>0</v>
      </c>
      <c r="I463" s="641">
        <f>Data2025!J462</f>
        <v>0</v>
      </c>
      <c r="J463" s="381">
        <f>Data2025!L462</f>
        <v>0</v>
      </c>
      <c r="K463" s="381">
        <f>Data2025!M462</f>
        <v>0</v>
      </c>
      <c r="L463" s="642">
        <f>Data2025!N462</f>
        <v>0</v>
      </c>
      <c r="M463" s="642">
        <f>Data2025!O462</f>
        <v>0</v>
      </c>
      <c r="N463" s="643">
        <f>Data2025!P462</f>
        <v>0</v>
      </c>
      <c r="O463" s="644">
        <f>Data2025!Q462</f>
        <v>0</v>
      </c>
      <c r="P463" s="645" t="s">
        <v>2609</v>
      </c>
      <c r="Q463" s="646" t="e">
        <f>VLOOKUP(K463,Sheet1!$C$1:$D$101,2,)</f>
        <v>#N/A</v>
      </c>
      <c r="R463" s="496">
        <v>335000</v>
      </c>
      <c r="S463" s="504">
        <v>345000</v>
      </c>
      <c r="T463" s="648">
        <f>Data2025!T462</f>
        <v>0</v>
      </c>
      <c r="U463" s="497" t="s">
        <v>538</v>
      </c>
      <c r="V463" s="648">
        <f>Data2025!V462</f>
        <v>0</v>
      </c>
      <c r="W463" s="648">
        <f>Data2025!X462</f>
        <v>0</v>
      </c>
      <c r="X463" s="497" t="s">
        <v>541</v>
      </c>
      <c r="Y463" s="268" t="str">
        <f t="shared" si="26"/>
        <v>Alat Kebersihan</v>
      </c>
      <c r="Z463" s="649" t="str">
        <f t="shared" si="27"/>
        <v>Alat Kebersihan</v>
      </c>
      <c r="AA463" s="498" t="s">
        <v>3367</v>
      </c>
      <c r="AB463" s="499">
        <v>67000</v>
      </c>
      <c r="AC463" s="499">
        <v>335000</v>
      </c>
      <c r="AD463" s="496">
        <v>335000</v>
      </c>
      <c r="AE463" s="500">
        <v>301801.80180180183</v>
      </c>
      <c r="AF463" s="500">
        <v>335000</v>
      </c>
      <c r="AG463" s="805" t="s">
        <v>3883</v>
      </c>
      <c r="AH463" s="651">
        <f>Data2025!W462</f>
        <v>0</v>
      </c>
    </row>
    <row r="464" spans="1:36" s="501" customFormat="1" ht="16.5" thickTop="1" thickBot="1">
      <c r="A464" s="636">
        <f>Data2025!G463</f>
        <v>0</v>
      </c>
      <c r="B464" s="637">
        <f>Data2025!K463</f>
        <v>0</v>
      </c>
      <c r="C464" s="638">
        <f>Data2025!D463</f>
        <v>0</v>
      </c>
      <c r="D464" s="639">
        <f>Data2025!C463</f>
        <v>0</v>
      </c>
      <c r="E464" s="265">
        <f>Data2025!E463</f>
        <v>0</v>
      </c>
      <c r="F464" s="640">
        <f>Data2025!F463</f>
        <v>0</v>
      </c>
      <c r="G464" s="265">
        <f>Data2025!H463</f>
        <v>0</v>
      </c>
      <c r="H464" s="265">
        <f t="shared" si="25"/>
        <v>0</v>
      </c>
      <c r="I464" s="641">
        <f>Data2025!J463</f>
        <v>0</v>
      </c>
      <c r="J464" s="381">
        <f>Data2025!L463</f>
        <v>0</v>
      </c>
      <c r="K464" s="381">
        <f>Data2025!M463</f>
        <v>0</v>
      </c>
      <c r="L464" s="642">
        <f>Data2025!N463</f>
        <v>0</v>
      </c>
      <c r="M464" s="642">
        <f>Data2025!O463</f>
        <v>0</v>
      </c>
      <c r="N464" s="643">
        <f>Data2025!P463</f>
        <v>0</v>
      </c>
      <c r="O464" s="644">
        <f>Data2025!Q463</f>
        <v>0</v>
      </c>
      <c r="P464" s="645" t="s">
        <v>2609</v>
      </c>
      <c r="Q464" s="646" t="e">
        <f>VLOOKUP(K464,Sheet1!$C$1:$D$101,2,)</f>
        <v>#N/A</v>
      </c>
      <c r="R464" s="496">
        <v>205500</v>
      </c>
      <c r="S464" s="504">
        <v>235500</v>
      </c>
      <c r="T464" s="648">
        <f>Data2025!T463</f>
        <v>0</v>
      </c>
      <c r="U464" s="497" t="s">
        <v>538</v>
      </c>
      <c r="V464" s="648">
        <f>Data2025!V463</f>
        <v>0</v>
      </c>
      <c r="W464" s="648">
        <f>Data2025!X463</f>
        <v>0</v>
      </c>
      <c r="X464" s="497" t="s">
        <v>541</v>
      </c>
      <c r="Y464" s="268" t="str">
        <f t="shared" si="26"/>
        <v>Alat Kebersihan</v>
      </c>
      <c r="Z464" s="649" t="str">
        <f t="shared" si="27"/>
        <v>Alat Kebersihan</v>
      </c>
      <c r="AA464" s="498" t="s">
        <v>3363</v>
      </c>
      <c r="AB464" s="499">
        <v>13700</v>
      </c>
      <c r="AC464" s="499">
        <v>205500</v>
      </c>
      <c r="AD464" s="496">
        <v>205500</v>
      </c>
      <c r="AE464" s="500">
        <v>185135.13513513515</v>
      </c>
      <c r="AF464" s="500">
        <v>205500</v>
      </c>
      <c r="AG464" s="805" t="s">
        <v>3883</v>
      </c>
      <c r="AH464" s="651">
        <f>Data2025!W463</f>
        <v>0</v>
      </c>
    </row>
    <row r="465" spans="1:34" s="501" customFormat="1" ht="16.5" thickTop="1" thickBot="1">
      <c r="A465" s="636">
        <f>Data2025!G464</f>
        <v>0</v>
      </c>
      <c r="B465" s="637">
        <f>Data2025!K464</f>
        <v>0</v>
      </c>
      <c r="C465" s="638">
        <f>Data2025!D464</f>
        <v>0</v>
      </c>
      <c r="D465" s="639">
        <f>Data2025!C464</f>
        <v>0</v>
      </c>
      <c r="E465" s="265">
        <f>Data2025!E464</f>
        <v>0</v>
      </c>
      <c r="F465" s="640">
        <f>Data2025!F464</f>
        <v>0</v>
      </c>
      <c r="G465" s="265">
        <f>Data2025!H464</f>
        <v>0</v>
      </c>
      <c r="H465" s="265">
        <f t="shared" si="25"/>
        <v>0</v>
      </c>
      <c r="I465" s="641">
        <f>Data2025!J464</f>
        <v>0</v>
      </c>
      <c r="J465" s="381">
        <f>Data2025!L464</f>
        <v>0</v>
      </c>
      <c r="K465" s="381">
        <f>Data2025!M464</f>
        <v>0</v>
      </c>
      <c r="L465" s="642">
        <f>Data2025!N464</f>
        <v>0</v>
      </c>
      <c r="M465" s="642">
        <f>Data2025!O464</f>
        <v>0</v>
      </c>
      <c r="N465" s="643">
        <f>Data2025!P464</f>
        <v>0</v>
      </c>
      <c r="O465" s="644">
        <f>Data2025!Q464</f>
        <v>0</v>
      </c>
      <c r="P465" s="645" t="s">
        <v>2609</v>
      </c>
      <c r="Q465" s="646" t="e">
        <f>VLOOKUP(K465,Sheet1!$C$1:$D$101,2,)</f>
        <v>#N/A</v>
      </c>
      <c r="R465" s="496">
        <v>121000</v>
      </c>
      <c r="S465" s="504">
        <v>141000</v>
      </c>
      <c r="T465" s="648">
        <f>Data2025!T464</f>
        <v>0</v>
      </c>
      <c r="U465" s="497" t="s">
        <v>538</v>
      </c>
      <c r="V465" s="648">
        <f>Data2025!V464</f>
        <v>0</v>
      </c>
      <c r="W465" s="648">
        <f>Data2025!X464</f>
        <v>0</v>
      </c>
      <c r="X465" s="497" t="s">
        <v>541</v>
      </c>
      <c r="Y465" s="268" t="str">
        <f t="shared" si="26"/>
        <v>Alat Kebersihan</v>
      </c>
      <c r="Z465" s="649" t="str">
        <f t="shared" si="27"/>
        <v>Alat Kebersihan</v>
      </c>
      <c r="AA465" s="498" t="s">
        <v>3363</v>
      </c>
      <c r="AB465" s="499">
        <v>12100</v>
      </c>
      <c r="AC465" s="499">
        <v>121000</v>
      </c>
      <c r="AD465" s="496">
        <v>121000</v>
      </c>
      <c r="AE465" s="500">
        <v>109009.00900900901</v>
      </c>
      <c r="AF465" s="500">
        <v>121000</v>
      </c>
      <c r="AG465" s="805" t="s">
        <v>3883</v>
      </c>
      <c r="AH465" s="651">
        <f>Data2025!W464</f>
        <v>0</v>
      </c>
    </row>
    <row r="466" spans="1:34" s="501" customFormat="1" ht="16.5" thickTop="1" thickBot="1">
      <c r="A466" s="636">
        <f>Data2025!G465</f>
        <v>0</v>
      </c>
      <c r="B466" s="637">
        <f>Data2025!K465</f>
        <v>0</v>
      </c>
      <c r="C466" s="638">
        <f>Data2025!D465</f>
        <v>0</v>
      </c>
      <c r="D466" s="639">
        <f>Data2025!C465</f>
        <v>0</v>
      </c>
      <c r="E466" s="265">
        <f>Data2025!E465</f>
        <v>0</v>
      </c>
      <c r="F466" s="640">
        <f>Data2025!F465</f>
        <v>0</v>
      </c>
      <c r="G466" s="265">
        <f>Data2025!H465</f>
        <v>0</v>
      </c>
      <c r="H466" s="265">
        <f t="shared" si="25"/>
        <v>0</v>
      </c>
      <c r="I466" s="641">
        <f>Data2025!J465</f>
        <v>0</v>
      </c>
      <c r="J466" s="381">
        <f>Data2025!L465</f>
        <v>0</v>
      </c>
      <c r="K466" s="381">
        <f>Data2025!M465</f>
        <v>0</v>
      </c>
      <c r="L466" s="642">
        <f>Data2025!N465</f>
        <v>0</v>
      </c>
      <c r="M466" s="642">
        <f>Data2025!O465</f>
        <v>0</v>
      </c>
      <c r="N466" s="643">
        <f>Data2025!P465</f>
        <v>0</v>
      </c>
      <c r="O466" s="644">
        <f>Data2025!Q465</f>
        <v>0</v>
      </c>
      <c r="P466" s="645" t="s">
        <v>2609</v>
      </c>
      <c r="Q466" s="646" t="e">
        <f>VLOOKUP(K466,Sheet1!$C$1:$D$101,2,)</f>
        <v>#N/A</v>
      </c>
      <c r="R466" s="496">
        <v>45000</v>
      </c>
      <c r="S466" s="504">
        <v>51000</v>
      </c>
      <c r="T466" s="648">
        <f>Data2025!T465</f>
        <v>0</v>
      </c>
      <c r="U466" s="497" t="s">
        <v>538</v>
      </c>
      <c r="V466" s="648">
        <f>Data2025!V465</f>
        <v>0</v>
      </c>
      <c r="W466" s="648">
        <f>Data2025!X465</f>
        <v>0</v>
      </c>
      <c r="X466" s="497" t="s">
        <v>541</v>
      </c>
      <c r="Y466" s="268" t="str">
        <f t="shared" si="26"/>
        <v>Alat Kebersihan</v>
      </c>
      <c r="Z466" s="649" t="str">
        <f t="shared" si="27"/>
        <v>Alat Kebersihan</v>
      </c>
      <c r="AA466" s="498" t="s">
        <v>3363</v>
      </c>
      <c r="AB466" s="499">
        <v>15000</v>
      </c>
      <c r="AC466" s="499">
        <v>45000</v>
      </c>
      <c r="AD466" s="496">
        <v>45000</v>
      </c>
      <c r="AE466" s="500">
        <v>40540.54054054054</v>
      </c>
      <c r="AF466" s="500">
        <v>45000</v>
      </c>
      <c r="AG466" s="805" t="s">
        <v>3883</v>
      </c>
      <c r="AH466" s="651">
        <f>Data2025!W465</f>
        <v>0</v>
      </c>
    </row>
    <row r="467" spans="1:34" s="501" customFormat="1" ht="16.5" thickTop="1" thickBot="1">
      <c r="A467" s="636">
        <f>Data2025!G466</f>
        <v>0</v>
      </c>
      <c r="B467" s="637">
        <f>Data2025!K466</f>
        <v>0</v>
      </c>
      <c r="C467" s="638">
        <f>Data2025!D466</f>
        <v>0</v>
      </c>
      <c r="D467" s="639">
        <f>Data2025!C466</f>
        <v>0</v>
      </c>
      <c r="E467" s="265">
        <f>Data2025!E466</f>
        <v>0</v>
      </c>
      <c r="F467" s="640">
        <f>Data2025!F466</f>
        <v>0</v>
      </c>
      <c r="G467" s="265">
        <f>Data2025!H466</f>
        <v>0</v>
      </c>
      <c r="H467" s="265">
        <f t="shared" si="25"/>
        <v>0</v>
      </c>
      <c r="I467" s="641">
        <f>Data2025!J466</f>
        <v>0</v>
      </c>
      <c r="J467" s="381">
        <f>Data2025!L466</f>
        <v>0</v>
      </c>
      <c r="K467" s="381">
        <f>Data2025!M466</f>
        <v>0</v>
      </c>
      <c r="L467" s="642">
        <f>Data2025!N466</f>
        <v>0</v>
      </c>
      <c r="M467" s="642">
        <f>Data2025!O466</f>
        <v>0</v>
      </c>
      <c r="N467" s="643">
        <f>Data2025!P466</f>
        <v>0</v>
      </c>
      <c r="O467" s="644">
        <f>Data2025!Q466</f>
        <v>0</v>
      </c>
      <c r="P467" s="645" t="s">
        <v>2609</v>
      </c>
      <c r="Q467" s="646" t="e">
        <f>VLOOKUP(K467,Sheet1!$C$1:$D$101,2,)</f>
        <v>#N/A</v>
      </c>
      <c r="R467" s="496">
        <v>300000</v>
      </c>
      <c r="S467" s="504">
        <v>320000</v>
      </c>
      <c r="T467" s="648">
        <f>Data2025!T466</f>
        <v>0</v>
      </c>
      <c r="U467" s="497" t="s">
        <v>538</v>
      </c>
      <c r="V467" s="648">
        <f>Data2025!V466</f>
        <v>0</v>
      </c>
      <c r="W467" s="648">
        <f>Data2025!X466</f>
        <v>0</v>
      </c>
      <c r="X467" s="497" t="s">
        <v>541</v>
      </c>
      <c r="Y467" s="268" t="str">
        <f t="shared" si="26"/>
        <v>Alat Kebersihan</v>
      </c>
      <c r="Z467" s="649" t="str">
        <f t="shared" si="27"/>
        <v>Alat Kebersihan</v>
      </c>
      <c r="AA467" s="498" t="s">
        <v>3367</v>
      </c>
      <c r="AB467" s="499">
        <v>30000</v>
      </c>
      <c r="AC467" s="499">
        <v>300000</v>
      </c>
      <c r="AD467" s="496">
        <v>300000</v>
      </c>
      <c r="AE467" s="500">
        <v>270270.2702702703</v>
      </c>
      <c r="AF467" s="500">
        <v>300000</v>
      </c>
      <c r="AG467" s="805" t="s">
        <v>3883</v>
      </c>
      <c r="AH467" s="651">
        <f>Data2025!W466</f>
        <v>0</v>
      </c>
    </row>
    <row r="468" spans="1:34" s="501" customFormat="1" ht="16.5" thickTop="1" thickBot="1">
      <c r="A468" s="636">
        <f>Data2025!G467</f>
        <v>0</v>
      </c>
      <c r="B468" s="637">
        <f>Data2025!K467</f>
        <v>0</v>
      </c>
      <c r="C468" s="638">
        <f>Data2025!D467</f>
        <v>0</v>
      </c>
      <c r="D468" s="639">
        <f>Data2025!C467</f>
        <v>0</v>
      </c>
      <c r="E468" s="265">
        <f>Data2025!E467</f>
        <v>0</v>
      </c>
      <c r="F468" s="640">
        <f>Data2025!F467</f>
        <v>0</v>
      </c>
      <c r="G468" s="265">
        <f>Data2025!H467</f>
        <v>0</v>
      </c>
      <c r="H468" s="265">
        <f t="shared" si="25"/>
        <v>0</v>
      </c>
      <c r="I468" s="641">
        <f>Data2025!J467</f>
        <v>0</v>
      </c>
      <c r="J468" s="381">
        <f>Data2025!L467</f>
        <v>0</v>
      </c>
      <c r="K468" s="381">
        <f>Data2025!M467</f>
        <v>0</v>
      </c>
      <c r="L468" s="642">
        <f>Data2025!N467</f>
        <v>0</v>
      </c>
      <c r="M468" s="642">
        <f>Data2025!O467</f>
        <v>0</v>
      </c>
      <c r="N468" s="643">
        <f>Data2025!P467</f>
        <v>0</v>
      </c>
      <c r="O468" s="644">
        <f>Data2025!Q467</f>
        <v>0</v>
      </c>
      <c r="P468" s="645" t="s">
        <v>2609</v>
      </c>
      <c r="Q468" s="646" t="e">
        <f>VLOOKUP(K468,Sheet1!$C$1:$D$101,2,)</f>
        <v>#N/A</v>
      </c>
      <c r="R468" s="496">
        <v>60000</v>
      </c>
      <c r="S468" s="504">
        <v>70000</v>
      </c>
      <c r="T468" s="648">
        <f>Data2025!T467</f>
        <v>0</v>
      </c>
      <c r="U468" s="497" t="s">
        <v>538</v>
      </c>
      <c r="V468" s="648">
        <f>Data2025!V467</f>
        <v>0</v>
      </c>
      <c r="W468" s="648">
        <f>Data2025!X467</f>
        <v>0</v>
      </c>
      <c r="X468" s="497" t="s">
        <v>541</v>
      </c>
      <c r="Y468" s="268" t="str">
        <f t="shared" si="26"/>
        <v>Alat Kebersihan</v>
      </c>
      <c r="Z468" s="649" t="str">
        <f t="shared" si="27"/>
        <v>Alat Kebersihan</v>
      </c>
      <c r="AA468" s="498" t="s">
        <v>3363</v>
      </c>
      <c r="AB468" s="499">
        <v>12000</v>
      </c>
      <c r="AC468" s="499">
        <v>60000</v>
      </c>
      <c r="AD468" s="496">
        <v>60000</v>
      </c>
      <c r="AE468" s="500">
        <v>54054.054054054053</v>
      </c>
      <c r="AF468" s="500">
        <v>60000</v>
      </c>
      <c r="AG468" s="805" t="s">
        <v>3883</v>
      </c>
      <c r="AH468" s="651">
        <f>Data2025!W467</f>
        <v>0</v>
      </c>
    </row>
    <row r="469" spans="1:34" s="501" customFormat="1" ht="16.5" thickTop="1" thickBot="1">
      <c r="A469" s="636">
        <f>Data2025!G468</f>
        <v>0</v>
      </c>
      <c r="B469" s="637">
        <f>Data2025!K468</f>
        <v>0</v>
      </c>
      <c r="C469" s="638">
        <f>Data2025!D468</f>
        <v>0</v>
      </c>
      <c r="D469" s="639">
        <f>Data2025!C468</f>
        <v>0</v>
      </c>
      <c r="E469" s="265">
        <f>Data2025!E468</f>
        <v>0</v>
      </c>
      <c r="F469" s="640">
        <f>Data2025!F468</f>
        <v>0</v>
      </c>
      <c r="G469" s="265">
        <f>Data2025!H468</f>
        <v>0</v>
      </c>
      <c r="H469" s="265">
        <f t="shared" si="25"/>
        <v>0</v>
      </c>
      <c r="I469" s="641">
        <f>Data2025!J468</f>
        <v>0</v>
      </c>
      <c r="J469" s="381">
        <f>Data2025!L468</f>
        <v>0</v>
      </c>
      <c r="K469" s="381">
        <f>Data2025!M468</f>
        <v>0</v>
      </c>
      <c r="L469" s="642">
        <f>Data2025!N468</f>
        <v>0</v>
      </c>
      <c r="M469" s="642">
        <f>Data2025!O468</f>
        <v>0</v>
      </c>
      <c r="N469" s="643">
        <f>Data2025!P468</f>
        <v>0</v>
      </c>
      <c r="O469" s="644">
        <f>Data2025!Q468</f>
        <v>0</v>
      </c>
      <c r="P469" s="645" t="s">
        <v>2609</v>
      </c>
      <c r="Q469" s="646" t="e">
        <f>VLOOKUP(K469,Sheet1!$C$1:$D$101,2,)</f>
        <v>#N/A</v>
      </c>
      <c r="R469" s="496">
        <v>150000</v>
      </c>
      <c r="S469" s="504">
        <v>174000</v>
      </c>
      <c r="T469" s="648">
        <f>Data2025!T468</f>
        <v>0</v>
      </c>
      <c r="U469" s="497" t="s">
        <v>538</v>
      </c>
      <c r="V469" s="648">
        <f>Data2025!V468</f>
        <v>0</v>
      </c>
      <c r="W469" s="648">
        <f>Data2025!X468</f>
        <v>0</v>
      </c>
      <c r="X469" s="497" t="s">
        <v>541</v>
      </c>
      <c r="Y469" s="268" t="str">
        <f t="shared" si="26"/>
        <v>Alat Kebersihan</v>
      </c>
      <c r="Z469" s="649" t="str">
        <f t="shared" si="27"/>
        <v>Alat Kebersihan</v>
      </c>
      <c r="AA469" s="498" t="s">
        <v>3363</v>
      </c>
      <c r="AB469" s="499">
        <v>12500</v>
      </c>
      <c r="AC469" s="499">
        <v>150000</v>
      </c>
      <c r="AD469" s="496">
        <v>150000</v>
      </c>
      <c r="AE469" s="500">
        <v>135135.13513513515</v>
      </c>
      <c r="AF469" s="500">
        <v>150000</v>
      </c>
      <c r="AG469" s="805" t="s">
        <v>3883</v>
      </c>
      <c r="AH469" s="651">
        <f>Data2025!W468</f>
        <v>0</v>
      </c>
    </row>
    <row r="470" spans="1:34" s="501" customFormat="1" ht="16.5" thickTop="1" thickBot="1">
      <c r="A470" s="636">
        <f>Data2025!G469</f>
        <v>0</v>
      </c>
      <c r="B470" s="637">
        <f>Data2025!K469</f>
        <v>0</v>
      </c>
      <c r="C470" s="638">
        <f>Data2025!D469</f>
        <v>0</v>
      </c>
      <c r="D470" s="639">
        <f>Data2025!C469</f>
        <v>0</v>
      </c>
      <c r="E470" s="265">
        <f>Data2025!E469</f>
        <v>0</v>
      </c>
      <c r="F470" s="640">
        <f>Data2025!F469</f>
        <v>0</v>
      </c>
      <c r="G470" s="265">
        <f>Data2025!H469</f>
        <v>0</v>
      </c>
      <c r="H470" s="265">
        <f t="shared" si="25"/>
        <v>0</v>
      </c>
      <c r="I470" s="641">
        <f>Data2025!J469</f>
        <v>0</v>
      </c>
      <c r="J470" s="381">
        <f>Data2025!L469</f>
        <v>0</v>
      </c>
      <c r="K470" s="381">
        <f>Data2025!M469</f>
        <v>0</v>
      </c>
      <c r="L470" s="642">
        <f>Data2025!N469</f>
        <v>0</v>
      </c>
      <c r="M470" s="642">
        <f>Data2025!O469</f>
        <v>0</v>
      </c>
      <c r="N470" s="643">
        <f>Data2025!P469</f>
        <v>0</v>
      </c>
      <c r="O470" s="644">
        <f>Data2025!Q469</f>
        <v>0</v>
      </c>
      <c r="P470" s="645" t="s">
        <v>2609</v>
      </c>
      <c r="Q470" s="646" t="e">
        <f>VLOOKUP(K470,Sheet1!$C$1:$D$101,2,)</f>
        <v>#N/A</v>
      </c>
      <c r="R470" s="496">
        <v>60000</v>
      </c>
      <c r="S470" s="504">
        <v>70000</v>
      </c>
      <c r="T470" s="648">
        <f>Data2025!T469</f>
        <v>0</v>
      </c>
      <c r="U470" s="497" t="s">
        <v>538</v>
      </c>
      <c r="V470" s="648">
        <f>Data2025!V469</f>
        <v>0</v>
      </c>
      <c r="W470" s="648">
        <f>Data2025!X469</f>
        <v>0</v>
      </c>
      <c r="X470" s="497" t="s">
        <v>541</v>
      </c>
      <c r="Y470" s="268" t="str">
        <f t="shared" si="26"/>
        <v>Alat Kebersihan</v>
      </c>
      <c r="Z470" s="649" t="str">
        <f t="shared" si="27"/>
        <v>Alat Kebersihan</v>
      </c>
      <c r="AA470" s="498" t="s">
        <v>3363</v>
      </c>
      <c r="AB470" s="499">
        <v>12000</v>
      </c>
      <c r="AC470" s="499">
        <v>60000</v>
      </c>
      <c r="AD470" s="496">
        <v>60000</v>
      </c>
      <c r="AE470" s="500">
        <v>54054.054054054053</v>
      </c>
      <c r="AF470" s="500">
        <v>60000</v>
      </c>
      <c r="AG470" s="805" t="s">
        <v>3883</v>
      </c>
      <c r="AH470" s="651">
        <f>Data2025!W469</f>
        <v>0</v>
      </c>
    </row>
    <row r="471" spans="1:34" s="501" customFormat="1" ht="16.5" thickTop="1" thickBot="1">
      <c r="A471" s="636">
        <f>Data2025!G470</f>
        <v>0</v>
      </c>
      <c r="B471" s="637">
        <f>Data2025!K470</f>
        <v>0</v>
      </c>
      <c r="C471" s="638">
        <f>Data2025!D470</f>
        <v>0</v>
      </c>
      <c r="D471" s="639">
        <f>Data2025!C470</f>
        <v>0</v>
      </c>
      <c r="E471" s="265">
        <f>Data2025!E470</f>
        <v>0</v>
      </c>
      <c r="F471" s="640">
        <f>Data2025!F470</f>
        <v>0</v>
      </c>
      <c r="G471" s="265">
        <f>Data2025!H470</f>
        <v>0</v>
      </c>
      <c r="H471" s="265">
        <f t="shared" si="25"/>
        <v>0</v>
      </c>
      <c r="I471" s="641">
        <f>Data2025!J470</f>
        <v>0</v>
      </c>
      <c r="J471" s="381">
        <f>Data2025!L470</f>
        <v>0</v>
      </c>
      <c r="K471" s="381">
        <f>Data2025!M470</f>
        <v>0</v>
      </c>
      <c r="L471" s="642">
        <f>Data2025!N470</f>
        <v>0</v>
      </c>
      <c r="M471" s="642">
        <f>Data2025!O470</f>
        <v>0</v>
      </c>
      <c r="N471" s="643">
        <f>Data2025!P470</f>
        <v>0</v>
      </c>
      <c r="O471" s="644">
        <f>Data2025!Q470</f>
        <v>0</v>
      </c>
      <c r="P471" s="645" t="s">
        <v>2609</v>
      </c>
      <c r="Q471" s="646" t="e">
        <f>VLOOKUP(K471,Sheet1!$C$1:$D$101,2,)</f>
        <v>#N/A</v>
      </c>
      <c r="R471" s="496">
        <v>350000</v>
      </c>
      <c r="S471" s="504">
        <v>360000</v>
      </c>
      <c r="T471" s="648">
        <f>Data2025!T470</f>
        <v>0</v>
      </c>
      <c r="U471" s="497" t="s">
        <v>538</v>
      </c>
      <c r="V471" s="648">
        <f>Data2025!V470</f>
        <v>0</v>
      </c>
      <c r="W471" s="648">
        <f>Data2025!X470</f>
        <v>0</v>
      </c>
      <c r="X471" s="497" t="s">
        <v>541</v>
      </c>
      <c r="Y471" s="268" t="str">
        <f t="shared" si="26"/>
        <v>Alat Kebersihan</v>
      </c>
      <c r="Z471" s="649" t="str">
        <f t="shared" si="27"/>
        <v>Alat Kebersihan</v>
      </c>
      <c r="AA471" s="498" t="s">
        <v>3371</v>
      </c>
      <c r="AB471" s="499">
        <v>70000</v>
      </c>
      <c r="AC471" s="499">
        <v>350000</v>
      </c>
      <c r="AD471" s="496">
        <v>350000</v>
      </c>
      <c r="AE471" s="500">
        <v>315315.31531531533</v>
      </c>
      <c r="AF471" s="500">
        <v>350000</v>
      </c>
      <c r="AG471" s="805" t="s">
        <v>3883</v>
      </c>
      <c r="AH471" s="651">
        <f>Data2025!W470</f>
        <v>0</v>
      </c>
    </row>
    <row r="472" spans="1:34" ht="16.5" thickTop="1" thickBot="1">
      <c r="A472" s="636">
        <f>Data2025!G471</f>
        <v>0</v>
      </c>
      <c r="B472" s="637">
        <f>Data2025!K471</f>
        <v>0</v>
      </c>
      <c r="C472" s="638">
        <f>Data2025!D471</f>
        <v>0</v>
      </c>
      <c r="D472" s="639">
        <f>Data2025!C471</f>
        <v>0</v>
      </c>
      <c r="E472" s="265">
        <f>Data2025!E471</f>
        <v>0</v>
      </c>
      <c r="F472" s="640">
        <f>Data2025!F471</f>
        <v>0</v>
      </c>
      <c r="G472" s="265">
        <f>Data2025!H471</f>
        <v>0</v>
      </c>
      <c r="H472" s="265">
        <f t="shared" si="25"/>
        <v>0</v>
      </c>
      <c r="I472" s="641">
        <f>Data2025!J471</f>
        <v>0</v>
      </c>
      <c r="J472" s="381">
        <f>Data2025!L471</f>
        <v>0</v>
      </c>
      <c r="K472" s="381">
        <f>Data2025!M471</f>
        <v>0</v>
      </c>
      <c r="L472" s="642">
        <f>Data2025!N471</f>
        <v>0</v>
      </c>
      <c r="M472" s="642">
        <f>Data2025!O471</f>
        <v>0</v>
      </c>
      <c r="N472" s="643">
        <f>Data2025!P471</f>
        <v>0</v>
      </c>
      <c r="O472" s="644">
        <f>Data2025!Q471</f>
        <v>0</v>
      </c>
      <c r="P472" s="645" t="s">
        <v>280</v>
      </c>
      <c r="Q472" s="646" t="e">
        <f>VLOOKUP(K472,Sheet1!$C$1:$D$101,2,)</f>
        <v>#N/A</v>
      </c>
      <c r="R472" s="267">
        <v>900000</v>
      </c>
      <c r="S472" s="647">
        <v>1360000</v>
      </c>
      <c r="T472" s="648">
        <f>Data2025!T471</f>
        <v>0</v>
      </c>
      <c r="U472" s="268" t="s">
        <v>2531</v>
      </c>
      <c r="V472" s="648">
        <f>Data2025!V471</f>
        <v>0</v>
      </c>
      <c r="W472" s="648">
        <f>Data2025!X471</f>
        <v>0</v>
      </c>
      <c r="X472" s="268" t="s">
        <v>2529</v>
      </c>
      <c r="Y472" s="268" t="str">
        <f t="shared" si="26"/>
        <v>Kudapan</v>
      </c>
      <c r="Z472" s="649" t="str">
        <f t="shared" si="27"/>
        <v>Kudapan</v>
      </c>
      <c r="AA472" s="650" t="s">
        <v>3362</v>
      </c>
      <c r="AB472" s="269">
        <v>15000</v>
      </c>
      <c r="AC472" s="269">
        <v>1200000</v>
      </c>
      <c r="AD472" s="267">
        <v>900000</v>
      </c>
      <c r="AE472" s="270">
        <v>810810.81081081077</v>
      </c>
      <c r="AF472" s="270">
        <v>900000</v>
      </c>
      <c r="AG472" s="805" t="s">
        <v>3883</v>
      </c>
      <c r="AH472" s="651">
        <f>Data2025!W471</f>
        <v>0</v>
      </c>
    </row>
    <row r="473" spans="1:34" ht="16.5" thickTop="1" thickBot="1">
      <c r="A473" s="636">
        <f>Data2025!G472</f>
        <v>0</v>
      </c>
      <c r="B473" s="637">
        <f>Data2025!K472</f>
        <v>0</v>
      </c>
      <c r="C473" s="638">
        <f>Data2025!D472</f>
        <v>0</v>
      </c>
      <c r="D473" s="639">
        <f>Data2025!C472</f>
        <v>0</v>
      </c>
      <c r="E473" s="265">
        <f>Data2025!E472</f>
        <v>0</v>
      </c>
      <c r="F473" s="640">
        <f>Data2025!F472</f>
        <v>0</v>
      </c>
      <c r="G473" s="265">
        <f>Data2025!H472</f>
        <v>0</v>
      </c>
      <c r="H473" s="265">
        <f t="shared" si="25"/>
        <v>0</v>
      </c>
      <c r="I473" s="641">
        <f>Data2025!J472</f>
        <v>0</v>
      </c>
      <c r="J473" s="381">
        <f>Data2025!L472</f>
        <v>0</v>
      </c>
      <c r="K473" s="381">
        <f>Data2025!M472</f>
        <v>0</v>
      </c>
      <c r="L473" s="642">
        <f>Data2025!N472</f>
        <v>0</v>
      </c>
      <c r="M473" s="642">
        <f>Data2025!O472</f>
        <v>0</v>
      </c>
      <c r="N473" s="643">
        <f>Data2025!P472</f>
        <v>0</v>
      </c>
      <c r="O473" s="644">
        <f>Data2025!Q472</f>
        <v>0</v>
      </c>
      <c r="P473" s="645" t="s">
        <v>8</v>
      </c>
      <c r="Q473" s="646" t="e">
        <f>VLOOKUP(K473,Sheet1!$C$1:$D$101,2,)</f>
        <v>#N/A</v>
      </c>
      <c r="R473" s="267">
        <v>2400000</v>
      </c>
      <c r="S473" s="647">
        <v>3360000</v>
      </c>
      <c r="T473" s="648">
        <f>Data2025!T472</f>
        <v>0</v>
      </c>
      <c r="U473" s="268" t="s">
        <v>2520</v>
      </c>
      <c r="V473" s="648">
        <f>Data2025!V472</f>
        <v>0</v>
      </c>
      <c r="W473" s="648">
        <f>Data2025!X472</f>
        <v>0</v>
      </c>
      <c r="X473" s="268" t="s">
        <v>3391</v>
      </c>
      <c r="Y473" s="268" t="str">
        <f t="shared" si="26"/>
        <v>Konsumsi</v>
      </c>
      <c r="Z473" s="649" t="str">
        <f t="shared" si="27"/>
        <v>Konsumsi</v>
      </c>
      <c r="AA473" s="650" t="s">
        <v>3362</v>
      </c>
      <c r="AB473" s="269">
        <v>40000</v>
      </c>
      <c r="AC473" s="269">
        <v>3200000</v>
      </c>
      <c r="AD473" s="267">
        <v>2400000</v>
      </c>
      <c r="AE473" s="270">
        <v>2162162.1621621624</v>
      </c>
      <c r="AF473" s="270">
        <v>2400000</v>
      </c>
      <c r="AG473" s="805" t="s">
        <v>3883</v>
      </c>
      <c r="AH473" s="651">
        <f>Data2025!W472</f>
        <v>0</v>
      </c>
    </row>
    <row r="474" spans="1:34" ht="16.5" thickTop="1" thickBot="1">
      <c r="A474" s="636">
        <f>Data2025!G473</f>
        <v>0</v>
      </c>
      <c r="B474" s="637">
        <f>Data2025!K473</f>
        <v>0</v>
      </c>
      <c r="C474" s="638">
        <f>Data2025!D473</f>
        <v>0</v>
      </c>
      <c r="D474" s="639">
        <f>Data2025!C473</f>
        <v>0</v>
      </c>
      <c r="E474" s="265">
        <f>Data2025!E473</f>
        <v>0</v>
      </c>
      <c r="F474" s="640">
        <f>Data2025!F473</f>
        <v>0</v>
      </c>
      <c r="G474" s="265">
        <f>Data2025!H473</f>
        <v>0</v>
      </c>
      <c r="H474" s="265">
        <f t="shared" si="25"/>
        <v>0</v>
      </c>
      <c r="I474" s="641">
        <f>Data2025!J473</f>
        <v>0</v>
      </c>
      <c r="J474" s="381">
        <f>Data2025!L473</f>
        <v>0</v>
      </c>
      <c r="K474" s="381">
        <f>Data2025!M473</f>
        <v>0</v>
      </c>
      <c r="L474" s="642">
        <f>Data2025!N473</f>
        <v>0</v>
      </c>
      <c r="M474" s="642">
        <f>Data2025!O473</f>
        <v>0</v>
      </c>
      <c r="N474" s="643">
        <f>Data2025!P473</f>
        <v>0</v>
      </c>
      <c r="O474" s="644">
        <f>Data2025!Q473</f>
        <v>0</v>
      </c>
      <c r="P474" s="645" t="s">
        <v>1545</v>
      </c>
      <c r="Q474" s="646" t="e">
        <f>VLOOKUP(K474,Sheet1!$C$1:$D$101,2,)</f>
        <v>#N/A</v>
      </c>
      <c r="R474" s="267">
        <v>1250000</v>
      </c>
      <c r="S474" s="647">
        <v>1300000</v>
      </c>
      <c r="T474" s="648">
        <f>Data2025!T473</f>
        <v>0</v>
      </c>
      <c r="U474" s="268" t="s">
        <v>2531</v>
      </c>
      <c r="V474" s="648">
        <f>Data2025!V473</f>
        <v>0</v>
      </c>
      <c r="W474" s="648">
        <f>Data2025!X473</f>
        <v>0</v>
      </c>
      <c r="X474" s="268" t="s">
        <v>2529</v>
      </c>
      <c r="Y474" s="268" t="str">
        <f t="shared" si="26"/>
        <v>Air Mineral</v>
      </c>
      <c r="Z474" s="649" t="str">
        <f t="shared" si="27"/>
        <v>Air Mineral</v>
      </c>
      <c r="AA474" s="650" t="s">
        <v>3372</v>
      </c>
      <c r="AB474" s="269">
        <v>50000</v>
      </c>
      <c r="AC474" s="269">
        <v>1250000</v>
      </c>
      <c r="AD474" s="267">
        <v>1250000</v>
      </c>
      <c r="AE474" s="270">
        <v>1126126.1261261262</v>
      </c>
      <c r="AF474" s="270">
        <v>1250000</v>
      </c>
      <c r="AG474" s="805" t="s">
        <v>3883</v>
      </c>
      <c r="AH474" s="651">
        <f>Data2025!W473</f>
        <v>0</v>
      </c>
    </row>
    <row r="475" spans="1:34" ht="16.5" thickTop="1" thickBot="1">
      <c r="A475" s="636">
        <f>Data2025!G474</f>
        <v>0</v>
      </c>
      <c r="B475" s="637">
        <f>Data2025!K474</f>
        <v>0</v>
      </c>
      <c r="C475" s="638">
        <f>Data2025!D474</f>
        <v>0</v>
      </c>
      <c r="D475" s="639">
        <f>Data2025!C474</f>
        <v>0</v>
      </c>
      <c r="E475" s="265">
        <f>Data2025!E474</f>
        <v>0</v>
      </c>
      <c r="F475" s="640">
        <f>Data2025!F474</f>
        <v>0</v>
      </c>
      <c r="G475" s="265">
        <f>Data2025!H474</f>
        <v>0</v>
      </c>
      <c r="H475" s="265">
        <f t="shared" si="25"/>
        <v>0</v>
      </c>
      <c r="I475" s="641">
        <f>Data2025!J474</f>
        <v>0</v>
      </c>
      <c r="J475" s="381">
        <f>Data2025!L474</f>
        <v>0</v>
      </c>
      <c r="K475" s="381">
        <f>Data2025!M474</f>
        <v>0</v>
      </c>
      <c r="L475" s="642">
        <f>Data2025!N474</f>
        <v>0</v>
      </c>
      <c r="M475" s="642">
        <f>Data2025!O474</f>
        <v>0</v>
      </c>
      <c r="N475" s="643">
        <f>Data2025!P474</f>
        <v>0</v>
      </c>
      <c r="O475" s="644">
        <f>Data2025!Q474</f>
        <v>0</v>
      </c>
      <c r="P475" s="645" t="s">
        <v>280</v>
      </c>
      <c r="Q475" s="646" t="e">
        <f>VLOOKUP(K475,Sheet1!$C$1:$D$101,2,)</f>
        <v>#N/A</v>
      </c>
      <c r="R475" s="267">
        <v>3000000</v>
      </c>
      <c r="S475" s="647">
        <v>3400000</v>
      </c>
      <c r="T475" s="648">
        <f>Data2025!T474</f>
        <v>0</v>
      </c>
      <c r="U475" s="268" t="s">
        <v>2531</v>
      </c>
      <c r="V475" s="648">
        <f>Data2025!V474</f>
        <v>0</v>
      </c>
      <c r="W475" s="648">
        <f>Data2025!X474</f>
        <v>0</v>
      </c>
      <c r="X475" s="268" t="s">
        <v>2529</v>
      </c>
      <c r="Y475" s="268" t="str">
        <f t="shared" si="26"/>
        <v>Kudapan</v>
      </c>
      <c r="Z475" s="649" t="str">
        <f t="shared" si="27"/>
        <v>Kudapan</v>
      </c>
      <c r="AA475" s="650" t="s">
        <v>3362</v>
      </c>
      <c r="AB475" s="269">
        <v>15000</v>
      </c>
      <c r="AC475" s="269">
        <v>3000000</v>
      </c>
      <c r="AD475" s="267">
        <v>3000000</v>
      </c>
      <c r="AE475" s="270">
        <v>2702702.702702703</v>
      </c>
      <c r="AF475" s="270">
        <v>3000000</v>
      </c>
      <c r="AG475" s="805" t="s">
        <v>3883</v>
      </c>
      <c r="AH475" s="651">
        <f>Data2025!W474</f>
        <v>0</v>
      </c>
    </row>
    <row r="476" spans="1:34" ht="30" thickTop="1" thickBot="1">
      <c r="A476" s="636">
        <f>Data2025!G475</f>
        <v>0</v>
      </c>
      <c r="B476" s="637">
        <f>Data2025!K475</f>
        <v>0</v>
      </c>
      <c r="C476" s="638">
        <f>Data2025!D475</f>
        <v>0</v>
      </c>
      <c r="D476" s="639">
        <f>Data2025!C475</f>
        <v>0</v>
      </c>
      <c r="E476" s="265">
        <f>Data2025!E475</f>
        <v>0</v>
      </c>
      <c r="F476" s="640">
        <f>Data2025!F475</f>
        <v>0</v>
      </c>
      <c r="G476" s="265">
        <f>Data2025!H475</f>
        <v>0</v>
      </c>
      <c r="H476" s="265">
        <f t="shared" si="25"/>
        <v>0</v>
      </c>
      <c r="I476" s="641">
        <f>Data2025!J475</f>
        <v>0</v>
      </c>
      <c r="J476" s="381">
        <f>Data2025!L475</f>
        <v>0</v>
      </c>
      <c r="K476" s="381">
        <f>Data2025!M475</f>
        <v>0</v>
      </c>
      <c r="L476" s="642">
        <f>Data2025!N475</f>
        <v>0</v>
      </c>
      <c r="M476" s="642">
        <f>Data2025!O475</f>
        <v>0</v>
      </c>
      <c r="N476" s="643">
        <f>Data2025!P475</f>
        <v>0</v>
      </c>
      <c r="O476" s="644">
        <f>Data2025!Q475</f>
        <v>0</v>
      </c>
      <c r="P476" s="645" t="s">
        <v>2650</v>
      </c>
      <c r="Q476" s="646" t="e">
        <f>VLOOKUP(K476,Sheet1!$C$1:$D$101,2,)</f>
        <v>#N/A</v>
      </c>
      <c r="R476" s="267">
        <v>600000</v>
      </c>
      <c r="S476" s="647">
        <v>604000</v>
      </c>
      <c r="T476" s="648">
        <f>Data2025!T475</f>
        <v>0</v>
      </c>
      <c r="U476" s="268" t="s">
        <v>1040</v>
      </c>
      <c r="V476" s="648">
        <f>Data2025!V475</f>
        <v>0</v>
      </c>
      <c r="W476" s="648">
        <f>Data2025!X475</f>
        <v>0</v>
      </c>
      <c r="X476" s="523" t="s">
        <v>541</v>
      </c>
      <c r="Y476" s="268" t="str">
        <f t="shared" si="26"/>
        <v>Percetakan</v>
      </c>
      <c r="Z476" s="649" t="str">
        <f t="shared" si="27"/>
        <v>Percetakan</v>
      </c>
      <c r="AA476" s="650" t="s">
        <v>3363</v>
      </c>
      <c r="AB476" s="269">
        <v>300000</v>
      </c>
      <c r="AC476" s="269">
        <v>600000</v>
      </c>
      <c r="AD476" s="267">
        <v>600000</v>
      </c>
      <c r="AE476" s="270">
        <v>540540.54054054059</v>
      </c>
      <c r="AF476" s="270">
        <v>600000</v>
      </c>
      <c r="AG476" s="805" t="s">
        <v>3883</v>
      </c>
      <c r="AH476" s="651">
        <f>Data2025!W475</f>
        <v>0</v>
      </c>
    </row>
    <row r="477" spans="1:34" ht="16.5" thickTop="1" thickBot="1">
      <c r="A477" s="636">
        <f>Data2025!G476</f>
        <v>0</v>
      </c>
      <c r="B477" s="637">
        <f>Data2025!K476</f>
        <v>0</v>
      </c>
      <c r="C477" s="638">
        <f>Data2025!D476</f>
        <v>0</v>
      </c>
      <c r="D477" s="639">
        <f>Data2025!C476</f>
        <v>0</v>
      </c>
      <c r="E477" s="265">
        <f>Data2025!E476</f>
        <v>0</v>
      </c>
      <c r="F477" s="640">
        <f>Data2025!F476</f>
        <v>0</v>
      </c>
      <c r="G477" s="265">
        <f>Data2025!H476</f>
        <v>0</v>
      </c>
      <c r="H477" s="265">
        <f t="shared" si="25"/>
        <v>0</v>
      </c>
      <c r="I477" s="641">
        <f>Data2025!J476</f>
        <v>0</v>
      </c>
      <c r="J477" s="381">
        <f>Data2025!L476</f>
        <v>0</v>
      </c>
      <c r="K477" s="381">
        <f>Data2025!M476</f>
        <v>0</v>
      </c>
      <c r="L477" s="642">
        <f>Data2025!N476</f>
        <v>0</v>
      </c>
      <c r="M477" s="642">
        <f>Data2025!O476</f>
        <v>0</v>
      </c>
      <c r="N477" s="643">
        <f>Data2025!P476</f>
        <v>0</v>
      </c>
      <c r="O477" s="644">
        <f>Data2025!Q476</f>
        <v>0</v>
      </c>
      <c r="P477" s="645" t="s">
        <v>2664</v>
      </c>
      <c r="Q477" s="646" t="e">
        <f>VLOOKUP(K477,Sheet1!$C$1:$D$101,2,)</f>
        <v>#N/A</v>
      </c>
      <c r="R477" s="267">
        <v>1613730</v>
      </c>
      <c r="S477" s="647">
        <v>2002000</v>
      </c>
      <c r="T477" s="648">
        <f>Data2025!T476</f>
        <v>0</v>
      </c>
      <c r="U477" s="268" t="s">
        <v>538</v>
      </c>
      <c r="V477" s="648">
        <f>Data2025!V476</f>
        <v>0</v>
      </c>
      <c r="W477" s="648">
        <f>Data2025!X476</f>
        <v>0</v>
      </c>
      <c r="X477" s="268" t="s">
        <v>540</v>
      </c>
      <c r="Y477" s="268" t="str">
        <f t="shared" si="26"/>
        <v>Jasa PLN</v>
      </c>
      <c r="Z477" s="649" t="str">
        <f t="shared" si="27"/>
        <v>Jasa PLN</v>
      </c>
      <c r="AA477" s="650" t="s">
        <v>3373</v>
      </c>
      <c r="AB477" s="269">
        <v>2000000</v>
      </c>
      <c r="AC477" s="269">
        <v>2000000</v>
      </c>
      <c r="AD477" s="267">
        <v>1613730</v>
      </c>
      <c r="AE477" s="270">
        <v>1453810.8108108109</v>
      </c>
      <c r="AF477" s="270">
        <v>1613730</v>
      </c>
      <c r="AG477" s="805" t="s">
        <v>3883</v>
      </c>
      <c r="AH477" s="651">
        <f>Data2025!W476</f>
        <v>0</v>
      </c>
    </row>
    <row r="478" spans="1:34" ht="16.5" thickTop="1" thickBot="1">
      <c r="A478" s="636">
        <f>Data2025!G477</f>
        <v>0</v>
      </c>
      <c r="B478" s="637">
        <f>Data2025!K477</f>
        <v>0</v>
      </c>
      <c r="C478" s="638">
        <f>Data2025!D477</f>
        <v>0</v>
      </c>
      <c r="D478" s="639">
        <f>Data2025!C477</f>
        <v>0</v>
      </c>
      <c r="E478" s="265">
        <f>Data2025!E477</f>
        <v>0</v>
      </c>
      <c r="F478" s="640">
        <f>Data2025!F477</f>
        <v>0</v>
      </c>
      <c r="G478" s="265">
        <f>Data2025!H477</f>
        <v>0</v>
      </c>
      <c r="H478" s="265">
        <f t="shared" si="25"/>
        <v>0</v>
      </c>
      <c r="I478" s="641">
        <f>Data2025!J477</f>
        <v>0</v>
      </c>
      <c r="J478" s="381">
        <f>Data2025!L477</f>
        <v>0</v>
      </c>
      <c r="K478" s="381">
        <f>Data2025!M477</f>
        <v>0</v>
      </c>
      <c r="L478" s="642">
        <f>Data2025!N477</f>
        <v>0</v>
      </c>
      <c r="M478" s="642">
        <f>Data2025!O477</f>
        <v>0</v>
      </c>
      <c r="N478" s="643">
        <f>Data2025!P477</f>
        <v>0</v>
      </c>
      <c r="O478" s="644">
        <f>Data2025!Q477</f>
        <v>0</v>
      </c>
      <c r="P478" s="645" t="s">
        <v>2668</v>
      </c>
      <c r="Q478" s="646" t="e">
        <f>VLOOKUP(K478,Sheet1!$C$1:$D$101,2,)</f>
        <v>#N/A</v>
      </c>
      <c r="R478" s="267">
        <v>1235850</v>
      </c>
      <c r="S478" s="647">
        <v>1502000</v>
      </c>
      <c r="T478" s="648">
        <f>Data2025!T477</f>
        <v>0</v>
      </c>
      <c r="U478" s="268" t="s">
        <v>538</v>
      </c>
      <c r="V478" s="648">
        <f>Data2025!V477</f>
        <v>0</v>
      </c>
      <c r="W478" s="648">
        <f>Data2025!X477</f>
        <v>0</v>
      </c>
      <c r="X478" s="268" t="s">
        <v>540</v>
      </c>
      <c r="Y478" s="268" t="str">
        <f t="shared" si="26"/>
        <v>Jasa Internet</v>
      </c>
      <c r="Z478" s="649" t="str">
        <f t="shared" si="27"/>
        <v>Jasa Internet</v>
      </c>
      <c r="AA478" s="650" t="s">
        <v>3373</v>
      </c>
      <c r="AB478" s="269">
        <v>1500000</v>
      </c>
      <c r="AC478" s="269">
        <v>1500000</v>
      </c>
      <c r="AD478" s="267">
        <v>1235850</v>
      </c>
      <c r="AE478" s="270">
        <v>1113378.3783783785</v>
      </c>
      <c r="AF478" s="270">
        <v>1235850</v>
      </c>
      <c r="AG478" s="805" t="s">
        <v>3883</v>
      </c>
      <c r="AH478" s="651">
        <f>Data2025!W477</f>
        <v>0</v>
      </c>
    </row>
    <row r="479" spans="1:34" ht="16.5" thickTop="1" thickBot="1">
      <c r="A479" s="636">
        <f>Data2025!G478</f>
        <v>0</v>
      </c>
      <c r="B479" s="637">
        <f>Data2025!K478</f>
        <v>0</v>
      </c>
      <c r="C479" s="638">
        <f>Data2025!D478</f>
        <v>0</v>
      </c>
      <c r="D479" s="639">
        <f>Data2025!C478</f>
        <v>0</v>
      </c>
      <c r="E479" s="265">
        <f>Data2025!E478</f>
        <v>0</v>
      </c>
      <c r="F479" s="640">
        <f>Data2025!F478</f>
        <v>0</v>
      </c>
      <c r="G479" s="265">
        <f>Data2025!H478</f>
        <v>0</v>
      </c>
      <c r="H479" s="265">
        <f t="shared" si="25"/>
        <v>0</v>
      </c>
      <c r="I479" s="641">
        <f>Data2025!J478</f>
        <v>0</v>
      </c>
      <c r="J479" s="381">
        <f>Data2025!L478</f>
        <v>0</v>
      </c>
      <c r="K479" s="381">
        <f>Data2025!M478</f>
        <v>0</v>
      </c>
      <c r="L479" s="642">
        <f>Data2025!N478</f>
        <v>0</v>
      </c>
      <c r="M479" s="642">
        <f>Data2025!O478</f>
        <v>0</v>
      </c>
      <c r="N479" s="643">
        <f>Data2025!P478</f>
        <v>0</v>
      </c>
      <c r="O479" s="644">
        <f>Data2025!Q478</f>
        <v>0</v>
      </c>
      <c r="P479" s="645" t="s">
        <v>2675</v>
      </c>
      <c r="Q479" s="646" t="e">
        <f>VLOOKUP(K479,Sheet1!$C$1:$D$101,2,)</f>
        <v>#N/A</v>
      </c>
      <c r="R479" s="267">
        <v>5337500</v>
      </c>
      <c r="S479" s="647">
        <v>11136650</v>
      </c>
      <c r="T479" s="648">
        <f>Data2025!T478</f>
        <v>0</v>
      </c>
      <c r="U479" s="268" t="s">
        <v>538</v>
      </c>
      <c r="V479" s="648">
        <f>Data2025!V478</f>
        <v>0</v>
      </c>
      <c r="W479" s="648">
        <f>Data2025!X478</f>
        <v>0</v>
      </c>
      <c r="X479" s="268" t="s">
        <v>541</v>
      </c>
      <c r="Y479" s="268" t="str">
        <f t="shared" si="26"/>
        <v>Penggandaan</v>
      </c>
      <c r="Z479" s="649" t="str">
        <f t="shared" si="27"/>
        <v>Penggandaan</v>
      </c>
      <c r="AA479" s="650" t="s">
        <v>3368</v>
      </c>
      <c r="AB479" s="269">
        <v>350</v>
      </c>
      <c r="AC479" s="269">
        <v>1658650</v>
      </c>
      <c r="AD479" s="267">
        <v>5337500</v>
      </c>
      <c r="AE479" s="270">
        <v>4808558.558558559</v>
      </c>
      <c r="AF479" s="270">
        <v>5337500</v>
      </c>
      <c r="AG479" s="805" t="s">
        <v>3883</v>
      </c>
      <c r="AH479" s="651">
        <f>Data2025!W478</f>
        <v>0</v>
      </c>
    </row>
    <row r="480" spans="1:34" ht="16.5" thickTop="1" thickBot="1">
      <c r="A480" s="636">
        <f>Data2025!G479</f>
        <v>0</v>
      </c>
      <c r="B480" s="637">
        <f>Data2025!K479</f>
        <v>0</v>
      </c>
      <c r="C480" s="638">
        <f>Data2025!D479</f>
        <v>0</v>
      </c>
      <c r="D480" s="639">
        <f>Data2025!C479</f>
        <v>0</v>
      </c>
      <c r="E480" s="265">
        <f>Data2025!E479</f>
        <v>0</v>
      </c>
      <c r="F480" s="640">
        <f>Data2025!F479</f>
        <v>0</v>
      </c>
      <c r="G480" s="265">
        <f>Data2025!H479</f>
        <v>0</v>
      </c>
      <c r="H480" s="265">
        <f t="shared" si="25"/>
        <v>0</v>
      </c>
      <c r="I480" s="641">
        <f>Data2025!J479</f>
        <v>0</v>
      </c>
      <c r="J480" s="381">
        <f>Data2025!L479</f>
        <v>0</v>
      </c>
      <c r="K480" s="381">
        <f>Data2025!M479</f>
        <v>0</v>
      </c>
      <c r="L480" s="642">
        <f>Data2025!N479</f>
        <v>0</v>
      </c>
      <c r="M480" s="642">
        <f>Data2025!O479</f>
        <v>0</v>
      </c>
      <c r="N480" s="643">
        <f>Data2025!P479</f>
        <v>0</v>
      </c>
      <c r="O480" s="644">
        <f>Data2025!Q479</f>
        <v>0</v>
      </c>
      <c r="P480" s="645" t="s">
        <v>8</v>
      </c>
      <c r="Q480" s="646" t="e">
        <f>VLOOKUP(K480,Sheet1!$C$1:$D$101,2,)</f>
        <v>#N/A</v>
      </c>
      <c r="R480" s="267">
        <v>4800000</v>
      </c>
      <c r="S480" s="647">
        <v>5040000</v>
      </c>
      <c r="T480" s="648">
        <f>Data2025!T479</f>
        <v>0</v>
      </c>
      <c r="U480" s="268" t="s">
        <v>2520</v>
      </c>
      <c r="V480" s="648">
        <f>Data2025!V479</f>
        <v>0</v>
      </c>
      <c r="W480" s="648">
        <f>Data2025!X479</f>
        <v>0</v>
      </c>
      <c r="X480" s="268" t="s">
        <v>3391</v>
      </c>
      <c r="Y480" s="268" t="str">
        <f t="shared" si="26"/>
        <v>Konsumsi</v>
      </c>
      <c r="Z480" s="649" t="str">
        <f t="shared" si="27"/>
        <v>Konsumsi</v>
      </c>
      <c r="AA480" s="650" t="s">
        <v>3362</v>
      </c>
      <c r="AB480" s="269">
        <v>40000</v>
      </c>
      <c r="AC480" s="269">
        <v>4800000</v>
      </c>
      <c r="AD480" s="267">
        <v>4800000</v>
      </c>
      <c r="AE480" s="270">
        <v>4324324.3243243247</v>
      </c>
      <c r="AF480" s="270">
        <v>4800000</v>
      </c>
      <c r="AG480" s="805" t="s">
        <v>3883</v>
      </c>
      <c r="AH480" s="651">
        <f>Data2025!W479</f>
        <v>0</v>
      </c>
    </row>
    <row r="481" spans="1:36" ht="16.5" thickTop="1" thickBot="1">
      <c r="A481" s="636">
        <f>Data2025!G480</f>
        <v>0</v>
      </c>
      <c r="B481" s="637">
        <f>Data2025!K480</f>
        <v>0</v>
      </c>
      <c r="C481" s="638">
        <f>Data2025!D480</f>
        <v>0</v>
      </c>
      <c r="D481" s="639">
        <f>Data2025!C480</f>
        <v>0</v>
      </c>
      <c r="E481" s="265">
        <f>Data2025!E480</f>
        <v>0</v>
      </c>
      <c r="F481" s="640">
        <f>Data2025!F480</f>
        <v>0</v>
      </c>
      <c r="G481" s="265">
        <f>Data2025!H480</f>
        <v>0</v>
      </c>
      <c r="H481" s="265">
        <f t="shared" si="25"/>
        <v>0</v>
      </c>
      <c r="I481" s="641">
        <f>Data2025!J480</f>
        <v>0</v>
      </c>
      <c r="J481" s="381">
        <f>Data2025!L480</f>
        <v>0</v>
      </c>
      <c r="K481" s="381">
        <f>Data2025!M480</f>
        <v>0</v>
      </c>
      <c r="L481" s="642">
        <f>Data2025!N480</f>
        <v>0</v>
      </c>
      <c r="M481" s="642">
        <f>Data2025!O480</f>
        <v>0</v>
      </c>
      <c r="N481" s="643">
        <f>Data2025!P480</f>
        <v>0</v>
      </c>
      <c r="O481" s="644">
        <f>Data2025!Q480</f>
        <v>0</v>
      </c>
      <c r="P481" s="645" t="s">
        <v>280</v>
      </c>
      <c r="Q481" s="646" t="e">
        <f>VLOOKUP(K481,Sheet1!$C$1:$D$101,2,)</f>
        <v>#N/A</v>
      </c>
      <c r="R481" s="267">
        <v>1800000</v>
      </c>
      <c r="S481" s="647">
        <v>2040000</v>
      </c>
      <c r="T481" s="648">
        <f>Data2025!T480</f>
        <v>0</v>
      </c>
      <c r="U481" s="268" t="s">
        <v>2531</v>
      </c>
      <c r="V481" s="648">
        <f>Data2025!V480</f>
        <v>0</v>
      </c>
      <c r="W481" s="648">
        <f>Data2025!X480</f>
        <v>0</v>
      </c>
      <c r="X481" s="268" t="s">
        <v>2529</v>
      </c>
      <c r="Y481" s="268" t="str">
        <f t="shared" si="26"/>
        <v>Kudapan</v>
      </c>
      <c r="Z481" s="649" t="str">
        <f t="shared" si="27"/>
        <v>Kudapan</v>
      </c>
      <c r="AA481" s="650" t="s">
        <v>3362</v>
      </c>
      <c r="AB481" s="269">
        <v>15000</v>
      </c>
      <c r="AC481" s="269">
        <v>1800000</v>
      </c>
      <c r="AD481" s="267">
        <v>1800000</v>
      </c>
      <c r="AE481" s="270">
        <v>1621621.6216216215</v>
      </c>
      <c r="AF481" s="270">
        <v>1800000</v>
      </c>
      <c r="AG481" s="805" t="s">
        <v>3883</v>
      </c>
      <c r="AH481" s="651">
        <f>Data2025!W480</f>
        <v>0</v>
      </c>
    </row>
    <row r="482" spans="1:36" ht="16.5" thickTop="1" thickBot="1">
      <c r="A482" s="636">
        <f>Data2025!G481</f>
        <v>0</v>
      </c>
      <c r="B482" s="637">
        <f>Data2025!K481</f>
        <v>0</v>
      </c>
      <c r="C482" s="638">
        <f>Data2025!D481</f>
        <v>0</v>
      </c>
      <c r="D482" s="639">
        <f>Data2025!C481</f>
        <v>0</v>
      </c>
      <c r="E482" s="265">
        <f>Data2025!E481</f>
        <v>0</v>
      </c>
      <c r="F482" s="640">
        <f>Data2025!F481</f>
        <v>0</v>
      </c>
      <c r="G482" s="265">
        <f>Data2025!H481</f>
        <v>0</v>
      </c>
      <c r="H482" s="265">
        <f t="shared" si="25"/>
        <v>0</v>
      </c>
      <c r="I482" s="641">
        <f>Data2025!J481</f>
        <v>0</v>
      </c>
      <c r="J482" s="381">
        <f>Data2025!L481</f>
        <v>0</v>
      </c>
      <c r="K482" s="381">
        <f>Data2025!M481</f>
        <v>0</v>
      </c>
      <c r="L482" s="642">
        <f>Data2025!N481</f>
        <v>0</v>
      </c>
      <c r="M482" s="642">
        <f>Data2025!O481</f>
        <v>0</v>
      </c>
      <c r="N482" s="643">
        <f>Data2025!P481</f>
        <v>0</v>
      </c>
      <c r="O482" s="644">
        <f>Data2025!Q481</f>
        <v>0</v>
      </c>
      <c r="P482" s="645" t="s">
        <v>280</v>
      </c>
      <c r="Q482" s="646" t="e">
        <f>VLOOKUP(K482,Sheet1!$C$1:$D$101,2,)</f>
        <v>#N/A</v>
      </c>
      <c r="R482" s="267">
        <v>2625000</v>
      </c>
      <c r="S482" s="647">
        <v>1360000</v>
      </c>
      <c r="T482" s="648">
        <f>Data2025!T481</f>
        <v>0</v>
      </c>
      <c r="U482" s="268" t="s">
        <v>2531</v>
      </c>
      <c r="V482" s="648">
        <f>Data2025!V481</f>
        <v>0</v>
      </c>
      <c r="W482" s="648">
        <f>Data2025!X481</f>
        <v>0</v>
      </c>
      <c r="X482" s="268" t="s">
        <v>2529</v>
      </c>
      <c r="Y482" s="268" t="str">
        <f t="shared" si="26"/>
        <v>Kudapan</v>
      </c>
      <c r="Z482" s="649" t="str">
        <f t="shared" si="27"/>
        <v>Kudapan</v>
      </c>
      <c r="AA482" s="650" t="s">
        <v>3362</v>
      </c>
      <c r="AB482" s="269">
        <v>15000</v>
      </c>
      <c r="AC482" s="269">
        <v>1200000</v>
      </c>
      <c r="AD482" s="267">
        <v>2625000</v>
      </c>
      <c r="AE482" s="270">
        <v>2364864.8648648649</v>
      </c>
      <c r="AF482" s="270">
        <v>2625000</v>
      </c>
      <c r="AG482" s="805" t="s">
        <v>3883</v>
      </c>
      <c r="AH482" s="651">
        <f>Data2025!W481</f>
        <v>0</v>
      </c>
    </row>
    <row r="483" spans="1:36" ht="16.5" thickTop="1" thickBot="1">
      <c r="A483" s="636">
        <f>Data2025!G482</f>
        <v>0</v>
      </c>
      <c r="B483" s="637">
        <f>Data2025!K482</f>
        <v>0</v>
      </c>
      <c r="C483" s="638">
        <f>Data2025!D482</f>
        <v>0</v>
      </c>
      <c r="D483" s="639">
        <f>Data2025!C482</f>
        <v>0</v>
      </c>
      <c r="E483" s="265">
        <f>Data2025!E482</f>
        <v>0</v>
      </c>
      <c r="F483" s="640">
        <f>Data2025!F482</f>
        <v>0</v>
      </c>
      <c r="G483" s="265">
        <f>Data2025!H482</f>
        <v>0</v>
      </c>
      <c r="H483" s="265">
        <f t="shared" si="25"/>
        <v>0</v>
      </c>
      <c r="I483" s="641">
        <f>Data2025!J482</f>
        <v>0</v>
      </c>
      <c r="J483" s="381">
        <f>Data2025!L482</f>
        <v>0</v>
      </c>
      <c r="K483" s="381">
        <f>Data2025!M482</f>
        <v>0</v>
      </c>
      <c r="L483" s="642">
        <f>Data2025!N482</f>
        <v>0</v>
      </c>
      <c r="M483" s="642">
        <f>Data2025!O482</f>
        <v>0</v>
      </c>
      <c r="N483" s="643">
        <f>Data2025!P482</f>
        <v>0</v>
      </c>
      <c r="O483" s="644">
        <f>Data2025!Q482</f>
        <v>0</v>
      </c>
      <c r="P483" s="645" t="s">
        <v>8</v>
      </c>
      <c r="Q483" s="646" t="e">
        <f>VLOOKUP(K483,Sheet1!$C$1:$D$101,2,)</f>
        <v>#N/A</v>
      </c>
      <c r="R483" s="267">
        <v>2400000</v>
      </c>
      <c r="S483" s="647">
        <v>3360000</v>
      </c>
      <c r="T483" s="648">
        <f>Data2025!T482</f>
        <v>0</v>
      </c>
      <c r="U483" s="268" t="s">
        <v>2520</v>
      </c>
      <c r="V483" s="648">
        <f>Data2025!V482</f>
        <v>0</v>
      </c>
      <c r="W483" s="648">
        <f>Data2025!X482</f>
        <v>0</v>
      </c>
      <c r="X483" s="268" t="s">
        <v>3391</v>
      </c>
      <c r="Y483" s="268" t="str">
        <f t="shared" si="26"/>
        <v>Konsumsi</v>
      </c>
      <c r="Z483" s="649" t="str">
        <f t="shared" si="27"/>
        <v>Konsumsi</v>
      </c>
      <c r="AA483" s="650" t="s">
        <v>3362</v>
      </c>
      <c r="AB483" s="269">
        <v>40000</v>
      </c>
      <c r="AC483" s="269">
        <v>3200000</v>
      </c>
      <c r="AD483" s="267">
        <v>2400000</v>
      </c>
      <c r="AE483" s="270">
        <v>2162162.1621621624</v>
      </c>
      <c r="AF483" s="270">
        <v>2400000</v>
      </c>
      <c r="AG483" s="805" t="s">
        <v>3883</v>
      </c>
      <c r="AH483" s="651">
        <f>Data2025!W482</f>
        <v>0</v>
      </c>
    </row>
    <row r="484" spans="1:36" ht="16.5" thickTop="1" thickBot="1">
      <c r="A484" s="636">
        <f>Data2025!G483</f>
        <v>0</v>
      </c>
      <c r="B484" s="637">
        <f>Data2025!K483</f>
        <v>0</v>
      </c>
      <c r="C484" s="638">
        <f>Data2025!D483</f>
        <v>0</v>
      </c>
      <c r="D484" s="639">
        <f>Data2025!C483</f>
        <v>0</v>
      </c>
      <c r="E484" s="265">
        <f>Data2025!E483</f>
        <v>0</v>
      </c>
      <c r="F484" s="640">
        <f>Data2025!F483</f>
        <v>0</v>
      </c>
      <c r="G484" s="265">
        <f>Data2025!H483</f>
        <v>0</v>
      </c>
      <c r="H484" s="265">
        <f t="shared" si="25"/>
        <v>0</v>
      </c>
      <c r="I484" s="641">
        <f>Data2025!J483</f>
        <v>0</v>
      </c>
      <c r="J484" s="381">
        <f>Data2025!L483</f>
        <v>0</v>
      </c>
      <c r="K484" s="381">
        <f>Data2025!M483</f>
        <v>0</v>
      </c>
      <c r="L484" s="642">
        <f>Data2025!N483</f>
        <v>0</v>
      </c>
      <c r="M484" s="642">
        <f>Data2025!O483</f>
        <v>0</v>
      </c>
      <c r="N484" s="643">
        <f>Data2025!P483</f>
        <v>0</v>
      </c>
      <c r="O484" s="644">
        <f>Data2025!Q483</f>
        <v>0</v>
      </c>
      <c r="P484" s="645" t="s">
        <v>2672</v>
      </c>
      <c r="Q484" s="646" t="e">
        <f>VLOOKUP(K484,Sheet1!$C$1:$D$101,2,)</f>
        <v>#N/A</v>
      </c>
      <c r="R484" s="267">
        <v>1000000</v>
      </c>
      <c r="S484" s="647">
        <v>1002000</v>
      </c>
      <c r="T484" s="648">
        <f>Data2025!T483</f>
        <v>0</v>
      </c>
      <c r="U484" s="268" t="s">
        <v>538</v>
      </c>
      <c r="V484" s="648">
        <f>Data2025!V483</f>
        <v>0</v>
      </c>
      <c r="W484" s="648">
        <f>Data2025!X483</f>
        <v>0</v>
      </c>
      <c r="X484" s="268" t="s">
        <v>540</v>
      </c>
      <c r="Y484" s="268" t="str">
        <f t="shared" si="26"/>
        <v>Jasa Tenaga Operator</v>
      </c>
      <c r="Z484" s="649" t="str">
        <f t="shared" si="27"/>
        <v>Jasa Tenaga Operator</v>
      </c>
      <c r="AA484" s="650" t="s">
        <v>3373</v>
      </c>
      <c r="AB484" s="269">
        <v>1000000</v>
      </c>
      <c r="AC484" s="269">
        <v>1000000</v>
      </c>
      <c r="AD484" s="267">
        <v>1000000</v>
      </c>
      <c r="AE484" s="270">
        <v>900900.90090090095</v>
      </c>
      <c r="AF484" s="270">
        <v>1000000</v>
      </c>
      <c r="AG484" s="805" t="s">
        <v>3883</v>
      </c>
      <c r="AH484" s="651">
        <f>Data2025!W483</f>
        <v>0</v>
      </c>
    </row>
    <row r="485" spans="1:36" ht="16.5" thickTop="1" thickBot="1">
      <c r="A485" s="636">
        <f>Data2025!G484</f>
        <v>0</v>
      </c>
      <c r="B485" s="637">
        <f>Data2025!K484</f>
        <v>0</v>
      </c>
      <c r="C485" s="638">
        <f>Data2025!D484</f>
        <v>0</v>
      </c>
      <c r="D485" s="639">
        <f>Data2025!C484</f>
        <v>0</v>
      </c>
      <c r="E485" s="265">
        <f>Data2025!E484</f>
        <v>0</v>
      </c>
      <c r="F485" s="640">
        <f>Data2025!F484</f>
        <v>0</v>
      </c>
      <c r="G485" s="265">
        <f>Data2025!H484</f>
        <v>0</v>
      </c>
      <c r="H485" s="265">
        <f t="shared" si="25"/>
        <v>0</v>
      </c>
      <c r="I485" s="641">
        <f>Data2025!J484</f>
        <v>0</v>
      </c>
      <c r="J485" s="381">
        <f>Data2025!L484</f>
        <v>0</v>
      </c>
      <c r="K485" s="381">
        <f>Data2025!M484</f>
        <v>0</v>
      </c>
      <c r="L485" s="642">
        <f>Data2025!N484</f>
        <v>0</v>
      </c>
      <c r="M485" s="642">
        <f>Data2025!O484</f>
        <v>0</v>
      </c>
      <c r="N485" s="643">
        <f>Data2025!P484</f>
        <v>0</v>
      </c>
      <c r="O485" s="644">
        <f>Data2025!Q484</f>
        <v>0</v>
      </c>
      <c r="P485" s="645" t="s">
        <v>2682</v>
      </c>
      <c r="Q485" s="646" t="e">
        <f>VLOOKUP(K485,Sheet1!$C$1:$D$101,2,)</f>
        <v>#N/A</v>
      </c>
      <c r="R485" s="496">
        <v>2475000</v>
      </c>
      <c r="S485" s="504">
        <v>2541000</v>
      </c>
      <c r="T485" s="648">
        <f>Data2025!T484</f>
        <v>0</v>
      </c>
      <c r="U485" s="268" t="s">
        <v>538</v>
      </c>
      <c r="V485" s="648">
        <f>Data2025!V484</f>
        <v>0</v>
      </c>
      <c r="W485" s="648">
        <f>Data2025!X484</f>
        <v>0</v>
      </c>
      <c r="X485" s="268" t="s">
        <v>540</v>
      </c>
      <c r="Y485" s="268" t="str">
        <f t="shared" si="26"/>
        <v>Jasa Tenaga Pengajar</v>
      </c>
      <c r="Z485" s="649" t="str">
        <f t="shared" si="27"/>
        <v>Jasa Tenaga Pengajar</v>
      </c>
      <c r="AA485" s="498" t="s">
        <v>3374</v>
      </c>
      <c r="AB485" s="269">
        <v>75000</v>
      </c>
      <c r="AC485" s="269">
        <v>2475000</v>
      </c>
      <c r="AD485" s="267">
        <v>2475000</v>
      </c>
      <c r="AE485" s="270">
        <v>2229729.7297297297</v>
      </c>
      <c r="AF485" s="270">
        <v>2475000</v>
      </c>
      <c r="AG485" s="805" t="s">
        <v>3883</v>
      </c>
      <c r="AH485" s="651">
        <f>Data2025!W484</f>
        <v>0</v>
      </c>
    </row>
    <row r="486" spans="1:36" ht="16.5" thickTop="1" thickBot="1">
      <c r="A486" s="636">
        <f>Data2025!G485</f>
        <v>0</v>
      </c>
      <c r="B486" s="637">
        <f>Data2025!K485</f>
        <v>0</v>
      </c>
      <c r="C486" s="638">
        <f>Data2025!D485</f>
        <v>0</v>
      </c>
      <c r="D486" s="639">
        <f>Data2025!C485</f>
        <v>0</v>
      </c>
      <c r="E486" s="265">
        <f>Data2025!E485</f>
        <v>0</v>
      </c>
      <c r="F486" s="640">
        <f>Data2025!F485</f>
        <v>0</v>
      </c>
      <c r="G486" s="265">
        <f>Data2025!H485</f>
        <v>0</v>
      </c>
      <c r="H486" s="265">
        <f t="shared" si="25"/>
        <v>0</v>
      </c>
      <c r="I486" s="641">
        <f>Data2025!J485</f>
        <v>0</v>
      </c>
      <c r="J486" s="381">
        <f>Data2025!L485</f>
        <v>0</v>
      </c>
      <c r="K486" s="381">
        <f>Data2025!M485</f>
        <v>0</v>
      </c>
      <c r="L486" s="642">
        <f>Data2025!N485</f>
        <v>0</v>
      </c>
      <c r="M486" s="642">
        <f>Data2025!O485</f>
        <v>0</v>
      </c>
      <c r="N486" s="643">
        <f>Data2025!P485</f>
        <v>0</v>
      </c>
      <c r="O486" s="644">
        <f>Data2025!Q485</f>
        <v>0</v>
      </c>
      <c r="P486" s="645" t="s">
        <v>2682</v>
      </c>
      <c r="Q486" s="646" t="e">
        <f>VLOOKUP(K486,Sheet1!$C$1:$D$101,2,)</f>
        <v>#N/A</v>
      </c>
      <c r="R486" s="496">
        <v>2550000</v>
      </c>
      <c r="S486" s="504">
        <v>2618000</v>
      </c>
      <c r="T486" s="648">
        <f>Data2025!T485</f>
        <v>0</v>
      </c>
      <c r="U486" s="268" t="s">
        <v>538</v>
      </c>
      <c r="V486" s="648">
        <f>Data2025!V485</f>
        <v>0</v>
      </c>
      <c r="W486" s="648">
        <f>Data2025!X485</f>
        <v>0</v>
      </c>
      <c r="X486" s="268" t="s">
        <v>540</v>
      </c>
      <c r="Y486" s="268" t="str">
        <f t="shared" si="26"/>
        <v>Jasa Tenaga Pengajar</v>
      </c>
      <c r="Z486" s="649" t="str">
        <f t="shared" si="27"/>
        <v>Jasa Tenaga Pengajar</v>
      </c>
      <c r="AA486" s="498" t="s">
        <v>3374</v>
      </c>
      <c r="AB486" s="269">
        <v>75000</v>
      </c>
      <c r="AC486" s="269">
        <v>2550000</v>
      </c>
      <c r="AD486" s="267">
        <v>2550000</v>
      </c>
      <c r="AE486" s="270">
        <v>2297297.2972972975</v>
      </c>
      <c r="AF486" s="270">
        <v>2550000</v>
      </c>
      <c r="AG486" s="805" t="s">
        <v>3883</v>
      </c>
      <c r="AH486" s="651">
        <f>Data2025!W485</f>
        <v>0</v>
      </c>
    </row>
    <row r="487" spans="1:36" ht="16.5" thickTop="1" thickBot="1">
      <c r="A487" s="636">
        <f>Data2025!G486</f>
        <v>0</v>
      </c>
      <c r="B487" s="637">
        <f>Data2025!K486</f>
        <v>0</v>
      </c>
      <c r="C487" s="638">
        <f>Data2025!D486</f>
        <v>0</v>
      </c>
      <c r="D487" s="639">
        <f>Data2025!C486</f>
        <v>0</v>
      </c>
      <c r="E487" s="265">
        <f>Data2025!E486</f>
        <v>0</v>
      </c>
      <c r="F487" s="640">
        <f>Data2025!F486</f>
        <v>0</v>
      </c>
      <c r="G487" s="265">
        <f>Data2025!H486</f>
        <v>0</v>
      </c>
      <c r="H487" s="265">
        <f t="shared" si="25"/>
        <v>0</v>
      </c>
      <c r="I487" s="641">
        <f>Data2025!J486</f>
        <v>0</v>
      </c>
      <c r="J487" s="381">
        <f>Data2025!L486</f>
        <v>0</v>
      </c>
      <c r="K487" s="381">
        <f>Data2025!M486</f>
        <v>0</v>
      </c>
      <c r="L487" s="642">
        <f>Data2025!N486</f>
        <v>0</v>
      </c>
      <c r="M487" s="642">
        <f>Data2025!O486</f>
        <v>0</v>
      </c>
      <c r="N487" s="643">
        <f>Data2025!P486</f>
        <v>0</v>
      </c>
      <c r="O487" s="644">
        <f>Data2025!Q486</f>
        <v>0</v>
      </c>
      <c r="P487" s="645" t="s">
        <v>2682</v>
      </c>
      <c r="Q487" s="646" t="e">
        <f>VLOOKUP(K487,Sheet1!$C$1:$D$101,2,)</f>
        <v>#N/A</v>
      </c>
      <c r="R487" s="496">
        <v>2250000</v>
      </c>
      <c r="S487" s="504">
        <v>2310000</v>
      </c>
      <c r="T487" s="648">
        <f>Data2025!T486</f>
        <v>0</v>
      </c>
      <c r="U487" s="268" t="s">
        <v>538</v>
      </c>
      <c r="V487" s="648">
        <f>Data2025!V486</f>
        <v>0</v>
      </c>
      <c r="W487" s="648">
        <f>Data2025!X486</f>
        <v>0</v>
      </c>
      <c r="X487" s="268" t="s">
        <v>540</v>
      </c>
      <c r="Y487" s="268" t="str">
        <f t="shared" si="26"/>
        <v>Jasa Tenaga Pengajar</v>
      </c>
      <c r="Z487" s="649" t="str">
        <f t="shared" si="27"/>
        <v>Jasa Tenaga Pengajar</v>
      </c>
      <c r="AA487" s="498" t="s">
        <v>3374</v>
      </c>
      <c r="AB487" s="269">
        <v>75000</v>
      </c>
      <c r="AC487" s="269">
        <v>2250000</v>
      </c>
      <c r="AD487" s="267">
        <v>2250000</v>
      </c>
      <c r="AE487" s="270">
        <v>2027027.027027027</v>
      </c>
      <c r="AF487" s="270">
        <v>2250000</v>
      </c>
      <c r="AG487" s="805" t="s">
        <v>3883</v>
      </c>
      <c r="AH487" s="651">
        <f>Data2025!W486</f>
        <v>0</v>
      </c>
    </row>
    <row r="488" spans="1:36" ht="16.5" thickTop="1" thickBot="1">
      <c r="A488" s="636">
        <f>Data2025!G487</f>
        <v>0</v>
      </c>
      <c r="B488" s="637">
        <f>Data2025!K487</f>
        <v>0</v>
      </c>
      <c r="C488" s="638">
        <f>Data2025!D487</f>
        <v>0</v>
      </c>
      <c r="D488" s="639">
        <f>Data2025!C487</f>
        <v>0</v>
      </c>
      <c r="E488" s="265">
        <f>Data2025!E487</f>
        <v>0</v>
      </c>
      <c r="F488" s="640">
        <f>Data2025!F487</f>
        <v>0</v>
      </c>
      <c r="G488" s="265">
        <f>Data2025!H487</f>
        <v>0</v>
      </c>
      <c r="H488" s="265">
        <f t="shared" si="25"/>
        <v>0</v>
      </c>
      <c r="I488" s="641">
        <f>Data2025!J487</f>
        <v>0</v>
      </c>
      <c r="J488" s="381">
        <f>Data2025!L487</f>
        <v>0</v>
      </c>
      <c r="K488" s="381">
        <f>Data2025!M487</f>
        <v>0</v>
      </c>
      <c r="L488" s="642">
        <f>Data2025!N487</f>
        <v>0</v>
      </c>
      <c r="M488" s="642">
        <f>Data2025!O487</f>
        <v>0</v>
      </c>
      <c r="N488" s="643">
        <f>Data2025!P487</f>
        <v>0</v>
      </c>
      <c r="O488" s="644">
        <f>Data2025!Q487</f>
        <v>0</v>
      </c>
      <c r="P488" s="645" t="s">
        <v>2682</v>
      </c>
      <c r="Q488" s="646" t="e">
        <f>VLOOKUP(K488,Sheet1!$C$1:$D$101,2,)</f>
        <v>#N/A</v>
      </c>
      <c r="R488" s="496">
        <v>2475000</v>
      </c>
      <c r="S488" s="504">
        <v>2541000</v>
      </c>
      <c r="T488" s="648">
        <f>Data2025!T487</f>
        <v>0</v>
      </c>
      <c r="U488" s="268" t="s">
        <v>538</v>
      </c>
      <c r="V488" s="648">
        <f>Data2025!V487</f>
        <v>0</v>
      </c>
      <c r="W488" s="648">
        <f>Data2025!X487</f>
        <v>0</v>
      </c>
      <c r="X488" s="268" t="s">
        <v>540</v>
      </c>
      <c r="Y488" s="268" t="str">
        <f t="shared" si="26"/>
        <v>Jasa Tenaga Pengajar</v>
      </c>
      <c r="Z488" s="649" t="str">
        <f t="shared" si="27"/>
        <v>Jasa Tenaga Pengajar</v>
      </c>
      <c r="AA488" s="498" t="s">
        <v>3374</v>
      </c>
      <c r="AB488" s="269">
        <v>75000</v>
      </c>
      <c r="AC488" s="269">
        <v>2475000</v>
      </c>
      <c r="AD488" s="267">
        <v>2475000</v>
      </c>
      <c r="AE488" s="270">
        <v>2229729.7297297297</v>
      </c>
      <c r="AF488" s="270">
        <v>2475000</v>
      </c>
      <c r="AG488" s="805" t="s">
        <v>3883</v>
      </c>
      <c r="AH488" s="651">
        <f>Data2025!W487</f>
        <v>0</v>
      </c>
    </row>
    <row r="489" spans="1:36" ht="16.5" thickTop="1" thickBot="1">
      <c r="A489" s="636">
        <f>Data2025!G488</f>
        <v>0</v>
      </c>
      <c r="B489" s="637">
        <f>Data2025!K488</f>
        <v>0</v>
      </c>
      <c r="C489" s="638">
        <f>Data2025!D488</f>
        <v>0</v>
      </c>
      <c r="D489" s="639">
        <f>Data2025!C488</f>
        <v>0</v>
      </c>
      <c r="E489" s="265">
        <f>Data2025!E488</f>
        <v>0</v>
      </c>
      <c r="F489" s="640">
        <f>Data2025!F488</f>
        <v>0</v>
      </c>
      <c r="G489" s="265">
        <f>Data2025!H488</f>
        <v>0</v>
      </c>
      <c r="H489" s="265">
        <f t="shared" si="25"/>
        <v>0</v>
      </c>
      <c r="I489" s="641">
        <f>Data2025!J488</f>
        <v>0</v>
      </c>
      <c r="J489" s="381">
        <f>Data2025!L488</f>
        <v>0</v>
      </c>
      <c r="K489" s="381">
        <f>Data2025!M488</f>
        <v>0</v>
      </c>
      <c r="L489" s="642">
        <f>Data2025!N488</f>
        <v>0</v>
      </c>
      <c r="M489" s="642">
        <f>Data2025!O488</f>
        <v>0</v>
      </c>
      <c r="N489" s="643">
        <f>Data2025!P488</f>
        <v>0</v>
      </c>
      <c r="O489" s="644">
        <f>Data2025!Q488</f>
        <v>0</v>
      </c>
      <c r="P489" s="645" t="s">
        <v>2682</v>
      </c>
      <c r="Q489" s="646" t="e">
        <f>VLOOKUP(K489,Sheet1!$C$1:$D$101,2,)</f>
        <v>#N/A</v>
      </c>
      <c r="R489" s="496">
        <v>2100000</v>
      </c>
      <c r="S489" s="504">
        <v>2156000</v>
      </c>
      <c r="T489" s="648">
        <f>Data2025!T488</f>
        <v>0</v>
      </c>
      <c r="U489" s="268" t="s">
        <v>538</v>
      </c>
      <c r="V489" s="648">
        <f>Data2025!V488</f>
        <v>0</v>
      </c>
      <c r="W489" s="648">
        <f>Data2025!X488</f>
        <v>0</v>
      </c>
      <c r="X489" s="268" t="s">
        <v>540</v>
      </c>
      <c r="Y489" s="268" t="str">
        <f t="shared" si="26"/>
        <v>Jasa Tenaga Pengajar</v>
      </c>
      <c r="Z489" s="649" t="str">
        <f t="shared" si="27"/>
        <v>Jasa Tenaga Pengajar</v>
      </c>
      <c r="AA489" s="498" t="s">
        <v>3374</v>
      </c>
      <c r="AB489" s="269">
        <v>75000</v>
      </c>
      <c r="AC489" s="269">
        <v>2100000</v>
      </c>
      <c r="AD489" s="267">
        <v>2100000</v>
      </c>
      <c r="AE489" s="270">
        <v>1891891.8918918918</v>
      </c>
      <c r="AF489" s="270">
        <v>2100000</v>
      </c>
      <c r="AG489" s="805" t="s">
        <v>3883</v>
      </c>
      <c r="AH489" s="651">
        <f>Data2025!W488</f>
        <v>0</v>
      </c>
      <c r="AI489" s="277"/>
      <c r="AJ489" s="277"/>
    </row>
    <row r="490" spans="1:36" ht="16.5" thickTop="1" thickBot="1">
      <c r="A490" s="636">
        <f>Data2025!G489</f>
        <v>0</v>
      </c>
      <c r="B490" s="637">
        <f>Data2025!K489</f>
        <v>0</v>
      </c>
      <c r="C490" s="638">
        <f>Data2025!D489</f>
        <v>0</v>
      </c>
      <c r="D490" s="639">
        <f>Data2025!C489</f>
        <v>0</v>
      </c>
      <c r="E490" s="265">
        <f>Data2025!E489</f>
        <v>0</v>
      </c>
      <c r="F490" s="640">
        <f>Data2025!F489</f>
        <v>0</v>
      </c>
      <c r="G490" s="265">
        <f>Data2025!H489</f>
        <v>0</v>
      </c>
      <c r="H490" s="265">
        <f t="shared" si="25"/>
        <v>0</v>
      </c>
      <c r="I490" s="641">
        <f>Data2025!J489</f>
        <v>0</v>
      </c>
      <c r="J490" s="381">
        <f>Data2025!L489</f>
        <v>0</v>
      </c>
      <c r="K490" s="381">
        <f>Data2025!M489</f>
        <v>0</v>
      </c>
      <c r="L490" s="642">
        <f>Data2025!N489</f>
        <v>0</v>
      </c>
      <c r="M490" s="642">
        <f>Data2025!O489</f>
        <v>0</v>
      </c>
      <c r="N490" s="643">
        <f>Data2025!P489</f>
        <v>0</v>
      </c>
      <c r="O490" s="644">
        <f>Data2025!Q489</f>
        <v>0</v>
      </c>
      <c r="P490" s="645" t="s">
        <v>2682</v>
      </c>
      <c r="Q490" s="646" t="e">
        <f>VLOOKUP(K490,Sheet1!$C$1:$D$101,2,)</f>
        <v>#N/A</v>
      </c>
      <c r="R490" s="496">
        <v>2475000</v>
      </c>
      <c r="S490" s="504">
        <v>2541000</v>
      </c>
      <c r="T490" s="648">
        <f>Data2025!T489</f>
        <v>0</v>
      </c>
      <c r="U490" s="268" t="s">
        <v>538</v>
      </c>
      <c r="V490" s="648">
        <f>Data2025!V489</f>
        <v>0</v>
      </c>
      <c r="W490" s="648">
        <f>Data2025!X489</f>
        <v>0</v>
      </c>
      <c r="X490" s="268" t="s">
        <v>540</v>
      </c>
      <c r="Y490" s="268" t="str">
        <f t="shared" si="26"/>
        <v>Jasa Tenaga Pengajar</v>
      </c>
      <c r="Z490" s="649" t="str">
        <f t="shared" si="27"/>
        <v>Jasa Tenaga Pengajar</v>
      </c>
      <c r="AA490" s="498" t="s">
        <v>3374</v>
      </c>
      <c r="AB490" s="269">
        <v>75000</v>
      </c>
      <c r="AC490" s="269">
        <v>2475000</v>
      </c>
      <c r="AD490" s="267">
        <v>2475000</v>
      </c>
      <c r="AE490" s="270">
        <v>2229729.7297297297</v>
      </c>
      <c r="AF490" s="270">
        <v>2475000</v>
      </c>
      <c r="AG490" s="805" t="s">
        <v>3883</v>
      </c>
      <c r="AH490" s="651">
        <f>Data2025!W489</f>
        <v>0</v>
      </c>
    </row>
    <row r="491" spans="1:36" s="501" customFormat="1" ht="16.5" thickTop="1" thickBot="1">
      <c r="A491" s="636">
        <f>Data2025!G490</f>
        <v>0</v>
      </c>
      <c r="B491" s="637">
        <f>Data2025!K490</f>
        <v>0</v>
      </c>
      <c r="C491" s="638">
        <f>Data2025!D490</f>
        <v>0</v>
      </c>
      <c r="D491" s="639">
        <f>Data2025!C490</f>
        <v>0</v>
      </c>
      <c r="E491" s="265">
        <f>Data2025!E490</f>
        <v>0</v>
      </c>
      <c r="F491" s="640">
        <f>Data2025!F490</f>
        <v>0</v>
      </c>
      <c r="G491" s="265">
        <f>Data2025!H490</f>
        <v>0</v>
      </c>
      <c r="H491" s="265">
        <f t="shared" si="25"/>
        <v>0</v>
      </c>
      <c r="I491" s="641">
        <f>Data2025!J490</f>
        <v>0</v>
      </c>
      <c r="J491" s="381">
        <f>Data2025!L490</f>
        <v>0</v>
      </c>
      <c r="K491" s="381">
        <f>Data2025!M490</f>
        <v>0</v>
      </c>
      <c r="L491" s="642">
        <f>Data2025!N490</f>
        <v>0</v>
      </c>
      <c r="M491" s="642">
        <f>Data2025!O490</f>
        <v>0</v>
      </c>
      <c r="N491" s="643">
        <f>Data2025!P490</f>
        <v>0</v>
      </c>
      <c r="O491" s="644">
        <f>Data2025!Q490</f>
        <v>0</v>
      </c>
      <c r="P491" s="645" t="s">
        <v>2699</v>
      </c>
      <c r="Q491" s="646" t="e">
        <f>VLOOKUP(K491,Sheet1!$C$1:$D$101,2,)</f>
        <v>#N/A</v>
      </c>
      <c r="R491" s="496">
        <v>2000000</v>
      </c>
      <c r="S491" s="504">
        <v>2002000</v>
      </c>
      <c r="T491" s="648">
        <f>Data2025!T490</f>
        <v>0</v>
      </c>
      <c r="U491" s="497" t="s">
        <v>2531</v>
      </c>
      <c r="V491" s="648">
        <f>Data2025!V490</f>
        <v>0</v>
      </c>
      <c r="W491" s="648">
        <f>Data2025!X490</f>
        <v>0</v>
      </c>
      <c r="X491" s="497" t="s">
        <v>2529</v>
      </c>
      <c r="Y491" s="268" t="str">
        <f t="shared" si="26"/>
        <v>Jasa Tenaga TU</v>
      </c>
      <c r="Z491" s="649" t="str">
        <f t="shared" si="27"/>
        <v>Jasa Tenaga TU</v>
      </c>
      <c r="AA491" s="498" t="s">
        <v>3373</v>
      </c>
      <c r="AB491" s="499">
        <v>2000000</v>
      </c>
      <c r="AC491" s="499">
        <v>2000000</v>
      </c>
      <c r="AD491" s="496">
        <v>2000000</v>
      </c>
      <c r="AE491" s="500">
        <v>1801801.8018018019</v>
      </c>
      <c r="AF491" s="500">
        <v>2000000</v>
      </c>
      <c r="AG491" s="805" t="s">
        <v>3883</v>
      </c>
      <c r="AH491" s="651">
        <f>Data2025!W490</f>
        <v>0</v>
      </c>
    </row>
    <row r="492" spans="1:36" s="501" customFormat="1" ht="16.5" thickTop="1" thickBot="1">
      <c r="A492" s="636">
        <f>Data2025!G491</f>
        <v>0</v>
      </c>
      <c r="B492" s="637">
        <f>Data2025!K491</f>
        <v>0</v>
      </c>
      <c r="C492" s="638">
        <f>Data2025!D491</f>
        <v>0</v>
      </c>
      <c r="D492" s="639">
        <f>Data2025!C491</f>
        <v>0</v>
      </c>
      <c r="E492" s="265">
        <f>Data2025!E491</f>
        <v>0</v>
      </c>
      <c r="F492" s="640">
        <f>Data2025!F491</f>
        <v>0</v>
      </c>
      <c r="G492" s="265">
        <f>Data2025!H491</f>
        <v>0</v>
      </c>
      <c r="H492" s="265">
        <f t="shared" si="25"/>
        <v>0</v>
      </c>
      <c r="I492" s="641">
        <f>Data2025!J491</f>
        <v>0</v>
      </c>
      <c r="J492" s="381">
        <f>Data2025!L491</f>
        <v>0</v>
      </c>
      <c r="K492" s="381">
        <f>Data2025!M491</f>
        <v>0</v>
      </c>
      <c r="L492" s="642">
        <f>Data2025!N491</f>
        <v>0</v>
      </c>
      <c r="M492" s="642">
        <f>Data2025!O491</f>
        <v>0</v>
      </c>
      <c r="N492" s="643">
        <f>Data2025!P491</f>
        <v>0</v>
      </c>
      <c r="O492" s="644">
        <f>Data2025!Q491</f>
        <v>0</v>
      </c>
      <c r="P492" s="645" t="s">
        <v>2699</v>
      </c>
      <c r="Q492" s="646" t="e">
        <f>VLOOKUP(K492,Sheet1!$C$1:$D$101,2,)</f>
        <v>#N/A</v>
      </c>
      <c r="R492" s="496">
        <v>2000000</v>
      </c>
      <c r="S492" s="504">
        <v>2002000</v>
      </c>
      <c r="T492" s="648">
        <f>Data2025!T491</f>
        <v>0</v>
      </c>
      <c r="U492" s="497"/>
      <c r="V492" s="648">
        <f>Data2025!V491</f>
        <v>0</v>
      </c>
      <c r="W492" s="648">
        <f>Data2025!X491</f>
        <v>0</v>
      </c>
      <c r="X492" s="497"/>
      <c r="Y492" s="268" t="str">
        <f t="shared" si="26"/>
        <v>Jasa Tenaga TU</v>
      </c>
      <c r="Z492" s="649" t="str">
        <f t="shared" si="27"/>
        <v>Jasa Tenaga TU</v>
      </c>
      <c r="AA492" s="498"/>
      <c r="AB492" s="499"/>
      <c r="AC492" s="499"/>
      <c r="AD492" s="496"/>
      <c r="AE492" s="500"/>
      <c r="AF492" s="500"/>
      <c r="AG492" s="805" t="s">
        <v>3883</v>
      </c>
      <c r="AH492" s="651">
        <f>Data2025!W491</f>
        <v>0</v>
      </c>
    </row>
    <row r="493" spans="1:36" s="501" customFormat="1" ht="16.5" thickTop="1" thickBot="1">
      <c r="A493" s="636">
        <f>Data2025!G492</f>
        <v>0</v>
      </c>
      <c r="B493" s="637">
        <f>Data2025!K492</f>
        <v>0</v>
      </c>
      <c r="C493" s="638">
        <f>Data2025!D492</f>
        <v>0</v>
      </c>
      <c r="D493" s="639">
        <f>Data2025!C492</f>
        <v>0</v>
      </c>
      <c r="E493" s="265">
        <f>Data2025!E492</f>
        <v>0</v>
      </c>
      <c r="F493" s="640">
        <f>Data2025!F492</f>
        <v>0</v>
      </c>
      <c r="G493" s="265">
        <f>Data2025!H492</f>
        <v>0</v>
      </c>
      <c r="H493" s="265">
        <f t="shared" si="25"/>
        <v>0</v>
      </c>
      <c r="I493" s="641">
        <f>Data2025!J492</f>
        <v>0</v>
      </c>
      <c r="J493" s="381">
        <f>Data2025!L492</f>
        <v>0</v>
      </c>
      <c r="K493" s="381">
        <f>Data2025!M492</f>
        <v>0</v>
      </c>
      <c r="L493" s="642">
        <f>Data2025!N492</f>
        <v>0</v>
      </c>
      <c r="M493" s="642">
        <f>Data2025!O492</f>
        <v>0</v>
      </c>
      <c r="N493" s="643">
        <f>Data2025!P492</f>
        <v>0</v>
      </c>
      <c r="O493" s="644">
        <f>Data2025!Q492</f>
        <v>0</v>
      </c>
      <c r="P493" s="645" t="s">
        <v>2699</v>
      </c>
      <c r="Q493" s="646" t="e">
        <f>VLOOKUP(K493,Sheet1!$C$1:$D$101,2,)</f>
        <v>#N/A</v>
      </c>
      <c r="R493" s="496">
        <v>2000000</v>
      </c>
      <c r="S493" s="504">
        <v>2002000</v>
      </c>
      <c r="T493" s="648">
        <f>Data2025!T492</f>
        <v>0</v>
      </c>
      <c r="U493" s="497" t="s">
        <v>2531</v>
      </c>
      <c r="V493" s="648">
        <f>Data2025!V492</f>
        <v>0</v>
      </c>
      <c r="W493" s="648">
        <f>Data2025!X492</f>
        <v>0</v>
      </c>
      <c r="X493" s="497" t="s">
        <v>2529</v>
      </c>
      <c r="Y493" s="268" t="str">
        <f t="shared" si="26"/>
        <v>Jasa Tenaga TU</v>
      </c>
      <c r="Z493" s="649" t="str">
        <f t="shared" si="27"/>
        <v>Jasa Tenaga TU</v>
      </c>
      <c r="AA493" s="498" t="s">
        <v>3373</v>
      </c>
      <c r="AB493" s="499">
        <v>2000000</v>
      </c>
      <c r="AC493" s="499">
        <v>2000000</v>
      </c>
      <c r="AD493" s="496">
        <v>2000000</v>
      </c>
      <c r="AE493" s="500">
        <v>1801801.8018018019</v>
      </c>
      <c r="AF493" s="500">
        <v>2000000</v>
      </c>
      <c r="AG493" s="805" t="s">
        <v>3883</v>
      </c>
      <c r="AH493" s="651">
        <f>Data2025!W492</f>
        <v>0</v>
      </c>
      <c r="AI493" s="502"/>
      <c r="AJ493" s="502"/>
    </row>
    <row r="494" spans="1:36" s="501" customFormat="1" ht="16.5" thickTop="1" thickBot="1">
      <c r="A494" s="636">
        <f>Data2025!G493</f>
        <v>0</v>
      </c>
      <c r="B494" s="637">
        <f>Data2025!K493</f>
        <v>0</v>
      </c>
      <c r="C494" s="638">
        <f>Data2025!D493</f>
        <v>0</v>
      </c>
      <c r="D494" s="639">
        <f>Data2025!C493</f>
        <v>0</v>
      </c>
      <c r="E494" s="265">
        <f>Data2025!E493</f>
        <v>0</v>
      </c>
      <c r="F494" s="640">
        <f>Data2025!F493</f>
        <v>0</v>
      </c>
      <c r="G494" s="265">
        <f>Data2025!H493</f>
        <v>0</v>
      </c>
      <c r="H494" s="265">
        <f t="shared" si="25"/>
        <v>0</v>
      </c>
      <c r="I494" s="641">
        <f>Data2025!J493</f>
        <v>0</v>
      </c>
      <c r="J494" s="381">
        <f>Data2025!L493</f>
        <v>0</v>
      </c>
      <c r="K494" s="381">
        <f>Data2025!M493</f>
        <v>0</v>
      </c>
      <c r="L494" s="642">
        <f>Data2025!N493</f>
        <v>0</v>
      </c>
      <c r="M494" s="642">
        <f>Data2025!O493</f>
        <v>0</v>
      </c>
      <c r="N494" s="643">
        <f>Data2025!P493</f>
        <v>0</v>
      </c>
      <c r="O494" s="644">
        <f>Data2025!Q493</f>
        <v>0</v>
      </c>
      <c r="P494" s="645" t="s">
        <v>2699</v>
      </c>
      <c r="Q494" s="646" t="e">
        <f>VLOOKUP(K494,Sheet1!$C$1:$D$101,2,)</f>
        <v>#N/A</v>
      </c>
      <c r="R494" s="496">
        <v>2000000</v>
      </c>
      <c r="S494" s="504">
        <v>2002000</v>
      </c>
      <c r="T494" s="648">
        <f>Data2025!T493</f>
        <v>0</v>
      </c>
      <c r="U494" s="497"/>
      <c r="V494" s="648">
        <f>Data2025!V493</f>
        <v>0</v>
      </c>
      <c r="W494" s="648">
        <f>Data2025!X493</f>
        <v>0</v>
      </c>
      <c r="X494" s="497"/>
      <c r="Y494" s="268" t="str">
        <f t="shared" si="26"/>
        <v>Jasa Tenaga TU</v>
      </c>
      <c r="Z494" s="649" t="str">
        <f t="shared" si="27"/>
        <v>Jasa Tenaga TU</v>
      </c>
      <c r="AA494" s="498"/>
      <c r="AB494" s="499"/>
      <c r="AC494" s="499"/>
      <c r="AD494" s="496"/>
      <c r="AE494" s="500"/>
      <c r="AF494" s="500"/>
      <c r="AG494" s="805" t="s">
        <v>3883</v>
      </c>
      <c r="AH494" s="651">
        <f>Data2025!W493</f>
        <v>0</v>
      </c>
    </row>
    <row r="495" spans="1:36" s="501" customFormat="1" ht="16.5" thickTop="1" thickBot="1">
      <c r="A495" s="636">
        <f>Data2025!G494</f>
        <v>0</v>
      </c>
      <c r="B495" s="637">
        <f>Data2025!K494</f>
        <v>0</v>
      </c>
      <c r="C495" s="638">
        <f>Data2025!D494</f>
        <v>0</v>
      </c>
      <c r="D495" s="639">
        <f>Data2025!C494</f>
        <v>0</v>
      </c>
      <c r="E495" s="265">
        <f>Data2025!E494</f>
        <v>0</v>
      </c>
      <c r="F495" s="640">
        <f>Data2025!F494</f>
        <v>0</v>
      </c>
      <c r="G495" s="265">
        <f>Data2025!H494</f>
        <v>0</v>
      </c>
      <c r="H495" s="265">
        <f t="shared" si="25"/>
        <v>0</v>
      </c>
      <c r="I495" s="641">
        <f>Data2025!J494</f>
        <v>0</v>
      </c>
      <c r="J495" s="381">
        <f>Data2025!L494</f>
        <v>0</v>
      </c>
      <c r="K495" s="381">
        <f>Data2025!M494</f>
        <v>0</v>
      </c>
      <c r="L495" s="642">
        <f>Data2025!N494</f>
        <v>0</v>
      </c>
      <c r="M495" s="642">
        <f>Data2025!O494</f>
        <v>0</v>
      </c>
      <c r="N495" s="643">
        <f>Data2025!P494</f>
        <v>0</v>
      </c>
      <c r="O495" s="644">
        <f>Data2025!Q494</f>
        <v>0</v>
      </c>
      <c r="P495" s="645" t="s">
        <v>2699</v>
      </c>
      <c r="Q495" s="646" t="e">
        <f>VLOOKUP(K495,Sheet1!$C$1:$D$101,2,)</f>
        <v>#N/A</v>
      </c>
      <c r="R495" s="496">
        <v>2000000</v>
      </c>
      <c r="S495" s="504">
        <v>2002000</v>
      </c>
      <c r="T495" s="648">
        <f>Data2025!T494</f>
        <v>0</v>
      </c>
      <c r="U495" s="497" t="s">
        <v>2531</v>
      </c>
      <c r="V495" s="648">
        <f>Data2025!V494</f>
        <v>0</v>
      </c>
      <c r="W495" s="648">
        <f>Data2025!X494</f>
        <v>0</v>
      </c>
      <c r="X495" s="497" t="s">
        <v>2529</v>
      </c>
      <c r="Y495" s="268" t="str">
        <f t="shared" si="26"/>
        <v>Jasa Tenaga TU</v>
      </c>
      <c r="Z495" s="649" t="str">
        <f t="shared" si="27"/>
        <v>Jasa Tenaga TU</v>
      </c>
      <c r="AA495" s="498" t="s">
        <v>3373</v>
      </c>
      <c r="AB495" s="499">
        <v>2000000</v>
      </c>
      <c r="AC495" s="499">
        <v>2000000</v>
      </c>
      <c r="AD495" s="496">
        <v>2000000</v>
      </c>
      <c r="AE495" s="500">
        <v>1801801.8018018019</v>
      </c>
      <c r="AF495" s="500">
        <v>2000000</v>
      </c>
      <c r="AG495" s="805" t="s">
        <v>3883</v>
      </c>
      <c r="AH495" s="651">
        <f>Data2025!W494</f>
        <v>0</v>
      </c>
    </row>
    <row r="496" spans="1:36" s="501" customFormat="1" ht="16.5" thickTop="1" thickBot="1">
      <c r="A496" s="636">
        <f>Data2025!G495</f>
        <v>0</v>
      </c>
      <c r="B496" s="637">
        <f>Data2025!K495</f>
        <v>0</v>
      </c>
      <c r="C496" s="638">
        <f>Data2025!D495</f>
        <v>0</v>
      </c>
      <c r="D496" s="639">
        <f>Data2025!C495</f>
        <v>0</v>
      </c>
      <c r="E496" s="265">
        <f>Data2025!E495</f>
        <v>0</v>
      </c>
      <c r="F496" s="640">
        <f>Data2025!F495</f>
        <v>0</v>
      </c>
      <c r="G496" s="265">
        <f>Data2025!H495</f>
        <v>0</v>
      </c>
      <c r="H496" s="265">
        <f t="shared" si="25"/>
        <v>0</v>
      </c>
      <c r="I496" s="641">
        <f>Data2025!J495</f>
        <v>0</v>
      </c>
      <c r="J496" s="381">
        <f>Data2025!L495</f>
        <v>0</v>
      </c>
      <c r="K496" s="381">
        <f>Data2025!M495</f>
        <v>0</v>
      </c>
      <c r="L496" s="642">
        <f>Data2025!N495</f>
        <v>0</v>
      </c>
      <c r="M496" s="642">
        <f>Data2025!O495</f>
        <v>0</v>
      </c>
      <c r="N496" s="643">
        <f>Data2025!P495</f>
        <v>0</v>
      </c>
      <c r="O496" s="644">
        <f>Data2025!Q495</f>
        <v>0</v>
      </c>
      <c r="P496" s="645" t="s">
        <v>2713</v>
      </c>
      <c r="Q496" s="646" t="e">
        <f>VLOOKUP(K496,Sheet1!$C$1:$D$101,2,)</f>
        <v>#N/A</v>
      </c>
      <c r="R496" s="496">
        <v>1000000</v>
      </c>
      <c r="S496" s="504">
        <v>1002000</v>
      </c>
      <c r="T496" s="648">
        <f>Data2025!T495</f>
        <v>0</v>
      </c>
      <c r="U496" s="497"/>
      <c r="V496" s="648">
        <f>Data2025!V495</f>
        <v>0</v>
      </c>
      <c r="W496" s="648">
        <f>Data2025!X495</f>
        <v>0</v>
      </c>
      <c r="X496" s="497"/>
      <c r="Y496" s="268" t="str">
        <f t="shared" si="26"/>
        <v>Jasa Tenaga Kebersihan</v>
      </c>
      <c r="Z496" s="649" t="str">
        <f t="shared" si="27"/>
        <v>Jasa Tenaga Kebersihan</v>
      </c>
      <c r="AA496" s="498"/>
      <c r="AB496" s="499"/>
      <c r="AC496" s="499"/>
      <c r="AD496" s="496"/>
      <c r="AE496" s="500"/>
      <c r="AF496" s="500"/>
      <c r="AG496" s="805" t="s">
        <v>3883</v>
      </c>
      <c r="AH496" s="651">
        <f>Data2025!W495</f>
        <v>0</v>
      </c>
    </row>
    <row r="497" spans="1:36" s="501" customFormat="1" ht="16.5" thickTop="1" thickBot="1">
      <c r="A497" s="636">
        <f>Data2025!G496</f>
        <v>0</v>
      </c>
      <c r="B497" s="637">
        <f>Data2025!K496</f>
        <v>0</v>
      </c>
      <c r="C497" s="638">
        <f>Data2025!D496</f>
        <v>0</v>
      </c>
      <c r="D497" s="639">
        <f>Data2025!C496</f>
        <v>0</v>
      </c>
      <c r="E497" s="265">
        <f>Data2025!E496</f>
        <v>0</v>
      </c>
      <c r="F497" s="640">
        <f>Data2025!F496</f>
        <v>0</v>
      </c>
      <c r="G497" s="265">
        <f>Data2025!H496</f>
        <v>0</v>
      </c>
      <c r="H497" s="265">
        <f t="shared" si="25"/>
        <v>0</v>
      </c>
      <c r="I497" s="641">
        <f>Data2025!J496</f>
        <v>0</v>
      </c>
      <c r="J497" s="381">
        <f>Data2025!L496</f>
        <v>0</v>
      </c>
      <c r="K497" s="381">
        <f>Data2025!M496</f>
        <v>0</v>
      </c>
      <c r="L497" s="642">
        <f>Data2025!N496</f>
        <v>0</v>
      </c>
      <c r="M497" s="642">
        <f>Data2025!O496</f>
        <v>0</v>
      </c>
      <c r="N497" s="643">
        <f>Data2025!P496</f>
        <v>0</v>
      </c>
      <c r="O497" s="644">
        <f>Data2025!Q496</f>
        <v>0</v>
      </c>
      <c r="P497" s="645" t="s">
        <v>2733</v>
      </c>
      <c r="Q497" s="646" t="e">
        <f>VLOOKUP(K497,Sheet1!$C$1:$D$101,2,)</f>
        <v>#N/A</v>
      </c>
      <c r="R497" s="496">
        <v>8100000</v>
      </c>
      <c r="S497" s="504">
        <v>8102000</v>
      </c>
      <c r="T497" s="648">
        <f>Data2025!T496</f>
        <v>0</v>
      </c>
      <c r="U497" s="497" t="s">
        <v>2531</v>
      </c>
      <c r="V497" s="648">
        <f>Data2025!V496</f>
        <v>0</v>
      </c>
      <c r="W497" s="648">
        <f>Data2025!X496</f>
        <v>0</v>
      </c>
      <c r="X497" s="497" t="s">
        <v>2529</v>
      </c>
      <c r="Y497" s="268" t="str">
        <f t="shared" si="26"/>
        <v>Sarana Prsasrana</v>
      </c>
      <c r="Z497" s="649" t="str">
        <f t="shared" si="27"/>
        <v>Sarana Prsasrana</v>
      </c>
      <c r="AA497" s="498" t="s">
        <v>3371</v>
      </c>
      <c r="AB497" s="499">
        <v>8100000</v>
      </c>
      <c r="AC497" s="499">
        <v>8100000</v>
      </c>
      <c r="AD497" s="496">
        <v>8100000</v>
      </c>
      <c r="AE497" s="500">
        <v>7297297.297297297</v>
      </c>
      <c r="AF497" s="500">
        <v>8100000</v>
      </c>
      <c r="AG497" s="805" t="s">
        <v>3883</v>
      </c>
      <c r="AH497" s="651">
        <f>Data2025!W496</f>
        <v>0</v>
      </c>
    </row>
    <row r="498" spans="1:36" ht="16.5" thickTop="1" thickBot="1">
      <c r="A498" s="636">
        <f>Data2025!G497</f>
        <v>0</v>
      </c>
      <c r="B498" s="637">
        <f>Data2025!K497</f>
        <v>0</v>
      </c>
      <c r="C498" s="638">
        <f>Data2025!D497</f>
        <v>0</v>
      </c>
      <c r="D498" s="639">
        <f>Data2025!C497</f>
        <v>0</v>
      </c>
      <c r="E498" s="265">
        <f>Data2025!E497</f>
        <v>0</v>
      </c>
      <c r="F498" s="640">
        <f>Data2025!F497</f>
        <v>0</v>
      </c>
      <c r="G498" s="265">
        <f>Data2025!H497</f>
        <v>0</v>
      </c>
      <c r="H498" s="265">
        <f t="shared" si="25"/>
        <v>0</v>
      </c>
      <c r="I498" s="641">
        <f>Data2025!J497</f>
        <v>0</v>
      </c>
      <c r="J498" s="381">
        <f>Data2025!L497</f>
        <v>0</v>
      </c>
      <c r="K498" s="381">
        <f>Data2025!M497</f>
        <v>0</v>
      </c>
      <c r="L498" s="642">
        <f>Data2025!N497</f>
        <v>0</v>
      </c>
      <c r="M498" s="642">
        <f>Data2025!O497</f>
        <v>0</v>
      </c>
      <c r="N498" s="643">
        <f>Data2025!P497</f>
        <v>0</v>
      </c>
      <c r="O498" s="644">
        <f>Data2025!Q497</f>
        <v>0</v>
      </c>
      <c r="P498" s="645" t="s">
        <v>2733</v>
      </c>
      <c r="Q498" s="646" t="e">
        <f>VLOOKUP(K498,Sheet1!$C$1:$D$101,2,)</f>
        <v>#N/A</v>
      </c>
      <c r="R498" s="267">
        <v>27000000</v>
      </c>
      <c r="S498" s="647">
        <v>27006000</v>
      </c>
      <c r="T498" s="648">
        <f>Data2025!T497</f>
        <v>0</v>
      </c>
      <c r="U498" s="268" t="s">
        <v>3392</v>
      </c>
      <c r="V498" s="648">
        <f>Data2025!V497</f>
        <v>0</v>
      </c>
      <c r="W498" s="648">
        <f>Data2025!X497</f>
        <v>0</v>
      </c>
      <c r="X498" s="268" t="s">
        <v>2723</v>
      </c>
      <c r="Y498" s="268" t="str">
        <f t="shared" si="26"/>
        <v>Sarana Prsasrana</v>
      </c>
      <c r="Z498" s="649" t="str">
        <f t="shared" si="27"/>
        <v>Sarana Prsasrana</v>
      </c>
      <c r="AA498" s="650" t="s">
        <v>3362</v>
      </c>
      <c r="AB498" s="269">
        <v>9000000</v>
      </c>
      <c r="AC498" s="269">
        <v>27000000</v>
      </c>
      <c r="AD498" s="267">
        <v>27000000</v>
      </c>
      <c r="AE498" s="270">
        <v>24324324.324324325</v>
      </c>
      <c r="AF498" s="270">
        <v>27000000</v>
      </c>
      <c r="AG498" s="805" t="s">
        <v>3883</v>
      </c>
      <c r="AH498" s="651">
        <f>Data2025!W497</f>
        <v>0</v>
      </c>
    </row>
    <row r="499" spans="1:36" ht="16.5" thickTop="1" thickBot="1">
      <c r="A499" s="636">
        <f>Data2025!G498</f>
        <v>0</v>
      </c>
      <c r="B499" s="637">
        <f>Data2025!K498</f>
        <v>0</v>
      </c>
      <c r="C499" s="638">
        <f>Data2025!D498</f>
        <v>0</v>
      </c>
      <c r="D499" s="639">
        <f>Data2025!C498</f>
        <v>0</v>
      </c>
      <c r="E499" s="265">
        <f>Data2025!E498</f>
        <v>0</v>
      </c>
      <c r="F499" s="640">
        <f>Data2025!F498</f>
        <v>0</v>
      </c>
      <c r="G499" s="265">
        <f>Data2025!H498</f>
        <v>0</v>
      </c>
      <c r="H499" s="265">
        <f t="shared" si="25"/>
        <v>0</v>
      </c>
      <c r="I499" s="641">
        <f>Data2025!J498</f>
        <v>0</v>
      </c>
      <c r="J499" s="381">
        <f>Data2025!L498</f>
        <v>0</v>
      </c>
      <c r="K499" s="381">
        <f>Data2025!M498</f>
        <v>0</v>
      </c>
      <c r="L499" s="642">
        <f>Data2025!N498</f>
        <v>0</v>
      </c>
      <c r="M499" s="642">
        <f>Data2025!O498</f>
        <v>0</v>
      </c>
      <c r="N499" s="643">
        <f>Data2025!P498</f>
        <v>0</v>
      </c>
      <c r="O499" s="644">
        <f>Data2025!Q498</f>
        <v>0</v>
      </c>
      <c r="P499" s="645" t="s">
        <v>280</v>
      </c>
      <c r="Q499" s="646" t="e">
        <f>VLOOKUP(K499,Sheet1!$C$1:$D$101,2,)</f>
        <v>#N/A</v>
      </c>
      <c r="R499" s="267">
        <v>900000</v>
      </c>
      <c r="S499" s="647">
        <v>1020000</v>
      </c>
      <c r="T499" s="648">
        <f>Data2025!T498</f>
        <v>0</v>
      </c>
      <c r="U499" s="268" t="s">
        <v>2531</v>
      </c>
      <c r="V499" s="648">
        <f>Data2025!V498</f>
        <v>0</v>
      </c>
      <c r="W499" s="648">
        <f>Data2025!X498</f>
        <v>0</v>
      </c>
      <c r="X499" s="268" t="s">
        <v>2529</v>
      </c>
      <c r="Y499" s="268" t="str">
        <f t="shared" si="26"/>
        <v>Kudapan</v>
      </c>
      <c r="Z499" s="649" t="str">
        <f t="shared" si="27"/>
        <v>Kudapan</v>
      </c>
      <c r="AA499" s="650" t="s">
        <v>3363</v>
      </c>
      <c r="AB499" s="269">
        <v>15000</v>
      </c>
      <c r="AC499" s="269">
        <v>900000</v>
      </c>
      <c r="AD499" s="267">
        <v>900000</v>
      </c>
      <c r="AE499" s="270">
        <v>810810.81081081077</v>
      </c>
      <c r="AF499" s="270">
        <v>900000</v>
      </c>
      <c r="AG499" s="805" t="s">
        <v>3883</v>
      </c>
      <c r="AH499" s="651">
        <f>Data2025!W498</f>
        <v>0</v>
      </c>
    </row>
    <row r="500" spans="1:36" ht="16.5" thickTop="1" thickBot="1">
      <c r="A500" s="636">
        <f>Data2025!G499</f>
        <v>0</v>
      </c>
      <c r="B500" s="637">
        <f>Data2025!K499</f>
        <v>0</v>
      </c>
      <c r="C500" s="638">
        <f>Data2025!D499</f>
        <v>0</v>
      </c>
      <c r="D500" s="639">
        <f>Data2025!C499</f>
        <v>0</v>
      </c>
      <c r="E500" s="265">
        <f>Data2025!E499</f>
        <v>0</v>
      </c>
      <c r="F500" s="640">
        <f>Data2025!F499</f>
        <v>0</v>
      </c>
      <c r="G500" s="265">
        <f>Data2025!H499</f>
        <v>0</v>
      </c>
      <c r="H500" s="265">
        <f t="shared" si="25"/>
        <v>0</v>
      </c>
      <c r="I500" s="641">
        <f>Data2025!J499</f>
        <v>0</v>
      </c>
      <c r="J500" s="381">
        <f>Data2025!L499</f>
        <v>0</v>
      </c>
      <c r="K500" s="381">
        <f>Data2025!M499</f>
        <v>0</v>
      </c>
      <c r="L500" s="642">
        <f>Data2025!N499</f>
        <v>0</v>
      </c>
      <c r="M500" s="642">
        <f>Data2025!O499</f>
        <v>0</v>
      </c>
      <c r="N500" s="643">
        <f>Data2025!P499</f>
        <v>0</v>
      </c>
      <c r="O500" s="644">
        <f>Data2025!Q499</f>
        <v>0</v>
      </c>
      <c r="P500" s="645" t="s">
        <v>2675</v>
      </c>
      <c r="Q500" s="646" t="e">
        <f>VLOOKUP(K500,Sheet1!$C$1:$D$101,2,)</f>
        <v>#N/A</v>
      </c>
      <c r="R500" s="267">
        <v>17342500</v>
      </c>
      <c r="S500" s="647">
        <v>11136650</v>
      </c>
      <c r="T500" s="648">
        <f>Data2025!T499</f>
        <v>0</v>
      </c>
      <c r="U500" s="268" t="s">
        <v>538</v>
      </c>
      <c r="V500" s="648">
        <f>Data2025!V499</f>
        <v>0</v>
      </c>
      <c r="W500" s="648">
        <f>Data2025!X499</f>
        <v>0</v>
      </c>
      <c r="X500" s="268" t="s">
        <v>541</v>
      </c>
      <c r="Y500" s="268" t="str">
        <f t="shared" si="26"/>
        <v>Penggandaan</v>
      </c>
      <c r="Z500" s="649" t="str">
        <f t="shared" si="27"/>
        <v>Penggandaan</v>
      </c>
      <c r="AA500" s="650" t="s">
        <v>3368</v>
      </c>
      <c r="AB500" s="269">
        <v>350</v>
      </c>
      <c r="AC500" s="269">
        <v>1658650</v>
      </c>
      <c r="AD500" s="267">
        <v>17342500</v>
      </c>
      <c r="AE500" s="270">
        <v>15623873.873873875</v>
      </c>
      <c r="AF500" s="270">
        <v>17342500</v>
      </c>
      <c r="AG500" s="805" t="s">
        <v>3883</v>
      </c>
      <c r="AH500" s="651">
        <f>Data2025!W499</f>
        <v>0</v>
      </c>
    </row>
    <row r="501" spans="1:36" ht="16.5" thickTop="1" thickBot="1">
      <c r="A501" s="636">
        <f>Data2025!G500</f>
        <v>0</v>
      </c>
      <c r="B501" s="637">
        <f>Data2025!K500</f>
        <v>0</v>
      </c>
      <c r="C501" s="638">
        <f>Data2025!D500</f>
        <v>0</v>
      </c>
      <c r="D501" s="639">
        <f>Data2025!C500</f>
        <v>0</v>
      </c>
      <c r="E501" s="265">
        <f>Data2025!E500</f>
        <v>0</v>
      </c>
      <c r="F501" s="640">
        <f>Data2025!F500</f>
        <v>0</v>
      </c>
      <c r="G501" s="265">
        <f>Data2025!H500</f>
        <v>0</v>
      </c>
      <c r="H501" s="265">
        <f t="shared" si="25"/>
        <v>0</v>
      </c>
      <c r="I501" s="641">
        <f>Data2025!J500</f>
        <v>0</v>
      </c>
      <c r="J501" s="381">
        <f>Data2025!L500</f>
        <v>0</v>
      </c>
      <c r="K501" s="381">
        <f>Data2025!M500</f>
        <v>0</v>
      </c>
      <c r="L501" s="642">
        <f>Data2025!N500</f>
        <v>0</v>
      </c>
      <c r="M501" s="642">
        <f>Data2025!O500</f>
        <v>0</v>
      </c>
      <c r="N501" s="643">
        <f>Data2025!P500</f>
        <v>0</v>
      </c>
      <c r="O501" s="644">
        <f>Data2025!Q500</f>
        <v>0</v>
      </c>
      <c r="P501" s="645" t="s">
        <v>710</v>
      </c>
      <c r="Q501" s="646" t="e">
        <f>VLOOKUP(K501,Sheet1!$C$1:$D$101,2,)</f>
        <v>#N/A</v>
      </c>
      <c r="R501" s="496">
        <v>55000</v>
      </c>
      <c r="S501" s="504">
        <v>65000</v>
      </c>
      <c r="T501" s="648">
        <f>Data2025!T500</f>
        <v>0</v>
      </c>
      <c r="U501" s="497" t="s">
        <v>538</v>
      </c>
      <c r="V501" s="648">
        <f>Data2025!V500</f>
        <v>0</v>
      </c>
      <c r="W501" s="648">
        <f>Data2025!X500</f>
        <v>0</v>
      </c>
      <c r="X501" s="497" t="s">
        <v>541</v>
      </c>
      <c r="Y501" s="268" t="str">
        <f t="shared" si="26"/>
        <v>Alat Tulis Kantor (ATK)</v>
      </c>
      <c r="Z501" s="649" t="str">
        <f t="shared" si="27"/>
        <v>Alat Tulis Kantor (ATK)</v>
      </c>
      <c r="AA501" s="498" t="s">
        <v>3362</v>
      </c>
      <c r="AB501" s="269">
        <v>11000</v>
      </c>
      <c r="AC501" s="269">
        <v>55000</v>
      </c>
      <c r="AD501" s="267">
        <v>55000</v>
      </c>
      <c r="AE501" s="270">
        <v>49549.549549549549</v>
      </c>
      <c r="AF501" s="270">
        <v>55000</v>
      </c>
      <c r="AG501" s="805" t="s">
        <v>3883</v>
      </c>
      <c r="AH501" s="651">
        <f>Data2025!W500</f>
        <v>0</v>
      </c>
    </row>
    <row r="502" spans="1:36" ht="16.5" thickTop="1" thickBot="1">
      <c r="A502" s="636">
        <f>Data2025!G501</f>
        <v>0</v>
      </c>
      <c r="B502" s="637">
        <f>Data2025!K501</f>
        <v>0</v>
      </c>
      <c r="C502" s="638">
        <f>Data2025!D501</f>
        <v>0</v>
      </c>
      <c r="D502" s="639">
        <f>Data2025!C501</f>
        <v>0</v>
      </c>
      <c r="E502" s="265">
        <f>Data2025!E501</f>
        <v>0</v>
      </c>
      <c r="F502" s="640">
        <f>Data2025!F501</f>
        <v>0</v>
      </c>
      <c r="G502" s="265">
        <f>Data2025!H501</f>
        <v>0</v>
      </c>
      <c r="H502" s="265">
        <f t="shared" si="25"/>
        <v>0</v>
      </c>
      <c r="I502" s="641">
        <f>Data2025!J501</f>
        <v>0</v>
      </c>
      <c r="J502" s="381">
        <f>Data2025!L501</f>
        <v>0</v>
      </c>
      <c r="K502" s="381">
        <f>Data2025!M501</f>
        <v>0</v>
      </c>
      <c r="L502" s="642">
        <f>Data2025!N501</f>
        <v>0</v>
      </c>
      <c r="M502" s="642">
        <f>Data2025!O501</f>
        <v>0</v>
      </c>
      <c r="N502" s="643">
        <f>Data2025!P501</f>
        <v>0</v>
      </c>
      <c r="O502" s="644">
        <f>Data2025!Q501</f>
        <v>0</v>
      </c>
      <c r="P502" s="645" t="s">
        <v>710</v>
      </c>
      <c r="Q502" s="646" t="e">
        <f>VLOOKUP(K502,Sheet1!$C$1:$D$101,2,)</f>
        <v>#N/A</v>
      </c>
      <c r="R502" s="496">
        <v>95000</v>
      </c>
      <c r="S502" s="504">
        <v>97000</v>
      </c>
      <c r="T502" s="648">
        <f>Data2025!T501</f>
        <v>0</v>
      </c>
      <c r="U502" s="497" t="s">
        <v>538</v>
      </c>
      <c r="V502" s="648">
        <f>Data2025!V501</f>
        <v>0</v>
      </c>
      <c r="W502" s="648">
        <f>Data2025!X501</f>
        <v>0</v>
      </c>
      <c r="X502" s="497" t="s">
        <v>541</v>
      </c>
      <c r="Y502" s="268" t="str">
        <f t="shared" si="26"/>
        <v>Alat Tulis Kantor (ATK)</v>
      </c>
      <c r="Z502" s="649" t="str">
        <f t="shared" si="27"/>
        <v>Alat Tulis Kantor (ATK)</v>
      </c>
      <c r="AA502" s="498" t="s">
        <v>3364</v>
      </c>
      <c r="AB502" s="269">
        <v>95000</v>
      </c>
      <c r="AC502" s="269">
        <v>95000</v>
      </c>
      <c r="AD502" s="267">
        <v>95000</v>
      </c>
      <c r="AE502" s="270">
        <v>85585.585585585592</v>
      </c>
      <c r="AF502" s="270">
        <v>95000</v>
      </c>
      <c r="AG502" s="805" t="s">
        <v>3883</v>
      </c>
      <c r="AH502" s="651">
        <f>Data2025!W501</f>
        <v>0</v>
      </c>
    </row>
    <row r="503" spans="1:36" ht="16.5" thickTop="1" thickBot="1">
      <c r="A503" s="636">
        <f>Data2025!G502</f>
        <v>0</v>
      </c>
      <c r="B503" s="637">
        <f>Data2025!K502</f>
        <v>0</v>
      </c>
      <c r="C503" s="638">
        <f>Data2025!D502</f>
        <v>0</v>
      </c>
      <c r="D503" s="639">
        <f>Data2025!C502</f>
        <v>0</v>
      </c>
      <c r="E503" s="265">
        <f>Data2025!E502</f>
        <v>0</v>
      </c>
      <c r="F503" s="640">
        <f>Data2025!F502</f>
        <v>0</v>
      </c>
      <c r="G503" s="265">
        <f>Data2025!H502</f>
        <v>0</v>
      </c>
      <c r="H503" s="265">
        <f t="shared" si="25"/>
        <v>0</v>
      </c>
      <c r="I503" s="641">
        <f>Data2025!J502</f>
        <v>0</v>
      </c>
      <c r="J503" s="381">
        <f>Data2025!L502</f>
        <v>0</v>
      </c>
      <c r="K503" s="381">
        <f>Data2025!M502</f>
        <v>0</v>
      </c>
      <c r="L503" s="642">
        <f>Data2025!N502</f>
        <v>0</v>
      </c>
      <c r="M503" s="642">
        <f>Data2025!O502</f>
        <v>0</v>
      </c>
      <c r="N503" s="643">
        <f>Data2025!P502</f>
        <v>0</v>
      </c>
      <c r="O503" s="644">
        <f>Data2025!Q502</f>
        <v>0</v>
      </c>
      <c r="P503" s="645" t="s">
        <v>710</v>
      </c>
      <c r="Q503" s="646" t="e">
        <f>VLOOKUP(K503,Sheet1!$C$1:$D$101,2,)</f>
        <v>#N/A</v>
      </c>
      <c r="R503" s="496">
        <v>550000</v>
      </c>
      <c r="S503" s="504">
        <v>750000</v>
      </c>
      <c r="T503" s="648">
        <f>Data2025!T502</f>
        <v>0</v>
      </c>
      <c r="U503" s="497" t="s">
        <v>538</v>
      </c>
      <c r="V503" s="648">
        <f>Data2025!V502</f>
        <v>0</v>
      </c>
      <c r="W503" s="648">
        <f>Data2025!X502</f>
        <v>0</v>
      </c>
      <c r="X503" s="497" t="s">
        <v>541</v>
      </c>
      <c r="Y503" s="268" t="str">
        <f t="shared" si="26"/>
        <v>Alat Tulis Kantor (ATK)</v>
      </c>
      <c r="Z503" s="649" t="str">
        <f t="shared" si="27"/>
        <v>Alat Tulis Kantor (ATK)</v>
      </c>
      <c r="AA503" s="498" t="s">
        <v>3363</v>
      </c>
      <c r="AB503" s="269">
        <v>5500</v>
      </c>
      <c r="AC503" s="269">
        <v>550000</v>
      </c>
      <c r="AD503" s="267">
        <v>550000</v>
      </c>
      <c r="AE503" s="270">
        <v>495495.4954954955</v>
      </c>
      <c r="AF503" s="270">
        <v>550000</v>
      </c>
      <c r="AG503" s="805" t="s">
        <v>3883</v>
      </c>
      <c r="AH503" s="651">
        <f>Data2025!W502</f>
        <v>0</v>
      </c>
    </row>
    <row r="504" spans="1:36" s="501" customFormat="1" ht="16.5" thickTop="1" thickBot="1">
      <c r="A504" s="636">
        <f>Data2025!G503</f>
        <v>0</v>
      </c>
      <c r="B504" s="637">
        <f>Data2025!K503</f>
        <v>0</v>
      </c>
      <c r="C504" s="638">
        <f>Data2025!D503</f>
        <v>0</v>
      </c>
      <c r="D504" s="639">
        <f>Data2025!C503</f>
        <v>0</v>
      </c>
      <c r="E504" s="265">
        <f>Data2025!E503</f>
        <v>0</v>
      </c>
      <c r="F504" s="640">
        <f>Data2025!F503</f>
        <v>0</v>
      </c>
      <c r="G504" s="265">
        <f>Data2025!H503</f>
        <v>0</v>
      </c>
      <c r="H504" s="265">
        <f t="shared" si="25"/>
        <v>0</v>
      </c>
      <c r="I504" s="641">
        <f>Data2025!J503</f>
        <v>0</v>
      </c>
      <c r="J504" s="381">
        <f>Data2025!L503</f>
        <v>0</v>
      </c>
      <c r="K504" s="381">
        <f>Data2025!M503</f>
        <v>0</v>
      </c>
      <c r="L504" s="642">
        <f>Data2025!N503</f>
        <v>0</v>
      </c>
      <c r="M504" s="642">
        <f>Data2025!O503</f>
        <v>0</v>
      </c>
      <c r="N504" s="643">
        <f>Data2025!P503</f>
        <v>0</v>
      </c>
      <c r="O504" s="644">
        <f>Data2025!Q503</f>
        <v>0</v>
      </c>
      <c r="P504" s="645" t="s">
        <v>710</v>
      </c>
      <c r="Q504" s="646" t="e">
        <f>VLOOKUP(K504,Sheet1!$C$1:$D$101,2,)</f>
        <v>#N/A</v>
      </c>
      <c r="R504" s="496">
        <v>120000</v>
      </c>
      <c r="S504" s="504">
        <v>124000</v>
      </c>
      <c r="T504" s="648">
        <f>Data2025!T503</f>
        <v>0</v>
      </c>
      <c r="U504" s="497" t="s">
        <v>538</v>
      </c>
      <c r="V504" s="648">
        <f>Data2025!V503</f>
        <v>0</v>
      </c>
      <c r="W504" s="648">
        <f>Data2025!X503</f>
        <v>0</v>
      </c>
      <c r="X504" s="497" t="s">
        <v>541</v>
      </c>
      <c r="Y504" s="268" t="str">
        <f t="shared" si="26"/>
        <v>Alat Tulis Kantor (ATK)</v>
      </c>
      <c r="Z504" s="649" t="str">
        <f t="shared" si="27"/>
        <v>Alat Tulis Kantor (ATK)</v>
      </c>
      <c r="AA504" s="498" t="s">
        <v>3365</v>
      </c>
      <c r="AB504" s="499">
        <v>60000</v>
      </c>
      <c r="AC504" s="499">
        <v>120000</v>
      </c>
      <c r="AD504" s="496">
        <v>120000</v>
      </c>
      <c r="AE504" s="500">
        <v>108108.10810810811</v>
      </c>
      <c r="AF504" s="500">
        <v>120000</v>
      </c>
      <c r="AG504" s="805" t="s">
        <v>3883</v>
      </c>
      <c r="AH504" s="651">
        <f>Data2025!W503</f>
        <v>0</v>
      </c>
      <c r="AI504" s="502"/>
      <c r="AJ504" s="502"/>
    </row>
    <row r="505" spans="1:36" s="501" customFormat="1" ht="16.5" thickTop="1" thickBot="1">
      <c r="A505" s="636">
        <f>Data2025!G504</f>
        <v>0</v>
      </c>
      <c r="B505" s="637">
        <f>Data2025!K504</f>
        <v>0</v>
      </c>
      <c r="C505" s="638">
        <f>Data2025!D504</f>
        <v>0</v>
      </c>
      <c r="D505" s="639">
        <f>Data2025!C504</f>
        <v>0</v>
      </c>
      <c r="E505" s="265">
        <f>Data2025!E504</f>
        <v>0</v>
      </c>
      <c r="F505" s="640">
        <f>Data2025!F504</f>
        <v>0</v>
      </c>
      <c r="G505" s="265">
        <f>Data2025!H504</f>
        <v>0</v>
      </c>
      <c r="H505" s="265">
        <f t="shared" si="25"/>
        <v>0</v>
      </c>
      <c r="I505" s="641">
        <f>Data2025!J504</f>
        <v>0</v>
      </c>
      <c r="J505" s="381">
        <f>Data2025!L504</f>
        <v>0</v>
      </c>
      <c r="K505" s="381">
        <f>Data2025!M504</f>
        <v>0</v>
      </c>
      <c r="L505" s="642">
        <f>Data2025!N504</f>
        <v>0</v>
      </c>
      <c r="M505" s="642">
        <f>Data2025!O504</f>
        <v>0</v>
      </c>
      <c r="N505" s="643">
        <f>Data2025!P504</f>
        <v>0</v>
      </c>
      <c r="O505" s="644">
        <f>Data2025!Q504</f>
        <v>0</v>
      </c>
      <c r="P505" s="645" t="s">
        <v>710</v>
      </c>
      <c r="Q505" s="646" t="e">
        <f>VLOOKUP(K505,Sheet1!$C$1:$D$101,2,)</f>
        <v>#N/A</v>
      </c>
      <c r="R505" s="496">
        <v>40000</v>
      </c>
      <c r="S505" s="504">
        <v>44000</v>
      </c>
      <c r="T505" s="648">
        <f>Data2025!T504</f>
        <v>0</v>
      </c>
      <c r="U505" s="497" t="s">
        <v>538</v>
      </c>
      <c r="V505" s="648">
        <f>Data2025!V504</f>
        <v>0</v>
      </c>
      <c r="W505" s="648">
        <f>Data2025!X504</f>
        <v>0</v>
      </c>
      <c r="X505" s="497" t="s">
        <v>541</v>
      </c>
      <c r="Y505" s="268" t="str">
        <f t="shared" si="26"/>
        <v>Alat Tulis Kantor (ATK)</v>
      </c>
      <c r="Z505" s="649" t="str">
        <f t="shared" si="27"/>
        <v>Alat Tulis Kantor (ATK)</v>
      </c>
      <c r="AA505" s="498" t="s">
        <v>3363</v>
      </c>
      <c r="AB505" s="499">
        <v>20000</v>
      </c>
      <c r="AC505" s="499">
        <v>40000</v>
      </c>
      <c r="AD505" s="496">
        <v>40000</v>
      </c>
      <c r="AE505" s="500">
        <v>36036.036036036036</v>
      </c>
      <c r="AF505" s="500">
        <v>40000</v>
      </c>
      <c r="AG505" s="805" t="s">
        <v>3883</v>
      </c>
      <c r="AH505" s="651">
        <f>Data2025!W504</f>
        <v>0</v>
      </c>
      <c r="AI505" s="502"/>
      <c r="AJ505" s="502"/>
    </row>
    <row r="506" spans="1:36" s="501" customFormat="1" ht="16.5" thickTop="1" thickBot="1">
      <c r="A506" s="636">
        <f>Data2025!G505</f>
        <v>0</v>
      </c>
      <c r="B506" s="637">
        <f>Data2025!K505</f>
        <v>0</v>
      </c>
      <c r="C506" s="638">
        <f>Data2025!D505</f>
        <v>0</v>
      </c>
      <c r="D506" s="639">
        <f>Data2025!C505</f>
        <v>0</v>
      </c>
      <c r="E506" s="265">
        <f>Data2025!E505</f>
        <v>0</v>
      </c>
      <c r="F506" s="640">
        <f>Data2025!F505</f>
        <v>0</v>
      </c>
      <c r="G506" s="265">
        <f>Data2025!H505</f>
        <v>0</v>
      </c>
      <c r="H506" s="265">
        <f t="shared" si="25"/>
        <v>0</v>
      </c>
      <c r="I506" s="641">
        <f>Data2025!J505</f>
        <v>0</v>
      </c>
      <c r="J506" s="381">
        <f>Data2025!L505</f>
        <v>0</v>
      </c>
      <c r="K506" s="381">
        <f>Data2025!M505</f>
        <v>0</v>
      </c>
      <c r="L506" s="642">
        <f>Data2025!N505</f>
        <v>0</v>
      </c>
      <c r="M506" s="642">
        <f>Data2025!O505</f>
        <v>0</v>
      </c>
      <c r="N506" s="643">
        <f>Data2025!P505</f>
        <v>0</v>
      </c>
      <c r="O506" s="644">
        <f>Data2025!Q505</f>
        <v>0</v>
      </c>
      <c r="P506" s="645" t="s">
        <v>710</v>
      </c>
      <c r="Q506" s="646" t="e">
        <f>VLOOKUP(K506,Sheet1!$C$1:$D$101,2,)</f>
        <v>#N/A</v>
      </c>
      <c r="R506" s="496">
        <v>155000</v>
      </c>
      <c r="S506" s="504">
        <v>165000</v>
      </c>
      <c r="T506" s="648">
        <f>Data2025!T505</f>
        <v>0</v>
      </c>
      <c r="U506" s="497" t="s">
        <v>538</v>
      </c>
      <c r="V506" s="648">
        <f>Data2025!V505</f>
        <v>0</v>
      </c>
      <c r="W506" s="648">
        <f>Data2025!X505</f>
        <v>0</v>
      </c>
      <c r="X506" s="497" t="s">
        <v>541</v>
      </c>
      <c r="Y506" s="268" t="str">
        <f t="shared" si="26"/>
        <v>Alat Tulis Kantor (ATK)</v>
      </c>
      <c r="Z506" s="649" t="str">
        <f t="shared" si="27"/>
        <v>Alat Tulis Kantor (ATK)</v>
      </c>
      <c r="AA506" s="498" t="s">
        <v>3365</v>
      </c>
      <c r="AB506" s="499">
        <v>31000</v>
      </c>
      <c r="AC506" s="499">
        <v>155000</v>
      </c>
      <c r="AD506" s="496">
        <v>155000</v>
      </c>
      <c r="AE506" s="500">
        <v>139639.63963963964</v>
      </c>
      <c r="AF506" s="500">
        <v>155000</v>
      </c>
      <c r="AG506" s="805" t="s">
        <v>3883</v>
      </c>
      <c r="AH506" s="651">
        <f>Data2025!W505</f>
        <v>0</v>
      </c>
    </row>
    <row r="507" spans="1:36" s="501" customFormat="1" ht="16.5" thickTop="1" thickBot="1">
      <c r="A507" s="636">
        <f>Data2025!G506</f>
        <v>0</v>
      </c>
      <c r="B507" s="637">
        <f>Data2025!K506</f>
        <v>0</v>
      </c>
      <c r="C507" s="638">
        <f>Data2025!D506</f>
        <v>0</v>
      </c>
      <c r="D507" s="639">
        <f>Data2025!C506</f>
        <v>0</v>
      </c>
      <c r="E507" s="265">
        <f>Data2025!E506</f>
        <v>0</v>
      </c>
      <c r="F507" s="640">
        <f>Data2025!F506</f>
        <v>0</v>
      </c>
      <c r="G507" s="265">
        <f>Data2025!H506</f>
        <v>0</v>
      </c>
      <c r="H507" s="265">
        <f t="shared" si="25"/>
        <v>0</v>
      </c>
      <c r="I507" s="641">
        <f>Data2025!J506</f>
        <v>0</v>
      </c>
      <c r="J507" s="381">
        <f>Data2025!L506</f>
        <v>0</v>
      </c>
      <c r="K507" s="381">
        <f>Data2025!M506</f>
        <v>0</v>
      </c>
      <c r="L507" s="642">
        <f>Data2025!N506</f>
        <v>0</v>
      </c>
      <c r="M507" s="642">
        <f>Data2025!O506</f>
        <v>0</v>
      </c>
      <c r="N507" s="643">
        <f>Data2025!P506</f>
        <v>0</v>
      </c>
      <c r="O507" s="644">
        <f>Data2025!Q506</f>
        <v>0</v>
      </c>
      <c r="P507" s="645" t="s">
        <v>710</v>
      </c>
      <c r="Q507" s="646" t="e">
        <f>VLOOKUP(K507,Sheet1!$C$1:$D$101,2,)</f>
        <v>#N/A</v>
      </c>
      <c r="R507" s="496">
        <v>40000</v>
      </c>
      <c r="S507" s="504">
        <v>44000</v>
      </c>
      <c r="T507" s="648">
        <f>Data2025!T506</f>
        <v>0</v>
      </c>
      <c r="U507" s="497" t="s">
        <v>538</v>
      </c>
      <c r="V507" s="648">
        <f>Data2025!V506</f>
        <v>0</v>
      </c>
      <c r="W507" s="648">
        <f>Data2025!X506</f>
        <v>0</v>
      </c>
      <c r="X507" s="497" t="s">
        <v>541</v>
      </c>
      <c r="Y507" s="268" t="str">
        <f t="shared" si="26"/>
        <v>Alat Tulis Kantor (ATK)</v>
      </c>
      <c r="Z507" s="649" t="str">
        <f t="shared" si="27"/>
        <v>Alat Tulis Kantor (ATK)</v>
      </c>
      <c r="AA507" s="498" t="s">
        <v>3366</v>
      </c>
      <c r="AB507" s="499">
        <v>20000</v>
      </c>
      <c r="AC507" s="499">
        <v>40000</v>
      </c>
      <c r="AD507" s="496">
        <v>40000</v>
      </c>
      <c r="AE507" s="500">
        <v>36036.036036036036</v>
      </c>
      <c r="AF507" s="500">
        <v>40000</v>
      </c>
      <c r="AG507" s="805" t="s">
        <v>3883</v>
      </c>
      <c r="AH507" s="651">
        <f>Data2025!W506</f>
        <v>0</v>
      </c>
    </row>
    <row r="508" spans="1:36" s="501" customFormat="1" ht="16.5" thickTop="1" thickBot="1">
      <c r="A508" s="636">
        <f>Data2025!G507</f>
        <v>0</v>
      </c>
      <c r="B508" s="637">
        <f>Data2025!K507</f>
        <v>0</v>
      </c>
      <c r="C508" s="638">
        <f>Data2025!D507</f>
        <v>0</v>
      </c>
      <c r="D508" s="639">
        <f>Data2025!C507</f>
        <v>0</v>
      </c>
      <c r="E508" s="265">
        <f>Data2025!E507</f>
        <v>0</v>
      </c>
      <c r="F508" s="640">
        <f>Data2025!F507</f>
        <v>0</v>
      </c>
      <c r="G508" s="265">
        <f>Data2025!H507</f>
        <v>0</v>
      </c>
      <c r="H508" s="265">
        <f t="shared" si="25"/>
        <v>0</v>
      </c>
      <c r="I508" s="641">
        <f>Data2025!J507</f>
        <v>0</v>
      </c>
      <c r="J508" s="381">
        <f>Data2025!L507</f>
        <v>0</v>
      </c>
      <c r="K508" s="381">
        <f>Data2025!M507</f>
        <v>0</v>
      </c>
      <c r="L508" s="642">
        <f>Data2025!N507</f>
        <v>0</v>
      </c>
      <c r="M508" s="642">
        <f>Data2025!O507</f>
        <v>0</v>
      </c>
      <c r="N508" s="643">
        <f>Data2025!P507</f>
        <v>0</v>
      </c>
      <c r="O508" s="644">
        <f>Data2025!Q507</f>
        <v>0</v>
      </c>
      <c r="P508" s="645" t="s">
        <v>710</v>
      </c>
      <c r="Q508" s="646" t="e">
        <f>VLOOKUP(K508,Sheet1!$C$1:$D$101,2,)</f>
        <v>#N/A</v>
      </c>
      <c r="R508" s="496">
        <v>396000</v>
      </c>
      <c r="S508" s="504">
        <v>420000</v>
      </c>
      <c r="T508" s="648">
        <f>Data2025!T507</f>
        <v>0</v>
      </c>
      <c r="U508" s="497" t="s">
        <v>538</v>
      </c>
      <c r="V508" s="648">
        <f>Data2025!V507</f>
        <v>0</v>
      </c>
      <c r="W508" s="648">
        <f>Data2025!X507</f>
        <v>0</v>
      </c>
      <c r="X508" s="497" t="s">
        <v>541</v>
      </c>
      <c r="Y508" s="268" t="str">
        <f t="shared" si="26"/>
        <v>Alat Tulis Kantor (ATK)</v>
      </c>
      <c r="Z508" s="649" t="str">
        <f t="shared" si="27"/>
        <v>Alat Tulis Kantor (ATK)</v>
      </c>
      <c r="AA508" s="498" t="s">
        <v>3367</v>
      </c>
      <c r="AB508" s="499">
        <v>33000</v>
      </c>
      <c r="AC508" s="499">
        <v>396000</v>
      </c>
      <c r="AD508" s="496">
        <v>396000</v>
      </c>
      <c r="AE508" s="500">
        <v>356756.75675675675</v>
      </c>
      <c r="AF508" s="500">
        <v>396000</v>
      </c>
      <c r="AG508" s="805" t="s">
        <v>3883</v>
      </c>
      <c r="AH508" s="651">
        <f>Data2025!W507</f>
        <v>0</v>
      </c>
    </row>
    <row r="509" spans="1:36" s="501" customFormat="1" ht="16.5" thickTop="1" thickBot="1">
      <c r="A509" s="636">
        <f>Data2025!G508</f>
        <v>0</v>
      </c>
      <c r="B509" s="637">
        <f>Data2025!K508</f>
        <v>0</v>
      </c>
      <c r="C509" s="638">
        <f>Data2025!D508</f>
        <v>0</v>
      </c>
      <c r="D509" s="639">
        <f>Data2025!C508</f>
        <v>0</v>
      </c>
      <c r="E509" s="265">
        <f>Data2025!E508</f>
        <v>0</v>
      </c>
      <c r="F509" s="640">
        <f>Data2025!F508</f>
        <v>0</v>
      </c>
      <c r="G509" s="265">
        <f>Data2025!H508</f>
        <v>0</v>
      </c>
      <c r="H509" s="265">
        <f t="shared" si="25"/>
        <v>0</v>
      </c>
      <c r="I509" s="641">
        <f>Data2025!J508</f>
        <v>0</v>
      </c>
      <c r="J509" s="381">
        <f>Data2025!L508</f>
        <v>0</v>
      </c>
      <c r="K509" s="381">
        <f>Data2025!M508</f>
        <v>0</v>
      </c>
      <c r="L509" s="642">
        <f>Data2025!N508</f>
        <v>0</v>
      </c>
      <c r="M509" s="642">
        <f>Data2025!O508</f>
        <v>0</v>
      </c>
      <c r="N509" s="643">
        <f>Data2025!P508</f>
        <v>0</v>
      </c>
      <c r="O509" s="644">
        <f>Data2025!Q508</f>
        <v>0</v>
      </c>
      <c r="P509" s="645" t="s">
        <v>710</v>
      </c>
      <c r="Q509" s="646" t="e">
        <f>VLOOKUP(K509,Sheet1!$C$1:$D$101,2,)</f>
        <v>#N/A</v>
      </c>
      <c r="R509" s="496">
        <v>75000</v>
      </c>
      <c r="S509" s="504">
        <v>85000</v>
      </c>
      <c r="T509" s="648">
        <f>Data2025!T508</f>
        <v>0</v>
      </c>
      <c r="U509" s="497" t="s">
        <v>538</v>
      </c>
      <c r="V509" s="648">
        <f>Data2025!V508</f>
        <v>0</v>
      </c>
      <c r="W509" s="648">
        <f>Data2025!X508</f>
        <v>0</v>
      </c>
      <c r="X509" s="497" t="s">
        <v>541</v>
      </c>
      <c r="Y509" s="268" t="str">
        <f t="shared" si="26"/>
        <v>Alat Tulis Kantor (ATK)</v>
      </c>
      <c r="Z509" s="649" t="str">
        <f t="shared" si="27"/>
        <v>Alat Tulis Kantor (ATK)</v>
      </c>
      <c r="AA509" s="498" t="s">
        <v>3363</v>
      </c>
      <c r="AB509" s="499">
        <v>15000</v>
      </c>
      <c r="AC509" s="499">
        <v>75000</v>
      </c>
      <c r="AD509" s="496">
        <v>75000</v>
      </c>
      <c r="AE509" s="500">
        <v>67567.567567567574</v>
      </c>
      <c r="AF509" s="500">
        <v>75000</v>
      </c>
      <c r="AG509" s="805" t="s">
        <v>3883</v>
      </c>
      <c r="AH509" s="651">
        <f>Data2025!W508</f>
        <v>0</v>
      </c>
    </row>
    <row r="510" spans="1:36" ht="16.5" thickTop="1" thickBot="1">
      <c r="A510" s="636">
        <f>Data2025!G509</f>
        <v>0</v>
      </c>
      <c r="B510" s="637">
        <f>Data2025!K509</f>
        <v>0</v>
      </c>
      <c r="C510" s="638">
        <f>Data2025!D509</f>
        <v>0</v>
      </c>
      <c r="D510" s="639">
        <f>Data2025!C509</f>
        <v>0</v>
      </c>
      <c r="E510" s="265">
        <f>Data2025!E509</f>
        <v>0</v>
      </c>
      <c r="F510" s="640">
        <f>Data2025!F509</f>
        <v>0</v>
      </c>
      <c r="G510" s="265">
        <f>Data2025!H509</f>
        <v>0</v>
      </c>
      <c r="H510" s="265">
        <f t="shared" si="25"/>
        <v>0</v>
      </c>
      <c r="I510" s="641">
        <f>Data2025!J509</f>
        <v>0</v>
      </c>
      <c r="J510" s="381">
        <f>Data2025!L509</f>
        <v>0</v>
      </c>
      <c r="K510" s="381">
        <f>Data2025!M509</f>
        <v>0</v>
      </c>
      <c r="L510" s="642">
        <f>Data2025!N509</f>
        <v>0</v>
      </c>
      <c r="M510" s="642">
        <f>Data2025!O509</f>
        <v>0</v>
      </c>
      <c r="N510" s="643">
        <f>Data2025!P509</f>
        <v>0</v>
      </c>
      <c r="O510" s="644">
        <f>Data2025!Q509</f>
        <v>0</v>
      </c>
      <c r="P510" s="645" t="s">
        <v>710</v>
      </c>
      <c r="Q510" s="646" t="e">
        <f>VLOOKUP(K510,Sheet1!$C$1:$D$101,2,)</f>
        <v>#N/A</v>
      </c>
      <c r="R510" s="496">
        <v>300000</v>
      </c>
      <c r="S510" s="504">
        <v>310000</v>
      </c>
      <c r="T510" s="648">
        <f>Data2025!T509</f>
        <v>0</v>
      </c>
      <c r="U510" s="497" t="s">
        <v>538</v>
      </c>
      <c r="V510" s="648">
        <f>Data2025!V509</f>
        <v>0</v>
      </c>
      <c r="W510" s="648">
        <f>Data2025!X509</f>
        <v>0</v>
      </c>
      <c r="X510" s="497" t="s">
        <v>541</v>
      </c>
      <c r="Y510" s="268" t="str">
        <f t="shared" si="26"/>
        <v>Alat Tulis Kantor (ATK)</v>
      </c>
      <c r="Z510" s="649" t="str">
        <f t="shared" si="27"/>
        <v>Alat Tulis Kantor (ATK)</v>
      </c>
      <c r="AA510" s="498" t="s">
        <v>3365</v>
      </c>
      <c r="AB510" s="269">
        <v>60000</v>
      </c>
      <c r="AC510" s="269">
        <v>300000</v>
      </c>
      <c r="AD510" s="267">
        <v>300000</v>
      </c>
      <c r="AE510" s="270">
        <v>270270.2702702703</v>
      </c>
      <c r="AF510" s="270">
        <v>300000</v>
      </c>
      <c r="AG510" s="805" t="s">
        <v>3883</v>
      </c>
      <c r="AH510" s="651">
        <f>Data2025!W509</f>
        <v>0</v>
      </c>
    </row>
    <row r="511" spans="1:36" ht="16.5" thickTop="1" thickBot="1">
      <c r="A511" s="636">
        <f>Data2025!G510</f>
        <v>0</v>
      </c>
      <c r="B511" s="637">
        <f>Data2025!K510</f>
        <v>0</v>
      </c>
      <c r="C511" s="638">
        <f>Data2025!D510</f>
        <v>0</v>
      </c>
      <c r="D511" s="639">
        <f>Data2025!C510</f>
        <v>0</v>
      </c>
      <c r="E511" s="265">
        <f>Data2025!E510</f>
        <v>0</v>
      </c>
      <c r="F511" s="640">
        <f>Data2025!F510</f>
        <v>0</v>
      </c>
      <c r="G511" s="265">
        <f>Data2025!H510</f>
        <v>0</v>
      </c>
      <c r="H511" s="265">
        <f t="shared" si="25"/>
        <v>0</v>
      </c>
      <c r="I511" s="641">
        <f>Data2025!J510</f>
        <v>0</v>
      </c>
      <c r="J511" s="381">
        <f>Data2025!L510</f>
        <v>0</v>
      </c>
      <c r="K511" s="381">
        <f>Data2025!M510</f>
        <v>0</v>
      </c>
      <c r="L511" s="642">
        <f>Data2025!N510</f>
        <v>0</v>
      </c>
      <c r="M511" s="642">
        <f>Data2025!O510</f>
        <v>0</v>
      </c>
      <c r="N511" s="643">
        <f>Data2025!P510</f>
        <v>0</v>
      </c>
      <c r="O511" s="644">
        <f>Data2025!Q510</f>
        <v>0</v>
      </c>
      <c r="P511" s="645" t="s">
        <v>710</v>
      </c>
      <c r="Q511" s="646" t="e">
        <f>VLOOKUP(K511,Sheet1!$C$1:$D$101,2,)</f>
        <v>#N/A</v>
      </c>
      <c r="R511" s="496">
        <v>37500</v>
      </c>
      <c r="S511" s="504">
        <v>47500</v>
      </c>
      <c r="T511" s="648">
        <f>Data2025!T510</f>
        <v>0</v>
      </c>
      <c r="U511" s="497" t="s">
        <v>538</v>
      </c>
      <c r="V511" s="648">
        <f>Data2025!V510</f>
        <v>0</v>
      </c>
      <c r="W511" s="648">
        <f>Data2025!X510</f>
        <v>0</v>
      </c>
      <c r="X511" s="497" t="s">
        <v>541</v>
      </c>
      <c r="Y511" s="268" t="str">
        <f t="shared" si="26"/>
        <v>Alat Tulis Kantor (ATK)</v>
      </c>
      <c r="Z511" s="649" t="str">
        <f t="shared" si="27"/>
        <v>Alat Tulis Kantor (ATK)</v>
      </c>
      <c r="AA511" s="498" t="s">
        <v>3362</v>
      </c>
      <c r="AB511" s="269">
        <v>7500</v>
      </c>
      <c r="AC511" s="269">
        <v>37500</v>
      </c>
      <c r="AD511" s="267">
        <v>37500</v>
      </c>
      <c r="AE511" s="270">
        <v>33783.783783783787</v>
      </c>
      <c r="AF511" s="270">
        <v>37500</v>
      </c>
      <c r="AG511" s="805" t="s">
        <v>3883</v>
      </c>
      <c r="AH511" s="651">
        <f>Data2025!W510</f>
        <v>0</v>
      </c>
    </row>
    <row r="512" spans="1:36" ht="16.5" thickTop="1" thickBot="1">
      <c r="A512" s="636">
        <f>Data2025!G511</f>
        <v>0</v>
      </c>
      <c r="B512" s="637">
        <f>Data2025!K511</f>
        <v>0</v>
      </c>
      <c r="C512" s="638">
        <f>Data2025!D511</f>
        <v>0</v>
      </c>
      <c r="D512" s="639">
        <f>Data2025!C511</f>
        <v>0</v>
      </c>
      <c r="E512" s="265">
        <f>Data2025!E511</f>
        <v>0</v>
      </c>
      <c r="F512" s="640">
        <f>Data2025!F511</f>
        <v>0</v>
      </c>
      <c r="G512" s="265">
        <f>Data2025!H511</f>
        <v>0</v>
      </c>
      <c r="H512" s="265">
        <f t="shared" si="25"/>
        <v>0</v>
      </c>
      <c r="I512" s="641">
        <f>Data2025!J511</f>
        <v>0</v>
      </c>
      <c r="J512" s="381">
        <f>Data2025!L511</f>
        <v>0</v>
      </c>
      <c r="K512" s="381">
        <f>Data2025!M511</f>
        <v>0</v>
      </c>
      <c r="L512" s="642">
        <f>Data2025!N511</f>
        <v>0</v>
      </c>
      <c r="M512" s="642">
        <f>Data2025!O511</f>
        <v>0</v>
      </c>
      <c r="N512" s="643">
        <f>Data2025!P511</f>
        <v>0</v>
      </c>
      <c r="O512" s="644">
        <f>Data2025!Q511</f>
        <v>0</v>
      </c>
      <c r="P512" s="645" t="s">
        <v>710</v>
      </c>
      <c r="Q512" s="646" t="e">
        <f>VLOOKUP(K512,Sheet1!$C$1:$D$101,2,)</f>
        <v>#N/A</v>
      </c>
      <c r="R512" s="496">
        <v>69000</v>
      </c>
      <c r="S512" s="504">
        <v>75000</v>
      </c>
      <c r="T512" s="648">
        <f>Data2025!T511</f>
        <v>0</v>
      </c>
      <c r="U512" s="497" t="s">
        <v>538</v>
      </c>
      <c r="V512" s="648">
        <f>Data2025!V511</f>
        <v>0</v>
      </c>
      <c r="W512" s="648">
        <f>Data2025!X511</f>
        <v>0</v>
      </c>
      <c r="X512" s="497" t="s">
        <v>541</v>
      </c>
      <c r="Y512" s="268" t="str">
        <f t="shared" si="26"/>
        <v>Alat Tulis Kantor (ATK)</v>
      </c>
      <c r="Z512" s="649" t="str">
        <f t="shared" si="27"/>
        <v>Alat Tulis Kantor (ATK)</v>
      </c>
      <c r="AA512" s="498" t="s">
        <v>3365</v>
      </c>
      <c r="AB512" s="269">
        <v>23000</v>
      </c>
      <c r="AC512" s="269">
        <v>69000</v>
      </c>
      <c r="AD512" s="267">
        <v>69000</v>
      </c>
      <c r="AE512" s="270">
        <v>62162.16216216216</v>
      </c>
      <c r="AF512" s="270">
        <v>69000</v>
      </c>
      <c r="AG512" s="805" t="s">
        <v>3883</v>
      </c>
      <c r="AH512" s="651">
        <f>Data2025!W511</f>
        <v>0</v>
      </c>
    </row>
    <row r="513" spans="1:36" ht="16.5" thickTop="1" thickBot="1">
      <c r="A513" s="636">
        <f>Data2025!G512</f>
        <v>0</v>
      </c>
      <c r="B513" s="637">
        <f>Data2025!K512</f>
        <v>0</v>
      </c>
      <c r="C513" s="638">
        <f>Data2025!D512</f>
        <v>0</v>
      </c>
      <c r="D513" s="639">
        <f>Data2025!C512</f>
        <v>0</v>
      </c>
      <c r="E513" s="265">
        <f>Data2025!E512</f>
        <v>0</v>
      </c>
      <c r="F513" s="640">
        <f>Data2025!F512</f>
        <v>0</v>
      </c>
      <c r="G513" s="265">
        <f>Data2025!H512</f>
        <v>0</v>
      </c>
      <c r="H513" s="265">
        <f t="shared" si="25"/>
        <v>0</v>
      </c>
      <c r="I513" s="641">
        <f>Data2025!J512</f>
        <v>0</v>
      </c>
      <c r="J513" s="381">
        <f>Data2025!L512</f>
        <v>0</v>
      </c>
      <c r="K513" s="381">
        <f>Data2025!M512</f>
        <v>0</v>
      </c>
      <c r="L513" s="642">
        <f>Data2025!N512</f>
        <v>0</v>
      </c>
      <c r="M513" s="642">
        <f>Data2025!O512</f>
        <v>0</v>
      </c>
      <c r="N513" s="643">
        <f>Data2025!P512</f>
        <v>0</v>
      </c>
      <c r="O513" s="644">
        <f>Data2025!Q512</f>
        <v>0</v>
      </c>
      <c r="P513" s="645" t="s">
        <v>710</v>
      </c>
      <c r="Q513" s="646" t="e">
        <f>VLOOKUP(K513,Sheet1!$C$1:$D$101,2,)</f>
        <v>#N/A</v>
      </c>
      <c r="R513" s="496">
        <v>125000</v>
      </c>
      <c r="S513" s="504">
        <v>135000</v>
      </c>
      <c r="T513" s="648">
        <f>Data2025!T512</f>
        <v>0</v>
      </c>
      <c r="U513" s="497" t="s">
        <v>538</v>
      </c>
      <c r="V513" s="648">
        <f>Data2025!V512</f>
        <v>0</v>
      </c>
      <c r="W513" s="648">
        <f>Data2025!X512</f>
        <v>0</v>
      </c>
      <c r="X513" s="497" t="s">
        <v>541</v>
      </c>
      <c r="Y513" s="268" t="str">
        <f t="shared" si="26"/>
        <v>Alat Tulis Kantor (ATK)</v>
      </c>
      <c r="Z513" s="649" t="str">
        <f t="shared" si="27"/>
        <v>Alat Tulis Kantor (ATK)</v>
      </c>
      <c r="AA513" s="498" t="s">
        <v>3368</v>
      </c>
      <c r="AB513" s="269">
        <v>25000</v>
      </c>
      <c r="AC513" s="269">
        <v>125000</v>
      </c>
      <c r="AD513" s="267">
        <v>125000</v>
      </c>
      <c r="AE513" s="270">
        <v>112612.61261261262</v>
      </c>
      <c r="AF513" s="270">
        <v>125000</v>
      </c>
      <c r="AG513" s="805" t="s">
        <v>3883</v>
      </c>
      <c r="AH513" s="651">
        <f>Data2025!W512</f>
        <v>0</v>
      </c>
    </row>
    <row r="514" spans="1:36" ht="16.5" thickTop="1" thickBot="1">
      <c r="A514" s="636">
        <f>Data2025!G513</f>
        <v>0</v>
      </c>
      <c r="B514" s="637">
        <f>Data2025!K513</f>
        <v>0</v>
      </c>
      <c r="C514" s="638">
        <f>Data2025!D513</f>
        <v>0</v>
      </c>
      <c r="D514" s="639">
        <f>Data2025!C513</f>
        <v>0</v>
      </c>
      <c r="E514" s="265">
        <f>Data2025!E513</f>
        <v>0</v>
      </c>
      <c r="F514" s="640">
        <f>Data2025!F513</f>
        <v>0</v>
      </c>
      <c r="G514" s="265">
        <f>Data2025!H513</f>
        <v>0</v>
      </c>
      <c r="H514" s="265">
        <f t="shared" si="25"/>
        <v>0</v>
      </c>
      <c r="I514" s="641">
        <f>Data2025!J513</f>
        <v>0</v>
      </c>
      <c r="J514" s="381">
        <f>Data2025!L513</f>
        <v>0</v>
      </c>
      <c r="K514" s="381">
        <f>Data2025!M513</f>
        <v>0</v>
      </c>
      <c r="L514" s="642">
        <f>Data2025!N513</f>
        <v>0</v>
      </c>
      <c r="M514" s="642">
        <f>Data2025!O513</f>
        <v>0</v>
      </c>
      <c r="N514" s="643">
        <f>Data2025!P513</f>
        <v>0</v>
      </c>
      <c r="O514" s="644">
        <f>Data2025!Q513</f>
        <v>0</v>
      </c>
      <c r="P514" s="645" t="s">
        <v>710</v>
      </c>
      <c r="Q514" s="646" t="e">
        <f>VLOOKUP(K514,Sheet1!$C$1:$D$101,2,)</f>
        <v>#N/A</v>
      </c>
      <c r="R514" s="496">
        <v>209000</v>
      </c>
      <c r="S514" s="504">
        <v>229000</v>
      </c>
      <c r="T514" s="648">
        <f>Data2025!T513</f>
        <v>0</v>
      </c>
      <c r="U514" s="497" t="s">
        <v>538</v>
      </c>
      <c r="V514" s="648">
        <f>Data2025!V513</f>
        <v>0</v>
      </c>
      <c r="W514" s="648">
        <f>Data2025!X513</f>
        <v>0</v>
      </c>
      <c r="X514" s="497" t="s">
        <v>541</v>
      </c>
      <c r="Y514" s="268" t="str">
        <f t="shared" si="26"/>
        <v>Alat Tulis Kantor (ATK)</v>
      </c>
      <c r="Z514" s="649" t="str">
        <f t="shared" si="27"/>
        <v>Alat Tulis Kantor (ATK)</v>
      </c>
      <c r="AA514" s="498" t="s">
        <v>3363</v>
      </c>
      <c r="AB514" s="269">
        <v>20900</v>
      </c>
      <c r="AC514" s="269">
        <v>209000</v>
      </c>
      <c r="AD514" s="267">
        <v>209000</v>
      </c>
      <c r="AE514" s="270">
        <v>188288.28828828828</v>
      </c>
      <c r="AF514" s="270">
        <v>209000</v>
      </c>
      <c r="AG514" s="805" t="s">
        <v>3883</v>
      </c>
      <c r="AH514" s="651">
        <f>Data2025!W513</f>
        <v>0</v>
      </c>
    </row>
    <row r="515" spans="1:36" ht="16.5" thickTop="1" thickBot="1">
      <c r="A515" s="636">
        <f>Data2025!G514</f>
        <v>0</v>
      </c>
      <c r="B515" s="637">
        <f>Data2025!K514</f>
        <v>0</v>
      </c>
      <c r="C515" s="638">
        <f>Data2025!D514</f>
        <v>0</v>
      </c>
      <c r="D515" s="639">
        <f>Data2025!C514</f>
        <v>0</v>
      </c>
      <c r="E515" s="265">
        <f>Data2025!E514</f>
        <v>0</v>
      </c>
      <c r="F515" s="640">
        <f>Data2025!F514</f>
        <v>0</v>
      </c>
      <c r="G515" s="265">
        <f>Data2025!H514</f>
        <v>0</v>
      </c>
      <c r="H515" s="265">
        <f t="shared" si="25"/>
        <v>0</v>
      </c>
      <c r="I515" s="641">
        <f>Data2025!J514</f>
        <v>0</v>
      </c>
      <c r="J515" s="381">
        <f>Data2025!L514</f>
        <v>0</v>
      </c>
      <c r="K515" s="381">
        <f>Data2025!M514</f>
        <v>0</v>
      </c>
      <c r="L515" s="642">
        <f>Data2025!N514</f>
        <v>0</v>
      </c>
      <c r="M515" s="642">
        <f>Data2025!O514</f>
        <v>0</v>
      </c>
      <c r="N515" s="643">
        <f>Data2025!P514</f>
        <v>0</v>
      </c>
      <c r="O515" s="644">
        <f>Data2025!Q514</f>
        <v>0</v>
      </c>
      <c r="P515" s="645" t="s">
        <v>710</v>
      </c>
      <c r="Q515" s="646" t="e">
        <f>VLOOKUP(K515,Sheet1!$C$1:$D$101,2,)</f>
        <v>#N/A</v>
      </c>
      <c r="R515" s="496">
        <v>10000</v>
      </c>
      <c r="S515" s="504">
        <v>14000</v>
      </c>
      <c r="T515" s="648">
        <f>Data2025!T514</f>
        <v>0</v>
      </c>
      <c r="U515" s="497" t="s">
        <v>538</v>
      </c>
      <c r="V515" s="648">
        <f>Data2025!V514</f>
        <v>0</v>
      </c>
      <c r="W515" s="648">
        <f>Data2025!X514</f>
        <v>0</v>
      </c>
      <c r="X515" s="497" t="s">
        <v>541</v>
      </c>
      <c r="Y515" s="268" t="str">
        <f t="shared" si="26"/>
        <v>Alat Tulis Kantor (ATK)</v>
      </c>
      <c r="Z515" s="649" t="str">
        <f t="shared" si="27"/>
        <v>Alat Tulis Kantor (ATK)</v>
      </c>
      <c r="AA515" s="498" t="s">
        <v>3362</v>
      </c>
      <c r="AB515" s="269">
        <v>5000</v>
      </c>
      <c r="AC515" s="269">
        <v>10000</v>
      </c>
      <c r="AD515" s="267">
        <v>10000</v>
      </c>
      <c r="AE515" s="270">
        <v>9009.0090090090089</v>
      </c>
      <c r="AF515" s="270">
        <v>10000</v>
      </c>
      <c r="AG515" s="805" t="s">
        <v>3883</v>
      </c>
      <c r="AH515" s="651">
        <f>Data2025!W514</f>
        <v>0</v>
      </c>
      <c r="AI515" s="277"/>
      <c r="AJ515" s="277"/>
    </row>
    <row r="516" spans="1:36" ht="16.5" thickTop="1" thickBot="1">
      <c r="A516" s="636">
        <f>Data2025!G515</f>
        <v>0</v>
      </c>
      <c r="B516" s="637">
        <f>Data2025!K515</f>
        <v>0</v>
      </c>
      <c r="C516" s="638">
        <f>Data2025!D515</f>
        <v>0</v>
      </c>
      <c r="D516" s="639">
        <f>Data2025!C515</f>
        <v>0</v>
      </c>
      <c r="E516" s="265">
        <f>Data2025!E515</f>
        <v>0</v>
      </c>
      <c r="F516" s="640">
        <f>Data2025!F515</f>
        <v>0</v>
      </c>
      <c r="G516" s="265">
        <f>Data2025!H515</f>
        <v>0</v>
      </c>
      <c r="H516" s="265">
        <f t="shared" si="25"/>
        <v>0</v>
      </c>
      <c r="I516" s="641">
        <f>Data2025!J515</f>
        <v>0</v>
      </c>
      <c r="J516" s="381">
        <f>Data2025!L515</f>
        <v>0</v>
      </c>
      <c r="K516" s="381">
        <f>Data2025!M515</f>
        <v>0</v>
      </c>
      <c r="L516" s="642">
        <f>Data2025!N515</f>
        <v>0</v>
      </c>
      <c r="M516" s="642">
        <f>Data2025!O515</f>
        <v>0</v>
      </c>
      <c r="N516" s="643">
        <f>Data2025!P515</f>
        <v>0</v>
      </c>
      <c r="O516" s="644">
        <f>Data2025!Q515</f>
        <v>0</v>
      </c>
      <c r="P516" s="645" t="s">
        <v>710</v>
      </c>
      <c r="Q516" s="646" t="e">
        <f>VLOOKUP(K516,Sheet1!$C$1:$D$101,2,)</f>
        <v>#N/A</v>
      </c>
      <c r="R516" s="496">
        <v>235000</v>
      </c>
      <c r="S516" s="504">
        <v>237000</v>
      </c>
      <c r="T516" s="648">
        <f>Data2025!T515</f>
        <v>0</v>
      </c>
      <c r="U516" s="497" t="s">
        <v>538</v>
      </c>
      <c r="V516" s="648">
        <f>Data2025!V515</f>
        <v>0</v>
      </c>
      <c r="W516" s="648">
        <f>Data2025!X515</f>
        <v>0</v>
      </c>
      <c r="X516" s="497" t="s">
        <v>541</v>
      </c>
      <c r="Y516" s="268" t="str">
        <f t="shared" si="26"/>
        <v>Alat Tulis Kantor (ATK)</v>
      </c>
      <c r="Z516" s="649" t="str">
        <f t="shared" si="27"/>
        <v>Alat Tulis Kantor (ATK)</v>
      </c>
      <c r="AA516" s="498" t="s">
        <v>3364</v>
      </c>
      <c r="AB516" s="269">
        <v>235000</v>
      </c>
      <c r="AC516" s="269">
        <v>235000</v>
      </c>
      <c r="AD516" s="267">
        <v>235000</v>
      </c>
      <c r="AE516" s="270">
        <v>211711.71171171172</v>
      </c>
      <c r="AF516" s="270">
        <v>235000</v>
      </c>
      <c r="AG516" s="805" t="s">
        <v>3883</v>
      </c>
      <c r="AH516" s="651">
        <f>Data2025!W515</f>
        <v>0</v>
      </c>
    </row>
    <row r="517" spans="1:36" ht="16.5" thickTop="1" thickBot="1">
      <c r="A517" s="636">
        <f>Data2025!G516</f>
        <v>0</v>
      </c>
      <c r="B517" s="637">
        <f>Data2025!K516</f>
        <v>0</v>
      </c>
      <c r="C517" s="638">
        <f>Data2025!D516</f>
        <v>0</v>
      </c>
      <c r="D517" s="639">
        <f>Data2025!C516</f>
        <v>0</v>
      </c>
      <c r="E517" s="265">
        <f>Data2025!E516</f>
        <v>0</v>
      </c>
      <c r="F517" s="640">
        <f>Data2025!F516</f>
        <v>0</v>
      </c>
      <c r="G517" s="265">
        <f>Data2025!H516</f>
        <v>0</v>
      </c>
      <c r="H517" s="265">
        <f t="shared" ref="H517:H580" si="28">G517</f>
        <v>0</v>
      </c>
      <c r="I517" s="641">
        <f>Data2025!J516</f>
        <v>0</v>
      </c>
      <c r="J517" s="381">
        <f>Data2025!L516</f>
        <v>0</v>
      </c>
      <c r="K517" s="381">
        <f>Data2025!M516</f>
        <v>0</v>
      </c>
      <c r="L517" s="642">
        <f>Data2025!N516</f>
        <v>0</v>
      </c>
      <c r="M517" s="642">
        <f>Data2025!O516</f>
        <v>0</v>
      </c>
      <c r="N517" s="643">
        <f>Data2025!P516</f>
        <v>0</v>
      </c>
      <c r="O517" s="644">
        <f>Data2025!Q516</f>
        <v>0</v>
      </c>
      <c r="P517" s="645" t="s">
        <v>710</v>
      </c>
      <c r="Q517" s="646" t="e">
        <f>VLOOKUP(K517,Sheet1!$C$1:$D$101,2,)</f>
        <v>#N/A</v>
      </c>
      <c r="R517" s="496">
        <v>440000</v>
      </c>
      <c r="S517" s="504">
        <v>448000</v>
      </c>
      <c r="T517" s="648">
        <f>Data2025!T516</f>
        <v>0</v>
      </c>
      <c r="U517" s="497" t="s">
        <v>538</v>
      </c>
      <c r="V517" s="648">
        <f>Data2025!V516</f>
        <v>0</v>
      </c>
      <c r="W517" s="648">
        <f>Data2025!X516</f>
        <v>0</v>
      </c>
      <c r="X517" s="497" t="s">
        <v>541</v>
      </c>
      <c r="Y517" s="268" t="str">
        <f t="shared" ref="Y517:Y580" si="29">P517</f>
        <v>Alat Tulis Kantor (ATK)</v>
      </c>
      <c r="Z517" s="649" t="str">
        <f t="shared" ref="Z517:Z580" si="30">Y517</f>
        <v>Alat Tulis Kantor (ATK)</v>
      </c>
      <c r="AA517" s="498" t="s">
        <v>3367</v>
      </c>
      <c r="AB517" s="269">
        <v>110000</v>
      </c>
      <c r="AC517" s="269">
        <v>440000</v>
      </c>
      <c r="AD517" s="267">
        <v>440000</v>
      </c>
      <c r="AE517" s="270">
        <v>396396.39639639639</v>
      </c>
      <c r="AF517" s="270">
        <v>440000</v>
      </c>
      <c r="AG517" s="805" t="s">
        <v>3883</v>
      </c>
      <c r="AH517" s="651">
        <f>Data2025!W516</f>
        <v>0</v>
      </c>
    </row>
    <row r="518" spans="1:36" ht="16.5" thickTop="1" thickBot="1">
      <c r="A518" s="636">
        <f>Data2025!G517</f>
        <v>0</v>
      </c>
      <c r="B518" s="637">
        <f>Data2025!K517</f>
        <v>0</v>
      </c>
      <c r="C518" s="638">
        <f>Data2025!D517</f>
        <v>0</v>
      </c>
      <c r="D518" s="639">
        <f>Data2025!C517</f>
        <v>0</v>
      </c>
      <c r="E518" s="265">
        <f>Data2025!E517</f>
        <v>0</v>
      </c>
      <c r="F518" s="640">
        <f>Data2025!F517</f>
        <v>0</v>
      </c>
      <c r="G518" s="265">
        <f>Data2025!H517</f>
        <v>0</v>
      </c>
      <c r="H518" s="265">
        <f t="shared" si="28"/>
        <v>0</v>
      </c>
      <c r="I518" s="641">
        <f>Data2025!J517</f>
        <v>0</v>
      </c>
      <c r="J518" s="381">
        <f>Data2025!L517</f>
        <v>0</v>
      </c>
      <c r="K518" s="381">
        <f>Data2025!M517</f>
        <v>0</v>
      </c>
      <c r="L518" s="642">
        <f>Data2025!N517</f>
        <v>0</v>
      </c>
      <c r="M518" s="642">
        <f>Data2025!O517</f>
        <v>0</v>
      </c>
      <c r="N518" s="643">
        <f>Data2025!P517</f>
        <v>0</v>
      </c>
      <c r="O518" s="644">
        <f>Data2025!Q517</f>
        <v>0</v>
      </c>
      <c r="P518" s="645" t="s">
        <v>710</v>
      </c>
      <c r="Q518" s="646" t="e">
        <f>VLOOKUP(K518,Sheet1!$C$1:$D$101,2,)</f>
        <v>#N/A</v>
      </c>
      <c r="R518" s="496">
        <v>426000</v>
      </c>
      <c r="S518" s="504">
        <v>450000</v>
      </c>
      <c r="T518" s="648">
        <f>Data2025!T517</f>
        <v>0</v>
      </c>
      <c r="U518" s="497" t="s">
        <v>538</v>
      </c>
      <c r="V518" s="648">
        <f>Data2025!V517</f>
        <v>0</v>
      </c>
      <c r="W518" s="648">
        <f>Data2025!X517</f>
        <v>0</v>
      </c>
      <c r="X518" s="497" t="s">
        <v>541</v>
      </c>
      <c r="Y518" s="268" t="str">
        <f t="shared" si="29"/>
        <v>Alat Tulis Kantor (ATK)</v>
      </c>
      <c r="Z518" s="649" t="str">
        <f t="shared" si="30"/>
        <v>Alat Tulis Kantor (ATK)</v>
      </c>
      <c r="AA518" s="498" t="s">
        <v>3363</v>
      </c>
      <c r="AB518" s="269">
        <v>35500</v>
      </c>
      <c r="AC518" s="269">
        <v>426000</v>
      </c>
      <c r="AD518" s="267">
        <v>426000</v>
      </c>
      <c r="AE518" s="270">
        <v>383783.78378378379</v>
      </c>
      <c r="AF518" s="270">
        <v>426000</v>
      </c>
      <c r="AG518" s="805" t="s">
        <v>3883</v>
      </c>
      <c r="AH518" s="651">
        <f>Data2025!W517</f>
        <v>0</v>
      </c>
      <c r="AI518" s="277"/>
      <c r="AJ518" s="277"/>
    </row>
    <row r="519" spans="1:36" ht="16.5" thickTop="1" thickBot="1">
      <c r="A519" s="636">
        <f>Data2025!G518</f>
        <v>0</v>
      </c>
      <c r="B519" s="637">
        <f>Data2025!K518</f>
        <v>0</v>
      </c>
      <c r="C519" s="638">
        <f>Data2025!D518</f>
        <v>0</v>
      </c>
      <c r="D519" s="639">
        <f>Data2025!C518</f>
        <v>0</v>
      </c>
      <c r="E519" s="265">
        <f>Data2025!E518</f>
        <v>0</v>
      </c>
      <c r="F519" s="640">
        <f>Data2025!F518</f>
        <v>0</v>
      </c>
      <c r="G519" s="265">
        <f>Data2025!H518</f>
        <v>0</v>
      </c>
      <c r="H519" s="265">
        <f t="shared" si="28"/>
        <v>0</v>
      </c>
      <c r="I519" s="641">
        <f>Data2025!J518</f>
        <v>0</v>
      </c>
      <c r="J519" s="381">
        <f>Data2025!L518</f>
        <v>0</v>
      </c>
      <c r="K519" s="381">
        <f>Data2025!M518</f>
        <v>0</v>
      </c>
      <c r="L519" s="642">
        <f>Data2025!N518</f>
        <v>0</v>
      </c>
      <c r="M519" s="642">
        <f>Data2025!O518</f>
        <v>0</v>
      </c>
      <c r="N519" s="643">
        <f>Data2025!P518</f>
        <v>0</v>
      </c>
      <c r="O519" s="644">
        <f>Data2025!Q518</f>
        <v>0</v>
      </c>
      <c r="P519" s="645" t="s">
        <v>710</v>
      </c>
      <c r="Q519" s="646" t="e">
        <f>VLOOKUP(K519,Sheet1!$C$1:$D$101,2,)</f>
        <v>#N/A</v>
      </c>
      <c r="R519" s="496">
        <v>50000</v>
      </c>
      <c r="S519" s="504">
        <v>54000</v>
      </c>
      <c r="T519" s="648">
        <f>Data2025!T518</f>
        <v>0</v>
      </c>
      <c r="U519" s="497" t="s">
        <v>538</v>
      </c>
      <c r="V519" s="648">
        <f>Data2025!V518</f>
        <v>0</v>
      </c>
      <c r="W519" s="648">
        <f>Data2025!X518</f>
        <v>0</v>
      </c>
      <c r="X519" s="497" t="s">
        <v>541</v>
      </c>
      <c r="Y519" s="268" t="str">
        <f t="shared" si="29"/>
        <v>Alat Tulis Kantor (ATK)</v>
      </c>
      <c r="Z519" s="649" t="str">
        <f t="shared" si="30"/>
        <v>Alat Tulis Kantor (ATK)</v>
      </c>
      <c r="AA519" s="498" t="s">
        <v>3363</v>
      </c>
      <c r="AB519" s="269">
        <v>25000</v>
      </c>
      <c r="AC519" s="269">
        <v>50000</v>
      </c>
      <c r="AD519" s="267">
        <v>50000</v>
      </c>
      <c r="AE519" s="270">
        <v>45045.045045045044</v>
      </c>
      <c r="AF519" s="270">
        <v>50000</v>
      </c>
      <c r="AG519" s="805" t="s">
        <v>3883</v>
      </c>
      <c r="AH519" s="651">
        <f>Data2025!W518</f>
        <v>0</v>
      </c>
    </row>
    <row r="520" spans="1:36" ht="16.5" thickTop="1" thickBot="1">
      <c r="A520" s="636">
        <f>Data2025!G519</f>
        <v>0</v>
      </c>
      <c r="B520" s="637">
        <f>Data2025!K519</f>
        <v>0</v>
      </c>
      <c r="C520" s="638">
        <f>Data2025!D519</f>
        <v>0</v>
      </c>
      <c r="D520" s="639">
        <f>Data2025!C519</f>
        <v>0</v>
      </c>
      <c r="E520" s="265">
        <f>Data2025!E519</f>
        <v>0</v>
      </c>
      <c r="F520" s="640">
        <f>Data2025!F519</f>
        <v>0</v>
      </c>
      <c r="G520" s="265">
        <f>Data2025!H519</f>
        <v>0</v>
      </c>
      <c r="H520" s="265">
        <f t="shared" si="28"/>
        <v>0</v>
      </c>
      <c r="I520" s="641">
        <f>Data2025!J519</f>
        <v>0</v>
      </c>
      <c r="J520" s="381">
        <f>Data2025!L519</f>
        <v>0</v>
      </c>
      <c r="K520" s="381">
        <f>Data2025!M519</f>
        <v>0</v>
      </c>
      <c r="L520" s="642">
        <f>Data2025!N519</f>
        <v>0</v>
      </c>
      <c r="M520" s="642">
        <f>Data2025!O519</f>
        <v>0</v>
      </c>
      <c r="N520" s="643">
        <f>Data2025!P519</f>
        <v>0</v>
      </c>
      <c r="O520" s="644">
        <f>Data2025!Q519</f>
        <v>0</v>
      </c>
      <c r="P520" s="645" t="s">
        <v>710</v>
      </c>
      <c r="Q520" s="646" t="e">
        <f>VLOOKUP(K520,Sheet1!$C$1:$D$101,2,)</f>
        <v>#N/A</v>
      </c>
      <c r="R520" s="496">
        <v>45000</v>
      </c>
      <c r="S520" s="504">
        <v>47000</v>
      </c>
      <c r="T520" s="648">
        <f>Data2025!T519</f>
        <v>0</v>
      </c>
      <c r="U520" s="497" t="s">
        <v>538</v>
      </c>
      <c r="V520" s="648">
        <f>Data2025!V519</f>
        <v>0</v>
      </c>
      <c r="W520" s="648">
        <f>Data2025!X519</f>
        <v>0</v>
      </c>
      <c r="X520" s="497" t="s">
        <v>541</v>
      </c>
      <c r="Y520" s="268" t="str">
        <f t="shared" si="29"/>
        <v>Alat Tulis Kantor (ATK)</v>
      </c>
      <c r="Z520" s="649" t="str">
        <f t="shared" si="30"/>
        <v>Alat Tulis Kantor (ATK)</v>
      </c>
      <c r="AA520" s="498" t="s">
        <v>3365</v>
      </c>
      <c r="AB520" s="269">
        <v>45000</v>
      </c>
      <c r="AC520" s="269">
        <v>45000</v>
      </c>
      <c r="AD520" s="267">
        <v>45000</v>
      </c>
      <c r="AE520" s="270">
        <v>40540.54054054054</v>
      </c>
      <c r="AF520" s="270">
        <v>45000</v>
      </c>
      <c r="AG520" s="805" t="s">
        <v>3883</v>
      </c>
      <c r="AH520" s="651">
        <f>Data2025!W519</f>
        <v>0</v>
      </c>
    </row>
    <row r="521" spans="1:36" ht="16.5" thickTop="1" thickBot="1">
      <c r="A521" s="636">
        <f>Data2025!G520</f>
        <v>0</v>
      </c>
      <c r="B521" s="637">
        <f>Data2025!K520</f>
        <v>0</v>
      </c>
      <c r="C521" s="638">
        <f>Data2025!D520</f>
        <v>0</v>
      </c>
      <c r="D521" s="639">
        <f>Data2025!C520</f>
        <v>0</v>
      </c>
      <c r="E521" s="265">
        <f>Data2025!E520</f>
        <v>0</v>
      </c>
      <c r="F521" s="640">
        <f>Data2025!F520</f>
        <v>0</v>
      </c>
      <c r="G521" s="265">
        <f>Data2025!H520</f>
        <v>0</v>
      </c>
      <c r="H521" s="265">
        <f t="shared" si="28"/>
        <v>0</v>
      </c>
      <c r="I521" s="641">
        <f>Data2025!J520</f>
        <v>0</v>
      </c>
      <c r="J521" s="381">
        <f>Data2025!L520</f>
        <v>0</v>
      </c>
      <c r="K521" s="381">
        <f>Data2025!M520</f>
        <v>0</v>
      </c>
      <c r="L521" s="642">
        <f>Data2025!N520</f>
        <v>0</v>
      </c>
      <c r="M521" s="642">
        <f>Data2025!O520</f>
        <v>0</v>
      </c>
      <c r="N521" s="643">
        <f>Data2025!P520</f>
        <v>0</v>
      </c>
      <c r="O521" s="644">
        <f>Data2025!Q520</f>
        <v>0</v>
      </c>
      <c r="P521" s="645" t="s">
        <v>710</v>
      </c>
      <c r="Q521" s="646" t="e">
        <f>VLOOKUP(K521,Sheet1!$C$1:$D$101,2,)</f>
        <v>#N/A</v>
      </c>
      <c r="R521" s="496">
        <v>77500</v>
      </c>
      <c r="S521" s="504">
        <v>87500</v>
      </c>
      <c r="T521" s="648">
        <f>Data2025!T520</f>
        <v>0</v>
      </c>
      <c r="U521" s="497" t="s">
        <v>538</v>
      </c>
      <c r="V521" s="648">
        <f>Data2025!V520</f>
        <v>0</v>
      </c>
      <c r="W521" s="648">
        <f>Data2025!X520</f>
        <v>0</v>
      </c>
      <c r="X521" s="497" t="s">
        <v>541</v>
      </c>
      <c r="Y521" s="268" t="str">
        <f t="shared" si="29"/>
        <v>Alat Tulis Kantor (ATK)</v>
      </c>
      <c r="Z521" s="649" t="str">
        <f t="shared" si="30"/>
        <v>Alat Tulis Kantor (ATK)</v>
      </c>
      <c r="AA521" s="498" t="s">
        <v>3363</v>
      </c>
      <c r="AB521" s="269">
        <v>15500</v>
      </c>
      <c r="AC521" s="269">
        <v>77500</v>
      </c>
      <c r="AD521" s="267">
        <v>77500</v>
      </c>
      <c r="AE521" s="270">
        <v>69819.819819819822</v>
      </c>
      <c r="AF521" s="270">
        <v>77500</v>
      </c>
      <c r="AG521" s="805" t="s">
        <v>3883</v>
      </c>
      <c r="AH521" s="651">
        <f>Data2025!W520</f>
        <v>0</v>
      </c>
    </row>
    <row r="522" spans="1:36" ht="16.5" thickTop="1" thickBot="1">
      <c r="A522" s="636">
        <f>Data2025!G521</f>
        <v>0</v>
      </c>
      <c r="B522" s="637">
        <f>Data2025!K521</f>
        <v>0</v>
      </c>
      <c r="C522" s="638">
        <f>Data2025!D521</f>
        <v>0</v>
      </c>
      <c r="D522" s="639">
        <f>Data2025!C521</f>
        <v>0</v>
      </c>
      <c r="E522" s="265">
        <f>Data2025!E521</f>
        <v>0</v>
      </c>
      <c r="F522" s="640">
        <f>Data2025!F521</f>
        <v>0</v>
      </c>
      <c r="G522" s="265">
        <f>Data2025!H521</f>
        <v>0</v>
      </c>
      <c r="H522" s="265">
        <f t="shared" si="28"/>
        <v>0</v>
      </c>
      <c r="I522" s="641">
        <f>Data2025!J521</f>
        <v>0</v>
      </c>
      <c r="J522" s="381">
        <f>Data2025!L521</f>
        <v>0</v>
      </c>
      <c r="K522" s="381">
        <f>Data2025!M521</f>
        <v>0</v>
      </c>
      <c r="L522" s="642">
        <f>Data2025!N521</f>
        <v>0</v>
      </c>
      <c r="M522" s="642">
        <f>Data2025!O521</f>
        <v>0</v>
      </c>
      <c r="N522" s="643">
        <f>Data2025!P521</f>
        <v>0</v>
      </c>
      <c r="O522" s="644">
        <f>Data2025!Q521</f>
        <v>0</v>
      </c>
      <c r="P522" s="645" t="s">
        <v>710</v>
      </c>
      <c r="Q522" s="646" t="e">
        <f>VLOOKUP(K522,Sheet1!$C$1:$D$101,2,)</f>
        <v>#N/A</v>
      </c>
      <c r="R522" s="496">
        <v>30000</v>
      </c>
      <c r="S522" s="504">
        <v>40000</v>
      </c>
      <c r="T522" s="648">
        <f>Data2025!T521</f>
        <v>0</v>
      </c>
      <c r="U522" s="497" t="s">
        <v>538</v>
      </c>
      <c r="V522" s="648">
        <f>Data2025!V521</f>
        <v>0</v>
      </c>
      <c r="W522" s="648">
        <f>Data2025!X521</f>
        <v>0</v>
      </c>
      <c r="X522" s="497" t="s">
        <v>541</v>
      </c>
      <c r="Y522" s="268" t="str">
        <f t="shared" si="29"/>
        <v>Alat Tulis Kantor (ATK)</v>
      </c>
      <c r="Z522" s="649" t="str">
        <f t="shared" si="30"/>
        <v>Alat Tulis Kantor (ATK)</v>
      </c>
      <c r="AA522" s="498" t="s">
        <v>3362</v>
      </c>
      <c r="AB522" s="269">
        <v>6000</v>
      </c>
      <c r="AC522" s="269">
        <v>30000</v>
      </c>
      <c r="AD522" s="267">
        <v>30000</v>
      </c>
      <c r="AE522" s="270">
        <v>27027.027027027027</v>
      </c>
      <c r="AF522" s="270">
        <v>30000</v>
      </c>
      <c r="AG522" s="805" t="s">
        <v>3883</v>
      </c>
      <c r="AH522" s="651">
        <f>Data2025!W521</f>
        <v>0</v>
      </c>
      <c r="AI522" s="277"/>
      <c r="AJ522" s="277"/>
    </row>
    <row r="523" spans="1:36" ht="16.5" thickTop="1" thickBot="1">
      <c r="A523" s="636">
        <f>Data2025!G522</f>
        <v>0</v>
      </c>
      <c r="B523" s="637">
        <f>Data2025!K522</f>
        <v>0</v>
      </c>
      <c r="C523" s="638">
        <f>Data2025!D522</f>
        <v>0</v>
      </c>
      <c r="D523" s="639">
        <f>Data2025!C522</f>
        <v>0</v>
      </c>
      <c r="E523" s="265">
        <f>Data2025!E522</f>
        <v>0</v>
      </c>
      <c r="F523" s="640">
        <f>Data2025!F522</f>
        <v>0</v>
      </c>
      <c r="G523" s="265">
        <f>Data2025!H522</f>
        <v>0</v>
      </c>
      <c r="H523" s="265">
        <f t="shared" si="28"/>
        <v>0</v>
      </c>
      <c r="I523" s="641">
        <f>Data2025!J522</f>
        <v>0</v>
      </c>
      <c r="J523" s="381">
        <f>Data2025!L522</f>
        <v>0</v>
      </c>
      <c r="K523" s="381">
        <f>Data2025!M522</f>
        <v>0</v>
      </c>
      <c r="L523" s="642">
        <f>Data2025!N522</f>
        <v>0</v>
      </c>
      <c r="M523" s="642">
        <f>Data2025!O522</f>
        <v>0</v>
      </c>
      <c r="N523" s="643">
        <f>Data2025!P522</f>
        <v>0</v>
      </c>
      <c r="O523" s="644">
        <f>Data2025!Q522</f>
        <v>0</v>
      </c>
      <c r="P523" s="645" t="s">
        <v>710</v>
      </c>
      <c r="Q523" s="646" t="e">
        <f>VLOOKUP(K523,Sheet1!$C$1:$D$101,2,)</f>
        <v>#N/A</v>
      </c>
      <c r="R523" s="496">
        <v>125000</v>
      </c>
      <c r="S523" s="504">
        <v>135000</v>
      </c>
      <c r="T523" s="648">
        <f>Data2025!T522</f>
        <v>0</v>
      </c>
      <c r="U523" s="497" t="s">
        <v>538</v>
      </c>
      <c r="V523" s="648">
        <f>Data2025!V522</f>
        <v>0</v>
      </c>
      <c r="W523" s="648">
        <f>Data2025!X522</f>
        <v>0</v>
      </c>
      <c r="X523" s="497" t="s">
        <v>541</v>
      </c>
      <c r="Y523" s="268" t="str">
        <f t="shared" si="29"/>
        <v>Alat Tulis Kantor (ATK)</v>
      </c>
      <c r="Z523" s="649" t="str">
        <f t="shared" si="30"/>
        <v>Alat Tulis Kantor (ATK)</v>
      </c>
      <c r="AA523" s="498" t="s">
        <v>3363</v>
      </c>
      <c r="AB523" s="269">
        <v>25000</v>
      </c>
      <c r="AC523" s="269">
        <v>125000</v>
      </c>
      <c r="AD523" s="267">
        <v>125000</v>
      </c>
      <c r="AE523" s="270">
        <v>112612.61261261262</v>
      </c>
      <c r="AF523" s="270">
        <v>125000</v>
      </c>
      <c r="AG523" s="805" t="s">
        <v>3883</v>
      </c>
      <c r="AH523" s="651">
        <f>Data2025!W522</f>
        <v>0</v>
      </c>
    </row>
    <row r="524" spans="1:36" ht="16.5" thickTop="1" thickBot="1">
      <c r="A524" s="636">
        <f>Data2025!G523</f>
        <v>0</v>
      </c>
      <c r="B524" s="637">
        <f>Data2025!K523</f>
        <v>0</v>
      </c>
      <c r="C524" s="638">
        <f>Data2025!D523</f>
        <v>0</v>
      </c>
      <c r="D524" s="639">
        <f>Data2025!C523</f>
        <v>0</v>
      </c>
      <c r="E524" s="265">
        <f>Data2025!E523</f>
        <v>0</v>
      </c>
      <c r="F524" s="640">
        <f>Data2025!F523</f>
        <v>0</v>
      </c>
      <c r="G524" s="265">
        <f>Data2025!H523</f>
        <v>0</v>
      </c>
      <c r="H524" s="265">
        <f t="shared" si="28"/>
        <v>0</v>
      </c>
      <c r="I524" s="641">
        <f>Data2025!J523</f>
        <v>0</v>
      </c>
      <c r="J524" s="381">
        <f>Data2025!L523</f>
        <v>0</v>
      </c>
      <c r="K524" s="381">
        <f>Data2025!M523</f>
        <v>0</v>
      </c>
      <c r="L524" s="642">
        <f>Data2025!N523</f>
        <v>0</v>
      </c>
      <c r="M524" s="642">
        <f>Data2025!O523</f>
        <v>0</v>
      </c>
      <c r="N524" s="643">
        <f>Data2025!P523</f>
        <v>0</v>
      </c>
      <c r="O524" s="644">
        <f>Data2025!Q523</f>
        <v>0</v>
      </c>
      <c r="P524" s="645" t="s">
        <v>710</v>
      </c>
      <c r="Q524" s="646" t="e">
        <f>VLOOKUP(K524,Sheet1!$C$1:$D$101,2,)</f>
        <v>#N/A</v>
      </c>
      <c r="R524" s="496">
        <v>500000</v>
      </c>
      <c r="S524" s="504">
        <v>520000</v>
      </c>
      <c r="T524" s="648">
        <f>Data2025!T523</f>
        <v>0</v>
      </c>
      <c r="U524" s="497" t="s">
        <v>538</v>
      </c>
      <c r="V524" s="648">
        <f>Data2025!V523</f>
        <v>0</v>
      </c>
      <c r="W524" s="648">
        <f>Data2025!X523</f>
        <v>0</v>
      </c>
      <c r="X524" s="497" t="s">
        <v>541</v>
      </c>
      <c r="Y524" s="268" t="str">
        <f t="shared" si="29"/>
        <v>Alat Tulis Kantor (ATK)</v>
      </c>
      <c r="Z524" s="649" t="str">
        <f t="shared" si="30"/>
        <v>Alat Tulis Kantor (ATK)</v>
      </c>
      <c r="AA524" s="498" t="s">
        <v>3365</v>
      </c>
      <c r="AB524" s="269">
        <v>50000</v>
      </c>
      <c r="AC524" s="269">
        <v>500000</v>
      </c>
      <c r="AD524" s="267">
        <v>500000</v>
      </c>
      <c r="AE524" s="270">
        <v>450450.45045045047</v>
      </c>
      <c r="AF524" s="270">
        <v>500000</v>
      </c>
      <c r="AG524" s="805" t="s">
        <v>3883</v>
      </c>
      <c r="AH524" s="651">
        <f>Data2025!W523</f>
        <v>0</v>
      </c>
    </row>
    <row r="525" spans="1:36" ht="16.5" thickTop="1" thickBot="1">
      <c r="A525" s="636">
        <f>Data2025!G524</f>
        <v>0</v>
      </c>
      <c r="B525" s="637">
        <f>Data2025!K524</f>
        <v>0</v>
      </c>
      <c r="C525" s="638">
        <f>Data2025!D524</f>
        <v>0</v>
      </c>
      <c r="D525" s="639">
        <f>Data2025!C524</f>
        <v>0</v>
      </c>
      <c r="E525" s="265">
        <f>Data2025!E524</f>
        <v>0</v>
      </c>
      <c r="F525" s="640">
        <f>Data2025!F524</f>
        <v>0</v>
      </c>
      <c r="G525" s="265">
        <f>Data2025!H524</f>
        <v>0</v>
      </c>
      <c r="H525" s="265">
        <f t="shared" si="28"/>
        <v>0</v>
      </c>
      <c r="I525" s="641">
        <f>Data2025!J524</f>
        <v>0</v>
      </c>
      <c r="J525" s="381">
        <f>Data2025!L524</f>
        <v>0</v>
      </c>
      <c r="K525" s="381">
        <f>Data2025!M524</f>
        <v>0</v>
      </c>
      <c r="L525" s="642">
        <f>Data2025!N524</f>
        <v>0</v>
      </c>
      <c r="M525" s="642">
        <f>Data2025!O524</f>
        <v>0</v>
      </c>
      <c r="N525" s="643">
        <f>Data2025!P524</f>
        <v>0</v>
      </c>
      <c r="O525" s="644">
        <f>Data2025!Q524</f>
        <v>0</v>
      </c>
      <c r="P525" s="645" t="s">
        <v>710</v>
      </c>
      <c r="Q525" s="646" t="e">
        <f>VLOOKUP(K525,Sheet1!$C$1:$D$101,2,)</f>
        <v>#N/A</v>
      </c>
      <c r="R525" s="496">
        <v>240000</v>
      </c>
      <c r="S525" s="504">
        <v>244000</v>
      </c>
      <c r="T525" s="648">
        <f>Data2025!T524</f>
        <v>0</v>
      </c>
      <c r="U525" s="497" t="s">
        <v>538</v>
      </c>
      <c r="V525" s="648">
        <f>Data2025!V524</f>
        <v>0</v>
      </c>
      <c r="W525" s="648">
        <f>Data2025!X524</f>
        <v>0</v>
      </c>
      <c r="X525" s="497" t="s">
        <v>541</v>
      </c>
      <c r="Y525" s="268" t="str">
        <f t="shared" si="29"/>
        <v>Alat Tulis Kantor (ATK)</v>
      </c>
      <c r="Z525" s="649" t="str">
        <f t="shared" si="30"/>
        <v>Alat Tulis Kantor (ATK)</v>
      </c>
      <c r="AA525" s="498" t="s">
        <v>3364</v>
      </c>
      <c r="AB525" s="269">
        <v>120000</v>
      </c>
      <c r="AC525" s="269">
        <v>240000</v>
      </c>
      <c r="AD525" s="267">
        <v>240000</v>
      </c>
      <c r="AE525" s="270">
        <v>216216.21621621621</v>
      </c>
      <c r="AF525" s="270">
        <v>240000</v>
      </c>
      <c r="AG525" s="805" t="s">
        <v>3883</v>
      </c>
      <c r="AH525" s="651">
        <f>Data2025!W524</f>
        <v>0</v>
      </c>
    </row>
    <row r="526" spans="1:36" ht="16.5" thickTop="1" thickBot="1">
      <c r="A526" s="636">
        <f>Data2025!G525</f>
        <v>0</v>
      </c>
      <c r="B526" s="637">
        <f>Data2025!K525</f>
        <v>0</v>
      </c>
      <c r="C526" s="638">
        <f>Data2025!D525</f>
        <v>0</v>
      </c>
      <c r="D526" s="639">
        <f>Data2025!C525</f>
        <v>0</v>
      </c>
      <c r="E526" s="265">
        <f>Data2025!E525</f>
        <v>0</v>
      </c>
      <c r="F526" s="640">
        <f>Data2025!F525</f>
        <v>0</v>
      </c>
      <c r="G526" s="265">
        <f>Data2025!H525</f>
        <v>0</v>
      </c>
      <c r="H526" s="265">
        <f t="shared" si="28"/>
        <v>0</v>
      </c>
      <c r="I526" s="641">
        <f>Data2025!J525</f>
        <v>0</v>
      </c>
      <c r="J526" s="381">
        <f>Data2025!L525</f>
        <v>0</v>
      </c>
      <c r="K526" s="381">
        <f>Data2025!M525</f>
        <v>0</v>
      </c>
      <c r="L526" s="642">
        <f>Data2025!N525</f>
        <v>0</v>
      </c>
      <c r="M526" s="642">
        <f>Data2025!O525</f>
        <v>0</v>
      </c>
      <c r="N526" s="643">
        <f>Data2025!P525</f>
        <v>0</v>
      </c>
      <c r="O526" s="644">
        <f>Data2025!Q525</f>
        <v>0</v>
      </c>
      <c r="P526" s="645" t="s">
        <v>710</v>
      </c>
      <c r="Q526" s="646" t="e">
        <f>VLOOKUP(K526,Sheet1!$C$1:$D$101,2,)</f>
        <v>#N/A</v>
      </c>
      <c r="R526" s="496">
        <v>30000</v>
      </c>
      <c r="S526" s="504">
        <v>34000</v>
      </c>
      <c r="T526" s="648">
        <f>Data2025!T525</f>
        <v>0</v>
      </c>
      <c r="U526" s="497" t="s">
        <v>538</v>
      </c>
      <c r="V526" s="648">
        <f>Data2025!V525</f>
        <v>0</v>
      </c>
      <c r="W526" s="648">
        <f>Data2025!X525</f>
        <v>0</v>
      </c>
      <c r="X526" s="497" t="s">
        <v>541</v>
      </c>
      <c r="Y526" s="268" t="str">
        <f t="shared" si="29"/>
        <v>Alat Tulis Kantor (ATK)</v>
      </c>
      <c r="Z526" s="649" t="str">
        <f t="shared" si="30"/>
        <v>Alat Tulis Kantor (ATK)</v>
      </c>
      <c r="AA526" s="498" t="s">
        <v>3363</v>
      </c>
      <c r="AB526" s="269">
        <v>15000</v>
      </c>
      <c r="AC526" s="269">
        <v>30000</v>
      </c>
      <c r="AD526" s="267">
        <v>30000</v>
      </c>
      <c r="AE526" s="270">
        <v>27027.027027027027</v>
      </c>
      <c r="AF526" s="270">
        <v>30000</v>
      </c>
      <c r="AG526" s="805" t="s">
        <v>3883</v>
      </c>
      <c r="AH526" s="651">
        <f>Data2025!W525</f>
        <v>0</v>
      </c>
      <c r="AI526" s="277"/>
      <c r="AJ526" s="277"/>
    </row>
    <row r="527" spans="1:36" ht="16.5" thickTop="1" thickBot="1">
      <c r="A527" s="636">
        <f>Data2025!G526</f>
        <v>0</v>
      </c>
      <c r="B527" s="637">
        <f>Data2025!K526</f>
        <v>0</v>
      </c>
      <c r="C527" s="638">
        <f>Data2025!D526</f>
        <v>0</v>
      </c>
      <c r="D527" s="639">
        <f>Data2025!C526</f>
        <v>0</v>
      </c>
      <c r="E527" s="265">
        <f>Data2025!E526</f>
        <v>0</v>
      </c>
      <c r="F527" s="640">
        <f>Data2025!F526</f>
        <v>0</v>
      </c>
      <c r="G527" s="265">
        <f>Data2025!H526</f>
        <v>0</v>
      </c>
      <c r="H527" s="265">
        <f t="shared" si="28"/>
        <v>0</v>
      </c>
      <c r="I527" s="641">
        <f>Data2025!J526</f>
        <v>0</v>
      </c>
      <c r="J527" s="381">
        <f>Data2025!L526</f>
        <v>0</v>
      </c>
      <c r="K527" s="381">
        <f>Data2025!M526</f>
        <v>0</v>
      </c>
      <c r="L527" s="642">
        <f>Data2025!N526</f>
        <v>0</v>
      </c>
      <c r="M527" s="642">
        <f>Data2025!O526</f>
        <v>0</v>
      </c>
      <c r="N527" s="643">
        <f>Data2025!P526</f>
        <v>0</v>
      </c>
      <c r="O527" s="644">
        <f>Data2025!Q526</f>
        <v>0</v>
      </c>
      <c r="P527" s="645" t="s">
        <v>710</v>
      </c>
      <c r="Q527" s="646" t="e">
        <f>VLOOKUP(K527,Sheet1!$C$1:$D$101,2,)</f>
        <v>#N/A</v>
      </c>
      <c r="R527" s="496">
        <v>200000</v>
      </c>
      <c r="S527" s="504">
        <v>220000</v>
      </c>
      <c r="T527" s="648">
        <f>Data2025!T526</f>
        <v>0</v>
      </c>
      <c r="U527" s="497" t="s">
        <v>538</v>
      </c>
      <c r="V527" s="648">
        <f>Data2025!V526</f>
        <v>0</v>
      </c>
      <c r="W527" s="648">
        <f>Data2025!X526</f>
        <v>0</v>
      </c>
      <c r="X527" s="497" t="s">
        <v>541</v>
      </c>
      <c r="Y527" s="268" t="str">
        <f t="shared" si="29"/>
        <v>Alat Tulis Kantor (ATK)</v>
      </c>
      <c r="Z527" s="649" t="str">
        <f t="shared" si="30"/>
        <v>Alat Tulis Kantor (ATK)</v>
      </c>
      <c r="AA527" s="498" t="s">
        <v>3362</v>
      </c>
      <c r="AB527" s="269">
        <v>20000</v>
      </c>
      <c r="AC527" s="269">
        <v>200000</v>
      </c>
      <c r="AD527" s="267">
        <v>200000</v>
      </c>
      <c r="AE527" s="270">
        <v>180180.18018018018</v>
      </c>
      <c r="AF527" s="270">
        <v>200000</v>
      </c>
      <c r="AG527" s="805" t="s">
        <v>3883</v>
      </c>
      <c r="AH527" s="651">
        <f>Data2025!W526</f>
        <v>0</v>
      </c>
    </row>
    <row r="528" spans="1:36" ht="16.5" thickTop="1" thickBot="1">
      <c r="A528" s="636">
        <f>Data2025!G527</f>
        <v>0</v>
      </c>
      <c r="B528" s="637">
        <f>Data2025!K527</f>
        <v>0</v>
      </c>
      <c r="C528" s="638">
        <f>Data2025!D527</f>
        <v>0</v>
      </c>
      <c r="D528" s="639">
        <f>Data2025!C527</f>
        <v>0</v>
      </c>
      <c r="E528" s="265">
        <f>Data2025!E527</f>
        <v>0</v>
      </c>
      <c r="F528" s="640">
        <f>Data2025!F527</f>
        <v>0</v>
      </c>
      <c r="G528" s="265">
        <f>Data2025!H527</f>
        <v>0</v>
      </c>
      <c r="H528" s="265">
        <f t="shared" si="28"/>
        <v>0</v>
      </c>
      <c r="I528" s="641">
        <f>Data2025!J527</f>
        <v>0</v>
      </c>
      <c r="J528" s="381">
        <f>Data2025!L527</f>
        <v>0</v>
      </c>
      <c r="K528" s="381">
        <f>Data2025!M527</f>
        <v>0</v>
      </c>
      <c r="L528" s="642">
        <f>Data2025!N527</f>
        <v>0</v>
      </c>
      <c r="M528" s="642">
        <f>Data2025!O527</f>
        <v>0</v>
      </c>
      <c r="N528" s="643">
        <f>Data2025!P527</f>
        <v>0</v>
      </c>
      <c r="O528" s="644">
        <f>Data2025!Q527</f>
        <v>0</v>
      </c>
      <c r="P528" s="645" t="s">
        <v>710</v>
      </c>
      <c r="Q528" s="646" t="e">
        <f>VLOOKUP(K528,Sheet1!$C$1:$D$101,2,)</f>
        <v>#N/A</v>
      </c>
      <c r="R528" s="496">
        <v>440000</v>
      </c>
      <c r="S528" s="504">
        <v>448000</v>
      </c>
      <c r="T528" s="648">
        <f>Data2025!T527</f>
        <v>0</v>
      </c>
      <c r="U528" s="497" t="s">
        <v>538</v>
      </c>
      <c r="V528" s="648">
        <f>Data2025!V527</f>
        <v>0</v>
      </c>
      <c r="W528" s="648">
        <f>Data2025!X527</f>
        <v>0</v>
      </c>
      <c r="X528" s="497" t="s">
        <v>541</v>
      </c>
      <c r="Y528" s="268" t="str">
        <f t="shared" si="29"/>
        <v>Alat Tulis Kantor (ATK)</v>
      </c>
      <c r="Z528" s="649" t="str">
        <f t="shared" si="30"/>
        <v>Alat Tulis Kantor (ATK)</v>
      </c>
      <c r="AA528" s="498" t="s">
        <v>3367</v>
      </c>
      <c r="AB528" s="269">
        <v>110000</v>
      </c>
      <c r="AC528" s="269">
        <v>440000</v>
      </c>
      <c r="AD528" s="267">
        <v>440000</v>
      </c>
      <c r="AE528" s="270">
        <v>396396.39639639639</v>
      </c>
      <c r="AF528" s="270">
        <v>440000</v>
      </c>
      <c r="AG528" s="805" t="s">
        <v>3883</v>
      </c>
      <c r="AH528" s="651">
        <f>Data2025!W527</f>
        <v>0</v>
      </c>
    </row>
    <row r="529" spans="1:34" ht="16.5" thickTop="1" thickBot="1">
      <c r="A529" s="636">
        <f>Data2025!G528</f>
        <v>0</v>
      </c>
      <c r="B529" s="637">
        <f>Data2025!K528</f>
        <v>0</v>
      </c>
      <c r="C529" s="638">
        <f>Data2025!D528</f>
        <v>0</v>
      </c>
      <c r="D529" s="639">
        <f>Data2025!C528</f>
        <v>0</v>
      </c>
      <c r="E529" s="265">
        <f>Data2025!E528</f>
        <v>0</v>
      </c>
      <c r="F529" s="640">
        <f>Data2025!F528</f>
        <v>0</v>
      </c>
      <c r="G529" s="265">
        <f>Data2025!H528</f>
        <v>0</v>
      </c>
      <c r="H529" s="265">
        <f t="shared" si="28"/>
        <v>0</v>
      </c>
      <c r="I529" s="641">
        <f>Data2025!J528</f>
        <v>0</v>
      </c>
      <c r="J529" s="381">
        <f>Data2025!L528</f>
        <v>0</v>
      </c>
      <c r="K529" s="381">
        <f>Data2025!M528</f>
        <v>0</v>
      </c>
      <c r="L529" s="642">
        <f>Data2025!N528</f>
        <v>0</v>
      </c>
      <c r="M529" s="642">
        <f>Data2025!O528</f>
        <v>0</v>
      </c>
      <c r="N529" s="643">
        <f>Data2025!P528</f>
        <v>0</v>
      </c>
      <c r="O529" s="644">
        <f>Data2025!Q528</f>
        <v>0</v>
      </c>
      <c r="P529" s="645" t="s">
        <v>710</v>
      </c>
      <c r="Q529" s="646" t="e">
        <f>VLOOKUP(K529,Sheet1!$C$1:$D$101,2,)</f>
        <v>#N/A</v>
      </c>
      <c r="R529" s="496">
        <v>25000</v>
      </c>
      <c r="S529" s="504">
        <v>35000</v>
      </c>
      <c r="T529" s="648">
        <f>Data2025!T528</f>
        <v>0</v>
      </c>
      <c r="U529" s="497" t="s">
        <v>538</v>
      </c>
      <c r="V529" s="648">
        <f>Data2025!V528</f>
        <v>0</v>
      </c>
      <c r="W529" s="648">
        <f>Data2025!X528</f>
        <v>0</v>
      </c>
      <c r="X529" s="497" t="s">
        <v>541</v>
      </c>
      <c r="Y529" s="268" t="str">
        <f t="shared" si="29"/>
        <v>Alat Tulis Kantor (ATK)</v>
      </c>
      <c r="Z529" s="649" t="str">
        <f t="shared" si="30"/>
        <v>Alat Tulis Kantor (ATK)</v>
      </c>
      <c r="AA529" s="498" t="s">
        <v>3362</v>
      </c>
      <c r="AB529" s="269">
        <v>5000</v>
      </c>
      <c r="AC529" s="269">
        <v>25000</v>
      </c>
      <c r="AD529" s="267">
        <v>25000</v>
      </c>
      <c r="AE529" s="270">
        <v>22522.522522522522</v>
      </c>
      <c r="AF529" s="270">
        <v>25000</v>
      </c>
      <c r="AG529" s="805" t="s">
        <v>3883</v>
      </c>
      <c r="AH529" s="651">
        <f>Data2025!W528</f>
        <v>0</v>
      </c>
    </row>
    <row r="530" spans="1:34" ht="16.5" thickTop="1" thickBot="1">
      <c r="A530" s="636">
        <f>Data2025!G529</f>
        <v>0</v>
      </c>
      <c r="B530" s="637">
        <f>Data2025!K529</f>
        <v>0</v>
      </c>
      <c r="C530" s="638">
        <f>Data2025!D529</f>
        <v>0</v>
      </c>
      <c r="D530" s="639">
        <f>Data2025!C529</f>
        <v>0</v>
      </c>
      <c r="E530" s="265">
        <f>Data2025!E529</f>
        <v>0</v>
      </c>
      <c r="F530" s="640">
        <f>Data2025!F529</f>
        <v>0</v>
      </c>
      <c r="G530" s="265">
        <f>Data2025!H529</f>
        <v>0</v>
      </c>
      <c r="H530" s="265">
        <f t="shared" si="28"/>
        <v>0</v>
      </c>
      <c r="I530" s="641">
        <f>Data2025!J529</f>
        <v>0</v>
      </c>
      <c r="J530" s="381">
        <f>Data2025!L529</f>
        <v>0</v>
      </c>
      <c r="K530" s="381">
        <f>Data2025!M529</f>
        <v>0</v>
      </c>
      <c r="L530" s="642">
        <f>Data2025!N529</f>
        <v>0</v>
      </c>
      <c r="M530" s="642">
        <f>Data2025!O529</f>
        <v>0</v>
      </c>
      <c r="N530" s="643">
        <f>Data2025!P529</f>
        <v>0</v>
      </c>
      <c r="O530" s="644">
        <f>Data2025!Q529</f>
        <v>0</v>
      </c>
      <c r="P530" s="645" t="s">
        <v>710</v>
      </c>
      <c r="Q530" s="646" t="e">
        <f>VLOOKUP(K530,Sheet1!$C$1:$D$101,2,)</f>
        <v>#N/A</v>
      </c>
      <c r="R530" s="496">
        <v>2000000</v>
      </c>
      <c r="S530" s="504">
        <v>2080000</v>
      </c>
      <c r="T530" s="648">
        <f>Data2025!T529</f>
        <v>0</v>
      </c>
      <c r="U530" s="497" t="s">
        <v>538</v>
      </c>
      <c r="V530" s="648">
        <f>Data2025!V529</f>
        <v>0</v>
      </c>
      <c r="W530" s="648">
        <f>Data2025!X529</f>
        <v>0</v>
      </c>
      <c r="X530" s="497" t="s">
        <v>541</v>
      </c>
      <c r="Y530" s="268" t="str">
        <f t="shared" si="29"/>
        <v>Alat Tulis Kantor (ATK)</v>
      </c>
      <c r="Z530" s="649" t="str">
        <f t="shared" si="30"/>
        <v>Alat Tulis Kantor (ATK)</v>
      </c>
      <c r="AA530" s="498" t="s">
        <v>3369</v>
      </c>
      <c r="AB530" s="269">
        <v>50000</v>
      </c>
      <c r="AC530" s="269">
        <v>2000000</v>
      </c>
      <c r="AD530" s="267">
        <v>2000000</v>
      </c>
      <c r="AE530" s="270">
        <v>1801801.8018018019</v>
      </c>
      <c r="AF530" s="270">
        <v>2000000</v>
      </c>
      <c r="AG530" s="805" t="s">
        <v>3883</v>
      </c>
      <c r="AH530" s="651">
        <f>Data2025!W529</f>
        <v>0</v>
      </c>
    </row>
    <row r="531" spans="1:34" ht="16.5" thickTop="1" thickBot="1">
      <c r="A531" s="636">
        <f>Data2025!G530</f>
        <v>0</v>
      </c>
      <c r="B531" s="637">
        <f>Data2025!K530</f>
        <v>0</v>
      </c>
      <c r="C531" s="638">
        <f>Data2025!D530</f>
        <v>0</v>
      </c>
      <c r="D531" s="639">
        <f>Data2025!C530</f>
        <v>0</v>
      </c>
      <c r="E531" s="265">
        <f>Data2025!E530</f>
        <v>0</v>
      </c>
      <c r="F531" s="640">
        <f>Data2025!F530</f>
        <v>0</v>
      </c>
      <c r="G531" s="265">
        <f>Data2025!H530</f>
        <v>0</v>
      </c>
      <c r="H531" s="265">
        <f t="shared" si="28"/>
        <v>0</v>
      </c>
      <c r="I531" s="641">
        <f>Data2025!J530</f>
        <v>0</v>
      </c>
      <c r="J531" s="381">
        <f>Data2025!L530</f>
        <v>0</v>
      </c>
      <c r="K531" s="381">
        <f>Data2025!M530</f>
        <v>0</v>
      </c>
      <c r="L531" s="642">
        <f>Data2025!N530</f>
        <v>0</v>
      </c>
      <c r="M531" s="642">
        <f>Data2025!O530</f>
        <v>0</v>
      </c>
      <c r="N531" s="643">
        <f>Data2025!P530</f>
        <v>0</v>
      </c>
      <c r="O531" s="644">
        <f>Data2025!Q530</f>
        <v>0</v>
      </c>
      <c r="P531" s="645" t="s">
        <v>710</v>
      </c>
      <c r="Q531" s="646" t="e">
        <f>VLOOKUP(K531,Sheet1!$C$1:$D$101,2,)</f>
        <v>#N/A</v>
      </c>
      <c r="R531" s="496">
        <v>550000</v>
      </c>
      <c r="S531" s="504">
        <v>750000</v>
      </c>
      <c r="T531" s="648">
        <f>Data2025!T530</f>
        <v>0</v>
      </c>
      <c r="U531" s="497" t="s">
        <v>538</v>
      </c>
      <c r="V531" s="648">
        <f>Data2025!V530</f>
        <v>0</v>
      </c>
      <c r="W531" s="648">
        <f>Data2025!X530</f>
        <v>0</v>
      </c>
      <c r="X531" s="497" t="s">
        <v>541</v>
      </c>
      <c r="Y531" s="268" t="str">
        <f t="shared" si="29"/>
        <v>Alat Tulis Kantor (ATK)</v>
      </c>
      <c r="Z531" s="649" t="str">
        <f t="shared" si="30"/>
        <v>Alat Tulis Kantor (ATK)</v>
      </c>
      <c r="AA531" s="498" t="s">
        <v>3363</v>
      </c>
      <c r="AB531" s="269">
        <v>5500</v>
      </c>
      <c r="AC531" s="269">
        <v>550000</v>
      </c>
      <c r="AD531" s="267">
        <v>550000</v>
      </c>
      <c r="AE531" s="270">
        <v>495495.4954954955</v>
      </c>
      <c r="AF531" s="270">
        <v>550000</v>
      </c>
      <c r="AG531" s="805" t="s">
        <v>3883</v>
      </c>
      <c r="AH531" s="651">
        <f>Data2025!W530</f>
        <v>0</v>
      </c>
    </row>
    <row r="532" spans="1:34" ht="16.5" thickTop="1" thickBot="1">
      <c r="A532" s="636">
        <f>Data2025!G531</f>
        <v>0</v>
      </c>
      <c r="B532" s="637">
        <f>Data2025!K531</f>
        <v>0</v>
      </c>
      <c r="C532" s="638">
        <f>Data2025!D531</f>
        <v>0</v>
      </c>
      <c r="D532" s="639">
        <f>Data2025!C531</f>
        <v>0</v>
      </c>
      <c r="E532" s="265">
        <f>Data2025!E531</f>
        <v>0</v>
      </c>
      <c r="F532" s="640">
        <f>Data2025!F531</f>
        <v>0</v>
      </c>
      <c r="G532" s="265">
        <f>Data2025!H531</f>
        <v>0</v>
      </c>
      <c r="H532" s="265">
        <f t="shared" si="28"/>
        <v>0</v>
      </c>
      <c r="I532" s="641">
        <f>Data2025!J531</f>
        <v>0</v>
      </c>
      <c r="J532" s="381">
        <f>Data2025!L531</f>
        <v>0</v>
      </c>
      <c r="K532" s="381">
        <f>Data2025!M531</f>
        <v>0</v>
      </c>
      <c r="L532" s="642">
        <f>Data2025!N531</f>
        <v>0</v>
      </c>
      <c r="M532" s="642">
        <f>Data2025!O531</f>
        <v>0</v>
      </c>
      <c r="N532" s="643">
        <f>Data2025!P531</f>
        <v>0</v>
      </c>
      <c r="O532" s="644">
        <f>Data2025!Q531</f>
        <v>0</v>
      </c>
      <c r="P532" s="645" t="s">
        <v>710</v>
      </c>
      <c r="Q532" s="646" t="e">
        <f>VLOOKUP(K532,Sheet1!$C$1:$D$101,2,)</f>
        <v>#N/A</v>
      </c>
      <c r="R532" s="496">
        <v>48000</v>
      </c>
      <c r="S532" s="504">
        <v>50000</v>
      </c>
      <c r="T532" s="648">
        <f>Data2025!T531</f>
        <v>0</v>
      </c>
      <c r="U532" s="497" t="s">
        <v>538</v>
      </c>
      <c r="V532" s="648">
        <f>Data2025!V531</f>
        <v>0</v>
      </c>
      <c r="W532" s="648">
        <f>Data2025!X531</f>
        <v>0</v>
      </c>
      <c r="X532" s="497" t="s">
        <v>541</v>
      </c>
      <c r="Y532" s="268" t="str">
        <f t="shared" si="29"/>
        <v>Alat Tulis Kantor (ATK)</v>
      </c>
      <c r="Z532" s="649" t="str">
        <f t="shared" si="30"/>
        <v>Alat Tulis Kantor (ATK)</v>
      </c>
      <c r="AA532" s="498" t="s">
        <v>3362</v>
      </c>
      <c r="AB532" s="269">
        <v>48000</v>
      </c>
      <c r="AC532" s="269">
        <v>48000</v>
      </c>
      <c r="AD532" s="267">
        <v>48000</v>
      </c>
      <c r="AE532" s="270">
        <v>43243.243243243247</v>
      </c>
      <c r="AF532" s="270">
        <v>48000</v>
      </c>
      <c r="AG532" s="805" t="s">
        <v>3883</v>
      </c>
      <c r="AH532" s="651">
        <f>Data2025!W531</f>
        <v>0</v>
      </c>
    </row>
    <row r="533" spans="1:34" ht="16.5" thickTop="1" thickBot="1">
      <c r="A533" s="636">
        <f>Data2025!G532</f>
        <v>0</v>
      </c>
      <c r="B533" s="637">
        <f>Data2025!K532</f>
        <v>0</v>
      </c>
      <c r="C533" s="638">
        <f>Data2025!D532</f>
        <v>0</v>
      </c>
      <c r="D533" s="639">
        <f>Data2025!C532</f>
        <v>0</v>
      </c>
      <c r="E533" s="265">
        <f>Data2025!E532</f>
        <v>0</v>
      </c>
      <c r="F533" s="640">
        <f>Data2025!F532</f>
        <v>0</v>
      </c>
      <c r="G533" s="265">
        <f>Data2025!H532</f>
        <v>0</v>
      </c>
      <c r="H533" s="265">
        <f t="shared" si="28"/>
        <v>0</v>
      </c>
      <c r="I533" s="641">
        <f>Data2025!J532</f>
        <v>0</v>
      </c>
      <c r="J533" s="381">
        <f>Data2025!L532</f>
        <v>0</v>
      </c>
      <c r="K533" s="381">
        <f>Data2025!M532</f>
        <v>0</v>
      </c>
      <c r="L533" s="642">
        <f>Data2025!N532</f>
        <v>0</v>
      </c>
      <c r="M533" s="642">
        <f>Data2025!O532</f>
        <v>0</v>
      </c>
      <c r="N533" s="643">
        <f>Data2025!P532</f>
        <v>0</v>
      </c>
      <c r="O533" s="644">
        <f>Data2025!Q532</f>
        <v>0</v>
      </c>
      <c r="P533" s="645" t="s">
        <v>710</v>
      </c>
      <c r="Q533" s="646" t="e">
        <f>VLOOKUP(K533,Sheet1!$C$1:$D$101,2,)</f>
        <v>#N/A</v>
      </c>
      <c r="R533" s="496">
        <v>114000</v>
      </c>
      <c r="S533" s="504">
        <v>124000</v>
      </c>
      <c r="T533" s="648">
        <f>Data2025!T532</f>
        <v>0</v>
      </c>
      <c r="U533" s="497" t="s">
        <v>538</v>
      </c>
      <c r="V533" s="648">
        <f>Data2025!V532</f>
        <v>0</v>
      </c>
      <c r="W533" s="648">
        <f>Data2025!X532</f>
        <v>0</v>
      </c>
      <c r="X533" s="497" t="s">
        <v>541</v>
      </c>
      <c r="Y533" s="268" t="str">
        <f t="shared" si="29"/>
        <v>Alat Tulis Kantor (ATK)</v>
      </c>
      <c r="Z533" s="649" t="str">
        <f t="shared" si="30"/>
        <v>Alat Tulis Kantor (ATK)</v>
      </c>
      <c r="AA533" s="498" t="s">
        <v>3363</v>
      </c>
      <c r="AB533" s="269">
        <v>22800</v>
      </c>
      <c r="AC533" s="269">
        <v>114000</v>
      </c>
      <c r="AD533" s="267">
        <v>114000</v>
      </c>
      <c r="AE533" s="270">
        <v>102702.70270270271</v>
      </c>
      <c r="AF533" s="270">
        <v>114000</v>
      </c>
      <c r="AG533" s="805" t="s">
        <v>3883</v>
      </c>
      <c r="AH533" s="651">
        <f>Data2025!W532</f>
        <v>0</v>
      </c>
    </row>
    <row r="534" spans="1:34" ht="16.5" thickTop="1" thickBot="1">
      <c r="A534" s="636">
        <f>Data2025!G533</f>
        <v>0</v>
      </c>
      <c r="B534" s="637">
        <f>Data2025!K533</f>
        <v>0</v>
      </c>
      <c r="C534" s="638">
        <f>Data2025!D533</f>
        <v>0</v>
      </c>
      <c r="D534" s="639">
        <f>Data2025!C533</f>
        <v>0</v>
      </c>
      <c r="E534" s="265">
        <f>Data2025!E533</f>
        <v>0</v>
      </c>
      <c r="F534" s="640">
        <f>Data2025!F533</f>
        <v>0</v>
      </c>
      <c r="G534" s="265">
        <f>Data2025!H533</f>
        <v>0</v>
      </c>
      <c r="H534" s="265">
        <f t="shared" si="28"/>
        <v>0</v>
      </c>
      <c r="I534" s="641">
        <f>Data2025!J533</f>
        <v>0</v>
      </c>
      <c r="J534" s="381">
        <f>Data2025!L533</f>
        <v>0</v>
      </c>
      <c r="K534" s="381">
        <f>Data2025!M533</f>
        <v>0</v>
      </c>
      <c r="L534" s="642">
        <f>Data2025!N533</f>
        <v>0</v>
      </c>
      <c r="M534" s="642">
        <f>Data2025!O533</f>
        <v>0</v>
      </c>
      <c r="N534" s="643">
        <f>Data2025!P533</f>
        <v>0</v>
      </c>
      <c r="O534" s="644">
        <f>Data2025!Q533</f>
        <v>0</v>
      </c>
      <c r="P534" s="645" t="s">
        <v>710</v>
      </c>
      <c r="Q534" s="646" t="e">
        <f>VLOOKUP(K534,Sheet1!$C$1:$D$101,2,)</f>
        <v>#N/A</v>
      </c>
      <c r="R534" s="496">
        <v>50000</v>
      </c>
      <c r="S534" s="504">
        <v>60000</v>
      </c>
      <c r="T534" s="648">
        <f>Data2025!T533</f>
        <v>0</v>
      </c>
      <c r="U534" s="497" t="s">
        <v>538</v>
      </c>
      <c r="V534" s="648">
        <f>Data2025!V533</f>
        <v>0</v>
      </c>
      <c r="W534" s="648">
        <f>Data2025!X533</f>
        <v>0</v>
      </c>
      <c r="X534" s="497" t="s">
        <v>541</v>
      </c>
      <c r="Y534" s="268" t="str">
        <f t="shared" si="29"/>
        <v>Alat Tulis Kantor (ATK)</v>
      </c>
      <c r="Z534" s="649" t="str">
        <f t="shared" si="30"/>
        <v>Alat Tulis Kantor (ATK)</v>
      </c>
      <c r="AA534" s="498" t="s">
        <v>3363</v>
      </c>
      <c r="AB534" s="269">
        <v>10000</v>
      </c>
      <c r="AC534" s="269">
        <v>50000</v>
      </c>
      <c r="AD534" s="267">
        <v>50000</v>
      </c>
      <c r="AE534" s="270">
        <v>45045.045045045044</v>
      </c>
      <c r="AF534" s="270">
        <v>50000</v>
      </c>
      <c r="AG534" s="805" t="s">
        <v>3883</v>
      </c>
      <c r="AH534" s="651">
        <f>Data2025!W533</f>
        <v>0</v>
      </c>
    </row>
    <row r="535" spans="1:34" ht="16.5" thickTop="1" thickBot="1">
      <c r="A535" s="636">
        <f>Data2025!G534</f>
        <v>0</v>
      </c>
      <c r="B535" s="637">
        <f>Data2025!K534</f>
        <v>0</v>
      </c>
      <c r="C535" s="638">
        <f>Data2025!D534</f>
        <v>0</v>
      </c>
      <c r="D535" s="639">
        <f>Data2025!C534</f>
        <v>0</v>
      </c>
      <c r="E535" s="265">
        <f>Data2025!E534</f>
        <v>0</v>
      </c>
      <c r="F535" s="640">
        <f>Data2025!F534</f>
        <v>0</v>
      </c>
      <c r="G535" s="265">
        <f>Data2025!H534</f>
        <v>0</v>
      </c>
      <c r="H535" s="265">
        <f t="shared" si="28"/>
        <v>0</v>
      </c>
      <c r="I535" s="641">
        <f>Data2025!J534</f>
        <v>0</v>
      </c>
      <c r="J535" s="381">
        <f>Data2025!L534</f>
        <v>0</v>
      </c>
      <c r="K535" s="381">
        <f>Data2025!M534</f>
        <v>0</v>
      </c>
      <c r="L535" s="642">
        <f>Data2025!N534</f>
        <v>0</v>
      </c>
      <c r="M535" s="642">
        <f>Data2025!O534</f>
        <v>0</v>
      </c>
      <c r="N535" s="643">
        <f>Data2025!P534</f>
        <v>0</v>
      </c>
      <c r="O535" s="644">
        <f>Data2025!Q534</f>
        <v>0</v>
      </c>
      <c r="P535" s="645" t="s">
        <v>710</v>
      </c>
      <c r="Q535" s="646" t="e">
        <f>VLOOKUP(K535,Sheet1!$C$1:$D$101,2,)</f>
        <v>#N/A</v>
      </c>
      <c r="R535" s="496">
        <v>165000</v>
      </c>
      <c r="S535" s="504">
        <v>185000</v>
      </c>
      <c r="T535" s="648">
        <f>Data2025!T534</f>
        <v>0</v>
      </c>
      <c r="U535" s="497" t="s">
        <v>538</v>
      </c>
      <c r="V535" s="648">
        <f>Data2025!V534</f>
        <v>0</v>
      </c>
      <c r="W535" s="648">
        <f>Data2025!X534</f>
        <v>0</v>
      </c>
      <c r="X535" s="497" t="s">
        <v>541</v>
      </c>
      <c r="Y535" s="268" t="str">
        <f t="shared" si="29"/>
        <v>Alat Tulis Kantor (ATK)</v>
      </c>
      <c r="Z535" s="649" t="str">
        <f t="shared" si="30"/>
        <v>Alat Tulis Kantor (ATK)</v>
      </c>
      <c r="AA535" s="498" t="s">
        <v>3362</v>
      </c>
      <c r="AB535" s="269">
        <v>16500</v>
      </c>
      <c r="AC535" s="269">
        <v>165000</v>
      </c>
      <c r="AD535" s="267">
        <v>165000</v>
      </c>
      <c r="AE535" s="270">
        <v>148648.64864864864</v>
      </c>
      <c r="AF535" s="270">
        <v>165000</v>
      </c>
      <c r="AG535" s="805" t="s">
        <v>3883</v>
      </c>
      <c r="AH535" s="651">
        <f>Data2025!W534</f>
        <v>0</v>
      </c>
    </row>
    <row r="536" spans="1:34" ht="16.5" thickTop="1" thickBot="1">
      <c r="A536" s="636">
        <f>Data2025!G535</f>
        <v>0</v>
      </c>
      <c r="B536" s="637">
        <f>Data2025!K535</f>
        <v>0</v>
      </c>
      <c r="C536" s="638">
        <f>Data2025!D535</f>
        <v>0</v>
      </c>
      <c r="D536" s="639">
        <f>Data2025!C535</f>
        <v>0</v>
      </c>
      <c r="E536" s="265">
        <f>Data2025!E535</f>
        <v>0</v>
      </c>
      <c r="F536" s="640">
        <f>Data2025!F535</f>
        <v>0</v>
      </c>
      <c r="G536" s="265">
        <f>Data2025!H535</f>
        <v>0</v>
      </c>
      <c r="H536" s="265">
        <f t="shared" si="28"/>
        <v>0</v>
      </c>
      <c r="I536" s="641">
        <f>Data2025!J535</f>
        <v>0</v>
      </c>
      <c r="J536" s="381">
        <f>Data2025!L535</f>
        <v>0</v>
      </c>
      <c r="K536" s="381">
        <f>Data2025!M535</f>
        <v>0</v>
      </c>
      <c r="L536" s="642">
        <f>Data2025!N535</f>
        <v>0</v>
      </c>
      <c r="M536" s="642">
        <f>Data2025!O535</f>
        <v>0</v>
      </c>
      <c r="N536" s="643">
        <f>Data2025!P535</f>
        <v>0</v>
      </c>
      <c r="O536" s="644">
        <f>Data2025!Q535</f>
        <v>0</v>
      </c>
      <c r="P536" s="645" t="s">
        <v>710</v>
      </c>
      <c r="Q536" s="646" t="e">
        <f>VLOOKUP(K536,Sheet1!$C$1:$D$101,2,)</f>
        <v>#N/A</v>
      </c>
      <c r="R536" s="496">
        <v>510000</v>
      </c>
      <c r="S536" s="504">
        <v>522000</v>
      </c>
      <c r="T536" s="648">
        <f>Data2025!T535</f>
        <v>0</v>
      </c>
      <c r="U536" s="497" t="s">
        <v>538</v>
      </c>
      <c r="V536" s="648">
        <f>Data2025!V535</f>
        <v>0</v>
      </c>
      <c r="W536" s="648">
        <f>Data2025!X535</f>
        <v>0</v>
      </c>
      <c r="X536" s="497" t="s">
        <v>541</v>
      </c>
      <c r="Y536" s="268" t="str">
        <f t="shared" si="29"/>
        <v>Alat Tulis Kantor (ATK)</v>
      </c>
      <c r="Z536" s="649" t="str">
        <f t="shared" si="30"/>
        <v>Alat Tulis Kantor (ATK)</v>
      </c>
      <c r="AA536" s="498" t="s">
        <v>3367</v>
      </c>
      <c r="AB536" s="269">
        <v>85000</v>
      </c>
      <c r="AC536" s="269">
        <v>510000</v>
      </c>
      <c r="AD536" s="267">
        <v>510000</v>
      </c>
      <c r="AE536" s="270">
        <v>459459.45945945947</v>
      </c>
      <c r="AF536" s="270">
        <v>510000</v>
      </c>
      <c r="AG536" s="805" t="s">
        <v>3883</v>
      </c>
      <c r="AH536" s="651">
        <f>Data2025!W535</f>
        <v>0</v>
      </c>
    </row>
    <row r="537" spans="1:34" ht="16.5" thickTop="1" thickBot="1">
      <c r="A537" s="636">
        <f>Data2025!G536</f>
        <v>0</v>
      </c>
      <c r="B537" s="637">
        <f>Data2025!K536</f>
        <v>0</v>
      </c>
      <c r="C537" s="638">
        <f>Data2025!D536</f>
        <v>0</v>
      </c>
      <c r="D537" s="639">
        <f>Data2025!C536</f>
        <v>0</v>
      </c>
      <c r="E537" s="265">
        <f>Data2025!E536</f>
        <v>0</v>
      </c>
      <c r="F537" s="640">
        <f>Data2025!F536</f>
        <v>0</v>
      </c>
      <c r="G537" s="265">
        <f>Data2025!H536</f>
        <v>0</v>
      </c>
      <c r="H537" s="265">
        <f t="shared" si="28"/>
        <v>0</v>
      </c>
      <c r="I537" s="641">
        <f>Data2025!J536</f>
        <v>0</v>
      </c>
      <c r="J537" s="381">
        <f>Data2025!L536</f>
        <v>0</v>
      </c>
      <c r="K537" s="381">
        <f>Data2025!M536</f>
        <v>0</v>
      </c>
      <c r="L537" s="642">
        <f>Data2025!N536</f>
        <v>0</v>
      </c>
      <c r="M537" s="642">
        <f>Data2025!O536</f>
        <v>0</v>
      </c>
      <c r="N537" s="643">
        <f>Data2025!P536</f>
        <v>0</v>
      </c>
      <c r="O537" s="644">
        <f>Data2025!Q536</f>
        <v>0</v>
      </c>
      <c r="P537" s="645" t="s">
        <v>710</v>
      </c>
      <c r="Q537" s="646" t="e">
        <f>VLOOKUP(K537,Sheet1!$C$1:$D$101,2,)</f>
        <v>#N/A</v>
      </c>
      <c r="R537" s="496">
        <v>80000</v>
      </c>
      <c r="S537" s="504">
        <v>84000</v>
      </c>
      <c r="T537" s="648">
        <f>Data2025!T536</f>
        <v>0</v>
      </c>
      <c r="U537" s="497" t="s">
        <v>538</v>
      </c>
      <c r="V537" s="648">
        <f>Data2025!V536</f>
        <v>0</v>
      </c>
      <c r="W537" s="648">
        <f>Data2025!X536</f>
        <v>0</v>
      </c>
      <c r="X537" s="497" t="s">
        <v>541</v>
      </c>
      <c r="Y537" s="268" t="str">
        <f t="shared" si="29"/>
        <v>Alat Tulis Kantor (ATK)</v>
      </c>
      <c r="Z537" s="649" t="str">
        <f t="shared" si="30"/>
        <v>Alat Tulis Kantor (ATK)</v>
      </c>
      <c r="AA537" s="498" t="s">
        <v>3362</v>
      </c>
      <c r="AB537" s="269">
        <v>40000</v>
      </c>
      <c r="AC537" s="269">
        <v>80000</v>
      </c>
      <c r="AD537" s="267">
        <v>80000</v>
      </c>
      <c r="AE537" s="270">
        <v>72072.072072072071</v>
      </c>
      <c r="AF537" s="270">
        <v>80000</v>
      </c>
      <c r="AG537" s="805" t="s">
        <v>3883</v>
      </c>
      <c r="AH537" s="651">
        <f>Data2025!W536</f>
        <v>0</v>
      </c>
    </row>
    <row r="538" spans="1:34" ht="16.5" thickTop="1" thickBot="1">
      <c r="A538" s="636">
        <f>Data2025!G537</f>
        <v>0</v>
      </c>
      <c r="B538" s="637">
        <f>Data2025!K537</f>
        <v>0</v>
      </c>
      <c r="C538" s="638">
        <f>Data2025!D537</f>
        <v>0</v>
      </c>
      <c r="D538" s="639">
        <f>Data2025!C537</f>
        <v>0</v>
      </c>
      <c r="E538" s="265">
        <f>Data2025!E537</f>
        <v>0</v>
      </c>
      <c r="F538" s="640">
        <f>Data2025!F537</f>
        <v>0</v>
      </c>
      <c r="G538" s="265">
        <f>Data2025!H537</f>
        <v>0</v>
      </c>
      <c r="H538" s="265">
        <f t="shared" si="28"/>
        <v>0</v>
      </c>
      <c r="I538" s="641">
        <f>Data2025!J537</f>
        <v>0</v>
      </c>
      <c r="J538" s="381">
        <f>Data2025!L537</f>
        <v>0</v>
      </c>
      <c r="K538" s="381">
        <f>Data2025!M537</f>
        <v>0</v>
      </c>
      <c r="L538" s="642">
        <f>Data2025!N537</f>
        <v>0</v>
      </c>
      <c r="M538" s="642">
        <f>Data2025!O537</f>
        <v>0</v>
      </c>
      <c r="N538" s="643">
        <f>Data2025!P537</f>
        <v>0</v>
      </c>
      <c r="O538" s="644">
        <f>Data2025!Q537</f>
        <v>0</v>
      </c>
      <c r="P538" s="645" t="s">
        <v>710</v>
      </c>
      <c r="Q538" s="646" t="e">
        <f>VLOOKUP(K538,Sheet1!$C$1:$D$101,2,)</f>
        <v>#N/A</v>
      </c>
      <c r="R538" s="496">
        <v>180000</v>
      </c>
      <c r="S538" s="504">
        <v>184000</v>
      </c>
      <c r="T538" s="648">
        <f>Data2025!T537</f>
        <v>0</v>
      </c>
      <c r="U538" s="497" t="s">
        <v>538</v>
      </c>
      <c r="V538" s="648">
        <f>Data2025!V537</f>
        <v>0</v>
      </c>
      <c r="W538" s="648">
        <f>Data2025!X537</f>
        <v>0</v>
      </c>
      <c r="X538" s="497" t="s">
        <v>541</v>
      </c>
      <c r="Y538" s="268" t="str">
        <f t="shared" si="29"/>
        <v>Alat Tulis Kantor (ATK)</v>
      </c>
      <c r="Z538" s="649" t="str">
        <f t="shared" si="30"/>
        <v>Alat Tulis Kantor (ATK)</v>
      </c>
      <c r="AA538" s="498" t="s">
        <v>3369</v>
      </c>
      <c r="AB538" s="269">
        <v>90000</v>
      </c>
      <c r="AC538" s="269">
        <v>180000</v>
      </c>
      <c r="AD538" s="267">
        <v>180000</v>
      </c>
      <c r="AE538" s="270">
        <v>162162.16216216216</v>
      </c>
      <c r="AF538" s="270">
        <v>180000</v>
      </c>
      <c r="AG538" s="805" t="s">
        <v>3883</v>
      </c>
      <c r="AH538" s="651">
        <f>Data2025!W537</f>
        <v>0</v>
      </c>
    </row>
    <row r="539" spans="1:34" ht="16.5" thickTop="1" thickBot="1">
      <c r="A539" s="636">
        <f>Data2025!G538</f>
        <v>0</v>
      </c>
      <c r="B539" s="637">
        <f>Data2025!K538</f>
        <v>0</v>
      </c>
      <c r="C539" s="638">
        <f>Data2025!D538</f>
        <v>0</v>
      </c>
      <c r="D539" s="639">
        <f>Data2025!C538</f>
        <v>0</v>
      </c>
      <c r="E539" s="265">
        <f>Data2025!E538</f>
        <v>0</v>
      </c>
      <c r="F539" s="640">
        <f>Data2025!F538</f>
        <v>0</v>
      </c>
      <c r="G539" s="265">
        <f>Data2025!H538</f>
        <v>0</v>
      </c>
      <c r="H539" s="265">
        <f t="shared" si="28"/>
        <v>0</v>
      </c>
      <c r="I539" s="641">
        <f>Data2025!J538</f>
        <v>0</v>
      </c>
      <c r="J539" s="381">
        <f>Data2025!L538</f>
        <v>0</v>
      </c>
      <c r="K539" s="381">
        <f>Data2025!M538</f>
        <v>0</v>
      </c>
      <c r="L539" s="642">
        <f>Data2025!N538</f>
        <v>0</v>
      </c>
      <c r="M539" s="642">
        <f>Data2025!O538</f>
        <v>0</v>
      </c>
      <c r="N539" s="643">
        <f>Data2025!P538</f>
        <v>0</v>
      </c>
      <c r="O539" s="644">
        <f>Data2025!Q538</f>
        <v>0</v>
      </c>
      <c r="P539" s="645" t="s">
        <v>710</v>
      </c>
      <c r="Q539" s="646" t="e">
        <f>VLOOKUP(K539,Sheet1!$C$1:$D$101,2,)</f>
        <v>#N/A</v>
      </c>
      <c r="R539" s="496">
        <v>325000</v>
      </c>
      <c r="S539" s="504">
        <v>335000</v>
      </c>
      <c r="T539" s="648">
        <f>Data2025!T538</f>
        <v>0</v>
      </c>
      <c r="U539" s="497" t="s">
        <v>538</v>
      </c>
      <c r="V539" s="648">
        <f>Data2025!V538</f>
        <v>0</v>
      </c>
      <c r="W539" s="648">
        <f>Data2025!X538</f>
        <v>0</v>
      </c>
      <c r="X539" s="497" t="s">
        <v>541</v>
      </c>
      <c r="Y539" s="268" t="str">
        <f t="shared" si="29"/>
        <v>Alat Tulis Kantor (ATK)</v>
      </c>
      <c r="Z539" s="649" t="str">
        <f t="shared" si="30"/>
        <v>Alat Tulis Kantor (ATK)</v>
      </c>
      <c r="AA539" s="498" t="s">
        <v>3365</v>
      </c>
      <c r="AB539" s="269">
        <v>65000</v>
      </c>
      <c r="AC539" s="269">
        <v>325000</v>
      </c>
      <c r="AD539" s="267">
        <v>325000</v>
      </c>
      <c r="AE539" s="270">
        <v>292792.79279279278</v>
      </c>
      <c r="AF539" s="270">
        <v>325000</v>
      </c>
      <c r="AG539" s="805" t="s">
        <v>3883</v>
      </c>
      <c r="AH539" s="651">
        <f>Data2025!W538</f>
        <v>0</v>
      </c>
    </row>
    <row r="540" spans="1:34" ht="16.5" thickTop="1" thickBot="1">
      <c r="A540" s="636">
        <f>Data2025!G539</f>
        <v>0</v>
      </c>
      <c r="B540" s="637">
        <f>Data2025!K539</f>
        <v>0</v>
      </c>
      <c r="C540" s="638">
        <f>Data2025!D539</f>
        <v>0</v>
      </c>
      <c r="D540" s="639">
        <f>Data2025!C539</f>
        <v>0</v>
      </c>
      <c r="E540" s="265">
        <f>Data2025!E539</f>
        <v>0</v>
      </c>
      <c r="F540" s="640">
        <f>Data2025!F539</f>
        <v>0</v>
      </c>
      <c r="G540" s="265">
        <f>Data2025!H539</f>
        <v>0</v>
      </c>
      <c r="H540" s="265">
        <f t="shared" si="28"/>
        <v>0</v>
      </c>
      <c r="I540" s="641">
        <f>Data2025!J539</f>
        <v>0</v>
      </c>
      <c r="J540" s="381">
        <f>Data2025!L539</f>
        <v>0</v>
      </c>
      <c r="K540" s="381">
        <f>Data2025!M539</f>
        <v>0</v>
      </c>
      <c r="L540" s="642">
        <f>Data2025!N539</f>
        <v>0</v>
      </c>
      <c r="M540" s="642">
        <f>Data2025!O539</f>
        <v>0</v>
      </c>
      <c r="N540" s="643">
        <f>Data2025!P539</f>
        <v>0</v>
      </c>
      <c r="O540" s="644">
        <f>Data2025!Q539</f>
        <v>0</v>
      </c>
      <c r="P540" s="645" t="s">
        <v>710</v>
      </c>
      <c r="Q540" s="646" t="e">
        <f>VLOOKUP(K540,Sheet1!$C$1:$D$101,2,)</f>
        <v>#N/A</v>
      </c>
      <c r="R540" s="496">
        <v>239200</v>
      </c>
      <c r="S540" s="504">
        <v>247200</v>
      </c>
      <c r="T540" s="648">
        <f>Data2025!T539</f>
        <v>0</v>
      </c>
      <c r="U540" s="497" t="s">
        <v>538</v>
      </c>
      <c r="V540" s="648">
        <f>Data2025!V539</f>
        <v>0</v>
      </c>
      <c r="W540" s="648">
        <f>Data2025!X539</f>
        <v>0</v>
      </c>
      <c r="X540" s="497" t="s">
        <v>541</v>
      </c>
      <c r="Y540" s="268" t="str">
        <f t="shared" si="29"/>
        <v>Alat Tulis Kantor (ATK)</v>
      </c>
      <c r="Z540" s="649" t="str">
        <f t="shared" si="30"/>
        <v>Alat Tulis Kantor (ATK)</v>
      </c>
      <c r="AA540" s="498" t="s">
        <v>3363</v>
      </c>
      <c r="AB540" s="269">
        <v>59800</v>
      </c>
      <c r="AC540" s="269">
        <v>239200</v>
      </c>
      <c r="AD540" s="267">
        <v>239200</v>
      </c>
      <c r="AE540" s="270">
        <v>215495.4954954955</v>
      </c>
      <c r="AF540" s="270">
        <v>239200</v>
      </c>
      <c r="AG540" s="805" t="s">
        <v>3883</v>
      </c>
      <c r="AH540" s="651">
        <f>Data2025!W539</f>
        <v>0</v>
      </c>
    </row>
    <row r="541" spans="1:34" ht="16.5" thickTop="1" thickBot="1">
      <c r="A541" s="636">
        <f>Data2025!G540</f>
        <v>0</v>
      </c>
      <c r="B541" s="637">
        <f>Data2025!K540</f>
        <v>0</v>
      </c>
      <c r="C541" s="638">
        <f>Data2025!D540</f>
        <v>0</v>
      </c>
      <c r="D541" s="639">
        <f>Data2025!C540</f>
        <v>0</v>
      </c>
      <c r="E541" s="265">
        <f>Data2025!E540</f>
        <v>0</v>
      </c>
      <c r="F541" s="640">
        <f>Data2025!F540</f>
        <v>0</v>
      </c>
      <c r="G541" s="265">
        <f>Data2025!H540</f>
        <v>0</v>
      </c>
      <c r="H541" s="265">
        <f t="shared" si="28"/>
        <v>0</v>
      </c>
      <c r="I541" s="641">
        <f>Data2025!J540</f>
        <v>0</v>
      </c>
      <c r="J541" s="381">
        <f>Data2025!L540</f>
        <v>0</v>
      </c>
      <c r="K541" s="381">
        <f>Data2025!M540</f>
        <v>0</v>
      </c>
      <c r="L541" s="642">
        <f>Data2025!N540</f>
        <v>0</v>
      </c>
      <c r="M541" s="642">
        <f>Data2025!O540</f>
        <v>0</v>
      </c>
      <c r="N541" s="643">
        <f>Data2025!P540</f>
        <v>0</v>
      </c>
      <c r="O541" s="644">
        <f>Data2025!Q540</f>
        <v>0</v>
      </c>
      <c r="P541" s="645" t="s">
        <v>710</v>
      </c>
      <c r="Q541" s="646" t="e">
        <f>VLOOKUP(K541,Sheet1!$C$1:$D$101,2,)</f>
        <v>#N/A</v>
      </c>
      <c r="R541" s="496">
        <v>60000</v>
      </c>
      <c r="S541" s="504">
        <v>66000</v>
      </c>
      <c r="T541" s="648">
        <f>Data2025!T540</f>
        <v>0</v>
      </c>
      <c r="U541" s="497" t="s">
        <v>538</v>
      </c>
      <c r="V541" s="648">
        <f>Data2025!V540</f>
        <v>0</v>
      </c>
      <c r="W541" s="648">
        <f>Data2025!X540</f>
        <v>0</v>
      </c>
      <c r="X541" s="497" t="s">
        <v>541</v>
      </c>
      <c r="Y541" s="268" t="str">
        <f t="shared" si="29"/>
        <v>Alat Tulis Kantor (ATK)</v>
      </c>
      <c r="Z541" s="649" t="str">
        <f t="shared" si="30"/>
        <v>Alat Tulis Kantor (ATK)</v>
      </c>
      <c r="AA541" s="498" t="s">
        <v>3363</v>
      </c>
      <c r="AB541" s="269">
        <v>20000</v>
      </c>
      <c r="AC541" s="269">
        <v>60000</v>
      </c>
      <c r="AD541" s="267">
        <v>60000</v>
      </c>
      <c r="AE541" s="270">
        <v>54054.054054054053</v>
      </c>
      <c r="AF541" s="270">
        <v>60000</v>
      </c>
      <c r="AG541" s="805" t="s">
        <v>3883</v>
      </c>
      <c r="AH541" s="651">
        <f>Data2025!W540</f>
        <v>0</v>
      </c>
    </row>
    <row r="542" spans="1:34" ht="16.5" thickTop="1" thickBot="1">
      <c r="A542" s="636">
        <f>Data2025!G541</f>
        <v>0</v>
      </c>
      <c r="B542" s="637">
        <f>Data2025!K541</f>
        <v>0</v>
      </c>
      <c r="C542" s="638">
        <f>Data2025!D541</f>
        <v>0</v>
      </c>
      <c r="D542" s="639">
        <f>Data2025!C541</f>
        <v>0</v>
      </c>
      <c r="E542" s="265">
        <f>Data2025!E541</f>
        <v>0</v>
      </c>
      <c r="F542" s="640">
        <f>Data2025!F541</f>
        <v>0</v>
      </c>
      <c r="G542" s="265">
        <f>Data2025!H541</f>
        <v>0</v>
      </c>
      <c r="H542" s="265">
        <f t="shared" si="28"/>
        <v>0</v>
      </c>
      <c r="I542" s="641">
        <f>Data2025!J541</f>
        <v>0</v>
      </c>
      <c r="J542" s="381">
        <f>Data2025!L541</f>
        <v>0</v>
      </c>
      <c r="K542" s="381">
        <f>Data2025!M541</f>
        <v>0</v>
      </c>
      <c r="L542" s="642">
        <f>Data2025!N541</f>
        <v>0</v>
      </c>
      <c r="M542" s="642">
        <f>Data2025!O541</f>
        <v>0</v>
      </c>
      <c r="N542" s="643">
        <f>Data2025!P541</f>
        <v>0</v>
      </c>
      <c r="O542" s="644">
        <f>Data2025!Q541</f>
        <v>0</v>
      </c>
      <c r="P542" s="645" t="s">
        <v>710</v>
      </c>
      <c r="Q542" s="646" t="e">
        <f>VLOOKUP(K542,Sheet1!$C$1:$D$101,2,)</f>
        <v>#N/A</v>
      </c>
      <c r="R542" s="496">
        <v>40000</v>
      </c>
      <c r="S542" s="504">
        <v>44000</v>
      </c>
      <c r="T542" s="648">
        <f>Data2025!T541</f>
        <v>0</v>
      </c>
      <c r="U542" s="497" t="s">
        <v>538</v>
      </c>
      <c r="V542" s="648">
        <f>Data2025!V541</f>
        <v>0</v>
      </c>
      <c r="W542" s="648">
        <f>Data2025!X541</f>
        <v>0</v>
      </c>
      <c r="X542" s="497" t="s">
        <v>541</v>
      </c>
      <c r="Y542" s="268" t="str">
        <f t="shared" si="29"/>
        <v>Alat Tulis Kantor (ATK)</v>
      </c>
      <c r="Z542" s="649" t="str">
        <f t="shared" si="30"/>
        <v>Alat Tulis Kantor (ATK)</v>
      </c>
      <c r="AA542" s="498" t="s">
        <v>3363</v>
      </c>
      <c r="AB542" s="269">
        <v>20000</v>
      </c>
      <c r="AC542" s="269">
        <v>40000</v>
      </c>
      <c r="AD542" s="267">
        <v>40000</v>
      </c>
      <c r="AE542" s="270">
        <v>36036.036036036036</v>
      </c>
      <c r="AF542" s="270">
        <v>40000</v>
      </c>
      <c r="AG542" s="805" t="s">
        <v>3883</v>
      </c>
      <c r="AH542" s="651">
        <f>Data2025!W541</f>
        <v>0</v>
      </c>
    </row>
    <row r="543" spans="1:34" ht="16.5" thickTop="1" thickBot="1">
      <c r="A543" s="636">
        <f>Data2025!G542</f>
        <v>0</v>
      </c>
      <c r="B543" s="637">
        <f>Data2025!K542</f>
        <v>0</v>
      </c>
      <c r="C543" s="638">
        <f>Data2025!D542</f>
        <v>0</v>
      </c>
      <c r="D543" s="639">
        <f>Data2025!C542</f>
        <v>0</v>
      </c>
      <c r="E543" s="265">
        <f>Data2025!E542</f>
        <v>0</v>
      </c>
      <c r="F543" s="640">
        <f>Data2025!F542</f>
        <v>0</v>
      </c>
      <c r="G543" s="265">
        <f>Data2025!H542</f>
        <v>0</v>
      </c>
      <c r="H543" s="265">
        <f t="shared" si="28"/>
        <v>0</v>
      </c>
      <c r="I543" s="641">
        <f>Data2025!J542</f>
        <v>0</v>
      </c>
      <c r="J543" s="381">
        <f>Data2025!L542</f>
        <v>0</v>
      </c>
      <c r="K543" s="381">
        <f>Data2025!M542</f>
        <v>0</v>
      </c>
      <c r="L543" s="642">
        <f>Data2025!N542</f>
        <v>0</v>
      </c>
      <c r="M543" s="642">
        <f>Data2025!O542</f>
        <v>0</v>
      </c>
      <c r="N543" s="643">
        <f>Data2025!P542</f>
        <v>0</v>
      </c>
      <c r="O543" s="644">
        <f>Data2025!Q542</f>
        <v>0</v>
      </c>
      <c r="P543" s="645" t="s">
        <v>710</v>
      </c>
      <c r="Q543" s="646" t="e">
        <f>VLOOKUP(K543,Sheet1!$C$1:$D$101,2,)</f>
        <v>#N/A</v>
      </c>
      <c r="R543" s="496">
        <v>300000</v>
      </c>
      <c r="S543" s="504">
        <v>360000</v>
      </c>
      <c r="T543" s="648">
        <f>Data2025!T542</f>
        <v>0</v>
      </c>
      <c r="U543" s="497" t="s">
        <v>538</v>
      </c>
      <c r="V543" s="648">
        <f>Data2025!V542</f>
        <v>0</v>
      </c>
      <c r="W543" s="648">
        <f>Data2025!X542</f>
        <v>0</v>
      </c>
      <c r="X543" s="497" t="s">
        <v>541</v>
      </c>
      <c r="Y543" s="268" t="str">
        <f t="shared" si="29"/>
        <v>Alat Tulis Kantor (ATK)</v>
      </c>
      <c r="Z543" s="649" t="str">
        <f t="shared" si="30"/>
        <v>Alat Tulis Kantor (ATK)</v>
      </c>
      <c r="AA543" s="498" t="s">
        <v>3363</v>
      </c>
      <c r="AB543" s="269">
        <v>10000</v>
      </c>
      <c r="AC543" s="269">
        <v>300000</v>
      </c>
      <c r="AD543" s="267">
        <v>300000</v>
      </c>
      <c r="AE543" s="270">
        <v>270270.2702702703</v>
      </c>
      <c r="AF543" s="270">
        <v>300000</v>
      </c>
      <c r="AG543" s="805" t="s">
        <v>3883</v>
      </c>
      <c r="AH543" s="651">
        <f>Data2025!W542</f>
        <v>0</v>
      </c>
    </row>
    <row r="544" spans="1:34" ht="16.5" thickTop="1" thickBot="1">
      <c r="A544" s="636">
        <f>Data2025!G543</f>
        <v>0</v>
      </c>
      <c r="B544" s="637">
        <f>Data2025!K543</f>
        <v>0</v>
      </c>
      <c r="C544" s="638">
        <f>Data2025!D543</f>
        <v>0</v>
      </c>
      <c r="D544" s="639">
        <f>Data2025!C543</f>
        <v>0</v>
      </c>
      <c r="E544" s="265">
        <f>Data2025!E543</f>
        <v>0</v>
      </c>
      <c r="F544" s="640">
        <f>Data2025!F543</f>
        <v>0</v>
      </c>
      <c r="G544" s="265">
        <f>Data2025!H543</f>
        <v>0</v>
      </c>
      <c r="H544" s="265">
        <f t="shared" si="28"/>
        <v>0</v>
      </c>
      <c r="I544" s="641">
        <f>Data2025!J543</f>
        <v>0</v>
      </c>
      <c r="J544" s="381">
        <f>Data2025!L543</f>
        <v>0</v>
      </c>
      <c r="K544" s="381">
        <f>Data2025!M543</f>
        <v>0</v>
      </c>
      <c r="L544" s="642">
        <f>Data2025!N543</f>
        <v>0</v>
      </c>
      <c r="M544" s="642">
        <f>Data2025!O543</f>
        <v>0</v>
      </c>
      <c r="N544" s="643">
        <f>Data2025!P543</f>
        <v>0</v>
      </c>
      <c r="O544" s="644">
        <f>Data2025!Q543</f>
        <v>0</v>
      </c>
      <c r="P544" s="645" t="s">
        <v>710</v>
      </c>
      <c r="Q544" s="646" t="e">
        <f>VLOOKUP(K544,Sheet1!$C$1:$D$101,2,)</f>
        <v>#N/A</v>
      </c>
      <c r="R544" s="496">
        <v>40000</v>
      </c>
      <c r="S544" s="504">
        <v>44000</v>
      </c>
      <c r="T544" s="648">
        <f>Data2025!T543</f>
        <v>0</v>
      </c>
      <c r="U544" s="497" t="s">
        <v>538</v>
      </c>
      <c r="V544" s="648">
        <f>Data2025!V543</f>
        <v>0</v>
      </c>
      <c r="W544" s="648">
        <f>Data2025!X543</f>
        <v>0</v>
      </c>
      <c r="X544" s="497" t="s">
        <v>541</v>
      </c>
      <c r="Y544" s="268" t="str">
        <f t="shared" si="29"/>
        <v>Alat Tulis Kantor (ATK)</v>
      </c>
      <c r="Z544" s="649" t="str">
        <f t="shared" si="30"/>
        <v>Alat Tulis Kantor (ATK)</v>
      </c>
      <c r="AA544" s="498" t="s">
        <v>3364</v>
      </c>
      <c r="AB544" s="269">
        <v>20000</v>
      </c>
      <c r="AC544" s="269">
        <v>40000</v>
      </c>
      <c r="AD544" s="267">
        <v>40000</v>
      </c>
      <c r="AE544" s="270">
        <v>36036.036036036036</v>
      </c>
      <c r="AF544" s="270">
        <v>40000</v>
      </c>
      <c r="AG544" s="805" t="s">
        <v>3883</v>
      </c>
      <c r="AH544" s="651">
        <f>Data2025!W543</f>
        <v>0</v>
      </c>
    </row>
    <row r="545" spans="1:34" ht="16.5" thickTop="1" thickBot="1">
      <c r="A545" s="636">
        <f>Data2025!G544</f>
        <v>0</v>
      </c>
      <c r="B545" s="637">
        <f>Data2025!K544</f>
        <v>0</v>
      </c>
      <c r="C545" s="638">
        <f>Data2025!D544</f>
        <v>0</v>
      </c>
      <c r="D545" s="639">
        <f>Data2025!C544</f>
        <v>0</v>
      </c>
      <c r="E545" s="265">
        <f>Data2025!E544</f>
        <v>0</v>
      </c>
      <c r="F545" s="640">
        <f>Data2025!F544</f>
        <v>0</v>
      </c>
      <c r="G545" s="265">
        <f>Data2025!H544</f>
        <v>0</v>
      </c>
      <c r="H545" s="265">
        <f t="shared" si="28"/>
        <v>0</v>
      </c>
      <c r="I545" s="641">
        <f>Data2025!J544</f>
        <v>0</v>
      </c>
      <c r="J545" s="381">
        <f>Data2025!L544</f>
        <v>0</v>
      </c>
      <c r="K545" s="381">
        <f>Data2025!M544</f>
        <v>0</v>
      </c>
      <c r="L545" s="642">
        <f>Data2025!N544</f>
        <v>0</v>
      </c>
      <c r="M545" s="642">
        <f>Data2025!O544</f>
        <v>0</v>
      </c>
      <c r="N545" s="643">
        <f>Data2025!P544</f>
        <v>0</v>
      </c>
      <c r="O545" s="644">
        <f>Data2025!Q544</f>
        <v>0</v>
      </c>
      <c r="P545" s="645" t="s">
        <v>710</v>
      </c>
      <c r="Q545" s="646" t="e">
        <f>VLOOKUP(K545,Sheet1!$C$1:$D$101,2,)</f>
        <v>#N/A</v>
      </c>
      <c r="R545" s="496">
        <v>440000</v>
      </c>
      <c r="S545" s="504">
        <v>448000</v>
      </c>
      <c r="T545" s="648">
        <f>Data2025!T544</f>
        <v>0</v>
      </c>
      <c r="U545" s="497" t="s">
        <v>538</v>
      </c>
      <c r="V545" s="648">
        <f>Data2025!V544</f>
        <v>0</v>
      </c>
      <c r="W545" s="648">
        <f>Data2025!X544</f>
        <v>0</v>
      </c>
      <c r="X545" s="497" t="s">
        <v>541</v>
      </c>
      <c r="Y545" s="268" t="str">
        <f t="shared" si="29"/>
        <v>Alat Tulis Kantor (ATK)</v>
      </c>
      <c r="Z545" s="649" t="str">
        <f t="shared" si="30"/>
        <v>Alat Tulis Kantor (ATK)</v>
      </c>
      <c r="AA545" s="498" t="s">
        <v>3367</v>
      </c>
      <c r="AB545" s="269">
        <v>110000</v>
      </c>
      <c r="AC545" s="269">
        <v>440000</v>
      </c>
      <c r="AD545" s="267">
        <v>440000</v>
      </c>
      <c r="AE545" s="270">
        <v>396396.39639639639</v>
      </c>
      <c r="AF545" s="270">
        <v>440000</v>
      </c>
      <c r="AG545" s="805" t="s">
        <v>3883</v>
      </c>
      <c r="AH545" s="651">
        <f>Data2025!W544</f>
        <v>0</v>
      </c>
    </row>
    <row r="546" spans="1:34" ht="16.5" thickTop="1" thickBot="1">
      <c r="A546" s="636">
        <f>Data2025!G545</f>
        <v>0</v>
      </c>
      <c r="B546" s="637">
        <f>Data2025!K545</f>
        <v>0</v>
      </c>
      <c r="C546" s="638">
        <f>Data2025!D545</f>
        <v>0</v>
      </c>
      <c r="D546" s="639">
        <f>Data2025!C545</f>
        <v>0</v>
      </c>
      <c r="E546" s="265">
        <f>Data2025!E545</f>
        <v>0</v>
      </c>
      <c r="F546" s="640">
        <f>Data2025!F545</f>
        <v>0</v>
      </c>
      <c r="G546" s="265">
        <f>Data2025!H545</f>
        <v>0</v>
      </c>
      <c r="H546" s="265">
        <f t="shared" si="28"/>
        <v>0</v>
      </c>
      <c r="I546" s="641">
        <f>Data2025!J545</f>
        <v>0</v>
      </c>
      <c r="J546" s="381">
        <f>Data2025!L545</f>
        <v>0</v>
      </c>
      <c r="K546" s="381">
        <f>Data2025!M545</f>
        <v>0</v>
      </c>
      <c r="L546" s="642">
        <f>Data2025!N545</f>
        <v>0</v>
      </c>
      <c r="M546" s="642">
        <f>Data2025!O545</f>
        <v>0</v>
      </c>
      <c r="N546" s="643">
        <f>Data2025!P545</f>
        <v>0</v>
      </c>
      <c r="O546" s="644">
        <f>Data2025!Q545</f>
        <v>0</v>
      </c>
      <c r="P546" s="645" t="s">
        <v>710</v>
      </c>
      <c r="Q546" s="646" t="e">
        <f>VLOOKUP(K546,Sheet1!$C$1:$D$101,2,)</f>
        <v>#N/A</v>
      </c>
      <c r="R546" s="496">
        <v>87500</v>
      </c>
      <c r="S546" s="504">
        <v>89500</v>
      </c>
      <c r="T546" s="648">
        <f>Data2025!T545</f>
        <v>0</v>
      </c>
      <c r="U546" s="497" t="s">
        <v>538</v>
      </c>
      <c r="V546" s="648">
        <f>Data2025!V545</f>
        <v>0</v>
      </c>
      <c r="W546" s="648">
        <f>Data2025!X545</f>
        <v>0</v>
      </c>
      <c r="X546" s="497" t="s">
        <v>541</v>
      </c>
      <c r="Y546" s="268" t="str">
        <f t="shared" si="29"/>
        <v>Alat Tulis Kantor (ATK)</v>
      </c>
      <c r="Z546" s="649" t="str">
        <f t="shared" si="30"/>
        <v>Alat Tulis Kantor (ATK)</v>
      </c>
      <c r="AA546" s="498" t="s">
        <v>3370</v>
      </c>
      <c r="AB546" s="269">
        <v>87500</v>
      </c>
      <c r="AC546" s="269">
        <v>87500</v>
      </c>
      <c r="AD546" s="267">
        <v>87500</v>
      </c>
      <c r="AE546" s="270">
        <v>78828.828828828831</v>
      </c>
      <c r="AF546" s="270">
        <v>87500</v>
      </c>
      <c r="AG546" s="805" t="s">
        <v>3883</v>
      </c>
      <c r="AH546" s="651">
        <f>Data2025!W545</f>
        <v>0</v>
      </c>
    </row>
    <row r="547" spans="1:34" ht="16.5" thickTop="1" thickBot="1">
      <c r="A547" s="636">
        <f>Data2025!G546</f>
        <v>0</v>
      </c>
      <c r="B547" s="637">
        <f>Data2025!K546</f>
        <v>0</v>
      </c>
      <c r="C547" s="638">
        <f>Data2025!D546</f>
        <v>0</v>
      </c>
      <c r="D547" s="639">
        <f>Data2025!C546</f>
        <v>0</v>
      </c>
      <c r="E547" s="265">
        <f>Data2025!E546</f>
        <v>0</v>
      </c>
      <c r="F547" s="640">
        <f>Data2025!F546</f>
        <v>0</v>
      </c>
      <c r="G547" s="265">
        <f>Data2025!H546</f>
        <v>0</v>
      </c>
      <c r="H547" s="265">
        <f t="shared" si="28"/>
        <v>0</v>
      </c>
      <c r="I547" s="641">
        <f>Data2025!J546</f>
        <v>0</v>
      </c>
      <c r="J547" s="381">
        <f>Data2025!L546</f>
        <v>0</v>
      </c>
      <c r="K547" s="381">
        <f>Data2025!M546</f>
        <v>0</v>
      </c>
      <c r="L547" s="642">
        <f>Data2025!N546</f>
        <v>0</v>
      </c>
      <c r="M547" s="642">
        <f>Data2025!O546</f>
        <v>0</v>
      </c>
      <c r="N547" s="643">
        <f>Data2025!P546</f>
        <v>0</v>
      </c>
      <c r="O547" s="644">
        <f>Data2025!Q546</f>
        <v>0</v>
      </c>
      <c r="P547" s="645" t="s">
        <v>710</v>
      </c>
      <c r="Q547" s="646" t="e">
        <f>VLOOKUP(K547,Sheet1!$C$1:$D$101,2,)</f>
        <v>#N/A</v>
      </c>
      <c r="R547" s="496">
        <v>50000</v>
      </c>
      <c r="S547" s="504">
        <v>58000</v>
      </c>
      <c r="T547" s="648">
        <f>Data2025!T546</f>
        <v>0</v>
      </c>
      <c r="U547" s="497" t="s">
        <v>538</v>
      </c>
      <c r="V547" s="648">
        <f>Data2025!V546</f>
        <v>0</v>
      </c>
      <c r="W547" s="648">
        <f>Data2025!X546</f>
        <v>0</v>
      </c>
      <c r="X547" s="497" t="s">
        <v>541</v>
      </c>
      <c r="Y547" s="268" t="str">
        <f t="shared" si="29"/>
        <v>Alat Tulis Kantor (ATK)</v>
      </c>
      <c r="Z547" s="649" t="str">
        <f t="shared" si="30"/>
        <v>Alat Tulis Kantor (ATK)</v>
      </c>
      <c r="AA547" s="498" t="s">
        <v>3363</v>
      </c>
      <c r="AB547" s="269">
        <v>12500</v>
      </c>
      <c r="AC547" s="269">
        <v>50000</v>
      </c>
      <c r="AD547" s="267">
        <v>50000</v>
      </c>
      <c r="AE547" s="270">
        <v>45045.045045045044</v>
      </c>
      <c r="AF547" s="270">
        <v>50000</v>
      </c>
      <c r="AG547" s="805" t="s">
        <v>3883</v>
      </c>
      <c r="AH547" s="651">
        <f>Data2025!W546</f>
        <v>0</v>
      </c>
    </row>
    <row r="548" spans="1:34" ht="16.5" thickTop="1" thickBot="1">
      <c r="A548" s="636">
        <f>Data2025!G547</f>
        <v>0</v>
      </c>
      <c r="B548" s="637">
        <f>Data2025!K547</f>
        <v>0</v>
      </c>
      <c r="C548" s="638">
        <f>Data2025!D547</f>
        <v>0</v>
      </c>
      <c r="D548" s="639">
        <f>Data2025!C547</f>
        <v>0</v>
      </c>
      <c r="E548" s="265">
        <f>Data2025!E547</f>
        <v>0</v>
      </c>
      <c r="F548" s="640">
        <f>Data2025!F547</f>
        <v>0</v>
      </c>
      <c r="G548" s="265">
        <f>Data2025!H547</f>
        <v>0</v>
      </c>
      <c r="H548" s="265">
        <f t="shared" si="28"/>
        <v>0</v>
      </c>
      <c r="I548" s="641">
        <f>Data2025!J547</f>
        <v>0</v>
      </c>
      <c r="J548" s="381">
        <f>Data2025!L547</f>
        <v>0</v>
      </c>
      <c r="K548" s="381">
        <f>Data2025!M547</f>
        <v>0</v>
      </c>
      <c r="L548" s="642">
        <f>Data2025!N547</f>
        <v>0</v>
      </c>
      <c r="M548" s="642">
        <f>Data2025!O547</f>
        <v>0</v>
      </c>
      <c r="N548" s="643">
        <f>Data2025!P547</f>
        <v>0</v>
      </c>
      <c r="O548" s="644">
        <f>Data2025!Q547</f>
        <v>0</v>
      </c>
      <c r="P548" s="645" t="s">
        <v>710</v>
      </c>
      <c r="Q548" s="646" t="e">
        <f>VLOOKUP(K548,Sheet1!$C$1:$D$101,2,)</f>
        <v>#N/A</v>
      </c>
      <c r="R548" s="496">
        <v>125000</v>
      </c>
      <c r="S548" s="504">
        <v>135000</v>
      </c>
      <c r="T548" s="648">
        <f>Data2025!T547</f>
        <v>0</v>
      </c>
      <c r="U548" s="497" t="s">
        <v>538</v>
      </c>
      <c r="V548" s="648">
        <f>Data2025!V547</f>
        <v>0</v>
      </c>
      <c r="W548" s="648">
        <f>Data2025!X547</f>
        <v>0</v>
      </c>
      <c r="X548" s="497" t="s">
        <v>541</v>
      </c>
      <c r="Y548" s="268" t="str">
        <f t="shared" si="29"/>
        <v>Alat Tulis Kantor (ATK)</v>
      </c>
      <c r="Z548" s="649" t="str">
        <f t="shared" si="30"/>
        <v>Alat Tulis Kantor (ATK)</v>
      </c>
      <c r="AA548" s="498" t="s">
        <v>3363</v>
      </c>
      <c r="AB548" s="269">
        <v>25000</v>
      </c>
      <c r="AC548" s="269">
        <v>125000</v>
      </c>
      <c r="AD548" s="267">
        <v>125000</v>
      </c>
      <c r="AE548" s="270">
        <v>112612.61261261262</v>
      </c>
      <c r="AF548" s="270">
        <v>125000</v>
      </c>
      <c r="AG548" s="805" t="s">
        <v>3883</v>
      </c>
      <c r="AH548" s="651">
        <f>Data2025!W547</f>
        <v>0</v>
      </c>
    </row>
    <row r="549" spans="1:34" ht="16.5" thickTop="1" thickBot="1">
      <c r="A549" s="636">
        <f>Data2025!G548</f>
        <v>0</v>
      </c>
      <c r="B549" s="637">
        <f>Data2025!K548</f>
        <v>0</v>
      </c>
      <c r="C549" s="638">
        <f>Data2025!D548</f>
        <v>0</v>
      </c>
      <c r="D549" s="639">
        <f>Data2025!C548</f>
        <v>0</v>
      </c>
      <c r="E549" s="265">
        <f>Data2025!E548</f>
        <v>0</v>
      </c>
      <c r="F549" s="640">
        <f>Data2025!F548</f>
        <v>0</v>
      </c>
      <c r="G549" s="265">
        <f>Data2025!H548</f>
        <v>0</v>
      </c>
      <c r="H549" s="265">
        <f t="shared" si="28"/>
        <v>0</v>
      </c>
      <c r="I549" s="641">
        <f>Data2025!J548</f>
        <v>0</v>
      </c>
      <c r="J549" s="381">
        <f>Data2025!L548</f>
        <v>0</v>
      </c>
      <c r="K549" s="381">
        <f>Data2025!M548</f>
        <v>0</v>
      </c>
      <c r="L549" s="642">
        <f>Data2025!N548</f>
        <v>0</v>
      </c>
      <c r="M549" s="642">
        <f>Data2025!O548</f>
        <v>0</v>
      </c>
      <c r="N549" s="643">
        <f>Data2025!P548</f>
        <v>0</v>
      </c>
      <c r="O549" s="644">
        <f>Data2025!Q548</f>
        <v>0</v>
      </c>
      <c r="P549" s="645" t="s">
        <v>710</v>
      </c>
      <c r="Q549" s="646" t="e">
        <f>VLOOKUP(K549,Sheet1!$C$1:$D$101,2,)</f>
        <v>#N/A</v>
      </c>
      <c r="R549" s="496">
        <v>240000</v>
      </c>
      <c r="S549" s="504">
        <v>256000</v>
      </c>
      <c r="T549" s="648">
        <f>Data2025!T548</f>
        <v>0</v>
      </c>
      <c r="U549" s="497" t="s">
        <v>538</v>
      </c>
      <c r="V549" s="648">
        <f>Data2025!V548</f>
        <v>0</v>
      </c>
      <c r="W549" s="648">
        <f>Data2025!X548</f>
        <v>0</v>
      </c>
      <c r="X549" s="497" t="s">
        <v>541</v>
      </c>
      <c r="Y549" s="268" t="str">
        <f t="shared" si="29"/>
        <v>Alat Tulis Kantor (ATK)</v>
      </c>
      <c r="Z549" s="649" t="str">
        <f t="shared" si="30"/>
        <v>Alat Tulis Kantor (ATK)</v>
      </c>
      <c r="AA549" s="498" t="s">
        <v>3367</v>
      </c>
      <c r="AB549" s="269">
        <v>30000</v>
      </c>
      <c r="AC549" s="269">
        <v>240000</v>
      </c>
      <c r="AD549" s="267">
        <v>240000</v>
      </c>
      <c r="AE549" s="270">
        <v>216216.21621621621</v>
      </c>
      <c r="AF549" s="270">
        <v>240000</v>
      </c>
      <c r="AG549" s="805" t="s">
        <v>3883</v>
      </c>
      <c r="AH549" s="651">
        <f>Data2025!W548</f>
        <v>0</v>
      </c>
    </row>
    <row r="550" spans="1:34" ht="16.5" thickTop="1" thickBot="1">
      <c r="A550" s="636">
        <f>Data2025!G549</f>
        <v>0</v>
      </c>
      <c r="B550" s="637">
        <f>Data2025!K549</f>
        <v>0</v>
      </c>
      <c r="C550" s="638">
        <f>Data2025!D549</f>
        <v>0</v>
      </c>
      <c r="D550" s="639">
        <f>Data2025!C549</f>
        <v>0</v>
      </c>
      <c r="E550" s="265">
        <f>Data2025!E549</f>
        <v>0</v>
      </c>
      <c r="F550" s="640">
        <f>Data2025!F549</f>
        <v>0</v>
      </c>
      <c r="G550" s="265">
        <f>Data2025!H549</f>
        <v>0</v>
      </c>
      <c r="H550" s="265">
        <f t="shared" si="28"/>
        <v>0</v>
      </c>
      <c r="I550" s="641">
        <f>Data2025!J549</f>
        <v>0</v>
      </c>
      <c r="J550" s="381">
        <f>Data2025!L549</f>
        <v>0</v>
      </c>
      <c r="K550" s="381">
        <f>Data2025!M549</f>
        <v>0</v>
      </c>
      <c r="L550" s="642">
        <f>Data2025!N549</f>
        <v>0</v>
      </c>
      <c r="M550" s="642">
        <f>Data2025!O549</f>
        <v>0</v>
      </c>
      <c r="N550" s="643">
        <f>Data2025!P549</f>
        <v>0</v>
      </c>
      <c r="O550" s="644">
        <f>Data2025!Q549</f>
        <v>0</v>
      </c>
      <c r="P550" s="645" t="s">
        <v>710</v>
      </c>
      <c r="Q550" s="646" t="e">
        <f>VLOOKUP(K550,Sheet1!$C$1:$D$101,2,)</f>
        <v>#N/A</v>
      </c>
      <c r="R550" s="496">
        <v>485000</v>
      </c>
      <c r="S550" s="504">
        <v>505000</v>
      </c>
      <c r="T550" s="648">
        <f>Data2025!T549</f>
        <v>0</v>
      </c>
      <c r="U550" s="497" t="s">
        <v>538</v>
      </c>
      <c r="V550" s="648">
        <f>Data2025!V549</f>
        <v>0</v>
      </c>
      <c r="W550" s="648">
        <f>Data2025!X549</f>
        <v>0</v>
      </c>
      <c r="X550" s="497" t="s">
        <v>541</v>
      </c>
      <c r="Y550" s="268" t="str">
        <f t="shared" si="29"/>
        <v>Alat Tulis Kantor (ATK)</v>
      </c>
      <c r="Z550" s="649" t="str">
        <f t="shared" si="30"/>
        <v>Alat Tulis Kantor (ATK)</v>
      </c>
      <c r="AA550" s="498" t="s">
        <v>3369</v>
      </c>
      <c r="AB550" s="269">
        <v>48500</v>
      </c>
      <c r="AC550" s="269">
        <v>485000</v>
      </c>
      <c r="AD550" s="267">
        <v>485000</v>
      </c>
      <c r="AE550" s="270">
        <v>436936.93693693692</v>
      </c>
      <c r="AF550" s="270">
        <v>485000</v>
      </c>
      <c r="AG550" s="805" t="s">
        <v>3883</v>
      </c>
      <c r="AH550" s="651">
        <f>Data2025!W549</f>
        <v>0</v>
      </c>
    </row>
    <row r="551" spans="1:34" ht="16.5" thickTop="1" thickBot="1">
      <c r="A551" s="636">
        <f>Data2025!G550</f>
        <v>0</v>
      </c>
      <c r="B551" s="637">
        <f>Data2025!K550</f>
        <v>0</v>
      </c>
      <c r="C551" s="638">
        <f>Data2025!D550</f>
        <v>0</v>
      </c>
      <c r="D551" s="639">
        <f>Data2025!C550</f>
        <v>0</v>
      </c>
      <c r="E551" s="265">
        <f>Data2025!E550</f>
        <v>0</v>
      </c>
      <c r="F551" s="640">
        <f>Data2025!F550</f>
        <v>0</v>
      </c>
      <c r="G551" s="265">
        <f>Data2025!H550</f>
        <v>0</v>
      </c>
      <c r="H551" s="265">
        <f t="shared" si="28"/>
        <v>0</v>
      </c>
      <c r="I551" s="641">
        <f>Data2025!J550</f>
        <v>0</v>
      </c>
      <c r="J551" s="381">
        <f>Data2025!L550</f>
        <v>0</v>
      </c>
      <c r="K551" s="381">
        <f>Data2025!M550</f>
        <v>0</v>
      </c>
      <c r="L551" s="642">
        <f>Data2025!N550</f>
        <v>0</v>
      </c>
      <c r="M551" s="642">
        <f>Data2025!O550</f>
        <v>0</v>
      </c>
      <c r="N551" s="643">
        <f>Data2025!P550</f>
        <v>0</v>
      </c>
      <c r="O551" s="644">
        <f>Data2025!Q550</f>
        <v>0</v>
      </c>
      <c r="P551" s="645" t="s">
        <v>710</v>
      </c>
      <c r="Q551" s="646" t="e">
        <f>VLOOKUP(K551,Sheet1!$C$1:$D$101,2,)</f>
        <v>#N/A</v>
      </c>
      <c r="R551" s="496">
        <v>297000</v>
      </c>
      <c r="S551" s="504">
        <v>309000</v>
      </c>
      <c r="T551" s="648">
        <f>Data2025!T550</f>
        <v>0</v>
      </c>
      <c r="U551" s="497" t="s">
        <v>538</v>
      </c>
      <c r="V551" s="648">
        <f>Data2025!V550</f>
        <v>0</v>
      </c>
      <c r="W551" s="648">
        <f>Data2025!X550</f>
        <v>0</v>
      </c>
      <c r="X551" s="497" t="s">
        <v>541</v>
      </c>
      <c r="Y551" s="268" t="str">
        <f t="shared" si="29"/>
        <v>Alat Tulis Kantor (ATK)</v>
      </c>
      <c r="Z551" s="649" t="str">
        <f t="shared" si="30"/>
        <v>Alat Tulis Kantor (ATK)</v>
      </c>
      <c r="AA551" s="498" t="s">
        <v>3363</v>
      </c>
      <c r="AB551" s="269">
        <v>49500</v>
      </c>
      <c r="AC551" s="269">
        <v>297000</v>
      </c>
      <c r="AD551" s="267">
        <v>297000</v>
      </c>
      <c r="AE551" s="270">
        <v>267567.56756756757</v>
      </c>
      <c r="AF551" s="270">
        <v>297000</v>
      </c>
      <c r="AG551" s="805" t="s">
        <v>3883</v>
      </c>
      <c r="AH551" s="651">
        <f>Data2025!W550</f>
        <v>0</v>
      </c>
    </row>
    <row r="552" spans="1:34" ht="16.5" thickTop="1" thickBot="1">
      <c r="A552" s="636">
        <f>Data2025!G551</f>
        <v>0</v>
      </c>
      <c r="B552" s="637">
        <f>Data2025!K551</f>
        <v>0</v>
      </c>
      <c r="C552" s="638">
        <f>Data2025!D551</f>
        <v>0</v>
      </c>
      <c r="D552" s="639">
        <f>Data2025!C551</f>
        <v>0</v>
      </c>
      <c r="E552" s="265">
        <f>Data2025!E551</f>
        <v>0</v>
      </c>
      <c r="F552" s="640">
        <f>Data2025!F551</f>
        <v>0</v>
      </c>
      <c r="G552" s="265">
        <f>Data2025!H551</f>
        <v>0</v>
      </c>
      <c r="H552" s="265">
        <f t="shared" si="28"/>
        <v>0</v>
      </c>
      <c r="I552" s="641">
        <f>Data2025!J551</f>
        <v>0</v>
      </c>
      <c r="J552" s="381">
        <f>Data2025!L551</f>
        <v>0</v>
      </c>
      <c r="K552" s="381">
        <f>Data2025!M551</f>
        <v>0</v>
      </c>
      <c r="L552" s="642">
        <f>Data2025!N551</f>
        <v>0</v>
      </c>
      <c r="M552" s="642">
        <f>Data2025!O551</f>
        <v>0</v>
      </c>
      <c r="N552" s="643">
        <f>Data2025!P551</f>
        <v>0</v>
      </c>
      <c r="O552" s="644">
        <f>Data2025!Q551</f>
        <v>0</v>
      </c>
      <c r="P552" s="645" t="s">
        <v>710</v>
      </c>
      <c r="Q552" s="646" t="e">
        <f>VLOOKUP(K552,Sheet1!$C$1:$D$101,2,)</f>
        <v>#N/A</v>
      </c>
      <c r="R552" s="496">
        <v>160000</v>
      </c>
      <c r="S552" s="504">
        <v>164000</v>
      </c>
      <c r="T552" s="648">
        <f>Data2025!T551</f>
        <v>0</v>
      </c>
      <c r="U552" s="497" t="s">
        <v>538</v>
      </c>
      <c r="V552" s="648">
        <f>Data2025!V551</f>
        <v>0</v>
      </c>
      <c r="W552" s="648">
        <f>Data2025!X551</f>
        <v>0</v>
      </c>
      <c r="X552" s="497" t="s">
        <v>541</v>
      </c>
      <c r="Y552" s="268" t="str">
        <f t="shared" si="29"/>
        <v>Alat Tulis Kantor (ATK)</v>
      </c>
      <c r="Z552" s="649" t="str">
        <f t="shared" si="30"/>
        <v>Alat Tulis Kantor (ATK)</v>
      </c>
      <c r="AA552" s="498" t="s">
        <v>3362</v>
      </c>
      <c r="AB552" s="269">
        <v>80000</v>
      </c>
      <c r="AC552" s="269">
        <v>160000</v>
      </c>
      <c r="AD552" s="267">
        <v>160000</v>
      </c>
      <c r="AE552" s="270">
        <v>144144.14414414414</v>
      </c>
      <c r="AF552" s="270">
        <v>160000</v>
      </c>
      <c r="AG552" s="805" t="s">
        <v>3883</v>
      </c>
      <c r="AH552" s="651">
        <f>Data2025!W551</f>
        <v>0</v>
      </c>
    </row>
    <row r="553" spans="1:34" ht="16.5" thickTop="1" thickBot="1">
      <c r="A553" s="636">
        <f>Data2025!G552</f>
        <v>0</v>
      </c>
      <c r="B553" s="637">
        <f>Data2025!K552</f>
        <v>0</v>
      </c>
      <c r="C553" s="638">
        <f>Data2025!D552</f>
        <v>0</v>
      </c>
      <c r="D553" s="639">
        <f>Data2025!C552</f>
        <v>0</v>
      </c>
      <c r="E553" s="265">
        <f>Data2025!E552</f>
        <v>0</v>
      </c>
      <c r="F553" s="640">
        <f>Data2025!F552</f>
        <v>0</v>
      </c>
      <c r="G553" s="265">
        <f>Data2025!H552</f>
        <v>0</v>
      </c>
      <c r="H553" s="265">
        <f t="shared" si="28"/>
        <v>0</v>
      </c>
      <c r="I553" s="641">
        <f>Data2025!J552</f>
        <v>0</v>
      </c>
      <c r="J553" s="381">
        <f>Data2025!L552</f>
        <v>0</v>
      </c>
      <c r="K553" s="381">
        <f>Data2025!M552</f>
        <v>0</v>
      </c>
      <c r="L553" s="642">
        <f>Data2025!N552</f>
        <v>0</v>
      </c>
      <c r="M553" s="642">
        <f>Data2025!O552</f>
        <v>0</v>
      </c>
      <c r="N553" s="643">
        <f>Data2025!P552</f>
        <v>0</v>
      </c>
      <c r="O553" s="644">
        <f>Data2025!Q552</f>
        <v>0</v>
      </c>
      <c r="P553" s="645" t="s">
        <v>2609</v>
      </c>
      <c r="Q553" s="646" t="e">
        <f>VLOOKUP(K553,Sheet1!$C$1:$D$101,2,)</f>
        <v>#N/A</v>
      </c>
      <c r="R553" s="496">
        <v>335000</v>
      </c>
      <c r="S553" s="504">
        <v>345000</v>
      </c>
      <c r="T553" s="648">
        <f>Data2025!T552</f>
        <v>0</v>
      </c>
      <c r="U553" s="497" t="s">
        <v>538</v>
      </c>
      <c r="V553" s="648">
        <f>Data2025!V552</f>
        <v>0</v>
      </c>
      <c r="W553" s="648">
        <f>Data2025!X552</f>
        <v>0</v>
      </c>
      <c r="X553" s="497" t="s">
        <v>541</v>
      </c>
      <c r="Y553" s="268" t="str">
        <f t="shared" si="29"/>
        <v>Alat Kebersihan</v>
      </c>
      <c r="Z553" s="649" t="str">
        <f t="shared" si="30"/>
        <v>Alat Kebersihan</v>
      </c>
      <c r="AA553" s="498" t="s">
        <v>3367</v>
      </c>
      <c r="AB553" s="269">
        <v>67000</v>
      </c>
      <c r="AC553" s="269">
        <v>335000</v>
      </c>
      <c r="AD553" s="267">
        <v>335000</v>
      </c>
      <c r="AE553" s="270">
        <v>301801.80180180183</v>
      </c>
      <c r="AF553" s="270">
        <v>335000</v>
      </c>
      <c r="AG553" s="805" t="s">
        <v>3883</v>
      </c>
      <c r="AH553" s="651">
        <f>Data2025!W552</f>
        <v>0</v>
      </c>
    </row>
    <row r="554" spans="1:34" ht="16.5" thickTop="1" thickBot="1">
      <c r="A554" s="636">
        <f>Data2025!G553</f>
        <v>0</v>
      </c>
      <c r="B554" s="637">
        <f>Data2025!K553</f>
        <v>0</v>
      </c>
      <c r="C554" s="638">
        <f>Data2025!D553</f>
        <v>0</v>
      </c>
      <c r="D554" s="639">
        <f>Data2025!C553</f>
        <v>0</v>
      </c>
      <c r="E554" s="265">
        <f>Data2025!E553</f>
        <v>0</v>
      </c>
      <c r="F554" s="640">
        <f>Data2025!F553</f>
        <v>0</v>
      </c>
      <c r="G554" s="265">
        <f>Data2025!H553</f>
        <v>0</v>
      </c>
      <c r="H554" s="265">
        <f t="shared" si="28"/>
        <v>0</v>
      </c>
      <c r="I554" s="641">
        <f>Data2025!J553</f>
        <v>0</v>
      </c>
      <c r="J554" s="381">
        <f>Data2025!L553</f>
        <v>0</v>
      </c>
      <c r="K554" s="381">
        <f>Data2025!M553</f>
        <v>0</v>
      </c>
      <c r="L554" s="642">
        <f>Data2025!N553</f>
        <v>0</v>
      </c>
      <c r="M554" s="642">
        <f>Data2025!O553</f>
        <v>0</v>
      </c>
      <c r="N554" s="643">
        <f>Data2025!P553</f>
        <v>0</v>
      </c>
      <c r="O554" s="644">
        <f>Data2025!Q553</f>
        <v>0</v>
      </c>
      <c r="P554" s="645" t="s">
        <v>2609</v>
      </c>
      <c r="Q554" s="646" t="e">
        <f>VLOOKUP(K554,Sheet1!$C$1:$D$101,2,)</f>
        <v>#N/A</v>
      </c>
      <c r="R554" s="496">
        <v>205500</v>
      </c>
      <c r="S554" s="504">
        <v>235500</v>
      </c>
      <c r="T554" s="648">
        <f>Data2025!T553</f>
        <v>0</v>
      </c>
      <c r="U554" s="497" t="s">
        <v>538</v>
      </c>
      <c r="V554" s="648">
        <f>Data2025!V553</f>
        <v>0</v>
      </c>
      <c r="W554" s="648">
        <f>Data2025!X553</f>
        <v>0</v>
      </c>
      <c r="X554" s="497" t="s">
        <v>541</v>
      </c>
      <c r="Y554" s="268" t="str">
        <f t="shared" si="29"/>
        <v>Alat Kebersihan</v>
      </c>
      <c r="Z554" s="649" t="str">
        <f t="shared" si="30"/>
        <v>Alat Kebersihan</v>
      </c>
      <c r="AA554" s="498" t="s">
        <v>3363</v>
      </c>
      <c r="AB554" s="269">
        <v>13700</v>
      </c>
      <c r="AC554" s="269">
        <v>205500</v>
      </c>
      <c r="AD554" s="267">
        <v>205500</v>
      </c>
      <c r="AE554" s="270">
        <v>185135.13513513515</v>
      </c>
      <c r="AF554" s="270">
        <v>205500</v>
      </c>
      <c r="AG554" s="805" t="s">
        <v>3883</v>
      </c>
      <c r="AH554" s="651">
        <f>Data2025!W553</f>
        <v>0</v>
      </c>
    </row>
    <row r="555" spans="1:34" ht="16.5" thickTop="1" thickBot="1">
      <c r="A555" s="636">
        <f>Data2025!G554</f>
        <v>0</v>
      </c>
      <c r="B555" s="637">
        <f>Data2025!K554</f>
        <v>0</v>
      </c>
      <c r="C555" s="638">
        <f>Data2025!D554</f>
        <v>0</v>
      </c>
      <c r="D555" s="639">
        <f>Data2025!C554</f>
        <v>0</v>
      </c>
      <c r="E555" s="265">
        <f>Data2025!E554</f>
        <v>0</v>
      </c>
      <c r="F555" s="640">
        <f>Data2025!F554</f>
        <v>0</v>
      </c>
      <c r="G555" s="265">
        <f>Data2025!H554</f>
        <v>0</v>
      </c>
      <c r="H555" s="265">
        <f t="shared" si="28"/>
        <v>0</v>
      </c>
      <c r="I555" s="641">
        <f>Data2025!J554</f>
        <v>0</v>
      </c>
      <c r="J555" s="381">
        <f>Data2025!L554</f>
        <v>0</v>
      </c>
      <c r="K555" s="381">
        <f>Data2025!M554</f>
        <v>0</v>
      </c>
      <c r="L555" s="642">
        <f>Data2025!N554</f>
        <v>0</v>
      </c>
      <c r="M555" s="642">
        <f>Data2025!O554</f>
        <v>0</v>
      </c>
      <c r="N555" s="643">
        <f>Data2025!P554</f>
        <v>0</v>
      </c>
      <c r="O555" s="644">
        <f>Data2025!Q554</f>
        <v>0</v>
      </c>
      <c r="P555" s="645" t="s">
        <v>2609</v>
      </c>
      <c r="Q555" s="646" t="e">
        <f>VLOOKUP(K555,Sheet1!$C$1:$D$101,2,)</f>
        <v>#N/A</v>
      </c>
      <c r="R555" s="496">
        <v>121000</v>
      </c>
      <c r="S555" s="504">
        <v>141000</v>
      </c>
      <c r="T555" s="648">
        <f>Data2025!T554</f>
        <v>0</v>
      </c>
      <c r="U555" s="497" t="s">
        <v>538</v>
      </c>
      <c r="V555" s="648">
        <f>Data2025!V554</f>
        <v>0</v>
      </c>
      <c r="W555" s="648">
        <f>Data2025!X554</f>
        <v>0</v>
      </c>
      <c r="X555" s="497" t="s">
        <v>541</v>
      </c>
      <c r="Y555" s="268" t="str">
        <f t="shared" si="29"/>
        <v>Alat Kebersihan</v>
      </c>
      <c r="Z555" s="649" t="str">
        <f t="shared" si="30"/>
        <v>Alat Kebersihan</v>
      </c>
      <c r="AA555" s="498" t="s">
        <v>3363</v>
      </c>
      <c r="AB555" s="269">
        <v>12100</v>
      </c>
      <c r="AC555" s="269">
        <v>121000</v>
      </c>
      <c r="AD555" s="267">
        <v>121000</v>
      </c>
      <c r="AE555" s="270">
        <v>109009.00900900901</v>
      </c>
      <c r="AF555" s="270">
        <v>121000</v>
      </c>
      <c r="AG555" s="805" t="s">
        <v>3883</v>
      </c>
      <c r="AH555" s="651">
        <f>Data2025!W554</f>
        <v>0</v>
      </c>
    </row>
    <row r="556" spans="1:34" ht="16.5" thickTop="1" thickBot="1">
      <c r="A556" s="636">
        <f>Data2025!G555</f>
        <v>0</v>
      </c>
      <c r="B556" s="637">
        <f>Data2025!K555</f>
        <v>0</v>
      </c>
      <c r="C556" s="638">
        <f>Data2025!D555</f>
        <v>0</v>
      </c>
      <c r="D556" s="639">
        <f>Data2025!C555</f>
        <v>0</v>
      </c>
      <c r="E556" s="265">
        <f>Data2025!E555</f>
        <v>0</v>
      </c>
      <c r="F556" s="640">
        <f>Data2025!F555</f>
        <v>0</v>
      </c>
      <c r="G556" s="265">
        <f>Data2025!H555</f>
        <v>0</v>
      </c>
      <c r="H556" s="265">
        <f t="shared" si="28"/>
        <v>0</v>
      </c>
      <c r="I556" s="641">
        <f>Data2025!J555</f>
        <v>0</v>
      </c>
      <c r="J556" s="381">
        <f>Data2025!L555</f>
        <v>0</v>
      </c>
      <c r="K556" s="381">
        <f>Data2025!M555</f>
        <v>0</v>
      </c>
      <c r="L556" s="642">
        <f>Data2025!N555</f>
        <v>0</v>
      </c>
      <c r="M556" s="642">
        <f>Data2025!O555</f>
        <v>0</v>
      </c>
      <c r="N556" s="643">
        <f>Data2025!P555</f>
        <v>0</v>
      </c>
      <c r="O556" s="644">
        <f>Data2025!Q555</f>
        <v>0</v>
      </c>
      <c r="P556" s="645" t="s">
        <v>2609</v>
      </c>
      <c r="Q556" s="646" t="e">
        <f>VLOOKUP(K556,Sheet1!$C$1:$D$101,2,)</f>
        <v>#N/A</v>
      </c>
      <c r="R556" s="496">
        <v>45000</v>
      </c>
      <c r="S556" s="504">
        <v>51000</v>
      </c>
      <c r="T556" s="648">
        <f>Data2025!T555</f>
        <v>0</v>
      </c>
      <c r="U556" s="497" t="s">
        <v>538</v>
      </c>
      <c r="V556" s="648">
        <f>Data2025!V555</f>
        <v>0</v>
      </c>
      <c r="W556" s="648">
        <f>Data2025!X555</f>
        <v>0</v>
      </c>
      <c r="X556" s="497" t="s">
        <v>541</v>
      </c>
      <c r="Y556" s="268" t="str">
        <f t="shared" si="29"/>
        <v>Alat Kebersihan</v>
      </c>
      <c r="Z556" s="649" t="str">
        <f t="shared" si="30"/>
        <v>Alat Kebersihan</v>
      </c>
      <c r="AA556" s="498" t="s">
        <v>3363</v>
      </c>
      <c r="AB556" s="269">
        <v>15000</v>
      </c>
      <c r="AC556" s="269">
        <v>45000</v>
      </c>
      <c r="AD556" s="267">
        <v>45000</v>
      </c>
      <c r="AE556" s="270">
        <v>40540.54054054054</v>
      </c>
      <c r="AF556" s="270">
        <v>45000</v>
      </c>
      <c r="AG556" s="805" t="s">
        <v>3883</v>
      </c>
      <c r="AH556" s="651">
        <f>Data2025!W555</f>
        <v>0</v>
      </c>
    </row>
    <row r="557" spans="1:34" ht="16.5" thickTop="1" thickBot="1">
      <c r="A557" s="636">
        <f>Data2025!G556</f>
        <v>0</v>
      </c>
      <c r="B557" s="637">
        <f>Data2025!K556</f>
        <v>0</v>
      </c>
      <c r="C557" s="638">
        <f>Data2025!D556</f>
        <v>0</v>
      </c>
      <c r="D557" s="639">
        <f>Data2025!C556</f>
        <v>0</v>
      </c>
      <c r="E557" s="265">
        <f>Data2025!E556</f>
        <v>0</v>
      </c>
      <c r="F557" s="640">
        <f>Data2025!F556</f>
        <v>0</v>
      </c>
      <c r="G557" s="265">
        <f>Data2025!H556</f>
        <v>0</v>
      </c>
      <c r="H557" s="265">
        <f t="shared" si="28"/>
        <v>0</v>
      </c>
      <c r="I557" s="641">
        <f>Data2025!J556</f>
        <v>0</v>
      </c>
      <c r="J557" s="381">
        <f>Data2025!L556</f>
        <v>0</v>
      </c>
      <c r="K557" s="381">
        <f>Data2025!M556</f>
        <v>0</v>
      </c>
      <c r="L557" s="642">
        <f>Data2025!N556</f>
        <v>0</v>
      </c>
      <c r="M557" s="642">
        <f>Data2025!O556</f>
        <v>0</v>
      </c>
      <c r="N557" s="643">
        <f>Data2025!P556</f>
        <v>0</v>
      </c>
      <c r="O557" s="644">
        <f>Data2025!Q556</f>
        <v>0</v>
      </c>
      <c r="P557" s="645" t="s">
        <v>2609</v>
      </c>
      <c r="Q557" s="646" t="e">
        <f>VLOOKUP(K557,Sheet1!$C$1:$D$101,2,)</f>
        <v>#N/A</v>
      </c>
      <c r="R557" s="496">
        <v>300000</v>
      </c>
      <c r="S557" s="504">
        <v>320000</v>
      </c>
      <c r="T557" s="648">
        <f>Data2025!T556</f>
        <v>0</v>
      </c>
      <c r="U557" s="497" t="s">
        <v>538</v>
      </c>
      <c r="V557" s="648">
        <f>Data2025!V556</f>
        <v>0</v>
      </c>
      <c r="W557" s="648">
        <f>Data2025!X556</f>
        <v>0</v>
      </c>
      <c r="X557" s="497" t="s">
        <v>541</v>
      </c>
      <c r="Y557" s="268" t="str">
        <f t="shared" si="29"/>
        <v>Alat Kebersihan</v>
      </c>
      <c r="Z557" s="649" t="str">
        <f t="shared" si="30"/>
        <v>Alat Kebersihan</v>
      </c>
      <c r="AA557" s="498" t="s">
        <v>3367</v>
      </c>
      <c r="AB557" s="269">
        <v>30000</v>
      </c>
      <c r="AC557" s="269">
        <v>300000</v>
      </c>
      <c r="AD557" s="267">
        <v>300000</v>
      </c>
      <c r="AE557" s="270">
        <v>270270.2702702703</v>
      </c>
      <c r="AF557" s="270">
        <v>300000</v>
      </c>
      <c r="AG557" s="805" t="s">
        <v>3883</v>
      </c>
      <c r="AH557" s="651">
        <f>Data2025!W556</f>
        <v>0</v>
      </c>
    </row>
    <row r="558" spans="1:34" ht="16.5" thickTop="1" thickBot="1">
      <c r="A558" s="636">
        <f>Data2025!G557</f>
        <v>0</v>
      </c>
      <c r="B558" s="637">
        <f>Data2025!K557</f>
        <v>0</v>
      </c>
      <c r="C558" s="638">
        <f>Data2025!D557</f>
        <v>0</v>
      </c>
      <c r="D558" s="639">
        <f>Data2025!C557</f>
        <v>0</v>
      </c>
      <c r="E558" s="265">
        <f>Data2025!E557</f>
        <v>0</v>
      </c>
      <c r="F558" s="640">
        <f>Data2025!F557</f>
        <v>0</v>
      </c>
      <c r="G558" s="265">
        <f>Data2025!H557</f>
        <v>0</v>
      </c>
      <c r="H558" s="265">
        <f t="shared" si="28"/>
        <v>0</v>
      </c>
      <c r="I558" s="641">
        <f>Data2025!J557</f>
        <v>0</v>
      </c>
      <c r="J558" s="381">
        <f>Data2025!L557</f>
        <v>0</v>
      </c>
      <c r="K558" s="381">
        <f>Data2025!M557</f>
        <v>0</v>
      </c>
      <c r="L558" s="642">
        <f>Data2025!N557</f>
        <v>0</v>
      </c>
      <c r="M558" s="642">
        <f>Data2025!O557</f>
        <v>0</v>
      </c>
      <c r="N558" s="643">
        <f>Data2025!P557</f>
        <v>0</v>
      </c>
      <c r="O558" s="644">
        <f>Data2025!Q557</f>
        <v>0</v>
      </c>
      <c r="P558" s="645" t="s">
        <v>2609</v>
      </c>
      <c r="Q558" s="646" t="e">
        <f>VLOOKUP(K558,Sheet1!$C$1:$D$101,2,)</f>
        <v>#N/A</v>
      </c>
      <c r="R558" s="496">
        <v>60000</v>
      </c>
      <c r="S558" s="504">
        <v>70000</v>
      </c>
      <c r="T558" s="648">
        <f>Data2025!T557</f>
        <v>0</v>
      </c>
      <c r="U558" s="497" t="s">
        <v>538</v>
      </c>
      <c r="V558" s="648">
        <f>Data2025!V557</f>
        <v>0</v>
      </c>
      <c r="W558" s="648">
        <f>Data2025!X557</f>
        <v>0</v>
      </c>
      <c r="X558" s="497" t="s">
        <v>541</v>
      </c>
      <c r="Y558" s="268" t="str">
        <f t="shared" si="29"/>
        <v>Alat Kebersihan</v>
      </c>
      <c r="Z558" s="649" t="str">
        <f t="shared" si="30"/>
        <v>Alat Kebersihan</v>
      </c>
      <c r="AA558" s="498" t="s">
        <v>3363</v>
      </c>
      <c r="AB558" s="269">
        <v>12000</v>
      </c>
      <c r="AC558" s="269">
        <v>60000</v>
      </c>
      <c r="AD558" s="267">
        <v>60000</v>
      </c>
      <c r="AE558" s="270">
        <v>54054.054054054053</v>
      </c>
      <c r="AF558" s="270">
        <v>60000</v>
      </c>
      <c r="AG558" s="805" t="s">
        <v>3883</v>
      </c>
      <c r="AH558" s="651">
        <f>Data2025!W557</f>
        <v>0</v>
      </c>
    </row>
    <row r="559" spans="1:34" ht="16.5" thickTop="1" thickBot="1">
      <c r="A559" s="636">
        <f>Data2025!G558</f>
        <v>0</v>
      </c>
      <c r="B559" s="637">
        <f>Data2025!K558</f>
        <v>0</v>
      </c>
      <c r="C559" s="638">
        <f>Data2025!D558</f>
        <v>0</v>
      </c>
      <c r="D559" s="639">
        <f>Data2025!C558</f>
        <v>0</v>
      </c>
      <c r="E559" s="265">
        <f>Data2025!E558</f>
        <v>0</v>
      </c>
      <c r="F559" s="640">
        <f>Data2025!F558</f>
        <v>0</v>
      </c>
      <c r="G559" s="265">
        <f>Data2025!H558</f>
        <v>0</v>
      </c>
      <c r="H559" s="265">
        <f t="shared" si="28"/>
        <v>0</v>
      </c>
      <c r="I559" s="641">
        <f>Data2025!J558</f>
        <v>0</v>
      </c>
      <c r="J559" s="381">
        <f>Data2025!L558</f>
        <v>0</v>
      </c>
      <c r="K559" s="381">
        <f>Data2025!M558</f>
        <v>0</v>
      </c>
      <c r="L559" s="642">
        <f>Data2025!N558</f>
        <v>0</v>
      </c>
      <c r="M559" s="642">
        <f>Data2025!O558</f>
        <v>0</v>
      </c>
      <c r="N559" s="643">
        <f>Data2025!P558</f>
        <v>0</v>
      </c>
      <c r="O559" s="644">
        <f>Data2025!Q558</f>
        <v>0</v>
      </c>
      <c r="P559" s="645" t="s">
        <v>2609</v>
      </c>
      <c r="Q559" s="646" t="e">
        <f>VLOOKUP(K559,Sheet1!$C$1:$D$101,2,)</f>
        <v>#N/A</v>
      </c>
      <c r="R559" s="496">
        <v>150000</v>
      </c>
      <c r="S559" s="504">
        <v>174000</v>
      </c>
      <c r="T559" s="648">
        <f>Data2025!T558</f>
        <v>0</v>
      </c>
      <c r="U559" s="497" t="s">
        <v>538</v>
      </c>
      <c r="V559" s="648">
        <f>Data2025!V558</f>
        <v>0</v>
      </c>
      <c r="W559" s="648">
        <f>Data2025!X558</f>
        <v>0</v>
      </c>
      <c r="X559" s="497" t="s">
        <v>541</v>
      </c>
      <c r="Y559" s="268" t="str">
        <f t="shared" si="29"/>
        <v>Alat Kebersihan</v>
      </c>
      <c r="Z559" s="649" t="str">
        <f t="shared" si="30"/>
        <v>Alat Kebersihan</v>
      </c>
      <c r="AA559" s="498" t="s">
        <v>3363</v>
      </c>
      <c r="AB559" s="269">
        <v>12500</v>
      </c>
      <c r="AC559" s="269">
        <v>150000</v>
      </c>
      <c r="AD559" s="267">
        <v>150000</v>
      </c>
      <c r="AE559" s="270">
        <v>135135.13513513515</v>
      </c>
      <c r="AF559" s="270">
        <v>150000</v>
      </c>
      <c r="AG559" s="805" t="s">
        <v>3883</v>
      </c>
      <c r="AH559" s="651">
        <f>Data2025!W558</f>
        <v>0</v>
      </c>
    </row>
    <row r="560" spans="1:34" ht="16.5" thickTop="1" thickBot="1">
      <c r="A560" s="636">
        <f>Data2025!G559</f>
        <v>0</v>
      </c>
      <c r="B560" s="637">
        <f>Data2025!K559</f>
        <v>0</v>
      </c>
      <c r="C560" s="638">
        <f>Data2025!D559</f>
        <v>0</v>
      </c>
      <c r="D560" s="639">
        <f>Data2025!C559</f>
        <v>0</v>
      </c>
      <c r="E560" s="265">
        <f>Data2025!E559</f>
        <v>0</v>
      </c>
      <c r="F560" s="640">
        <f>Data2025!F559</f>
        <v>0</v>
      </c>
      <c r="G560" s="265">
        <f>Data2025!H559</f>
        <v>0</v>
      </c>
      <c r="H560" s="265">
        <f t="shared" si="28"/>
        <v>0</v>
      </c>
      <c r="I560" s="641">
        <f>Data2025!J559</f>
        <v>0</v>
      </c>
      <c r="J560" s="381">
        <f>Data2025!L559</f>
        <v>0</v>
      </c>
      <c r="K560" s="381">
        <f>Data2025!M559</f>
        <v>0</v>
      </c>
      <c r="L560" s="642">
        <f>Data2025!N559</f>
        <v>0</v>
      </c>
      <c r="M560" s="642">
        <f>Data2025!O559</f>
        <v>0</v>
      </c>
      <c r="N560" s="643">
        <f>Data2025!P559</f>
        <v>0</v>
      </c>
      <c r="O560" s="644">
        <f>Data2025!Q559</f>
        <v>0</v>
      </c>
      <c r="P560" s="645" t="s">
        <v>2609</v>
      </c>
      <c r="Q560" s="646" t="e">
        <f>VLOOKUP(K560,Sheet1!$C$1:$D$101,2,)</f>
        <v>#N/A</v>
      </c>
      <c r="R560" s="496">
        <v>60000</v>
      </c>
      <c r="S560" s="504">
        <v>70000</v>
      </c>
      <c r="T560" s="648">
        <f>Data2025!T559</f>
        <v>0</v>
      </c>
      <c r="U560" s="497" t="s">
        <v>538</v>
      </c>
      <c r="V560" s="648">
        <f>Data2025!V559</f>
        <v>0</v>
      </c>
      <c r="W560" s="648">
        <f>Data2025!X559</f>
        <v>0</v>
      </c>
      <c r="X560" s="497" t="s">
        <v>541</v>
      </c>
      <c r="Y560" s="268" t="str">
        <f t="shared" si="29"/>
        <v>Alat Kebersihan</v>
      </c>
      <c r="Z560" s="649" t="str">
        <f t="shared" si="30"/>
        <v>Alat Kebersihan</v>
      </c>
      <c r="AA560" s="498" t="s">
        <v>3363</v>
      </c>
      <c r="AB560" s="269">
        <v>12000</v>
      </c>
      <c r="AC560" s="269">
        <v>60000</v>
      </c>
      <c r="AD560" s="267">
        <v>60000</v>
      </c>
      <c r="AE560" s="270">
        <v>54054.054054054053</v>
      </c>
      <c r="AF560" s="270">
        <v>60000</v>
      </c>
      <c r="AG560" s="805" t="s">
        <v>3883</v>
      </c>
      <c r="AH560" s="651">
        <f>Data2025!W559</f>
        <v>0</v>
      </c>
    </row>
    <row r="561" spans="1:36" ht="16.5" thickTop="1" thickBot="1">
      <c r="A561" s="636">
        <f>Data2025!G560</f>
        <v>0</v>
      </c>
      <c r="B561" s="637">
        <f>Data2025!K560</f>
        <v>0</v>
      </c>
      <c r="C561" s="638">
        <f>Data2025!D560</f>
        <v>0</v>
      </c>
      <c r="D561" s="639">
        <f>Data2025!C560</f>
        <v>0</v>
      </c>
      <c r="E561" s="265">
        <f>Data2025!E560</f>
        <v>0</v>
      </c>
      <c r="F561" s="640">
        <f>Data2025!F560</f>
        <v>0</v>
      </c>
      <c r="G561" s="265">
        <f>Data2025!H560</f>
        <v>0</v>
      </c>
      <c r="H561" s="265">
        <f t="shared" si="28"/>
        <v>0</v>
      </c>
      <c r="I561" s="641">
        <f>Data2025!J560</f>
        <v>0</v>
      </c>
      <c r="J561" s="381">
        <f>Data2025!L560</f>
        <v>0</v>
      </c>
      <c r="K561" s="381">
        <f>Data2025!M560</f>
        <v>0</v>
      </c>
      <c r="L561" s="642">
        <f>Data2025!N560</f>
        <v>0</v>
      </c>
      <c r="M561" s="642">
        <f>Data2025!O560</f>
        <v>0</v>
      </c>
      <c r="N561" s="643">
        <f>Data2025!P560</f>
        <v>0</v>
      </c>
      <c r="O561" s="644">
        <f>Data2025!Q560</f>
        <v>0</v>
      </c>
      <c r="P561" s="645" t="s">
        <v>2609</v>
      </c>
      <c r="Q561" s="646" t="e">
        <f>VLOOKUP(K561,Sheet1!$C$1:$D$101,2,)</f>
        <v>#N/A</v>
      </c>
      <c r="R561" s="496">
        <v>350000</v>
      </c>
      <c r="S561" s="504">
        <v>360000</v>
      </c>
      <c r="T561" s="648">
        <f>Data2025!T560</f>
        <v>0</v>
      </c>
      <c r="U561" s="497" t="s">
        <v>538</v>
      </c>
      <c r="V561" s="648">
        <f>Data2025!V560</f>
        <v>0</v>
      </c>
      <c r="W561" s="648">
        <f>Data2025!X560</f>
        <v>0</v>
      </c>
      <c r="X561" s="497" t="s">
        <v>541</v>
      </c>
      <c r="Y561" s="268" t="str">
        <f t="shared" si="29"/>
        <v>Alat Kebersihan</v>
      </c>
      <c r="Z561" s="649" t="str">
        <f t="shared" si="30"/>
        <v>Alat Kebersihan</v>
      </c>
      <c r="AA561" s="498" t="s">
        <v>3371</v>
      </c>
      <c r="AB561" s="269">
        <v>70000</v>
      </c>
      <c r="AC561" s="269">
        <v>350000</v>
      </c>
      <c r="AD561" s="267">
        <v>350000</v>
      </c>
      <c r="AE561" s="270">
        <v>315315.31531531533</v>
      </c>
      <c r="AF561" s="270">
        <v>350000</v>
      </c>
      <c r="AG561" s="805" t="s">
        <v>3883</v>
      </c>
      <c r="AH561" s="651">
        <f>Data2025!W560</f>
        <v>0</v>
      </c>
    </row>
    <row r="562" spans="1:36" ht="16.5" thickTop="1" thickBot="1">
      <c r="A562" s="636">
        <f>Data2025!G561</f>
        <v>0</v>
      </c>
      <c r="B562" s="637">
        <f>Data2025!K561</f>
        <v>0</v>
      </c>
      <c r="C562" s="638">
        <f>Data2025!D561</f>
        <v>0</v>
      </c>
      <c r="D562" s="639">
        <f>Data2025!C561</f>
        <v>0</v>
      </c>
      <c r="E562" s="265">
        <f>Data2025!E561</f>
        <v>0</v>
      </c>
      <c r="F562" s="640">
        <f>Data2025!F561</f>
        <v>0</v>
      </c>
      <c r="G562" s="265">
        <f>Data2025!H561</f>
        <v>0</v>
      </c>
      <c r="H562" s="265">
        <f t="shared" si="28"/>
        <v>0</v>
      </c>
      <c r="I562" s="641">
        <f>Data2025!J561</f>
        <v>0</v>
      </c>
      <c r="J562" s="381">
        <f>Data2025!L561</f>
        <v>0</v>
      </c>
      <c r="K562" s="381">
        <f>Data2025!M561</f>
        <v>0</v>
      </c>
      <c r="L562" s="642">
        <f>Data2025!N561</f>
        <v>0</v>
      </c>
      <c r="M562" s="642">
        <f>Data2025!O561</f>
        <v>0</v>
      </c>
      <c r="N562" s="643">
        <f>Data2025!P561</f>
        <v>0</v>
      </c>
      <c r="O562" s="644">
        <f>Data2025!Q561</f>
        <v>0</v>
      </c>
      <c r="P562" s="645" t="s">
        <v>280</v>
      </c>
      <c r="Q562" s="646" t="e">
        <f>VLOOKUP(K562,Sheet1!$C$1:$D$101,2,)</f>
        <v>#N/A</v>
      </c>
      <c r="R562" s="267">
        <v>2625000</v>
      </c>
      <c r="S562" s="647">
        <v>1360000</v>
      </c>
      <c r="T562" s="648">
        <f>Data2025!T561</f>
        <v>0</v>
      </c>
      <c r="U562" s="268" t="s">
        <v>2531</v>
      </c>
      <c r="V562" s="648">
        <f>Data2025!V561</f>
        <v>0</v>
      </c>
      <c r="W562" s="648">
        <f>Data2025!X561</f>
        <v>0</v>
      </c>
      <c r="X562" s="268" t="s">
        <v>2529</v>
      </c>
      <c r="Y562" s="268" t="str">
        <f t="shared" si="29"/>
        <v>Kudapan</v>
      </c>
      <c r="Z562" s="649" t="str">
        <f t="shared" si="30"/>
        <v>Kudapan</v>
      </c>
      <c r="AA562" s="650" t="s">
        <v>3362</v>
      </c>
      <c r="AB562" s="269">
        <v>15000</v>
      </c>
      <c r="AC562" s="269">
        <v>1200000</v>
      </c>
      <c r="AD562" s="267">
        <v>2625000</v>
      </c>
      <c r="AE562" s="270">
        <v>2364864.8648648649</v>
      </c>
      <c r="AF562" s="270">
        <v>2625000</v>
      </c>
      <c r="AG562" s="805" t="s">
        <v>3883</v>
      </c>
      <c r="AH562" s="651">
        <f>Data2025!W561</f>
        <v>0</v>
      </c>
    </row>
    <row r="563" spans="1:36" ht="16.5" thickTop="1" thickBot="1">
      <c r="A563" s="636">
        <f>Data2025!G562</f>
        <v>0</v>
      </c>
      <c r="B563" s="637">
        <f>Data2025!K562</f>
        <v>0</v>
      </c>
      <c r="C563" s="638">
        <f>Data2025!D562</f>
        <v>0</v>
      </c>
      <c r="D563" s="639">
        <f>Data2025!C562</f>
        <v>0</v>
      </c>
      <c r="E563" s="265">
        <f>Data2025!E562</f>
        <v>0</v>
      </c>
      <c r="F563" s="640">
        <f>Data2025!F562</f>
        <v>0</v>
      </c>
      <c r="G563" s="265">
        <f>Data2025!H562</f>
        <v>0</v>
      </c>
      <c r="H563" s="265">
        <f t="shared" si="28"/>
        <v>0</v>
      </c>
      <c r="I563" s="641">
        <f>Data2025!J562</f>
        <v>0</v>
      </c>
      <c r="J563" s="381">
        <f>Data2025!L562</f>
        <v>0</v>
      </c>
      <c r="K563" s="381">
        <f>Data2025!M562</f>
        <v>0</v>
      </c>
      <c r="L563" s="642">
        <f>Data2025!N562</f>
        <v>0</v>
      </c>
      <c r="M563" s="642">
        <f>Data2025!O562</f>
        <v>0</v>
      </c>
      <c r="N563" s="643">
        <f>Data2025!P562</f>
        <v>0</v>
      </c>
      <c r="O563" s="644">
        <f>Data2025!Q562</f>
        <v>0</v>
      </c>
      <c r="P563" s="645" t="s">
        <v>8</v>
      </c>
      <c r="Q563" s="646" t="e">
        <f>VLOOKUP(K563,Sheet1!$C$1:$D$101,2,)</f>
        <v>#N/A</v>
      </c>
      <c r="R563" s="267">
        <v>2400000</v>
      </c>
      <c r="S563" s="647">
        <v>3360000</v>
      </c>
      <c r="T563" s="648">
        <f>Data2025!T562</f>
        <v>0</v>
      </c>
      <c r="U563" s="268" t="s">
        <v>2520</v>
      </c>
      <c r="V563" s="648">
        <f>Data2025!V562</f>
        <v>0</v>
      </c>
      <c r="W563" s="648">
        <f>Data2025!X562</f>
        <v>0</v>
      </c>
      <c r="X563" s="268" t="s">
        <v>3391</v>
      </c>
      <c r="Y563" s="268" t="str">
        <f t="shared" si="29"/>
        <v>Konsumsi</v>
      </c>
      <c r="Z563" s="649" t="str">
        <f t="shared" si="30"/>
        <v>Konsumsi</v>
      </c>
      <c r="AA563" s="650" t="s">
        <v>3362</v>
      </c>
      <c r="AB563" s="269">
        <v>40000</v>
      </c>
      <c r="AC563" s="269">
        <v>3200000</v>
      </c>
      <c r="AD563" s="267">
        <v>2400000</v>
      </c>
      <c r="AE563" s="270">
        <v>2162162.1621621624</v>
      </c>
      <c r="AF563" s="270">
        <v>2400000</v>
      </c>
      <c r="AG563" s="805" t="s">
        <v>3883</v>
      </c>
      <c r="AH563" s="651">
        <f>Data2025!W562</f>
        <v>0</v>
      </c>
    </row>
    <row r="564" spans="1:36" ht="16.5" thickTop="1" thickBot="1">
      <c r="A564" s="636">
        <f>Data2025!G563</f>
        <v>0</v>
      </c>
      <c r="B564" s="637">
        <f>Data2025!K563</f>
        <v>0</v>
      </c>
      <c r="C564" s="638">
        <f>Data2025!D563</f>
        <v>0</v>
      </c>
      <c r="D564" s="639">
        <f>Data2025!C563</f>
        <v>0</v>
      </c>
      <c r="E564" s="265">
        <f>Data2025!E563</f>
        <v>0</v>
      </c>
      <c r="F564" s="640">
        <f>Data2025!F563</f>
        <v>0</v>
      </c>
      <c r="G564" s="265">
        <f>Data2025!H563</f>
        <v>0</v>
      </c>
      <c r="H564" s="265">
        <f t="shared" si="28"/>
        <v>0</v>
      </c>
      <c r="I564" s="641">
        <f>Data2025!J563</f>
        <v>0</v>
      </c>
      <c r="J564" s="381">
        <f>Data2025!L563</f>
        <v>0</v>
      </c>
      <c r="K564" s="381">
        <f>Data2025!M563</f>
        <v>0</v>
      </c>
      <c r="L564" s="642">
        <f>Data2025!N563</f>
        <v>0</v>
      </c>
      <c r="M564" s="642">
        <f>Data2025!O563</f>
        <v>0</v>
      </c>
      <c r="N564" s="643">
        <f>Data2025!P563</f>
        <v>0</v>
      </c>
      <c r="O564" s="644">
        <f>Data2025!Q563</f>
        <v>0</v>
      </c>
      <c r="P564" s="645" t="s">
        <v>280</v>
      </c>
      <c r="Q564" s="646" t="e">
        <f>VLOOKUP(K564,Sheet1!$C$1:$D$101,2,)</f>
        <v>#N/A</v>
      </c>
      <c r="R564" s="267">
        <v>1800000</v>
      </c>
      <c r="S564" s="647">
        <v>2040000</v>
      </c>
      <c r="T564" s="648">
        <f>Data2025!T563</f>
        <v>0</v>
      </c>
      <c r="U564" s="268" t="s">
        <v>2531</v>
      </c>
      <c r="V564" s="648">
        <f>Data2025!V563</f>
        <v>0</v>
      </c>
      <c r="W564" s="648">
        <f>Data2025!X563</f>
        <v>0</v>
      </c>
      <c r="X564" s="268" t="s">
        <v>2529</v>
      </c>
      <c r="Y564" s="268" t="str">
        <f t="shared" si="29"/>
        <v>Kudapan</v>
      </c>
      <c r="Z564" s="649" t="str">
        <f t="shared" si="30"/>
        <v>Kudapan</v>
      </c>
      <c r="AA564" s="650" t="s">
        <v>3362</v>
      </c>
      <c r="AB564" s="269">
        <v>15000</v>
      </c>
      <c r="AC564" s="269">
        <v>1800000</v>
      </c>
      <c r="AD564" s="267">
        <v>1800000</v>
      </c>
      <c r="AE564" s="270">
        <v>1621621.6216216215</v>
      </c>
      <c r="AF564" s="270">
        <v>1800000</v>
      </c>
      <c r="AG564" s="805" t="s">
        <v>3883</v>
      </c>
      <c r="AH564" s="651">
        <f>Data2025!W563</f>
        <v>0</v>
      </c>
    </row>
    <row r="565" spans="1:36" s="287" customFormat="1" ht="16.5" thickTop="1" thickBot="1">
      <c r="A565" s="636">
        <f>Data2025!G564</f>
        <v>0</v>
      </c>
      <c r="B565" s="637">
        <f>Data2025!K564</f>
        <v>0</v>
      </c>
      <c r="C565" s="638">
        <f>Data2025!D564</f>
        <v>0</v>
      </c>
      <c r="D565" s="639">
        <f>Data2025!C564</f>
        <v>0</v>
      </c>
      <c r="E565" s="265">
        <f>Data2025!E564</f>
        <v>0</v>
      </c>
      <c r="F565" s="640">
        <f>Data2025!F564</f>
        <v>0</v>
      </c>
      <c r="G565" s="265">
        <f>Data2025!H564</f>
        <v>0</v>
      </c>
      <c r="H565" s="265">
        <f t="shared" si="28"/>
        <v>0</v>
      </c>
      <c r="I565" s="641">
        <f>Data2025!J564</f>
        <v>0</v>
      </c>
      <c r="J565" s="381">
        <f>Data2025!L564</f>
        <v>0</v>
      </c>
      <c r="K565" s="381">
        <f>Data2025!M564</f>
        <v>0</v>
      </c>
      <c r="L565" s="642">
        <f>Data2025!N564</f>
        <v>0</v>
      </c>
      <c r="M565" s="642">
        <f>Data2025!O564</f>
        <v>0</v>
      </c>
      <c r="N565" s="643">
        <f>Data2025!P564</f>
        <v>0</v>
      </c>
      <c r="O565" s="644">
        <f>Data2025!Q564</f>
        <v>0</v>
      </c>
      <c r="P565" s="645" t="s">
        <v>8</v>
      </c>
      <c r="Q565" s="646" t="e">
        <f>VLOOKUP(K565,Sheet1!$C$1:$D$101,2,)</f>
        <v>#N/A</v>
      </c>
      <c r="R565" s="267">
        <v>4800000</v>
      </c>
      <c r="S565" s="647">
        <v>5040000</v>
      </c>
      <c r="T565" s="648">
        <f>Data2025!T564</f>
        <v>0</v>
      </c>
      <c r="U565" s="268" t="s">
        <v>2520</v>
      </c>
      <c r="V565" s="648">
        <f>Data2025!V564</f>
        <v>0</v>
      </c>
      <c r="W565" s="648">
        <f>Data2025!X564</f>
        <v>0</v>
      </c>
      <c r="X565" s="268" t="s">
        <v>3391</v>
      </c>
      <c r="Y565" s="268" t="str">
        <f t="shared" si="29"/>
        <v>Konsumsi</v>
      </c>
      <c r="Z565" s="649" t="str">
        <f t="shared" si="30"/>
        <v>Konsumsi</v>
      </c>
      <c r="AA565" s="650" t="s">
        <v>3362</v>
      </c>
      <c r="AB565" s="269">
        <v>40000</v>
      </c>
      <c r="AC565" s="269">
        <v>4800000</v>
      </c>
      <c r="AD565" s="267">
        <v>4800000</v>
      </c>
      <c r="AE565" s="270">
        <v>4324324.3243243247</v>
      </c>
      <c r="AF565" s="270">
        <v>4800000</v>
      </c>
      <c r="AG565" s="805" t="s">
        <v>3883</v>
      </c>
      <c r="AH565" s="651">
        <f>Data2025!W564</f>
        <v>0</v>
      </c>
    </row>
    <row r="566" spans="1:36" s="287" customFormat="1" ht="16.5" thickTop="1" thickBot="1">
      <c r="A566" s="636">
        <f>Data2025!G565</f>
        <v>0</v>
      </c>
      <c r="B566" s="637">
        <f>Data2025!K565</f>
        <v>0</v>
      </c>
      <c r="C566" s="638">
        <f>Data2025!D565</f>
        <v>0</v>
      </c>
      <c r="D566" s="639">
        <f>Data2025!C565</f>
        <v>0</v>
      </c>
      <c r="E566" s="265">
        <f>Data2025!E565</f>
        <v>0</v>
      </c>
      <c r="F566" s="640">
        <f>Data2025!F565</f>
        <v>0</v>
      </c>
      <c r="G566" s="265">
        <f>Data2025!H565</f>
        <v>0</v>
      </c>
      <c r="H566" s="265">
        <f t="shared" si="28"/>
        <v>0</v>
      </c>
      <c r="I566" s="641">
        <f>Data2025!J565</f>
        <v>0</v>
      </c>
      <c r="J566" s="381">
        <f>Data2025!L565</f>
        <v>0</v>
      </c>
      <c r="K566" s="381">
        <f>Data2025!M565</f>
        <v>0</v>
      </c>
      <c r="L566" s="642">
        <f>Data2025!N565</f>
        <v>0</v>
      </c>
      <c r="M566" s="642">
        <f>Data2025!O565</f>
        <v>0</v>
      </c>
      <c r="N566" s="643">
        <f>Data2025!P565</f>
        <v>0</v>
      </c>
      <c r="O566" s="644">
        <f>Data2025!Q565</f>
        <v>0</v>
      </c>
      <c r="P566" s="645" t="s">
        <v>280</v>
      </c>
      <c r="Q566" s="646" t="e">
        <f>VLOOKUP(K566,Sheet1!$C$1:$D$101,2,)</f>
        <v>#N/A</v>
      </c>
      <c r="R566" s="267">
        <v>1050000</v>
      </c>
      <c r="S566" s="647">
        <v>1190000</v>
      </c>
      <c r="T566" s="648">
        <f>Data2025!T565</f>
        <v>0</v>
      </c>
      <c r="U566" s="268" t="s">
        <v>2531</v>
      </c>
      <c r="V566" s="648">
        <f>Data2025!V565</f>
        <v>0</v>
      </c>
      <c r="W566" s="648">
        <f>Data2025!X565</f>
        <v>0</v>
      </c>
      <c r="X566" s="268" t="s">
        <v>2529</v>
      </c>
      <c r="Y566" s="268" t="str">
        <f t="shared" si="29"/>
        <v>Kudapan</v>
      </c>
      <c r="Z566" s="649" t="str">
        <f t="shared" si="30"/>
        <v>Kudapan</v>
      </c>
      <c r="AA566" s="650" t="s">
        <v>3362</v>
      </c>
      <c r="AB566" s="269">
        <v>15000</v>
      </c>
      <c r="AC566" s="269">
        <v>1050000</v>
      </c>
      <c r="AD566" s="267">
        <v>1050000</v>
      </c>
      <c r="AE566" s="270">
        <v>945945.94594594592</v>
      </c>
      <c r="AF566" s="270">
        <v>1050000</v>
      </c>
      <c r="AG566" s="805" t="s">
        <v>3883</v>
      </c>
      <c r="AH566" s="651">
        <f>Data2025!W565</f>
        <v>0</v>
      </c>
    </row>
    <row r="567" spans="1:36" s="287" customFormat="1" ht="16.5" thickTop="1" thickBot="1">
      <c r="A567" s="636">
        <f>Data2025!G566</f>
        <v>0</v>
      </c>
      <c r="B567" s="637">
        <f>Data2025!K566</f>
        <v>0</v>
      </c>
      <c r="C567" s="638">
        <f>Data2025!D566</f>
        <v>0</v>
      </c>
      <c r="D567" s="639">
        <f>Data2025!C566</f>
        <v>0</v>
      </c>
      <c r="E567" s="265">
        <f>Data2025!E566</f>
        <v>0</v>
      </c>
      <c r="F567" s="640">
        <f>Data2025!F566</f>
        <v>0</v>
      </c>
      <c r="G567" s="265">
        <f>Data2025!H566</f>
        <v>0</v>
      </c>
      <c r="H567" s="265">
        <f t="shared" si="28"/>
        <v>0</v>
      </c>
      <c r="I567" s="641">
        <f>Data2025!J566</f>
        <v>0</v>
      </c>
      <c r="J567" s="381">
        <f>Data2025!L566</f>
        <v>0</v>
      </c>
      <c r="K567" s="381">
        <f>Data2025!M566</f>
        <v>0</v>
      </c>
      <c r="L567" s="642">
        <f>Data2025!N566</f>
        <v>0</v>
      </c>
      <c r="M567" s="642">
        <f>Data2025!O566</f>
        <v>0</v>
      </c>
      <c r="N567" s="643">
        <f>Data2025!P566</f>
        <v>0</v>
      </c>
      <c r="O567" s="644">
        <f>Data2025!Q566</f>
        <v>0</v>
      </c>
      <c r="P567" s="645" t="s">
        <v>8</v>
      </c>
      <c r="Q567" s="646" t="e">
        <f>VLOOKUP(K567,Sheet1!$C$1:$D$101,2,)</f>
        <v>#N/A</v>
      </c>
      <c r="R567" s="267">
        <v>2800000</v>
      </c>
      <c r="S567" s="647">
        <v>2940000</v>
      </c>
      <c r="T567" s="648">
        <f>Data2025!T566</f>
        <v>0</v>
      </c>
      <c r="U567" s="268" t="s">
        <v>2520</v>
      </c>
      <c r="V567" s="648">
        <f>Data2025!V566</f>
        <v>0</v>
      </c>
      <c r="W567" s="648">
        <f>Data2025!X566</f>
        <v>0</v>
      </c>
      <c r="X567" s="268" t="s">
        <v>3391</v>
      </c>
      <c r="Y567" s="268" t="str">
        <f t="shared" si="29"/>
        <v>Konsumsi</v>
      </c>
      <c r="Z567" s="649" t="str">
        <f t="shared" si="30"/>
        <v>Konsumsi</v>
      </c>
      <c r="AA567" s="650" t="s">
        <v>3362</v>
      </c>
      <c r="AB567" s="269">
        <v>40000</v>
      </c>
      <c r="AC567" s="269">
        <v>2800000</v>
      </c>
      <c r="AD567" s="267">
        <v>2800000</v>
      </c>
      <c r="AE567" s="270">
        <v>2522522.5225225226</v>
      </c>
      <c r="AF567" s="270">
        <v>2800000</v>
      </c>
      <c r="AG567" s="805" t="s">
        <v>3883</v>
      </c>
      <c r="AH567" s="651">
        <f>Data2025!W566</f>
        <v>0</v>
      </c>
    </row>
    <row r="568" spans="1:36" ht="16.5" thickTop="1" thickBot="1">
      <c r="A568" s="636">
        <f>Data2025!G567</f>
        <v>0</v>
      </c>
      <c r="B568" s="637">
        <f>Data2025!K567</f>
        <v>0</v>
      </c>
      <c r="C568" s="638">
        <f>Data2025!D567</f>
        <v>0</v>
      </c>
      <c r="D568" s="639">
        <f>Data2025!C567</f>
        <v>0</v>
      </c>
      <c r="E568" s="265">
        <f>Data2025!E567</f>
        <v>0</v>
      </c>
      <c r="F568" s="640">
        <f>Data2025!F567</f>
        <v>0</v>
      </c>
      <c r="G568" s="265">
        <f>Data2025!H567</f>
        <v>0</v>
      </c>
      <c r="H568" s="265">
        <f t="shared" si="28"/>
        <v>0</v>
      </c>
      <c r="I568" s="641">
        <f>Data2025!J567</f>
        <v>0</v>
      </c>
      <c r="J568" s="381">
        <f>Data2025!L567</f>
        <v>0</v>
      </c>
      <c r="K568" s="381">
        <f>Data2025!M567</f>
        <v>0</v>
      </c>
      <c r="L568" s="642">
        <f>Data2025!N567</f>
        <v>0</v>
      </c>
      <c r="M568" s="642">
        <f>Data2025!O567</f>
        <v>0</v>
      </c>
      <c r="N568" s="643">
        <f>Data2025!P567</f>
        <v>0</v>
      </c>
      <c r="O568" s="644">
        <f>Data2025!Q567</f>
        <v>0</v>
      </c>
      <c r="P568" s="645" t="s">
        <v>1545</v>
      </c>
      <c r="Q568" s="646" t="e">
        <f>VLOOKUP(K568,Sheet1!$C$1:$D$101,2,)</f>
        <v>#N/A</v>
      </c>
      <c r="R568" s="267">
        <v>1250000</v>
      </c>
      <c r="S568" s="647">
        <v>1300000</v>
      </c>
      <c r="T568" s="648">
        <f>Data2025!T567</f>
        <v>0</v>
      </c>
      <c r="U568" s="268" t="s">
        <v>2531</v>
      </c>
      <c r="V568" s="648">
        <f>Data2025!V567</f>
        <v>0</v>
      </c>
      <c r="W568" s="648">
        <f>Data2025!X567</f>
        <v>0</v>
      </c>
      <c r="X568" s="268" t="s">
        <v>2529</v>
      </c>
      <c r="Y568" s="268" t="str">
        <f t="shared" si="29"/>
        <v>Air Mineral</v>
      </c>
      <c r="Z568" s="649" t="str">
        <f t="shared" si="30"/>
        <v>Air Mineral</v>
      </c>
      <c r="AA568" s="650" t="s">
        <v>3372</v>
      </c>
      <c r="AB568" s="269">
        <v>50000</v>
      </c>
      <c r="AC568" s="269">
        <v>1250000</v>
      </c>
      <c r="AD568" s="267">
        <v>1250000</v>
      </c>
      <c r="AE568" s="270">
        <v>1126126.1261261262</v>
      </c>
      <c r="AF568" s="270">
        <v>1250000</v>
      </c>
      <c r="AG568" s="805" t="s">
        <v>3883</v>
      </c>
      <c r="AH568" s="651">
        <f>Data2025!W567</f>
        <v>0</v>
      </c>
    </row>
    <row r="569" spans="1:36" ht="16.5" thickTop="1" thickBot="1">
      <c r="A569" s="636">
        <f>Data2025!G568</f>
        <v>0</v>
      </c>
      <c r="B569" s="637">
        <f>Data2025!K568</f>
        <v>0</v>
      </c>
      <c r="C569" s="638">
        <f>Data2025!D568</f>
        <v>0</v>
      </c>
      <c r="D569" s="639">
        <f>Data2025!C568</f>
        <v>0</v>
      </c>
      <c r="E569" s="265">
        <f>Data2025!E568</f>
        <v>0</v>
      </c>
      <c r="F569" s="640">
        <f>Data2025!F568</f>
        <v>0</v>
      </c>
      <c r="G569" s="265">
        <f>Data2025!H568</f>
        <v>0</v>
      </c>
      <c r="H569" s="265">
        <f t="shared" si="28"/>
        <v>0</v>
      </c>
      <c r="I569" s="641">
        <f>Data2025!J568</f>
        <v>0</v>
      </c>
      <c r="J569" s="381">
        <f>Data2025!L568</f>
        <v>0</v>
      </c>
      <c r="K569" s="381">
        <f>Data2025!M568</f>
        <v>0</v>
      </c>
      <c r="L569" s="642">
        <f>Data2025!N568</f>
        <v>0</v>
      </c>
      <c r="M569" s="642">
        <f>Data2025!O568</f>
        <v>0</v>
      </c>
      <c r="N569" s="643">
        <f>Data2025!P568</f>
        <v>0</v>
      </c>
      <c r="O569" s="644">
        <f>Data2025!Q568</f>
        <v>0</v>
      </c>
      <c r="P569" s="645" t="s">
        <v>8</v>
      </c>
      <c r="Q569" s="646" t="e">
        <f>VLOOKUP(K569,Sheet1!$C$1:$D$101,2,)</f>
        <v>#N/A</v>
      </c>
      <c r="R569" s="267">
        <v>2400000</v>
      </c>
      <c r="S569" s="647">
        <v>3360000</v>
      </c>
      <c r="T569" s="648">
        <f>Data2025!T568</f>
        <v>0</v>
      </c>
      <c r="U569" s="268" t="s">
        <v>2520</v>
      </c>
      <c r="V569" s="648">
        <f>Data2025!V568</f>
        <v>0</v>
      </c>
      <c r="W569" s="648">
        <f>Data2025!X568</f>
        <v>0</v>
      </c>
      <c r="X569" s="268" t="s">
        <v>3391</v>
      </c>
      <c r="Y569" s="268" t="str">
        <f t="shared" si="29"/>
        <v>Konsumsi</v>
      </c>
      <c r="Z569" s="649" t="str">
        <f t="shared" si="30"/>
        <v>Konsumsi</v>
      </c>
      <c r="AA569" s="650" t="s">
        <v>3362</v>
      </c>
      <c r="AB569" s="269">
        <v>40000</v>
      </c>
      <c r="AC569" s="269">
        <v>3200000</v>
      </c>
      <c r="AD569" s="267">
        <v>2400000</v>
      </c>
      <c r="AE569" s="270">
        <v>2162162.1621621624</v>
      </c>
      <c r="AF569" s="270">
        <v>2400000</v>
      </c>
      <c r="AG569" s="805" t="s">
        <v>3883</v>
      </c>
      <c r="AH569" s="651">
        <f>Data2025!W568</f>
        <v>0</v>
      </c>
    </row>
    <row r="570" spans="1:36" ht="16.5" thickTop="1" thickBot="1">
      <c r="A570" s="636">
        <f>Data2025!G569</f>
        <v>0</v>
      </c>
      <c r="B570" s="637">
        <f>Data2025!K569</f>
        <v>0</v>
      </c>
      <c r="C570" s="638">
        <f>Data2025!D569</f>
        <v>0</v>
      </c>
      <c r="D570" s="639">
        <f>Data2025!C569</f>
        <v>0</v>
      </c>
      <c r="E570" s="265">
        <f>Data2025!E569</f>
        <v>0</v>
      </c>
      <c r="F570" s="640">
        <f>Data2025!F569</f>
        <v>0</v>
      </c>
      <c r="G570" s="265">
        <f>Data2025!H569</f>
        <v>0</v>
      </c>
      <c r="H570" s="265">
        <f t="shared" si="28"/>
        <v>0</v>
      </c>
      <c r="I570" s="641">
        <f>Data2025!J569</f>
        <v>0</v>
      </c>
      <c r="J570" s="381">
        <f>Data2025!L569</f>
        <v>0</v>
      </c>
      <c r="K570" s="381">
        <f>Data2025!M569</f>
        <v>0</v>
      </c>
      <c r="L570" s="642">
        <f>Data2025!N569</f>
        <v>0</v>
      </c>
      <c r="M570" s="642">
        <f>Data2025!O569</f>
        <v>0</v>
      </c>
      <c r="N570" s="643">
        <f>Data2025!P569</f>
        <v>0</v>
      </c>
      <c r="O570" s="644">
        <f>Data2025!Q569</f>
        <v>0</v>
      </c>
      <c r="P570" s="645" t="s">
        <v>280</v>
      </c>
      <c r="Q570" s="646" t="e">
        <f>VLOOKUP(K570,Sheet1!$C$1:$D$101,2,)</f>
        <v>#N/A</v>
      </c>
      <c r="R570" s="267">
        <v>900000</v>
      </c>
      <c r="S570" s="647">
        <v>1360000</v>
      </c>
      <c r="T570" s="648">
        <f>Data2025!T569</f>
        <v>0</v>
      </c>
      <c r="U570" s="268" t="s">
        <v>2531</v>
      </c>
      <c r="V570" s="648">
        <f>Data2025!V569</f>
        <v>0</v>
      </c>
      <c r="W570" s="648">
        <f>Data2025!X569</f>
        <v>0</v>
      </c>
      <c r="X570" s="268" t="s">
        <v>2529</v>
      </c>
      <c r="Y570" s="268" t="str">
        <f t="shared" si="29"/>
        <v>Kudapan</v>
      </c>
      <c r="Z570" s="649" t="str">
        <f t="shared" si="30"/>
        <v>Kudapan</v>
      </c>
      <c r="AA570" s="650" t="s">
        <v>3362</v>
      </c>
      <c r="AB570" s="269">
        <v>15000</v>
      </c>
      <c r="AC570" s="269">
        <v>1200000</v>
      </c>
      <c r="AD570" s="267">
        <v>900000</v>
      </c>
      <c r="AE570" s="270">
        <v>810810.81081081077</v>
      </c>
      <c r="AF570" s="270">
        <v>900000</v>
      </c>
      <c r="AG570" s="805" t="s">
        <v>3883</v>
      </c>
      <c r="AH570" s="651">
        <f>Data2025!W569</f>
        <v>0</v>
      </c>
      <c r="AI570" s="277"/>
      <c r="AJ570" s="277"/>
    </row>
    <row r="571" spans="1:36" ht="30" thickTop="1" thickBot="1">
      <c r="A571" s="636">
        <f>Data2025!G570</f>
        <v>0</v>
      </c>
      <c r="B571" s="637">
        <f>Data2025!K570</f>
        <v>0</v>
      </c>
      <c r="C571" s="638">
        <f>Data2025!D570</f>
        <v>0</v>
      </c>
      <c r="D571" s="639">
        <f>Data2025!C570</f>
        <v>0</v>
      </c>
      <c r="E571" s="265">
        <f>Data2025!E570</f>
        <v>0</v>
      </c>
      <c r="F571" s="640">
        <f>Data2025!F570</f>
        <v>0</v>
      </c>
      <c r="G571" s="265">
        <f>Data2025!H570</f>
        <v>0</v>
      </c>
      <c r="H571" s="265">
        <f t="shared" si="28"/>
        <v>0</v>
      </c>
      <c r="I571" s="641">
        <f>Data2025!J570</f>
        <v>0</v>
      </c>
      <c r="J571" s="381">
        <f>Data2025!L570</f>
        <v>0</v>
      </c>
      <c r="K571" s="381">
        <f>Data2025!M570</f>
        <v>0</v>
      </c>
      <c r="L571" s="642">
        <f>Data2025!N570</f>
        <v>0</v>
      </c>
      <c r="M571" s="642">
        <f>Data2025!O570</f>
        <v>0</v>
      </c>
      <c r="N571" s="643">
        <f>Data2025!P570</f>
        <v>0</v>
      </c>
      <c r="O571" s="644">
        <f>Data2025!Q570</f>
        <v>0</v>
      </c>
      <c r="P571" s="645" t="s">
        <v>2650</v>
      </c>
      <c r="Q571" s="646" t="e">
        <f>VLOOKUP(K571,Sheet1!$C$1:$D$101,2,)</f>
        <v>#N/A</v>
      </c>
      <c r="R571" s="267">
        <v>300000</v>
      </c>
      <c r="S571" s="647">
        <v>604000</v>
      </c>
      <c r="T571" s="648">
        <f>Data2025!T570</f>
        <v>0</v>
      </c>
      <c r="U571" s="268" t="s">
        <v>1040</v>
      </c>
      <c r="V571" s="648">
        <f>Data2025!V570</f>
        <v>0</v>
      </c>
      <c r="W571" s="648">
        <f>Data2025!X570</f>
        <v>0</v>
      </c>
      <c r="X571" s="523" t="s">
        <v>541</v>
      </c>
      <c r="Y571" s="268" t="str">
        <f t="shared" si="29"/>
        <v>Percetakan</v>
      </c>
      <c r="Z571" s="649" t="str">
        <f t="shared" si="30"/>
        <v>Percetakan</v>
      </c>
      <c r="AA571" s="650" t="s">
        <v>3363</v>
      </c>
      <c r="AB571" s="269">
        <v>300000</v>
      </c>
      <c r="AC571" s="269">
        <v>600000</v>
      </c>
      <c r="AD571" s="267">
        <v>300000</v>
      </c>
      <c r="AE571" s="270">
        <v>270270.2702702703</v>
      </c>
      <c r="AF571" s="270">
        <v>300000</v>
      </c>
      <c r="AG571" s="805" t="s">
        <v>3883</v>
      </c>
      <c r="AH571" s="651">
        <f>Data2025!W570</f>
        <v>0</v>
      </c>
    </row>
    <row r="572" spans="1:36" ht="16.5" thickTop="1" thickBot="1">
      <c r="A572" s="636">
        <f>Data2025!G571</f>
        <v>0</v>
      </c>
      <c r="B572" s="637">
        <f>Data2025!K571</f>
        <v>0</v>
      </c>
      <c r="C572" s="638">
        <f>Data2025!D571</f>
        <v>0</v>
      </c>
      <c r="D572" s="639">
        <f>Data2025!C571</f>
        <v>0</v>
      </c>
      <c r="E572" s="265">
        <f>Data2025!E571</f>
        <v>0</v>
      </c>
      <c r="F572" s="640">
        <f>Data2025!F571</f>
        <v>0</v>
      </c>
      <c r="G572" s="265">
        <f>Data2025!H571</f>
        <v>0</v>
      </c>
      <c r="H572" s="265">
        <f t="shared" si="28"/>
        <v>0</v>
      </c>
      <c r="I572" s="641">
        <f>Data2025!J571</f>
        <v>0</v>
      </c>
      <c r="J572" s="381">
        <f>Data2025!L571</f>
        <v>0</v>
      </c>
      <c r="K572" s="381">
        <f>Data2025!M571</f>
        <v>0</v>
      </c>
      <c r="L572" s="642">
        <f>Data2025!N571</f>
        <v>0</v>
      </c>
      <c r="M572" s="642">
        <f>Data2025!O571</f>
        <v>0</v>
      </c>
      <c r="N572" s="643">
        <f>Data2025!P571</f>
        <v>0</v>
      </c>
      <c r="O572" s="644">
        <f>Data2025!Q571</f>
        <v>0</v>
      </c>
      <c r="P572" s="645" t="s">
        <v>2664</v>
      </c>
      <c r="Q572" s="646" t="e">
        <f>VLOOKUP(K572,Sheet1!$C$1:$D$101,2,)</f>
        <v>#N/A</v>
      </c>
      <c r="R572" s="267">
        <v>1742920</v>
      </c>
      <c r="S572" s="647">
        <v>2002000</v>
      </c>
      <c r="T572" s="648">
        <f>Data2025!T571</f>
        <v>0</v>
      </c>
      <c r="U572" s="268" t="s">
        <v>538</v>
      </c>
      <c r="V572" s="648">
        <f>Data2025!V571</f>
        <v>0</v>
      </c>
      <c r="W572" s="648">
        <f>Data2025!X571</f>
        <v>0</v>
      </c>
      <c r="X572" s="268" t="s">
        <v>540</v>
      </c>
      <c r="Y572" s="268" t="str">
        <f t="shared" si="29"/>
        <v>Jasa PLN</v>
      </c>
      <c r="Z572" s="649" t="str">
        <f t="shared" si="30"/>
        <v>Jasa PLN</v>
      </c>
      <c r="AA572" s="650" t="s">
        <v>3373</v>
      </c>
      <c r="AB572" s="269">
        <v>2000000</v>
      </c>
      <c r="AC572" s="269">
        <v>2000000</v>
      </c>
      <c r="AD572" s="267">
        <v>1742920</v>
      </c>
      <c r="AE572" s="270">
        <v>1570198.1981981981</v>
      </c>
      <c r="AF572" s="270">
        <v>1742920</v>
      </c>
      <c r="AG572" s="805" t="s">
        <v>3883</v>
      </c>
      <c r="AH572" s="651">
        <f>Data2025!W571</f>
        <v>0</v>
      </c>
    </row>
    <row r="573" spans="1:36" ht="16.5" thickTop="1" thickBot="1">
      <c r="A573" s="636">
        <f>Data2025!G572</f>
        <v>0</v>
      </c>
      <c r="B573" s="637">
        <f>Data2025!K572</f>
        <v>0</v>
      </c>
      <c r="C573" s="638">
        <f>Data2025!D572</f>
        <v>0</v>
      </c>
      <c r="D573" s="639">
        <f>Data2025!C572</f>
        <v>0</v>
      </c>
      <c r="E573" s="265">
        <f>Data2025!E572</f>
        <v>0</v>
      </c>
      <c r="F573" s="640">
        <f>Data2025!F572</f>
        <v>0</v>
      </c>
      <c r="G573" s="265">
        <f>Data2025!H572</f>
        <v>0</v>
      </c>
      <c r="H573" s="265">
        <f t="shared" si="28"/>
        <v>0</v>
      </c>
      <c r="I573" s="641">
        <f>Data2025!J572</f>
        <v>0</v>
      </c>
      <c r="J573" s="381">
        <f>Data2025!L572</f>
        <v>0</v>
      </c>
      <c r="K573" s="381">
        <f>Data2025!M572</f>
        <v>0</v>
      </c>
      <c r="L573" s="642">
        <f>Data2025!N572</f>
        <v>0</v>
      </c>
      <c r="M573" s="642">
        <f>Data2025!O572</f>
        <v>0</v>
      </c>
      <c r="N573" s="643">
        <f>Data2025!P572</f>
        <v>0</v>
      </c>
      <c r="O573" s="644">
        <f>Data2025!Q572</f>
        <v>0</v>
      </c>
      <c r="P573" s="645" t="s">
        <v>2668</v>
      </c>
      <c r="Q573" s="646" t="e">
        <f>VLOOKUP(K573,Sheet1!$C$1:$D$101,2,)</f>
        <v>#N/A</v>
      </c>
      <c r="R573" s="267">
        <v>1206850</v>
      </c>
      <c r="S573" s="647">
        <v>1502000</v>
      </c>
      <c r="T573" s="648">
        <f>Data2025!T572</f>
        <v>0</v>
      </c>
      <c r="U573" s="268" t="s">
        <v>538</v>
      </c>
      <c r="V573" s="648">
        <f>Data2025!V572</f>
        <v>0</v>
      </c>
      <c r="W573" s="648">
        <f>Data2025!X572</f>
        <v>0</v>
      </c>
      <c r="X573" s="268" t="s">
        <v>540</v>
      </c>
      <c r="Y573" s="268" t="str">
        <f t="shared" si="29"/>
        <v>Jasa Internet</v>
      </c>
      <c r="Z573" s="649" t="str">
        <f t="shared" si="30"/>
        <v>Jasa Internet</v>
      </c>
      <c r="AA573" s="650" t="s">
        <v>3373</v>
      </c>
      <c r="AB573" s="269">
        <v>1500000</v>
      </c>
      <c r="AC573" s="269">
        <v>1500000</v>
      </c>
      <c r="AD573" s="267">
        <v>1206850</v>
      </c>
      <c r="AE573" s="270">
        <v>1087252.2522522523</v>
      </c>
      <c r="AF573" s="270">
        <v>1206850</v>
      </c>
      <c r="AG573" s="805" t="s">
        <v>3883</v>
      </c>
      <c r="AH573" s="651">
        <f>Data2025!W572</f>
        <v>0</v>
      </c>
    </row>
    <row r="574" spans="1:36" ht="16.5" thickTop="1" thickBot="1">
      <c r="A574" s="636">
        <f>Data2025!G573</f>
        <v>0</v>
      </c>
      <c r="B574" s="637">
        <f>Data2025!K573</f>
        <v>0</v>
      </c>
      <c r="C574" s="638">
        <f>Data2025!D573</f>
        <v>0</v>
      </c>
      <c r="D574" s="639">
        <f>Data2025!C573</f>
        <v>0</v>
      </c>
      <c r="E574" s="265">
        <f>Data2025!E573</f>
        <v>0</v>
      </c>
      <c r="F574" s="640">
        <f>Data2025!F573</f>
        <v>0</v>
      </c>
      <c r="G574" s="265">
        <f>Data2025!H573</f>
        <v>0</v>
      </c>
      <c r="H574" s="265">
        <f t="shared" si="28"/>
        <v>0</v>
      </c>
      <c r="I574" s="641">
        <f>Data2025!J573</f>
        <v>0</v>
      </c>
      <c r="J574" s="381">
        <f>Data2025!L573</f>
        <v>0</v>
      </c>
      <c r="K574" s="381">
        <f>Data2025!M573</f>
        <v>0</v>
      </c>
      <c r="L574" s="642">
        <f>Data2025!N573</f>
        <v>0</v>
      </c>
      <c r="M574" s="642">
        <f>Data2025!O573</f>
        <v>0</v>
      </c>
      <c r="N574" s="643">
        <f>Data2025!P573</f>
        <v>0</v>
      </c>
      <c r="O574" s="644">
        <f>Data2025!Q573</f>
        <v>0</v>
      </c>
      <c r="P574" s="645" t="s">
        <v>2682</v>
      </c>
      <c r="Q574" s="646" t="e">
        <f>VLOOKUP(K574,Sheet1!$C$1:$D$101,2,)</f>
        <v>#N/A</v>
      </c>
      <c r="R574" s="496">
        <v>2475000</v>
      </c>
      <c r="S574" s="504">
        <v>2541000</v>
      </c>
      <c r="T574" s="648">
        <f>Data2025!T573</f>
        <v>0</v>
      </c>
      <c r="U574" s="268" t="s">
        <v>538</v>
      </c>
      <c r="V574" s="648">
        <f>Data2025!V573</f>
        <v>0</v>
      </c>
      <c r="W574" s="648">
        <f>Data2025!X573</f>
        <v>0</v>
      </c>
      <c r="X574" s="268" t="s">
        <v>540</v>
      </c>
      <c r="Y574" s="268" t="str">
        <f t="shared" si="29"/>
        <v>Jasa Tenaga Pengajar</v>
      </c>
      <c r="Z574" s="649" t="str">
        <f t="shared" si="30"/>
        <v>Jasa Tenaga Pengajar</v>
      </c>
      <c r="AA574" s="498" t="s">
        <v>3374</v>
      </c>
      <c r="AB574" s="269">
        <v>75000</v>
      </c>
      <c r="AC574" s="269">
        <v>2475000</v>
      </c>
      <c r="AD574" s="267">
        <v>2475000</v>
      </c>
      <c r="AE574" s="270">
        <v>2229729.7297297297</v>
      </c>
      <c r="AF574" s="270">
        <v>2475000</v>
      </c>
      <c r="AG574" s="805" t="s">
        <v>3883</v>
      </c>
      <c r="AH574" s="651">
        <f>Data2025!W573</f>
        <v>0</v>
      </c>
    </row>
    <row r="575" spans="1:36" ht="16.5" thickTop="1" thickBot="1">
      <c r="A575" s="636">
        <f>Data2025!G574</f>
        <v>0</v>
      </c>
      <c r="B575" s="637">
        <f>Data2025!K574</f>
        <v>0</v>
      </c>
      <c r="C575" s="638">
        <f>Data2025!D574</f>
        <v>0</v>
      </c>
      <c r="D575" s="639">
        <f>Data2025!C574</f>
        <v>0</v>
      </c>
      <c r="E575" s="265">
        <f>Data2025!E574</f>
        <v>0</v>
      </c>
      <c r="F575" s="640">
        <f>Data2025!F574</f>
        <v>0</v>
      </c>
      <c r="G575" s="265">
        <f>Data2025!H574</f>
        <v>0</v>
      </c>
      <c r="H575" s="265">
        <f t="shared" si="28"/>
        <v>0</v>
      </c>
      <c r="I575" s="641">
        <f>Data2025!J574</f>
        <v>0</v>
      </c>
      <c r="J575" s="381">
        <f>Data2025!L574</f>
        <v>0</v>
      </c>
      <c r="K575" s="381">
        <f>Data2025!M574</f>
        <v>0</v>
      </c>
      <c r="L575" s="642">
        <f>Data2025!N574</f>
        <v>0</v>
      </c>
      <c r="M575" s="642">
        <f>Data2025!O574</f>
        <v>0</v>
      </c>
      <c r="N575" s="643">
        <f>Data2025!P574</f>
        <v>0</v>
      </c>
      <c r="O575" s="644">
        <f>Data2025!Q574</f>
        <v>0</v>
      </c>
      <c r="P575" s="645" t="s">
        <v>2682</v>
      </c>
      <c r="Q575" s="646" t="e">
        <f>VLOOKUP(K575,Sheet1!$C$1:$D$101,2,)</f>
        <v>#N/A</v>
      </c>
      <c r="R575" s="496">
        <v>2550000</v>
      </c>
      <c r="S575" s="504">
        <v>2618000</v>
      </c>
      <c r="T575" s="648">
        <f>Data2025!T574</f>
        <v>0</v>
      </c>
      <c r="U575" s="268" t="s">
        <v>538</v>
      </c>
      <c r="V575" s="648">
        <f>Data2025!V574</f>
        <v>0</v>
      </c>
      <c r="W575" s="648">
        <f>Data2025!X574</f>
        <v>0</v>
      </c>
      <c r="X575" s="268" t="s">
        <v>540</v>
      </c>
      <c r="Y575" s="268" t="str">
        <f t="shared" si="29"/>
        <v>Jasa Tenaga Pengajar</v>
      </c>
      <c r="Z575" s="649" t="str">
        <f t="shared" si="30"/>
        <v>Jasa Tenaga Pengajar</v>
      </c>
      <c r="AA575" s="498" t="s">
        <v>3374</v>
      </c>
      <c r="AB575" s="269">
        <v>75000</v>
      </c>
      <c r="AC575" s="269">
        <v>2550000</v>
      </c>
      <c r="AD575" s="267">
        <v>2550000</v>
      </c>
      <c r="AE575" s="270">
        <v>2297297.2972972975</v>
      </c>
      <c r="AF575" s="270">
        <v>2550000</v>
      </c>
      <c r="AG575" s="805" t="s">
        <v>3883</v>
      </c>
      <c r="AH575" s="651">
        <f>Data2025!W574</f>
        <v>0</v>
      </c>
    </row>
    <row r="576" spans="1:36" ht="16.5" thickTop="1" thickBot="1">
      <c r="A576" s="636">
        <f>Data2025!G575</f>
        <v>0</v>
      </c>
      <c r="B576" s="637">
        <f>Data2025!K575</f>
        <v>0</v>
      </c>
      <c r="C576" s="638">
        <f>Data2025!D575</f>
        <v>0</v>
      </c>
      <c r="D576" s="639">
        <f>Data2025!C575</f>
        <v>0</v>
      </c>
      <c r="E576" s="265">
        <f>Data2025!E575</f>
        <v>0</v>
      </c>
      <c r="F576" s="640">
        <f>Data2025!F575</f>
        <v>0</v>
      </c>
      <c r="G576" s="265">
        <f>Data2025!H575</f>
        <v>0</v>
      </c>
      <c r="H576" s="265">
        <f t="shared" si="28"/>
        <v>0</v>
      </c>
      <c r="I576" s="641">
        <f>Data2025!J575</f>
        <v>0</v>
      </c>
      <c r="J576" s="381">
        <f>Data2025!L575</f>
        <v>0</v>
      </c>
      <c r="K576" s="381">
        <f>Data2025!M575</f>
        <v>0</v>
      </c>
      <c r="L576" s="642">
        <f>Data2025!N575</f>
        <v>0</v>
      </c>
      <c r="M576" s="642">
        <f>Data2025!O575</f>
        <v>0</v>
      </c>
      <c r="N576" s="643">
        <f>Data2025!P575</f>
        <v>0</v>
      </c>
      <c r="O576" s="644">
        <f>Data2025!Q575</f>
        <v>0</v>
      </c>
      <c r="P576" s="645" t="s">
        <v>2682</v>
      </c>
      <c r="Q576" s="646" t="e">
        <f>VLOOKUP(K576,Sheet1!$C$1:$D$101,2,)</f>
        <v>#N/A</v>
      </c>
      <c r="R576" s="496">
        <v>2250000</v>
      </c>
      <c r="S576" s="504">
        <v>2310000</v>
      </c>
      <c r="T576" s="648">
        <f>Data2025!T575</f>
        <v>0</v>
      </c>
      <c r="U576" s="268" t="s">
        <v>538</v>
      </c>
      <c r="V576" s="648">
        <f>Data2025!V575</f>
        <v>0</v>
      </c>
      <c r="W576" s="648">
        <f>Data2025!X575</f>
        <v>0</v>
      </c>
      <c r="X576" s="268" t="s">
        <v>540</v>
      </c>
      <c r="Y576" s="268" t="str">
        <f t="shared" si="29"/>
        <v>Jasa Tenaga Pengajar</v>
      </c>
      <c r="Z576" s="649" t="str">
        <f t="shared" si="30"/>
        <v>Jasa Tenaga Pengajar</v>
      </c>
      <c r="AA576" s="498" t="s">
        <v>3374</v>
      </c>
      <c r="AB576" s="269">
        <v>75000</v>
      </c>
      <c r="AC576" s="269">
        <v>2250000</v>
      </c>
      <c r="AD576" s="267">
        <v>2250000</v>
      </c>
      <c r="AE576" s="270">
        <v>2027027.027027027</v>
      </c>
      <c r="AF576" s="270">
        <v>2250000</v>
      </c>
      <c r="AG576" s="805" t="s">
        <v>3883</v>
      </c>
      <c r="AH576" s="651">
        <f>Data2025!W575</f>
        <v>0</v>
      </c>
      <c r="AI576" s="277"/>
      <c r="AJ576" s="277"/>
    </row>
    <row r="577" spans="1:36" ht="16.5" thickTop="1" thickBot="1">
      <c r="A577" s="636">
        <f>Data2025!G576</f>
        <v>0</v>
      </c>
      <c r="B577" s="637">
        <f>Data2025!K576</f>
        <v>0</v>
      </c>
      <c r="C577" s="638">
        <f>Data2025!D576</f>
        <v>0</v>
      </c>
      <c r="D577" s="639">
        <f>Data2025!C576</f>
        <v>0</v>
      </c>
      <c r="E577" s="265">
        <f>Data2025!E576</f>
        <v>0</v>
      </c>
      <c r="F577" s="640">
        <f>Data2025!F576</f>
        <v>0</v>
      </c>
      <c r="G577" s="265">
        <f>Data2025!H576</f>
        <v>0</v>
      </c>
      <c r="H577" s="265">
        <f t="shared" si="28"/>
        <v>0</v>
      </c>
      <c r="I577" s="641">
        <f>Data2025!J576</f>
        <v>0</v>
      </c>
      <c r="J577" s="381">
        <f>Data2025!L576</f>
        <v>0</v>
      </c>
      <c r="K577" s="381">
        <f>Data2025!M576</f>
        <v>0</v>
      </c>
      <c r="L577" s="642">
        <f>Data2025!N576</f>
        <v>0</v>
      </c>
      <c r="M577" s="642">
        <f>Data2025!O576</f>
        <v>0</v>
      </c>
      <c r="N577" s="643">
        <f>Data2025!P576</f>
        <v>0</v>
      </c>
      <c r="O577" s="644">
        <f>Data2025!Q576</f>
        <v>0</v>
      </c>
      <c r="P577" s="645" t="s">
        <v>2682</v>
      </c>
      <c r="Q577" s="646" t="e">
        <f>VLOOKUP(K577,Sheet1!$C$1:$D$101,2,)</f>
        <v>#N/A</v>
      </c>
      <c r="R577" s="496">
        <v>2475000</v>
      </c>
      <c r="S577" s="504">
        <v>2541000</v>
      </c>
      <c r="T577" s="648">
        <f>Data2025!T576</f>
        <v>0</v>
      </c>
      <c r="U577" s="268" t="s">
        <v>538</v>
      </c>
      <c r="V577" s="648">
        <f>Data2025!V576</f>
        <v>0</v>
      </c>
      <c r="W577" s="648">
        <f>Data2025!X576</f>
        <v>0</v>
      </c>
      <c r="X577" s="268" t="s">
        <v>540</v>
      </c>
      <c r="Y577" s="268" t="str">
        <f t="shared" si="29"/>
        <v>Jasa Tenaga Pengajar</v>
      </c>
      <c r="Z577" s="649" t="str">
        <f t="shared" si="30"/>
        <v>Jasa Tenaga Pengajar</v>
      </c>
      <c r="AA577" s="498" t="s">
        <v>3374</v>
      </c>
      <c r="AB577" s="269">
        <v>75000</v>
      </c>
      <c r="AC577" s="269">
        <v>2475000</v>
      </c>
      <c r="AD577" s="267">
        <v>2475000</v>
      </c>
      <c r="AE577" s="270">
        <v>2229729.7297297297</v>
      </c>
      <c r="AF577" s="270">
        <v>2475000</v>
      </c>
      <c r="AG577" s="805" t="s">
        <v>3883</v>
      </c>
      <c r="AH577" s="651">
        <f>Data2025!W576</f>
        <v>0</v>
      </c>
    </row>
    <row r="578" spans="1:36" ht="16.5" thickTop="1" thickBot="1">
      <c r="A578" s="636">
        <f>Data2025!G577</f>
        <v>0</v>
      </c>
      <c r="B578" s="637">
        <f>Data2025!K577</f>
        <v>0</v>
      </c>
      <c r="C578" s="638">
        <f>Data2025!D577</f>
        <v>0</v>
      </c>
      <c r="D578" s="639">
        <f>Data2025!C577</f>
        <v>0</v>
      </c>
      <c r="E578" s="265">
        <f>Data2025!E577</f>
        <v>0</v>
      </c>
      <c r="F578" s="640">
        <f>Data2025!F577</f>
        <v>0</v>
      </c>
      <c r="G578" s="265">
        <f>Data2025!H577</f>
        <v>0</v>
      </c>
      <c r="H578" s="265">
        <f t="shared" si="28"/>
        <v>0</v>
      </c>
      <c r="I578" s="641">
        <f>Data2025!J577</f>
        <v>0</v>
      </c>
      <c r="J578" s="381">
        <f>Data2025!L577</f>
        <v>0</v>
      </c>
      <c r="K578" s="381">
        <f>Data2025!M577</f>
        <v>0</v>
      </c>
      <c r="L578" s="642">
        <f>Data2025!N577</f>
        <v>0</v>
      </c>
      <c r="M578" s="642">
        <f>Data2025!O577</f>
        <v>0</v>
      </c>
      <c r="N578" s="643">
        <f>Data2025!P577</f>
        <v>0</v>
      </c>
      <c r="O578" s="644">
        <f>Data2025!Q577</f>
        <v>0</v>
      </c>
      <c r="P578" s="645" t="s">
        <v>2682</v>
      </c>
      <c r="Q578" s="646" t="e">
        <f>VLOOKUP(K578,Sheet1!$C$1:$D$101,2,)</f>
        <v>#N/A</v>
      </c>
      <c r="R578" s="496">
        <v>2100000</v>
      </c>
      <c r="S578" s="504">
        <v>2156000</v>
      </c>
      <c r="T578" s="648">
        <f>Data2025!T577</f>
        <v>0</v>
      </c>
      <c r="U578" s="268" t="s">
        <v>538</v>
      </c>
      <c r="V578" s="648">
        <f>Data2025!V577</f>
        <v>0</v>
      </c>
      <c r="W578" s="648">
        <f>Data2025!X577</f>
        <v>0</v>
      </c>
      <c r="X578" s="268" t="s">
        <v>540</v>
      </c>
      <c r="Y578" s="268" t="str">
        <f t="shared" si="29"/>
        <v>Jasa Tenaga Pengajar</v>
      </c>
      <c r="Z578" s="649" t="str">
        <f t="shared" si="30"/>
        <v>Jasa Tenaga Pengajar</v>
      </c>
      <c r="AA578" s="498" t="s">
        <v>3374</v>
      </c>
      <c r="AB578" s="269">
        <v>75000</v>
      </c>
      <c r="AC578" s="269">
        <v>2100000</v>
      </c>
      <c r="AD578" s="267">
        <v>2100000</v>
      </c>
      <c r="AE578" s="270">
        <v>1891891.8918918918</v>
      </c>
      <c r="AF578" s="270">
        <v>2100000</v>
      </c>
      <c r="AG578" s="805" t="s">
        <v>3883</v>
      </c>
      <c r="AH578" s="651">
        <f>Data2025!W577</f>
        <v>0</v>
      </c>
    </row>
    <row r="579" spans="1:36" ht="16.5" thickTop="1" thickBot="1">
      <c r="A579" s="636">
        <f>Data2025!G578</f>
        <v>0</v>
      </c>
      <c r="B579" s="637">
        <f>Data2025!K578</f>
        <v>0</v>
      </c>
      <c r="C579" s="638">
        <f>Data2025!D578</f>
        <v>0</v>
      </c>
      <c r="D579" s="639">
        <f>Data2025!C578</f>
        <v>0</v>
      </c>
      <c r="E579" s="265">
        <f>Data2025!E578</f>
        <v>0</v>
      </c>
      <c r="F579" s="640">
        <f>Data2025!F578</f>
        <v>0</v>
      </c>
      <c r="G579" s="265">
        <f>Data2025!H578</f>
        <v>0</v>
      </c>
      <c r="H579" s="265">
        <f t="shared" si="28"/>
        <v>0</v>
      </c>
      <c r="I579" s="641">
        <f>Data2025!J578</f>
        <v>0</v>
      </c>
      <c r="J579" s="381">
        <f>Data2025!L578</f>
        <v>0</v>
      </c>
      <c r="K579" s="381">
        <f>Data2025!M578</f>
        <v>0</v>
      </c>
      <c r="L579" s="642">
        <f>Data2025!N578</f>
        <v>0</v>
      </c>
      <c r="M579" s="642">
        <f>Data2025!O578</f>
        <v>0</v>
      </c>
      <c r="N579" s="643">
        <f>Data2025!P578</f>
        <v>0</v>
      </c>
      <c r="O579" s="644">
        <f>Data2025!Q578</f>
        <v>0</v>
      </c>
      <c r="P579" s="645" t="s">
        <v>2682</v>
      </c>
      <c r="Q579" s="646" t="e">
        <f>VLOOKUP(K579,Sheet1!$C$1:$D$101,2,)</f>
        <v>#N/A</v>
      </c>
      <c r="R579" s="496">
        <v>2475000</v>
      </c>
      <c r="S579" s="504">
        <v>2541000</v>
      </c>
      <c r="T579" s="648">
        <f>Data2025!T578</f>
        <v>0</v>
      </c>
      <c r="U579" s="268" t="s">
        <v>538</v>
      </c>
      <c r="V579" s="648">
        <f>Data2025!V578</f>
        <v>0</v>
      </c>
      <c r="W579" s="648">
        <f>Data2025!X578</f>
        <v>0</v>
      </c>
      <c r="X579" s="268" t="s">
        <v>540</v>
      </c>
      <c r="Y579" s="268" t="str">
        <f t="shared" si="29"/>
        <v>Jasa Tenaga Pengajar</v>
      </c>
      <c r="Z579" s="649" t="str">
        <f t="shared" si="30"/>
        <v>Jasa Tenaga Pengajar</v>
      </c>
      <c r="AA579" s="498" t="s">
        <v>3374</v>
      </c>
      <c r="AB579" s="269">
        <v>75000</v>
      </c>
      <c r="AC579" s="269">
        <v>2475000</v>
      </c>
      <c r="AD579" s="267">
        <v>2475000</v>
      </c>
      <c r="AE579" s="270">
        <v>2229729.7297297297</v>
      </c>
      <c r="AF579" s="270">
        <v>2475000</v>
      </c>
      <c r="AG579" s="805" t="s">
        <v>3883</v>
      </c>
      <c r="AH579" s="651">
        <f>Data2025!W578</f>
        <v>0</v>
      </c>
    </row>
    <row r="580" spans="1:36" ht="16.5" thickTop="1" thickBot="1">
      <c r="A580" s="636">
        <f>Data2025!G579</f>
        <v>0</v>
      </c>
      <c r="B580" s="637">
        <f>Data2025!K579</f>
        <v>0</v>
      </c>
      <c r="C580" s="638">
        <f>Data2025!D579</f>
        <v>0</v>
      </c>
      <c r="D580" s="639">
        <f>Data2025!C579</f>
        <v>0</v>
      </c>
      <c r="E580" s="265">
        <f>Data2025!E579</f>
        <v>0</v>
      </c>
      <c r="F580" s="640">
        <f>Data2025!F579</f>
        <v>0</v>
      </c>
      <c r="G580" s="265">
        <f>Data2025!H579</f>
        <v>0</v>
      </c>
      <c r="H580" s="265">
        <f t="shared" si="28"/>
        <v>0</v>
      </c>
      <c r="I580" s="641">
        <f>Data2025!J579</f>
        <v>0</v>
      </c>
      <c r="J580" s="381">
        <f>Data2025!L579</f>
        <v>0</v>
      </c>
      <c r="K580" s="381">
        <f>Data2025!M579</f>
        <v>0</v>
      </c>
      <c r="L580" s="642">
        <f>Data2025!N579</f>
        <v>0</v>
      </c>
      <c r="M580" s="642">
        <f>Data2025!O579</f>
        <v>0</v>
      </c>
      <c r="N580" s="643">
        <f>Data2025!P579</f>
        <v>0</v>
      </c>
      <c r="O580" s="644">
        <f>Data2025!Q579</f>
        <v>0</v>
      </c>
      <c r="P580" s="645" t="s">
        <v>2699</v>
      </c>
      <c r="Q580" s="646" t="e">
        <f>VLOOKUP(K580,Sheet1!$C$1:$D$101,2,)</f>
        <v>#N/A</v>
      </c>
      <c r="R580" s="496">
        <v>2000000</v>
      </c>
      <c r="S580" s="504">
        <v>2002000</v>
      </c>
      <c r="T580" s="648">
        <f>Data2025!T579</f>
        <v>0</v>
      </c>
      <c r="U580" s="268" t="s">
        <v>538</v>
      </c>
      <c r="V580" s="648">
        <f>Data2025!V579</f>
        <v>0</v>
      </c>
      <c r="W580" s="648">
        <f>Data2025!X579</f>
        <v>0</v>
      </c>
      <c r="X580" s="268" t="s">
        <v>540</v>
      </c>
      <c r="Y580" s="268" t="str">
        <f t="shared" si="29"/>
        <v>Jasa Tenaga TU</v>
      </c>
      <c r="Z580" s="649" t="str">
        <f t="shared" si="30"/>
        <v>Jasa Tenaga TU</v>
      </c>
      <c r="AA580" s="498" t="s">
        <v>3373</v>
      </c>
      <c r="AB580" s="269">
        <v>2000000</v>
      </c>
      <c r="AC580" s="269">
        <v>2000000</v>
      </c>
      <c r="AD580" s="267">
        <v>2000000</v>
      </c>
      <c r="AE580" s="270">
        <v>1801801.8018018019</v>
      </c>
      <c r="AF580" s="270">
        <v>2000000</v>
      </c>
      <c r="AG580" s="805" t="s">
        <v>3883</v>
      </c>
      <c r="AH580" s="651">
        <f>Data2025!W579</f>
        <v>0</v>
      </c>
    </row>
    <row r="581" spans="1:36" ht="16.5" thickTop="1" thickBot="1">
      <c r="A581" s="636">
        <f>Data2025!G580</f>
        <v>0</v>
      </c>
      <c r="B581" s="637">
        <f>Data2025!K580</f>
        <v>0</v>
      </c>
      <c r="C581" s="638">
        <f>Data2025!D580</f>
        <v>0</v>
      </c>
      <c r="D581" s="639">
        <f>Data2025!C580</f>
        <v>0</v>
      </c>
      <c r="E581" s="265">
        <f>Data2025!E580</f>
        <v>0</v>
      </c>
      <c r="F581" s="640">
        <f>Data2025!F580</f>
        <v>0</v>
      </c>
      <c r="G581" s="265">
        <f>Data2025!H580</f>
        <v>0</v>
      </c>
      <c r="H581" s="265">
        <f t="shared" ref="H581:H644" si="31">G581</f>
        <v>0</v>
      </c>
      <c r="I581" s="641">
        <f>Data2025!J580</f>
        <v>0</v>
      </c>
      <c r="J581" s="381">
        <f>Data2025!L580</f>
        <v>0</v>
      </c>
      <c r="K581" s="381">
        <f>Data2025!M580</f>
        <v>0</v>
      </c>
      <c r="L581" s="642">
        <f>Data2025!N580</f>
        <v>0</v>
      </c>
      <c r="M581" s="642">
        <f>Data2025!O580</f>
        <v>0</v>
      </c>
      <c r="N581" s="643">
        <f>Data2025!P580</f>
        <v>0</v>
      </c>
      <c r="O581" s="644">
        <f>Data2025!Q580</f>
        <v>0</v>
      </c>
      <c r="P581" s="645" t="s">
        <v>2699</v>
      </c>
      <c r="Q581" s="646" t="e">
        <f>VLOOKUP(K581,Sheet1!$C$1:$D$101,2,)</f>
        <v>#N/A</v>
      </c>
      <c r="R581" s="496">
        <v>2000000</v>
      </c>
      <c r="S581" s="504">
        <v>2002000</v>
      </c>
      <c r="T581" s="648">
        <f>Data2025!T580</f>
        <v>0</v>
      </c>
      <c r="U581" s="268" t="s">
        <v>538</v>
      </c>
      <c r="V581" s="648">
        <f>Data2025!V580</f>
        <v>0</v>
      </c>
      <c r="W581" s="648">
        <f>Data2025!X580</f>
        <v>0</v>
      </c>
      <c r="X581" s="268" t="s">
        <v>540</v>
      </c>
      <c r="Y581" s="268" t="str">
        <f t="shared" ref="Y581:Y644" si="32">P581</f>
        <v>Jasa Tenaga TU</v>
      </c>
      <c r="Z581" s="649" t="str">
        <f t="shared" ref="Z581:Z644" si="33">Y581</f>
        <v>Jasa Tenaga TU</v>
      </c>
      <c r="AA581" s="498" t="s">
        <v>3373</v>
      </c>
      <c r="AB581" s="269">
        <v>2000000</v>
      </c>
      <c r="AC581" s="269">
        <v>2000000</v>
      </c>
      <c r="AD581" s="267">
        <v>2000000</v>
      </c>
      <c r="AE581" s="270">
        <v>1801801.8018018019</v>
      </c>
      <c r="AF581" s="270">
        <v>2000000</v>
      </c>
      <c r="AG581" s="805" t="s">
        <v>3883</v>
      </c>
      <c r="AH581" s="651">
        <f>Data2025!W580</f>
        <v>0</v>
      </c>
    </row>
    <row r="582" spans="1:36" ht="16.5" thickTop="1" thickBot="1">
      <c r="A582" s="636">
        <f>Data2025!G581</f>
        <v>0</v>
      </c>
      <c r="B582" s="637">
        <f>Data2025!K581</f>
        <v>0</v>
      </c>
      <c r="C582" s="638">
        <f>Data2025!D581</f>
        <v>0</v>
      </c>
      <c r="D582" s="639">
        <f>Data2025!C581</f>
        <v>0</v>
      </c>
      <c r="E582" s="265">
        <f>Data2025!E581</f>
        <v>0</v>
      </c>
      <c r="F582" s="640">
        <f>Data2025!F581</f>
        <v>0</v>
      </c>
      <c r="G582" s="265">
        <f>Data2025!H581</f>
        <v>0</v>
      </c>
      <c r="H582" s="265">
        <f t="shared" si="31"/>
        <v>0</v>
      </c>
      <c r="I582" s="641">
        <f>Data2025!J581</f>
        <v>0</v>
      </c>
      <c r="J582" s="381">
        <f>Data2025!L581</f>
        <v>0</v>
      </c>
      <c r="K582" s="381">
        <f>Data2025!M581</f>
        <v>0</v>
      </c>
      <c r="L582" s="642">
        <f>Data2025!N581</f>
        <v>0</v>
      </c>
      <c r="M582" s="642">
        <f>Data2025!O581</f>
        <v>0</v>
      </c>
      <c r="N582" s="643">
        <f>Data2025!P581</f>
        <v>0</v>
      </c>
      <c r="O582" s="644">
        <f>Data2025!Q581</f>
        <v>0</v>
      </c>
      <c r="P582" s="645" t="s">
        <v>2699</v>
      </c>
      <c r="Q582" s="646" t="e">
        <f>VLOOKUP(K582,Sheet1!$C$1:$D$101,2,)</f>
        <v>#N/A</v>
      </c>
      <c r="R582" s="496">
        <v>2000000</v>
      </c>
      <c r="S582" s="504">
        <v>2002000</v>
      </c>
      <c r="T582" s="648">
        <f>Data2025!T581</f>
        <v>0</v>
      </c>
      <c r="U582" s="268" t="s">
        <v>538</v>
      </c>
      <c r="V582" s="648">
        <f>Data2025!V581</f>
        <v>0</v>
      </c>
      <c r="W582" s="648">
        <f>Data2025!X581</f>
        <v>0</v>
      </c>
      <c r="X582" s="268" t="s">
        <v>540</v>
      </c>
      <c r="Y582" s="268" t="str">
        <f t="shared" si="32"/>
        <v>Jasa Tenaga TU</v>
      </c>
      <c r="Z582" s="649" t="str">
        <f t="shared" si="33"/>
        <v>Jasa Tenaga TU</v>
      </c>
      <c r="AA582" s="498" t="s">
        <v>3373</v>
      </c>
      <c r="AB582" s="269">
        <v>2000000</v>
      </c>
      <c r="AC582" s="269">
        <v>2000000</v>
      </c>
      <c r="AD582" s="267">
        <v>2000000</v>
      </c>
      <c r="AE582" s="270">
        <v>1801801.8018018019</v>
      </c>
      <c r="AF582" s="270">
        <v>2000000</v>
      </c>
      <c r="AG582" s="805" t="s">
        <v>3883</v>
      </c>
      <c r="AH582" s="651">
        <f>Data2025!W581</f>
        <v>0</v>
      </c>
      <c r="AI582" s="277"/>
      <c r="AJ582" s="277"/>
    </row>
    <row r="583" spans="1:36" ht="16.5" thickTop="1" thickBot="1">
      <c r="A583" s="636">
        <f>Data2025!G582</f>
        <v>0</v>
      </c>
      <c r="B583" s="637">
        <f>Data2025!K582</f>
        <v>0</v>
      </c>
      <c r="C583" s="638">
        <f>Data2025!D582</f>
        <v>0</v>
      </c>
      <c r="D583" s="639">
        <f>Data2025!C582</f>
        <v>0</v>
      </c>
      <c r="E583" s="265">
        <f>Data2025!E582</f>
        <v>0</v>
      </c>
      <c r="F583" s="640">
        <f>Data2025!F582</f>
        <v>0</v>
      </c>
      <c r="G583" s="265">
        <f>Data2025!H582</f>
        <v>0</v>
      </c>
      <c r="H583" s="265">
        <f t="shared" si="31"/>
        <v>0</v>
      </c>
      <c r="I583" s="641">
        <f>Data2025!J582</f>
        <v>0</v>
      </c>
      <c r="J583" s="381">
        <f>Data2025!L582</f>
        <v>0</v>
      </c>
      <c r="K583" s="381">
        <f>Data2025!M582</f>
        <v>0</v>
      </c>
      <c r="L583" s="642">
        <f>Data2025!N582</f>
        <v>0</v>
      </c>
      <c r="M583" s="642">
        <f>Data2025!O582</f>
        <v>0</v>
      </c>
      <c r="N583" s="643">
        <f>Data2025!P582</f>
        <v>0</v>
      </c>
      <c r="O583" s="644">
        <f>Data2025!Q582</f>
        <v>0</v>
      </c>
      <c r="P583" s="645" t="s">
        <v>2699</v>
      </c>
      <c r="Q583" s="646" t="e">
        <f>VLOOKUP(K583,Sheet1!$C$1:$D$101,2,)</f>
        <v>#N/A</v>
      </c>
      <c r="R583" s="496">
        <v>2000000</v>
      </c>
      <c r="S583" s="504">
        <v>2002000</v>
      </c>
      <c r="T583" s="648">
        <f>Data2025!T582</f>
        <v>0</v>
      </c>
      <c r="U583" s="268" t="s">
        <v>538</v>
      </c>
      <c r="V583" s="648">
        <f>Data2025!V582</f>
        <v>0</v>
      </c>
      <c r="W583" s="648">
        <f>Data2025!X582</f>
        <v>0</v>
      </c>
      <c r="X583" s="268" t="s">
        <v>540</v>
      </c>
      <c r="Y583" s="268" t="str">
        <f t="shared" si="32"/>
        <v>Jasa Tenaga TU</v>
      </c>
      <c r="Z583" s="649" t="str">
        <f t="shared" si="33"/>
        <v>Jasa Tenaga TU</v>
      </c>
      <c r="AA583" s="498" t="s">
        <v>3373</v>
      </c>
      <c r="AB583" s="269">
        <v>2000000</v>
      </c>
      <c r="AC583" s="269">
        <v>2000000</v>
      </c>
      <c r="AD583" s="267">
        <v>2000000</v>
      </c>
      <c r="AE583" s="270">
        <v>1801801.8018018019</v>
      </c>
      <c r="AF583" s="270">
        <v>2000000</v>
      </c>
      <c r="AG583" s="805" t="s">
        <v>3883</v>
      </c>
      <c r="AH583" s="651">
        <f>Data2025!W582</f>
        <v>0</v>
      </c>
    </row>
    <row r="584" spans="1:36" ht="16.5" thickTop="1" thickBot="1">
      <c r="A584" s="636">
        <f>Data2025!G583</f>
        <v>0</v>
      </c>
      <c r="B584" s="637">
        <f>Data2025!K583</f>
        <v>0</v>
      </c>
      <c r="C584" s="638">
        <f>Data2025!D583</f>
        <v>0</v>
      </c>
      <c r="D584" s="639">
        <f>Data2025!C583</f>
        <v>0</v>
      </c>
      <c r="E584" s="265">
        <f>Data2025!E583</f>
        <v>0</v>
      </c>
      <c r="F584" s="640">
        <f>Data2025!F583</f>
        <v>0</v>
      </c>
      <c r="G584" s="265">
        <f>Data2025!H583</f>
        <v>0</v>
      </c>
      <c r="H584" s="265">
        <f t="shared" si="31"/>
        <v>0</v>
      </c>
      <c r="I584" s="641">
        <f>Data2025!J583</f>
        <v>0</v>
      </c>
      <c r="J584" s="381">
        <f>Data2025!L583</f>
        <v>0</v>
      </c>
      <c r="K584" s="381">
        <f>Data2025!M583</f>
        <v>0</v>
      </c>
      <c r="L584" s="642">
        <f>Data2025!N583</f>
        <v>0</v>
      </c>
      <c r="M584" s="642">
        <f>Data2025!O583</f>
        <v>0</v>
      </c>
      <c r="N584" s="643">
        <f>Data2025!P583</f>
        <v>0</v>
      </c>
      <c r="O584" s="644">
        <f>Data2025!Q583</f>
        <v>0</v>
      </c>
      <c r="P584" s="645" t="s">
        <v>2699</v>
      </c>
      <c r="Q584" s="646" t="e">
        <f>VLOOKUP(K584,Sheet1!$C$1:$D$101,2,)</f>
        <v>#N/A</v>
      </c>
      <c r="R584" s="496">
        <v>2000000</v>
      </c>
      <c r="S584" s="504">
        <v>2002000</v>
      </c>
      <c r="T584" s="648">
        <f>Data2025!T583</f>
        <v>0</v>
      </c>
      <c r="U584" s="268" t="s">
        <v>538</v>
      </c>
      <c r="V584" s="648">
        <f>Data2025!V583</f>
        <v>0</v>
      </c>
      <c r="W584" s="648">
        <f>Data2025!X583</f>
        <v>0</v>
      </c>
      <c r="X584" s="268" t="s">
        <v>540</v>
      </c>
      <c r="Y584" s="268" t="str">
        <f t="shared" si="32"/>
        <v>Jasa Tenaga TU</v>
      </c>
      <c r="Z584" s="649" t="str">
        <f t="shared" si="33"/>
        <v>Jasa Tenaga TU</v>
      </c>
      <c r="AA584" s="498" t="s">
        <v>3373</v>
      </c>
      <c r="AB584" s="269">
        <v>2000000</v>
      </c>
      <c r="AC584" s="269">
        <v>2000000</v>
      </c>
      <c r="AD584" s="267">
        <v>2000000</v>
      </c>
      <c r="AE584" s="270">
        <v>1801801.8018018019</v>
      </c>
      <c r="AF584" s="270">
        <v>2000000</v>
      </c>
      <c r="AG584" s="805" t="s">
        <v>3883</v>
      </c>
      <c r="AH584" s="651">
        <f>Data2025!W583</f>
        <v>0</v>
      </c>
    </row>
    <row r="585" spans="1:36" ht="33" customHeight="1" thickTop="1" thickBot="1">
      <c r="A585" s="636">
        <f>Data2025!G584</f>
        <v>0</v>
      </c>
      <c r="B585" s="637">
        <f>Data2025!K584</f>
        <v>0</v>
      </c>
      <c r="C585" s="638">
        <f>Data2025!D584</f>
        <v>0</v>
      </c>
      <c r="D585" s="639">
        <f>Data2025!C584</f>
        <v>0</v>
      </c>
      <c r="E585" s="265">
        <f>Data2025!E584</f>
        <v>0</v>
      </c>
      <c r="F585" s="640">
        <f>Data2025!F584</f>
        <v>0</v>
      </c>
      <c r="G585" s="265">
        <f>Data2025!H584</f>
        <v>0</v>
      </c>
      <c r="H585" s="265">
        <f t="shared" si="31"/>
        <v>0</v>
      </c>
      <c r="I585" s="641">
        <f>Data2025!J584</f>
        <v>0</v>
      </c>
      <c r="J585" s="381">
        <f>Data2025!L584</f>
        <v>0</v>
      </c>
      <c r="K585" s="381">
        <f>Data2025!M584</f>
        <v>0</v>
      </c>
      <c r="L585" s="642">
        <f>Data2025!N584</f>
        <v>0</v>
      </c>
      <c r="M585" s="642">
        <f>Data2025!O584</f>
        <v>0</v>
      </c>
      <c r="N585" s="643">
        <f>Data2025!P584</f>
        <v>0</v>
      </c>
      <c r="O585" s="644">
        <f>Data2025!Q584</f>
        <v>0</v>
      </c>
      <c r="P585" s="645" t="s">
        <v>2713</v>
      </c>
      <c r="Q585" s="646" t="e">
        <f>VLOOKUP(K585,Sheet1!$C$1:$D$101,2,)</f>
        <v>#N/A</v>
      </c>
      <c r="R585" s="496">
        <v>1000000</v>
      </c>
      <c r="S585" s="504">
        <v>1002000</v>
      </c>
      <c r="T585" s="648">
        <f>Data2025!T584</f>
        <v>0</v>
      </c>
      <c r="U585" s="268" t="s">
        <v>538</v>
      </c>
      <c r="V585" s="648">
        <f>Data2025!V584</f>
        <v>0</v>
      </c>
      <c r="W585" s="648">
        <f>Data2025!X584</f>
        <v>0</v>
      </c>
      <c r="X585" s="268" t="s">
        <v>540</v>
      </c>
      <c r="Y585" s="268" t="str">
        <f t="shared" si="32"/>
        <v>Jasa Tenaga Kebersihan</v>
      </c>
      <c r="Z585" s="649" t="str">
        <f t="shared" si="33"/>
        <v>Jasa Tenaga Kebersihan</v>
      </c>
      <c r="AA585" s="498" t="s">
        <v>3373</v>
      </c>
      <c r="AB585" s="269">
        <v>1000000</v>
      </c>
      <c r="AC585" s="269">
        <v>1000000</v>
      </c>
      <c r="AD585" s="267">
        <v>1000000</v>
      </c>
      <c r="AE585" s="270">
        <v>900900.90090090095</v>
      </c>
      <c r="AF585" s="270">
        <v>1000000</v>
      </c>
      <c r="AG585" s="805" t="s">
        <v>3883</v>
      </c>
      <c r="AH585" s="651">
        <f>Data2025!W584</f>
        <v>0</v>
      </c>
      <c r="AI585" s="277"/>
      <c r="AJ585" s="277"/>
    </row>
    <row r="586" spans="1:36" ht="16.5" thickTop="1" thickBot="1">
      <c r="A586" s="636">
        <f>Data2025!G585</f>
        <v>0</v>
      </c>
      <c r="B586" s="637">
        <f>Data2025!K585</f>
        <v>0</v>
      </c>
      <c r="C586" s="638">
        <f>Data2025!D585</f>
        <v>0</v>
      </c>
      <c r="D586" s="639">
        <f>Data2025!C585</f>
        <v>0</v>
      </c>
      <c r="E586" s="265">
        <f>Data2025!E585</f>
        <v>0</v>
      </c>
      <c r="F586" s="640">
        <f>Data2025!F585</f>
        <v>0</v>
      </c>
      <c r="G586" s="265">
        <f>Data2025!H585</f>
        <v>0</v>
      </c>
      <c r="H586" s="265">
        <f t="shared" si="31"/>
        <v>0</v>
      </c>
      <c r="I586" s="641">
        <f>Data2025!J585</f>
        <v>0</v>
      </c>
      <c r="J586" s="381">
        <f>Data2025!L585</f>
        <v>0</v>
      </c>
      <c r="K586" s="381">
        <f>Data2025!M585</f>
        <v>0</v>
      </c>
      <c r="L586" s="642">
        <f>Data2025!N585</f>
        <v>0</v>
      </c>
      <c r="M586" s="642">
        <f>Data2025!O585</f>
        <v>0</v>
      </c>
      <c r="N586" s="643">
        <f>Data2025!P585</f>
        <v>0</v>
      </c>
      <c r="O586" s="644">
        <f>Data2025!Q585</f>
        <v>0</v>
      </c>
      <c r="P586" s="645" t="s">
        <v>2672</v>
      </c>
      <c r="Q586" s="646" t="e">
        <f>VLOOKUP(K586,Sheet1!$C$1:$D$101,2,)</f>
        <v>#N/A</v>
      </c>
      <c r="R586" s="267">
        <v>1000000</v>
      </c>
      <c r="S586" s="647">
        <v>1002000</v>
      </c>
      <c r="T586" s="648">
        <f>Data2025!T585</f>
        <v>0</v>
      </c>
      <c r="U586" s="268" t="s">
        <v>538</v>
      </c>
      <c r="V586" s="648">
        <f>Data2025!V585</f>
        <v>0</v>
      </c>
      <c r="W586" s="648">
        <f>Data2025!X585</f>
        <v>0</v>
      </c>
      <c r="X586" s="268" t="s">
        <v>540</v>
      </c>
      <c r="Y586" s="268" t="str">
        <f t="shared" si="32"/>
        <v>Jasa Tenaga Operator</v>
      </c>
      <c r="Z586" s="649" t="str">
        <f t="shared" si="33"/>
        <v>Jasa Tenaga Operator</v>
      </c>
      <c r="AA586" s="650" t="s">
        <v>3373</v>
      </c>
      <c r="AB586" s="269">
        <v>1000000</v>
      </c>
      <c r="AC586" s="269">
        <v>1000000</v>
      </c>
      <c r="AD586" s="267">
        <v>1000000</v>
      </c>
      <c r="AE586" s="270">
        <v>900900.90090090095</v>
      </c>
      <c r="AF586" s="270">
        <v>1000000</v>
      </c>
      <c r="AG586" s="805" t="s">
        <v>3883</v>
      </c>
      <c r="AH586" s="651">
        <f>Data2025!W585</f>
        <v>0</v>
      </c>
    </row>
    <row r="587" spans="1:36" ht="16.5" thickTop="1" thickBot="1">
      <c r="A587" s="636">
        <f>Data2025!G586</f>
        <v>0</v>
      </c>
      <c r="B587" s="637">
        <f>Data2025!K586</f>
        <v>0</v>
      </c>
      <c r="C587" s="638">
        <f>Data2025!D586</f>
        <v>0</v>
      </c>
      <c r="D587" s="639">
        <f>Data2025!C586</f>
        <v>0</v>
      </c>
      <c r="E587" s="265">
        <f>Data2025!E586</f>
        <v>0</v>
      </c>
      <c r="F587" s="640">
        <f>Data2025!F586</f>
        <v>0</v>
      </c>
      <c r="G587" s="265">
        <f>Data2025!H586</f>
        <v>0</v>
      </c>
      <c r="H587" s="265">
        <f t="shared" si="31"/>
        <v>0</v>
      </c>
      <c r="I587" s="641">
        <f>Data2025!J586</f>
        <v>0</v>
      </c>
      <c r="J587" s="381">
        <f>Data2025!L586</f>
        <v>0</v>
      </c>
      <c r="K587" s="381">
        <f>Data2025!M586</f>
        <v>0</v>
      </c>
      <c r="L587" s="642">
        <f>Data2025!N586</f>
        <v>0</v>
      </c>
      <c r="M587" s="642">
        <f>Data2025!O586</f>
        <v>0</v>
      </c>
      <c r="N587" s="643">
        <f>Data2025!P586</f>
        <v>0</v>
      </c>
      <c r="O587" s="644">
        <f>Data2025!Q586</f>
        <v>0</v>
      </c>
      <c r="P587" s="645" t="s">
        <v>280</v>
      </c>
      <c r="Q587" s="646" t="e">
        <f>VLOOKUP(K587,Sheet1!$C$1:$D$101,2,)</f>
        <v>#N/A</v>
      </c>
      <c r="R587" s="267">
        <v>900000</v>
      </c>
      <c r="S587" s="647">
        <v>1020000</v>
      </c>
      <c r="T587" s="648">
        <f>Data2025!T586</f>
        <v>0</v>
      </c>
      <c r="U587" s="268" t="s">
        <v>2531</v>
      </c>
      <c r="V587" s="648">
        <f>Data2025!V586</f>
        <v>0</v>
      </c>
      <c r="W587" s="648">
        <f>Data2025!X586</f>
        <v>0</v>
      </c>
      <c r="X587" s="268" t="s">
        <v>2529</v>
      </c>
      <c r="Y587" s="268" t="str">
        <f t="shared" si="32"/>
        <v>Kudapan</v>
      </c>
      <c r="Z587" s="649" t="str">
        <f t="shared" si="33"/>
        <v>Kudapan</v>
      </c>
      <c r="AA587" s="650" t="s">
        <v>3363</v>
      </c>
      <c r="AB587" s="269">
        <v>15000</v>
      </c>
      <c r="AC587" s="269">
        <v>900000</v>
      </c>
      <c r="AD587" s="267">
        <v>900000</v>
      </c>
      <c r="AE587" s="270">
        <v>810810.81081081077</v>
      </c>
      <c r="AF587" s="270">
        <v>900000</v>
      </c>
      <c r="AG587" s="805" t="s">
        <v>3883</v>
      </c>
      <c r="AH587" s="651">
        <f>Data2025!W586</f>
        <v>0</v>
      </c>
    </row>
    <row r="588" spans="1:36" ht="16.5" thickTop="1" thickBot="1">
      <c r="A588" s="636">
        <f>Data2025!G587</f>
        <v>0</v>
      </c>
      <c r="B588" s="637">
        <f>Data2025!K587</f>
        <v>0</v>
      </c>
      <c r="C588" s="638">
        <f>Data2025!D587</f>
        <v>0</v>
      </c>
      <c r="D588" s="639">
        <f>Data2025!C587</f>
        <v>0</v>
      </c>
      <c r="E588" s="265">
        <f>Data2025!E587</f>
        <v>0</v>
      </c>
      <c r="F588" s="640">
        <f>Data2025!F587</f>
        <v>0</v>
      </c>
      <c r="G588" s="265">
        <f>Data2025!H587</f>
        <v>0</v>
      </c>
      <c r="H588" s="265">
        <f t="shared" si="31"/>
        <v>0</v>
      </c>
      <c r="I588" s="641">
        <f>Data2025!J587</f>
        <v>0</v>
      </c>
      <c r="J588" s="381">
        <f>Data2025!L587</f>
        <v>0</v>
      </c>
      <c r="K588" s="381">
        <f>Data2025!M587</f>
        <v>0</v>
      </c>
      <c r="L588" s="642">
        <f>Data2025!N587</f>
        <v>0</v>
      </c>
      <c r="M588" s="642">
        <f>Data2025!O587</f>
        <v>0</v>
      </c>
      <c r="N588" s="643">
        <f>Data2025!P587</f>
        <v>0</v>
      </c>
      <c r="O588" s="644">
        <f>Data2025!Q587</f>
        <v>0</v>
      </c>
      <c r="P588" s="645" t="s">
        <v>2699</v>
      </c>
      <c r="Q588" s="646" t="e">
        <f>VLOOKUP(K588,Sheet1!$C$1:$D$101,2,)</f>
        <v>#N/A</v>
      </c>
      <c r="R588" s="496">
        <v>2000000</v>
      </c>
      <c r="S588" s="504">
        <v>2002000</v>
      </c>
      <c r="T588" s="648">
        <f>Data2025!T587</f>
        <v>0</v>
      </c>
      <c r="U588" s="268" t="s">
        <v>538</v>
      </c>
      <c r="V588" s="648">
        <f>Data2025!V587</f>
        <v>0</v>
      </c>
      <c r="W588" s="648">
        <f>Data2025!X587</f>
        <v>0</v>
      </c>
      <c r="X588" s="268" t="s">
        <v>540</v>
      </c>
      <c r="Y588" s="268" t="str">
        <f t="shared" si="32"/>
        <v>Jasa Tenaga TU</v>
      </c>
      <c r="Z588" s="649" t="str">
        <f t="shared" si="33"/>
        <v>Jasa Tenaga TU</v>
      </c>
      <c r="AA588" s="498" t="s">
        <v>3373</v>
      </c>
      <c r="AB588" s="269">
        <v>2000000</v>
      </c>
      <c r="AC588" s="269">
        <v>2000000</v>
      </c>
      <c r="AD588" s="267">
        <v>2000000</v>
      </c>
      <c r="AE588" s="270">
        <v>1801801.8018018019</v>
      </c>
      <c r="AF588" s="270">
        <v>2000000</v>
      </c>
      <c r="AG588" s="805" t="s">
        <v>3883</v>
      </c>
      <c r="AH588" s="651">
        <f>Data2025!W587</f>
        <v>0</v>
      </c>
      <c r="AI588" s="277"/>
      <c r="AJ588" s="277"/>
    </row>
    <row r="589" spans="1:36" ht="16.5" thickTop="1" thickBot="1">
      <c r="A589" s="636">
        <f>Data2025!G588</f>
        <v>0</v>
      </c>
      <c r="B589" s="637">
        <f>Data2025!K588</f>
        <v>0</v>
      </c>
      <c r="C589" s="638">
        <f>Data2025!D588</f>
        <v>0</v>
      </c>
      <c r="D589" s="639">
        <f>Data2025!C588</f>
        <v>0</v>
      </c>
      <c r="E589" s="265">
        <f>Data2025!E588</f>
        <v>0</v>
      </c>
      <c r="F589" s="640">
        <f>Data2025!F588</f>
        <v>0</v>
      </c>
      <c r="G589" s="265">
        <f>Data2025!H588</f>
        <v>0</v>
      </c>
      <c r="H589" s="265">
        <f t="shared" si="31"/>
        <v>0</v>
      </c>
      <c r="I589" s="641">
        <f>Data2025!J588</f>
        <v>0</v>
      </c>
      <c r="J589" s="381">
        <f>Data2025!L588</f>
        <v>0</v>
      </c>
      <c r="K589" s="381">
        <f>Data2025!M588</f>
        <v>0</v>
      </c>
      <c r="L589" s="642">
        <f>Data2025!N588</f>
        <v>0</v>
      </c>
      <c r="M589" s="642">
        <f>Data2025!O588</f>
        <v>0</v>
      </c>
      <c r="N589" s="643">
        <f>Data2025!P588</f>
        <v>0</v>
      </c>
      <c r="O589" s="644">
        <f>Data2025!Q588</f>
        <v>0</v>
      </c>
      <c r="P589" s="645" t="s">
        <v>2699</v>
      </c>
      <c r="Q589" s="646" t="e">
        <f>VLOOKUP(K589,Sheet1!$C$1:$D$101,2,)</f>
        <v>#N/A</v>
      </c>
      <c r="R589" s="496">
        <v>2000000</v>
      </c>
      <c r="S589" s="504">
        <v>2002000</v>
      </c>
      <c r="T589" s="648">
        <f>Data2025!T588</f>
        <v>0</v>
      </c>
      <c r="U589" s="268" t="s">
        <v>538</v>
      </c>
      <c r="V589" s="648">
        <f>Data2025!V588</f>
        <v>0</v>
      </c>
      <c r="W589" s="648">
        <f>Data2025!X588</f>
        <v>0</v>
      </c>
      <c r="X589" s="268" t="s">
        <v>540</v>
      </c>
      <c r="Y589" s="268" t="str">
        <f t="shared" si="32"/>
        <v>Jasa Tenaga TU</v>
      </c>
      <c r="Z589" s="649" t="str">
        <f t="shared" si="33"/>
        <v>Jasa Tenaga TU</v>
      </c>
      <c r="AA589" s="498" t="s">
        <v>3373</v>
      </c>
      <c r="AB589" s="269">
        <v>2000000</v>
      </c>
      <c r="AC589" s="269">
        <v>2000000</v>
      </c>
      <c r="AD589" s="267">
        <v>2000000</v>
      </c>
      <c r="AE589" s="270">
        <v>1801801.8018018019</v>
      </c>
      <c r="AF589" s="270">
        <v>2000000</v>
      </c>
      <c r="AG589" s="805" t="s">
        <v>3883</v>
      </c>
      <c r="AH589" s="651">
        <f>Data2025!W588</f>
        <v>0</v>
      </c>
    </row>
    <row r="590" spans="1:36" ht="16.5" thickTop="1" thickBot="1">
      <c r="A590" s="636">
        <f>Data2025!G589</f>
        <v>0</v>
      </c>
      <c r="B590" s="637">
        <f>Data2025!K589</f>
        <v>0</v>
      </c>
      <c r="C590" s="638">
        <f>Data2025!D589</f>
        <v>0</v>
      </c>
      <c r="D590" s="639">
        <f>Data2025!C589</f>
        <v>0</v>
      </c>
      <c r="E590" s="265">
        <f>Data2025!E589</f>
        <v>0</v>
      </c>
      <c r="F590" s="640">
        <f>Data2025!F589</f>
        <v>0</v>
      </c>
      <c r="G590" s="265">
        <f>Data2025!H589</f>
        <v>0</v>
      </c>
      <c r="H590" s="265">
        <f t="shared" si="31"/>
        <v>0</v>
      </c>
      <c r="I590" s="641">
        <f>Data2025!J589</f>
        <v>0</v>
      </c>
      <c r="J590" s="381">
        <f>Data2025!L589</f>
        <v>0</v>
      </c>
      <c r="K590" s="381">
        <f>Data2025!M589</f>
        <v>0</v>
      </c>
      <c r="L590" s="642">
        <f>Data2025!N589</f>
        <v>0</v>
      </c>
      <c r="M590" s="642">
        <f>Data2025!O589</f>
        <v>0</v>
      </c>
      <c r="N590" s="643">
        <f>Data2025!P589</f>
        <v>0</v>
      </c>
      <c r="O590" s="644">
        <f>Data2025!Q589</f>
        <v>0</v>
      </c>
      <c r="P590" s="645" t="s">
        <v>2699</v>
      </c>
      <c r="Q590" s="646" t="e">
        <f>VLOOKUP(K590,Sheet1!$C$1:$D$101,2,)</f>
        <v>#N/A</v>
      </c>
      <c r="R590" s="496">
        <v>2000000</v>
      </c>
      <c r="S590" s="504">
        <v>2002000</v>
      </c>
      <c r="T590" s="648">
        <f>Data2025!T589</f>
        <v>0</v>
      </c>
      <c r="U590" s="268" t="s">
        <v>538</v>
      </c>
      <c r="V590" s="648">
        <f>Data2025!V589</f>
        <v>0</v>
      </c>
      <c r="W590" s="648">
        <f>Data2025!X589</f>
        <v>0</v>
      </c>
      <c r="X590" s="268" t="s">
        <v>540</v>
      </c>
      <c r="Y590" s="268" t="str">
        <f t="shared" si="32"/>
        <v>Jasa Tenaga TU</v>
      </c>
      <c r="Z590" s="649" t="str">
        <f t="shared" si="33"/>
        <v>Jasa Tenaga TU</v>
      </c>
      <c r="AA590" s="498" t="s">
        <v>3373</v>
      </c>
      <c r="AB590" s="269">
        <v>2000000</v>
      </c>
      <c r="AC590" s="269">
        <v>2000000</v>
      </c>
      <c r="AD590" s="267">
        <v>2000000</v>
      </c>
      <c r="AE590" s="270">
        <v>1801801.8018018019</v>
      </c>
      <c r="AF590" s="270">
        <v>2000000</v>
      </c>
      <c r="AG590" s="805" t="s">
        <v>3883</v>
      </c>
      <c r="AH590" s="651">
        <f>Data2025!W589</f>
        <v>0</v>
      </c>
    </row>
    <row r="591" spans="1:36" ht="16.5" thickTop="1" thickBot="1">
      <c r="A591" s="636">
        <f>Data2025!G590</f>
        <v>0</v>
      </c>
      <c r="B591" s="637">
        <f>Data2025!K590</f>
        <v>0</v>
      </c>
      <c r="C591" s="638">
        <f>Data2025!D590</f>
        <v>0</v>
      </c>
      <c r="D591" s="639">
        <f>Data2025!C590</f>
        <v>0</v>
      </c>
      <c r="E591" s="265">
        <f>Data2025!E590</f>
        <v>0</v>
      </c>
      <c r="F591" s="640">
        <f>Data2025!F590</f>
        <v>0</v>
      </c>
      <c r="G591" s="265">
        <f>Data2025!H590</f>
        <v>0</v>
      </c>
      <c r="H591" s="265">
        <f t="shared" si="31"/>
        <v>0</v>
      </c>
      <c r="I591" s="641">
        <f>Data2025!J590</f>
        <v>0</v>
      </c>
      <c r="J591" s="381">
        <f>Data2025!L590</f>
        <v>0</v>
      </c>
      <c r="K591" s="381">
        <f>Data2025!M590</f>
        <v>0</v>
      </c>
      <c r="L591" s="642">
        <f>Data2025!N590</f>
        <v>0</v>
      </c>
      <c r="M591" s="642">
        <f>Data2025!O590</f>
        <v>0</v>
      </c>
      <c r="N591" s="643">
        <f>Data2025!P590</f>
        <v>0</v>
      </c>
      <c r="O591" s="644">
        <f>Data2025!Q590</f>
        <v>0</v>
      </c>
      <c r="P591" s="645" t="s">
        <v>2699</v>
      </c>
      <c r="Q591" s="646" t="e">
        <f>VLOOKUP(K591,Sheet1!$C$1:$D$101,2,)</f>
        <v>#N/A</v>
      </c>
      <c r="R591" s="496">
        <v>2000000</v>
      </c>
      <c r="S591" s="504">
        <v>2002000</v>
      </c>
      <c r="T591" s="648">
        <f>Data2025!T590</f>
        <v>0</v>
      </c>
      <c r="U591" s="268" t="s">
        <v>538</v>
      </c>
      <c r="V591" s="648">
        <f>Data2025!V590</f>
        <v>0</v>
      </c>
      <c r="W591" s="648">
        <f>Data2025!X590</f>
        <v>0</v>
      </c>
      <c r="X591" s="268" t="s">
        <v>540</v>
      </c>
      <c r="Y591" s="268" t="str">
        <f t="shared" si="32"/>
        <v>Jasa Tenaga TU</v>
      </c>
      <c r="Z591" s="649" t="str">
        <f t="shared" si="33"/>
        <v>Jasa Tenaga TU</v>
      </c>
      <c r="AA591" s="498" t="s">
        <v>3373</v>
      </c>
      <c r="AB591" s="269">
        <v>2000000</v>
      </c>
      <c r="AC591" s="269">
        <v>2000000</v>
      </c>
      <c r="AD591" s="267">
        <v>2000000</v>
      </c>
      <c r="AE591" s="270">
        <v>1801801.8018018019</v>
      </c>
      <c r="AF591" s="270">
        <v>2000000</v>
      </c>
      <c r="AG591" s="805" t="s">
        <v>3883</v>
      </c>
      <c r="AH591" s="651">
        <f>Data2025!W590</f>
        <v>0</v>
      </c>
      <c r="AI591" s="277"/>
      <c r="AJ591" s="277"/>
    </row>
    <row r="592" spans="1:36" ht="16.5" thickTop="1" thickBot="1">
      <c r="A592" s="636">
        <f>Data2025!G591</f>
        <v>0</v>
      </c>
      <c r="B592" s="637">
        <f>Data2025!K591</f>
        <v>0</v>
      </c>
      <c r="C592" s="638">
        <f>Data2025!D591</f>
        <v>0</v>
      </c>
      <c r="D592" s="639">
        <f>Data2025!C591</f>
        <v>0</v>
      </c>
      <c r="E592" s="265">
        <f>Data2025!E591</f>
        <v>0</v>
      </c>
      <c r="F592" s="640">
        <f>Data2025!F591</f>
        <v>0</v>
      </c>
      <c r="G592" s="265">
        <f>Data2025!H591</f>
        <v>0</v>
      </c>
      <c r="H592" s="265">
        <f t="shared" si="31"/>
        <v>0</v>
      </c>
      <c r="I592" s="641">
        <f>Data2025!J591</f>
        <v>0</v>
      </c>
      <c r="J592" s="381">
        <f>Data2025!L591</f>
        <v>0</v>
      </c>
      <c r="K592" s="381">
        <f>Data2025!M591</f>
        <v>0</v>
      </c>
      <c r="L592" s="642">
        <f>Data2025!N591</f>
        <v>0</v>
      </c>
      <c r="M592" s="642">
        <f>Data2025!O591</f>
        <v>0</v>
      </c>
      <c r="N592" s="643">
        <f>Data2025!P591</f>
        <v>0</v>
      </c>
      <c r="O592" s="644">
        <f>Data2025!Q591</f>
        <v>0</v>
      </c>
      <c r="P592" s="645" t="s">
        <v>2699</v>
      </c>
      <c r="Q592" s="646" t="e">
        <f>VLOOKUP(K592,Sheet1!$C$1:$D$101,2,)</f>
        <v>#N/A</v>
      </c>
      <c r="R592" s="496">
        <v>2000000</v>
      </c>
      <c r="S592" s="504">
        <v>2002000</v>
      </c>
      <c r="T592" s="648">
        <f>Data2025!T591</f>
        <v>0</v>
      </c>
      <c r="U592" s="268" t="s">
        <v>538</v>
      </c>
      <c r="V592" s="648">
        <f>Data2025!V591</f>
        <v>0</v>
      </c>
      <c r="W592" s="648">
        <f>Data2025!X591</f>
        <v>0</v>
      </c>
      <c r="X592" s="268" t="s">
        <v>540</v>
      </c>
      <c r="Y592" s="268" t="str">
        <f t="shared" si="32"/>
        <v>Jasa Tenaga TU</v>
      </c>
      <c r="Z592" s="649" t="str">
        <f t="shared" si="33"/>
        <v>Jasa Tenaga TU</v>
      </c>
      <c r="AA592" s="498" t="s">
        <v>3373</v>
      </c>
      <c r="AB592" s="269">
        <v>2000000</v>
      </c>
      <c r="AC592" s="269">
        <v>2000000</v>
      </c>
      <c r="AD592" s="267">
        <v>2000000</v>
      </c>
      <c r="AE592" s="270">
        <v>1801801.8018018019</v>
      </c>
      <c r="AF592" s="270">
        <v>2000000</v>
      </c>
      <c r="AG592" s="805" t="s">
        <v>3883</v>
      </c>
      <c r="AH592" s="651">
        <f>Data2025!W591</f>
        <v>0</v>
      </c>
    </row>
    <row r="593" spans="1:36" ht="16.5" thickTop="1" thickBot="1">
      <c r="A593" s="636">
        <f>Data2025!G592</f>
        <v>0</v>
      </c>
      <c r="B593" s="637">
        <f>Data2025!K592</f>
        <v>0</v>
      </c>
      <c r="C593" s="638">
        <f>Data2025!D592</f>
        <v>0</v>
      </c>
      <c r="D593" s="639">
        <f>Data2025!C592</f>
        <v>0</v>
      </c>
      <c r="E593" s="265">
        <f>Data2025!E592</f>
        <v>0</v>
      </c>
      <c r="F593" s="640">
        <f>Data2025!F592</f>
        <v>0</v>
      </c>
      <c r="G593" s="265">
        <f>Data2025!H592</f>
        <v>0</v>
      </c>
      <c r="H593" s="265">
        <f t="shared" si="31"/>
        <v>0</v>
      </c>
      <c r="I593" s="641">
        <f>Data2025!J592</f>
        <v>0</v>
      </c>
      <c r="J593" s="381">
        <f>Data2025!L592</f>
        <v>0</v>
      </c>
      <c r="K593" s="381">
        <f>Data2025!M592</f>
        <v>0</v>
      </c>
      <c r="L593" s="642">
        <f>Data2025!N592</f>
        <v>0</v>
      </c>
      <c r="M593" s="642">
        <f>Data2025!O592</f>
        <v>0</v>
      </c>
      <c r="N593" s="643">
        <f>Data2025!P592</f>
        <v>0</v>
      </c>
      <c r="O593" s="644">
        <f>Data2025!Q592</f>
        <v>0</v>
      </c>
      <c r="P593" s="645" t="s">
        <v>1545</v>
      </c>
      <c r="Q593" s="646" t="e">
        <f>VLOOKUP(K593,Sheet1!$C$1:$D$101,2,)</f>
        <v>#N/A</v>
      </c>
      <c r="R593" s="267">
        <v>195000</v>
      </c>
      <c r="S593" s="647">
        <v>201000</v>
      </c>
      <c r="T593" s="648">
        <f>Data2025!T592</f>
        <v>0</v>
      </c>
      <c r="U593" s="268" t="s">
        <v>2531</v>
      </c>
      <c r="V593" s="648">
        <f>Data2025!V592</f>
        <v>0</v>
      </c>
      <c r="W593" s="648">
        <f>Data2025!X592</f>
        <v>0</v>
      </c>
      <c r="X593" s="268" t="s">
        <v>2529</v>
      </c>
      <c r="Y593" s="268" t="str">
        <f t="shared" si="32"/>
        <v>Air Mineral</v>
      </c>
      <c r="Z593" s="649" t="str">
        <f t="shared" si="33"/>
        <v>Air Mineral</v>
      </c>
      <c r="AA593" s="650" t="s">
        <v>3372</v>
      </c>
      <c r="AB593" s="269">
        <v>65000</v>
      </c>
      <c r="AC593" s="269">
        <v>195000</v>
      </c>
      <c r="AD593" s="267">
        <v>195000</v>
      </c>
      <c r="AE593" s="270">
        <v>175675.67567567568</v>
      </c>
      <c r="AF593" s="270">
        <v>195000</v>
      </c>
      <c r="AG593" s="805" t="s">
        <v>3883</v>
      </c>
      <c r="AH593" s="651">
        <f>Data2025!W592</f>
        <v>0</v>
      </c>
    </row>
    <row r="594" spans="1:36" ht="16.5" thickTop="1" thickBot="1">
      <c r="A594" s="636">
        <f>Data2025!G593</f>
        <v>0</v>
      </c>
      <c r="B594" s="637">
        <f>Data2025!K593</f>
        <v>0</v>
      </c>
      <c r="C594" s="638">
        <f>Data2025!D593</f>
        <v>0</v>
      </c>
      <c r="D594" s="639">
        <f>Data2025!C593</f>
        <v>0</v>
      </c>
      <c r="E594" s="265">
        <f>Data2025!E593</f>
        <v>0</v>
      </c>
      <c r="F594" s="640">
        <f>Data2025!F593</f>
        <v>0</v>
      </c>
      <c r="G594" s="265">
        <f>Data2025!H593</f>
        <v>0</v>
      </c>
      <c r="H594" s="265">
        <f t="shared" si="31"/>
        <v>0</v>
      </c>
      <c r="I594" s="641">
        <f>Data2025!J593</f>
        <v>0</v>
      </c>
      <c r="J594" s="381">
        <f>Data2025!L593</f>
        <v>0</v>
      </c>
      <c r="K594" s="381">
        <f>Data2025!M593</f>
        <v>0</v>
      </c>
      <c r="L594" s="642">
        <f>Data2025!N593</f>
        <v>0</v>
      </c>
      <c r="M594" s="642">
        <f>Data2025!O593</f>
        <v>0</v>
      </c>
      <c r="N594" s="643">
        <f>Data2025!P593</f>
        <v>0</v>
      </c>
      <c r="O594" s="644">
        <f>Data2025!Q593</f>
        <v>0</v>
      </c>
      <c r="P594" s="645" t="s">
        <v>280</v>
      </c>
      <c r="Q594" s="646" t="e">
        <f>VLOOKUP(K594,Sheet1!$C$1:$D$101,2,)</f>
        <v>#N/A</v>
      </c>
      <c r="R594" s="267">
        <v>840000</v>
      </c>
      <c r="S594" s="647">
        <v>952000</v>
      </c>
      <c r="T594" s="648">
        <f>Data2025!T593</f>
        <v>0</v>
      </c>
      <c r="U594" s="268" t="s">
        <v>2531</v>
      </c>
      <c r="V594" s="648">
        <f>Data2025!V593</f>
        <v>0</v>
      </c>
      <c r="W594" s="648">
        <f>Data2025!X593</f>
        <v>0</v>
      </c>
      <c r="X594" s="268" t="s">
        <v>2529</v>
      </c>
      <c r="Y594" s="268" t="str">
        <f t="shared" si="32"/>
        <v>Kudapan</v>
      </c>
      <c r="Z594" s="649" t="str">
        <f t="shared" si="33"/>
        <v>Kudapan</v>
      </c>
      <c r="AA594" s="650" t="s">
        <v>3362</v>
      </c>
      <c r="AB594" s="269">
        <v>15000</v>
      </c>
      <c r="AC594" s="269">
        <v>840000</v>
      </c>
      <c r="AD594" s="267">
        <v>840000</v>
      </c>
      <c r="AE594" s="270">
        <v>756756.7567567568</v>
      </c>
      <c r="AF594" s="270">
        <v>840000</v>
      </c>
      <c r="AG594" s="805" t="s">
        <v>3883</v>
      </c>
      <c r="AH594" s="651">
        <f>Data2025!W593</f>
        <v>0</v>
      </c>
    </row>
    <row r="595" spans="1:36" ht="16.5" thickTop="1" thickBot="1">
      <c r="A595" s="636">
        <f>Data2025!G594</f>
        <v>0</v>
      </c>
      <c r="B595" s="637">
        <f>Data2025!K594</f>
        <v>0</v>
      </c>
      <c r="C595" s="638">
        <f>Data2025!D594</f>
        <v>0</v>
      </c>
      <c r="D595" s="639">
        <f>Data2025!C594</f>
        <v>0</v>
      </c>
      <c r="E595" s="265">
        <f>Data2025!E594</f>
        <v>0</v>
      </c>
      <c r="F595" s="640">
        <f>Data2025!F594</f>
        <v>0</v>
      </c>
      <c r="G595" s="265">
        <f>Data2025!H594</f>
        <v>0</v>
      </c>
      <c r="H595" s="265">
        <f t="shared" si="31"/>
        <v>0</v>
      </c>
      <c r="I595" s="641">
        <f>Data2025!J594</f>
        <v>0</v>
      </c>
      <c r="J595" s="381">
        <f>Data2025!L594</f>
        <v>0</v>
      </c>
      <c r="K595" s="381">
        <f>Data2025!M594</f>
        <v>0</v>
      </c>
      <c r="L595" s="642">
        <f>Data2025!N594</f>
        <v>0</v>
      </c>
      <c r="M595" s="642">
        <f>Data2025!O594</f>
        <v>0</v>
      </c>
      <c r="N595" s="643">
        <f>Data2025!P594</f>
        <v>0</v>
      </c>
      <c r="O595" s="644">
        <f>Data2025!Q594</f>
        <v>0</v>
      </c>
      <c r="P595" s="645" t="s">
        <v>8</v>
      </c>
      <c r="Q595" s="646" t="e">
        <f>VLOOKUP(K595,Sheet1!$C$1:$D$101,2,)</f>
        <v>#N/A</v>
      </c>
      <c r="R595" s="267">
        <v>1050000</v>
      </c>
      <c r="S595" s="647">
        <v>1110000</v>
      </c>
      <c r="T595" s="648">
        <f>Data2025!T594</f>
        <v>0</v>
      </c>
      <c r="U595" s="268" t="s">
        <v>2520</v>
      </c>
      <c r="V595" s="648">
        <f>Data2025!V594</f>
        <v>0</v>
      </c>
      <c r="W595" s="648">
        <f>Data2025!X594</f>
        <v>0</v>
      </c>
      <c r="X595" s="268" t="s">
        <v>3391</v>
      </c>
      <c r="Y595" s="268" t="str">
        <f t="shared" si="32"/>
        <v>Konsumsi</v>
      </c>
      <c r="Z595" s="649" t="str">
        <f t="shared" si="33"/>
        <v>Konsumsi</v>
      </c>
      <c r="AA595" s="650" t="s">
        <v>3365</v>
      </c>
      <c r="AB595" s="269">
        <v>35000</v>
      </c>
      <c r="AC595" s="269">
        <v>1050000</v>
      </c>
      <c r="AD595" s="267">
        <v>1050000</v>
      </c>
      <c r="AE595" s="270">
        <v>945945.94594594592</v>
      </c>
      <c r="AF595" s="270">
        <v>1050000</v>
      </c>
      <c r="AG595" s="805" t="s">
        <v>3883</v>
      </c>
      <c r="AH595" s="651">
        <f>Data2025!W594</f>
        <v>0</v>
      </c>
      <c r="AI595" s="277"/>
      <c r="AJ595" s="277"/>
    </row>
    <row r="596" spans="1:36" ht="16.5" thickTop="1" thickBot="1">
      <c r="A596" s="636">
        <f>Data2025!G595</f>
        <v>0</v>
      </c>
      <c r="B596" s="637">
        <f>Data2025!K595</f>
        <v>0</v>
      </c>
      <c r="C596" s="638">
        <f>Data2025!D595</f>
        <v>0</v>
      </c>
      <c r="D596" s="639">
        <f>Data2025!C595</f>
        <v>0</v>
      </c>
      <c r="E596" s="265">
        <f>Data2025!E595</f>
        <v>0</v>
      </c>
      <c r="F596" s="640">
        <f>Data2025!F595</f>
        <v>0</v>
      </c>
      <c r="G596" s="265">
        <f>Data2025!H595</f>
        <v>0</v>
      </c>
      <c r="H596" s="265">
        <f t="shared" si="31"/>
        <v>0</v>
      </c>
      <c r="I596" s="641">
        <f>Data2025!J595</f>
        <v>0</v>
      </c>
      <c r="J596" s="381">
        <f>Data2025!L595</f>
        <v>0</v>
      </c>
      <c r="K596" s="381">
        <f>Data2025!M595</f>
        <v>0</v>
      </c>
      <c r="L596" s="642">
        <f>Data2025!N595</f>
        <v>0</v>
      </c>
      <c r="M596" s="642">
        <f>Data2025!O595</f>
        <v>0</v>
      </c>
      <c r="N596" s="643">
        <f>Data2025!P595</f>
        <v>0</v>
      </c>
      <c r="O596" s="644">
        <f>Data2025!Q595</f>
        <v>0</v>
      </c>
      <c r="P596" s="645" t="s">
        <v>280</v>
      </c>
      <c r="Q596" s="646" t="e">
        <f>VLOOKUP(K596,Sheet1!$C$1:$D$101,2,)</f>
        <v>#N/A</v>
      </c>
      <c r="R596" s="267">
        <v>1800000</v>
      </c>
      <c r="S596" s="647">
        <v>2040000</v>
      </c>
      <c r="T596" s="648">
        <f>Data2025!T595</f>
        <v>0</v>
      </c>
      <c r="U596" s="268" t="s">
        <v>2531</v>
      </c>
      <c r="V596" s="648">
        <f>Data2025!V595</f>
        <v>0</v>
      </c>
      <c r="W596" s="648">
        <f>Data2025!X595</f>
        <v>0</v>
      </c>
      <c r="X596" s="268" t="s">
        <v>2529</v>
      </c>
      <c r="Y596" s="268" t="str">
        <f t="shared" si="32"/>
        <v>Kudapan</v>
      </c>
      <c r="Z596" s="649" t="str">
        <f t="shared" si="33"/>
        <v>Kudapan</v>
      </c>
      <c r="AA596" s="650" t="s">
        <v>3362</v>
      </c>
      <c r="AB596" s="269">
        <v>15000</v>
      </c>
      <c r="AC596" s="269">
        <v>1800000</v>
      </c>
      <c r="AD596" s="267">
        <v>1800000</v>
      </c>
      <c r="AE596" s="270">
        <v>1621621.6216216215</v>
      </c>
      <c r="AF596" s="270">
        <v>1800000</v>
      </c>
      <c r="AG596" s="805" t="s">
        <v>3883</v>
      </c>
      <c r="AH596" s="651">
        <f>Data2025!W595</f>
        <v>0</v>
      </c>
    </row>
    <row r="597" spans="1:36" ht="16.5" thickTop="1" thickBot="1">
      <c r="A597" s="636">
        <f>Data2025!G596</f>
        <v>0</v>
      </c>
      <c r="B597" s="637">
        <f>Data2025!K596</f>
        <v>0</v>
      </c>
      <c r="C597" s="638">
        <f>Data2025!D596</f>
        <v>0</v>
      </c>
      <c r="D597" s="639">
        <f>Data2025!C596</f>
        <v>0</v>
      </c>
      <c r="E597" s="265">
        <f>Data2025!E596</f>
        <v>0</v>
      </c>
      <c r="F597" s="640">
        <f>Data2025!F596</f>
        <v>0</v>
      </c>
      <c r="G597" s="265">
        <f>Data2025!H596</f>
        <v>0</v>
      </c>
      <c r="H597" s="265">
        <f t="shared" si="31"/>
        <v>0</v>
      </c>
      <c r="I597" s="641">
        <f>Data2025!J596</f>
        <v>0</v>
      </c>
      <c r="J597" s="381">
        <f>Data2025!L596</f>
        <v>0</v>
      </c>
      <c r="K597" s="381">
        <f>Data2025!M596</f>
        <v>0</v>
      </c>
      <c r="L597" s="642">
        <f>Data2025!N596</f>
        <v>0</v>
      </c>
      <c r="M597" s="642">
        <f>Data2025!O596</f>
        <v>0</v>
      </c>
      <c r="N597" s="643">
        <f>Data2025!P596</f>
        <v>0</v>
      </c>
      <c r="O597" s="644">
        <f>Data2025!Q596</f>
        <v>0</v>
      </c>
      <c r="P597" s="645" t="s">
        <v>8</v>
      </c>
      <c r="Q597" s="646" t="e">
        <f>VLOOKUP(K597,Sheet1!$C$1:$D$101,2,)</f>
        <v>#N/A</v>
      </c>
      <c r="R597" s="267">
        <v>2400000</v>
      </c>
      <c r="S597" s="647">
        <v>2520000</v>
      </c>
      <c r="T597" s="648">
        <f>Data2025!T596</f>
        <v>0</v>
      </c>
      <c r="U597" s="268" t="s">
        <v>2520</v>
      </c>
      <c r="V597" s="648">
        <f>Data2025!V596</f>
        <v>0</v>
      </c>
      <c r="W597" s="648">
        <f>Data2025!X596</f>
        <v>0</v>
      </c>
      <c r="X597" s="268" t="s">
        <v>3391</v>
      </c>
      <c r="Y597" s="268" t="str">
        <f t="shared" si="32"/>
        <v>Konsumsi</v>
      </c>
      <c r="Z597" s="649" t="str">
        <f t="shared" si="33"/>
        <v>Konsumsi</v>
      </c>
      <c r="AA597" s="650" t="s">
        <v>3362</v>
      </c>
      <c r="AB597" s="269">
        <v>40000</v>
      </c>
      <c r="AC597" s="269">
        <v>2400000</v>
      </c>
      <c r="AD597" s="267">
        <v>2400000</v>
      </c>
      <c r="AE597" s="270">
        <v>2162162.1621621624</v>
      </c>
      <c r="AF597" s="270">
        <v>2400000</v>
      </c>
      <c r="AG597" s="805" t="s">
        <v>3883</v>
      </c>
      <c r="AH597" s="651">
        <f>Data2025!W596</f>
        <v>0</v>
      </c>
    </row>
    <row r="598" spans="1:36" s="685" customFormat="1" ht="16.5" thickTop="1" thickBot="1">
      <c r="A598" s="636">
        <f>Data2025!G597</f>
        <v>0</v>
      </c>
      <c r="B598" s="637">
        <f>Data2025!K597</f>
        <v>0</v>
      </c>
      <c r="C598" s="638">
        <f>Data2025!D597</f>
        <v>0</v>
      </c>
      <c r="D598" s="639">
        <f>Data2025!C597</f>
        <v>0</v>
      </c>
      <c r="E598" s="265">
        <f>Data2025!E597</f>
        <v>0</v>
      </c>
      <c r="F598" s="640">
        <f>Data2025!F597</f>
        <v>0</v>
      </c>
      <c r="G598" s="265">
        <f>Data2025!H597</f>
        <v>0</v>
      </c>
      <c r="H598" s="265">
        <f t="shared" si="31"/>
        <v>0</v>
      </c>
      <c r="I598" s="641">
        <f>Data2025!J597</f>
        <v>0</v>
      </c>
      <c r="J598" s="381">
        <f>Data2025!L597</f>
        <v>0</v>
      </c>
      <c r="K598" s="381">
        <f>Data2025!M597</f>
        <v>0</v>
      </c>
      <c r="L598" s="642">
        <f>Data2025!N597</f>
        <v>0</v>
      </c>
      <c r="M598" s="642">
        <f>Data2025!O597</f>
        <v>0</v>
      </c>
      <c r="N598" s="643">
        <f>Data2025!P597</f>
        <v>0</v>
      </c>
      <c r="O598" s="644">
        <f>Data2025!Q597</f>
        <v>0</v>
      </c>
      <c r="P598" s="645" t="s">
        <v>710</v>
      </c>
      <c r="Q598" s="646" t="e">
        <f>VLOOKUP(K598,Sheet1!$C$1:$D$101,2,)</f>
        <v>#N/A</v>
      </c>
      <c r="R598" s="679">
        <v>155000</v>
      </c>
      <c r="S598" s="680">
        <v>165000</v>
      </c>
      <c r="T598" s="648">
        <f>Data2025!T597</f>
        <v>0</v>
      </c>
      <c r="U598" s="681" t="s">
        <v>538</v>
      </c>
      <c r="V598" s="648">
        <f>Data2025!V597</f>
        <v>0</v>
      </c>
      <c r="W598" s="648">
        <f>Data2025!X597</f>
        <v>0</v>
      </c>
      <c r="X598" s="681" t="s">
        <v>541</v>
      </c>
      <c r="Y598" s="268" t="str">
        <f t="shared" si="32"/>
        <v>Alat Tulis Kantor (ATK)</v>
      </c>
      <c r="Z598" s="649" t="str">
        <f t="shared" si="33"/>
        <v>Alat Tulis Kantor (ATK)</v>
      </c>
      <c r="AA598" s="682" t="s">
        <v>3365</v>
      </c>
      <c r="AB598" s="683">
        <v>31000</v>
      </c>
      <c r="AC598" s="683">
        <v>155000</v>
      </c>
      <c r="AD598" s="679">
        <v>155000</v>
      </c>
      <c r="AE598" s="684">
        <v>139639.63963963964</v>
      </c>
      <c r="AF598" s="684">
        <v>155000</v>
      </c>
      <c r="AG598" s="805" t="s">
        <v>3883</v>
      </c>
      <c r="AH598" s="651">
        <f>Data2025!W597</f>
        <v>0</v>
      </c>
    </row>
    <row r="599" spans="1:36" s="685" customFormat="1" ht="16.5" thickTop="1" thickBot="1">
      <c r="A599" s="636">
        <f>Data2025!G598</f>
        <v>0</v>
      </c>
      <c r="B599" s="637">
        <f>Data2025!K598</f>
        <v>0</v>
      </c>
      <c r="C599" s="638">
        <f>Data2025!D598</f>
        <v>0</v>
      </c>
      <c r="D599" s="639">
        <f>Data2025!C598</f>
        <v>0</v>
      </c>
      <c r="E599" s="265">
        <f>Data2025!E598</f>
        <v>0</v>
      </c>
      <c r="F599" s="640">
        <f>Data2025!F598</f>
        <v>0</v>
      </c>
      <c r="G599" s="265">
        <f>Data2025!H598</f>
        <v>0</v>
      </c>
      <c r="H599" s="265">
        <f t="shared" si="31"/>
        <v>0</v>
      </c>
      <c r="I599" s="641">
        <f>Data2025!J598</f>
        <v>0</v>
      </c>
      <c r="J599" s="381">
        <f>Data2025!L598</f>
        <v>0</v>
      </c>
      <c r="K599" s="381">
        <f>Data2025!M598</f>
        <v>0</v>
      </c>
      <c r="L599" s="642">
        <f>Data2025!N598</f>
        <v>0</v>
      </c>
      <c r="M599" s="642">
        <f>Data2025!O598</f>
        <v>0</v>
      </c>
      <c r="N599" s="643">
        <f>Data2025!P598</f>
        <v>0</v>
      </c>
      <c r="O599" s="644">
        <f>Data2025!Q598</f>
        <v>0</v>
      </c>
      <c r="P599" s="645" t="s">
        <v>710</v>
      </c>
      <c r="Q599" s="646" t="e">
        <f>VLOOKUP(K599,Sheet1!$C$1:$D$101,2,)</f>
        <v>#N/A</v>
      </c>
      <c r="R599" s="679">
        <v>300000</v>
      </c>
      <c r="S599" s="680">
        <v>310000</v>
      </c>
      <c r="T599" s="648">
        <f>Data2025!T598</f>
        <v>0</v>
      </c>
      <c r="U599" s="681" t="s">
        <v>538</v>
      </c>
      <c r="V599" s="648">
        <f>Data2025!V598</f>
        <v>0</v>
      </c>
      <c r="W599" s="648">
        <f>Data2025!X598</f>
        <v>0</v>
      </c>
      <c r="X599" s="681" t="s">
        <v>541</v>
      </c>
      <c r="Y599" s="268" t="str">
        <f t="shared" si="32"/>
        <v>Alat Tulis Kantor (ATK)</v>
      </c>
      <c r="Z599" s="649" t="str">
        <f t="shared" si="33"/>
        <v>Alat Tulis Kantor (ATK)</v>
      </c>
      <c r="AA599" s="682" t="s">
        <v>3365</v>
      </c>
      <c r="AB599" s="683">
        <v>60000</v>
      </c>
      <c r="AC599" s="683">
        <v>300000</v>
      </c>
      <c r="AD599" s="679">
        <v>300000</v>
      </c>
      <c r="AE599" s="684">
        <v>270270.2702702703</v>
      </c>
      <c r="AF599" s="684">
        <v>300000</v>
      </c>
      <c r="AG599" s="805" t="s">
        <v>3883</v>
      </c>
      <c r="AH599" s="651">
        <f>Data2025!W598</f>
        <v>0</v>
      </c>
    </row>
    <row r="600" spans="1:36" s="685" customFormat="1" ht="16.5" thickTop="1" thickBot="1">
      <c r="A600" s="636">
        <f>Data2025!G599</f>
        <v>0</v>
      </c>
      <c r="B600" s="637">
        <f>Data2025!K599</f>
        <v>0</v>
      </c>
      <c r="C600" s="638">
        <f>Data2025!D599</f>
        <v>0</v>
      </c>
      <c r="D600" s="639">
        <f>Data2025!C599</f>
        <v>0</v>
      </c>
      <c r="E600" s="265">
        <f>Data2025!E599</f>
        <v>0</v>
      </c>
      <c r="F600" s="640">
        <f>Data2025!F599</f>
        <v>0</v>
      </c>
      <c r="G600" s="265">
        <f>Data2025!H599</f>
        <v>0</v>
      </c>
      <c r="H600" s="265">
        <f t="shared" si="31"/>
        <v>0</v>
      </c>
      <c r="I600" s="641">
        <f>Data2025!J599</f>
        <v>0</v>
      </c>
      <c r="J600" s="381">
        <f>Data2025!L599</f>
        <v>0</v>
      </c>
      <c r="K600" s="381">
        <f>Data2025!M599</f>
        <v>0</v>
      </c>
      <c r="L600" s="642">
        <f>Data2025!N599</f>
        <v>0</v>
      </c>
      <c r="M600" s="642">
        <f>Data2025!O599</f>
        <v>0</v>
      </c>
      <c r="N600" s="643">
        <f>Data2025!P599</f>
        <v>0</v>
      </c>
      <c r="O600" s="644">
        <f>Data2025!Q599</f>
        <v>0</v>
      </c>
      <c r="P600" s="645" t="s">
        <v>710</v>
      </c>
      <c r="Q600" s="646" t="e">
        <f>VLOOKUP(K600,Sheet1!$C$1:$D$101,2,)</f>
        <v>#N/A</v>
      </c>
      <c r="R600" s="679">
        <v>500000</v>
      </c>
      <c r="S600" s="680">
        <v>520000</v>
      </c>
      <c r="T600" s="648">
        <f>Data2025!T599</f>
        <v>0</v>
      </c>
      <c r="U600" s="681" t="s">
        <v>538</v>
      </c>
      <c r="V600" s="648">
        <f>Data2025!V599</f>
        <v>0</v>
      </c>
      <c r="W600" s="648">
        <f>Data2025!X599</f>
        <v>0</v>
      </c>
      <c r="X600" s="681" t="s">
        <v>541</v>
      </c>
      <c r="Y600" s="268" t="str">
        <f t="shared" si="32"/>
        <v>Alat Tulis Kantor (ATK)</v>
      </c>
      <c r="Z600" s="649" t="str">
        <f t="shared" si="33"/>
        <v>Alat Tulis Kantor (ATK)</v>
      </c>
      <c r="AA600" s="682" t="s">
        <v>3365</v>
      </c>
      <c r="AB600" s="683">
        <v>50000</v>
      </c>
      <c r="AC600" s="683">
        <v>500000</v>
      </c>
      <c r="AD600" s="679">
        <v>500000</v>
      </c>
      <c r="AE600" s="684">
        <v>450450.45045045047</v>
      </c>
      <c r="AF600" s="684">
        <v>500000</v>
      </c>
      <c r="AG600" s="805" t="s">
        <v>3883</v>
      </c>
      <c r="AH600" s="651">
        <f>Data2025!W599</f>
        <v>0</v>
      </c>
    </row>
    <row r="601" spans="1:36" s="685" customFormat="1" ht="16.5" thickTop="1" thickBot="1">
      <c r="A601" s="636">
        <f>Data2025!G600</f>
        <v>0</v>
      </c>
      <c r="B601" s="637">
        <f>Data2025!K600</f>
        <v>0</v>
      </c>
      <c r="C601" s="638">
        <f>Data2025!D600</f>
        <v>0</v>
      </c>
      <c r="D601" s="639">
        <f>Data2025!C600</f>
        <v>0</v>
      </c>
      <c r="E601" s="265">
        <f>Data2025!E600</f>
        <v>0</v>
      </c>
      <c r="F601" s="640">
        <f>Data2025!F600</f>
        <v>0</v>
      </c>
      <c r="G601" s="265">
        <f>Data2025!H600</f>
        <v>0</v>
      </c>
      <c r="H601" s="265">
        <f t="shared" si="31"/>
        <v>0</v>
      </c>
      <c r="I601" s="641">
        <f>Data2025!J600</f>
        <v>0</v>
      </c>
      <c r="J601" s="381">
        <f>Data2025!L600</f>
        <v>0</v>
      </c>
      <c r="K601" s="381">
        <f>Data2025!M600</f>
        <v>0</v>
      </c>
      <c r="L601" s="642">
        <f>Data2025!N600</f>
        <v>0</v>
      </c>
      <c r="M601" s="642">
        <f>Data2025!O600</f>
        <v>0</v>
      </c>
      <c r="N601" s="643">
        <f>Data2025!P600</f>
        <v>0</v>
      </c>
      <c r="O601" s="644">
        <f>Data2025!Q600</f>
        <v>0</v>
      </c>
      <c r="P601" s="645" t="s">
        <v>710</v>
      </c>
      <c r="Q601" s="646" t="e">
        <f>VLOOKUP(K601,Sheet1!$C$1:$D$101,2,)</f>
        <v>#N/A</v>
      </c>
      <c r="R601" s="679">
        <v>114000</v>
      </c>
      <c r="S601" s="680">
        <v>124000</v>
      </c>
      <c r="T601" s="648">
        <f>Data2025!T600</f>
        <v>0</v>
      </c>
      <c r="U601" s="681" t="s">
        <v>538</v>
      </c>
      <c r="V601" s="648">
        <f>Data2025!V600</f>
        <v>0</v>
      </c>
      <c r="W601" s="648">
        <f>Data2025!X600</f>
        <v>0</v>
      </c>
      <c r="X601" s="681" t="s">
        <v>541</v>
      </c>
      <c r="Y601" s="268" t="str">
        <f t="shared" si="32"/>
        <v>Alat Tulis Kantor (ATK)</v>
      </c>
      <c r="Z601" s="649" t="str">
        <f t="shared" si="33"/>
        <v>Alat Tulis Kantor (ATK)</v>
      </c>
      <c r="AA601" s="682" t="s">
        <v>3363</v>
      </c>
      <c r="AB601" s="683">
        <v>22800</v>
      </c>
      <c r="AC601" s="683">
        <v>114000</v>
      </c>
      <c r="AD601" s="679">
        <v>114000</v>
      </c>
      <c r="AE601" s="684">
        <v>102702.70270270271</v>
      </c>
      <c r="AF601" s="684">
        <v>114000</v>
      </c>
      <c r="AG601" s="805" t="s">
        <v>3883</v>
      </c>
      <c r="AH601" s="651">
        <f>Data2025!W600</f>
        <v>0</v>
      </c>
    </row>
    <row r="602" spans="1:36" s="685" customFormat="1" ht="16.5" thickTop="1" thickBot="1">
      <c r="A602" s="636">
        <f>Data2025!G601</f>
        <v>0</v>
      </c>
      <c r="B602" s="637">
        <f>Data2025!K601</f>
        <v>0</v>
      </c>
      <c r="C602" s="638">
        <f>Data2025!D601</f>
        <v>0</v>
      </c>
      <c r="D602" s="639">
        <f>Data2025!C601</f>
        <v>0</v>
      </c>
      <c r="E602" s="265">
        <f>Data2025!E601</f>
        <v>0</v>
      </c>
      <c r="F602" s="640">
        <f>Data2025!F601</f>
        <v>0</v>
      </c>
      <c r="G602" s="265">
        <f>Data2025!H601</f>
        <v>0</v>
      </c>
      <c r="H602" s="265">
        <f t="shared" si="31"/>
        <v>0</v>
      </c>
      <c r="I602" s="641">
        <f>Data2025!J601</f>
        <v>0</v>
      </c>
      <c r="J602" s="381">
        <f>Data2025!L601</f>
        <v>0</v>
      </c>
      <c r="K602" s="381">
        <f>Data2025!M601</f>
        <v>0</v>
      </c>
      <c r="L602" s="642">
        <f>Data2025!N601</f>
        <v>0</v>
      </c>
      <c r="M602" s="642">
        <f>Data2025!O601</f>
        <v>0</v>
      </c>
      <c r="N602" s="643">
        <f>Data2025!P601</f>
        <v>0</v>
      </c>
      <c r="O602" s="644">
        <f>Data2025!Q601</f>
        <v>0</v>
      </c>
      <c r="P602" s="645" t="s">
        <v>710</v>
      </c>
      <c r="Q602" s="646" t="e">
        <f>VLOOKUP(K602,Sheet1!$C$1:$D$101,2,)</f>
        <v>#N/A</v>
      </c>
      <c r="R602" s="679">
        <v>180000</v>
      </c>
      <c r="S602" s="680">
        <v>184000</v>
      </c>
      <c r="T602" s="648">
        <f>Data2025!T601</f>
        <v>0</v>
      </c>
      <c r="U602" s="681" t="s">
        <v>538</v>
      </c>
      <c r="V602" s="648">
        <f>Data2025!V601</f>
        <v>0</v>
      </c>
      <c r="W602" s="648">
        <f>Data2025!X601</f>
        <v>0</v>
      </c>
      <c r="X602" s="681" t="s">
        <v>541</v>
      </c>
      <c r="Y602" s="268" t="str">
        <f t="shared" si="32"/>
        <v>Alat Tulis Kantor (ATK)</v>
      </c>
      <c r="Z602" s="649" t="str">
        <f t="shared" si="33"/>
        <v>Alat Tulis Kantor (ATK)</v>
      </c>
      <c r="AA602" s="682" t="s">
        <v>3369</v>
      </c>
      <c r="AB602" s="683">
        <v>90000</v>
      </c>
      <c r="AC602" s="683">
        <v>180000</v>
      </c>
      <c r="AD602" s="679">
        <v>180000</v>
      </c>
      <c r="AE602" s="684">
        <v>162162.16216216216</v>
      </c>
      <c r="AF602" s="684">
        <v>180000</v>
      </c>
      <c r="AG602" s="805" t="s">
        <v>3883</v>
      </c>
      <c r="AH602" s="651">
        <f>Data2025!W601</f>
        <v>0</v>
      </c>
    </row>
    <row r="603" spans="1:36" s="685" customFormat="1" ht="16.5" thickTop="1" thickBot="1">
      <c r="A603" s="636">
        <f>Data2025!G602</f>
        <v>0</v>
      </c>
      <c r="B603" s="637">
        <f>Data2025!K602</f>
        <v>0</v>
      </c>
      <c r="C603" s="638">
        <f>Data2025!D602</f>
        <v>0</v>
      </c>
      <c r="D603" s="639">
        <f>Data2025!C602</f>
        <v>0</v>
      </c>
      <c r="E603" s="265">
        <f>Data2025!E602</f>
        <v>0</v>
      </c>
      <c r="F603" s="640">
        <f>Data2025!F602</f>
        <v>0</v>
      </c>
      <c r="G603" s="265">
        <f>Data2025!H602</f>
        <v>0</v>
      </c>
      <c r="H603" s="265">
        <f t="shared" si="31"/>
        <v>0</v>
      </c>
      <c r="I603" s="641">
        <f>Data2025!J602</f>
        <v>0</v>
      </c>
      <c r="J603" s="381">
        <f>Data2025!L602</f>
        <v>0</v>
      </c>
      <c r="K603" s="381">
        <f>Data2025!M602</f>
        <v>0</v>
      </c>
      <c r="L603" s="642">
        <f>Data2025!N602</f>
        <v>0</v>
      </c>
      <c r="M603" s="642">
        <f>Data2025!O602</f>
        <v>0</v>
      </c>
      <c r="N603" s="643">
        <f>Data2025!P602</f>
        <v>0</v>
      </c>
      <c r="O603" s="644">
        <f>Data2025!Q602</f>
        <v>0</v>
      </c>
      <c r="P603" s="645" t="s">
        <v>710</v>
      </c>
      <c r="Q603" s="646" t="e">
        <f>VLOOKUP(K603,Sheet1!$C$1:$D$101,2,)</f>
        <v>#N/A</v>
      </c>
      <c r="R603" s="679">
        <v>485000</v>
      </c>
      <c r="S603" s="680">
        <v>505000</v>
      </c>
      <c r="T603" s="648">
        <f>Data2025!T602</f>
        <v>0</v>
      </c>
      <c r="U603" s="681" t="s">
        <v>538</v>
      </c>
      <c r="V603" s="648">
        <f>Data2025!V602</f>
        <v>0</v>
      </c>
      <c r="W603" s="648">
        <f>Data2025!X602</f>
        <v>0</v>
      </c>
      <c r="X603" s="681" t="s">
        <v>541</v>
      </c>
      <c r="Y603" s="268" t="str">
        <f t="shared" si="32"/>
        <v>Alat Tulis Kantor (ATK)</v>
      </c>
      <c r="Z603" s="649" t="str">
        <f t="shared" si="33"/>
        <v>Alat Tulis Kantor (ATK)</v>
      </c>
      <c r="AA603" s="682" t="s">
        <v>3369</v>
      </c>
      <c r="AB603" s="683">
        <v>48500</v>
      </c>
      <c r="AC603" s="683">
        <v>485000</v>
      </c>
      <c r="AD603" s="679">
        <v>485000</v>
      </c>
      <c r="AE603" s="684">
        <v>436936.93693693692</v>
      </c>
      <c r="AF603" s="684">
        <v>485000</v>
      </c>
      <c r="AG603" s="805" t="s">
        <v>3883</v>
      </c>
      <c r="AH603" s="651">
        <f>Data2025!W602</f>
        <v>0</v>
      </c>
    </row>
    <row r="604" spans="1:36" ht="16.5" thickTop="1" thickBot="1">
      <c r="A604" s="636">
        <f>Data2025!G603</f>
        <v>0</v>
      </c>
      <c r="B604" s="637">
        <f>Data2025!K603</f>
        <v>0</v>
      </c>
      <c r="C604" s="638">
        <f>Data2025!D603</f>
        <v>0</v>
      </c>
      <c r="D604" s="639">
        <f>Data2025!C603</f>
        <v>0</v>
      </c>
      <c r="E604" s="265">
        <f>Data2025!E603</f>
        <v>0</v>
      </c>
      <c r="F604" s="640">
        <f>Data2025!F603</f>
        <v>0</v>
      </c>
      <c r="G604" s="265">
        <f>Data2025!H603</f>
        <v>0</v>
      </c>
      <c r="H604" s="265">
        <f t="shared" si="31"/>
        <v>0</v>
      </c>
      <c r="I604" s="641">
        <f>Data2025!J603</f>
        <v>0</v>
      </c>
      <c r="J604" s="381">
        <f>Data2025!L603</f>
        <v>0</v>
      </c>
      <c r="K604" s="381">
        <f>Data2025!M603</f>
        <v>0</v>
      </c>
      <c r="L604" s="642">
        <f>Data2025!N603</f>
        <v>0</v>
      </c>
      <c r="M604" s="642">
        <f>Data2025!O603</f>
        <v>0</v>
      </c>
      <c r="N604" s="643">
        <f>Data2025!P603</f>
        <v>0</v>
      </c>
      <c r="O604" s="644">
        <f>Data2025!Q603</f>
        <v>0</v>
      </c>
      <c r="P604" s="645" t="s">
        <v>2675</v>
      </c>
      <c r="Q604" s="646" t="e">
        <f>VLOOKUP(K604,Sheet1!$C$1:$D$101,2,)</f>
        <v>#N/A</v>
      </c>
      <c r="R604" s="267">
        <v>1575000</v>
      </c>
      <c r="S604" s="647">
        <v>11136650</v>
      </c>
      <c r="T604" s="648">
        <f>Data2025!T603</f>
        <v>0</v>
      </c>
      <c r="U604" s="268" t="s">
        <v>538</v>
      </c>
      <c r="V604" s="648">
        <f>Data2025!V603</f>
        <v>0</v>
      </c>
      <c r="W604" s="648">
        <f>Data2025!X603</f>
        <v>0</v>
      </c>
      <c r="X604" s="268" t="s">
        <v>541</v>
      </c>
      <c r="Y604" s="268" t="str">
        <f t="shared" si="32"/>
        <v>Penggandaan</v>
      </c>
      <c r="Z604" s="649" t="str">
        <f t="shared" si="33"/>
        <v>Penggandaan</v>
      </c>
      <c r="AA604" s="650" t="s">
        <v>3368</v>
      </c>
      <c r="AB604" s="269">
        <v>350</v>
      </c>
      <c r="AC604" s="269">
        <v>1658650</v>
      </c>
      <c r="AD604" s="267">
        <v>1575000</v>
      </c>
      <c r="AE604" s="270">
        <v>1418918.9189189191</v>
      </c>
      <c r="AF604" s="270">
        <v>1575000</v>
      </c>
      <c r="AG604" s="805" t="s">
        <v>3883</v>
      </c>
      <c r="AH604" s="651">
        <f>Data2025!W603</f>
        <v>0</v>
      </c>
    </row>
    <row r="605" spans="1:36" ht="16.5" thickTop="1" thickBot="1">
      <c r="A605" s="636">
        <f>Data2025!G604</f>
        <v>0</v>
      </c>
      <c r="B605" s="637">
        <f>Data2025!K604</f>
        <v>0</v>
      </c>
      <c r="C605" s="638">
        <f>Data2025!D604</f>
        <v>0</v>
      </c>
      <c r="D605" s="639">
        <f>Data2025!C604</f>
        <v>0</v>
      </c>
      <c r="E605" s="265">
        <f>Data2025!E604</f>
        <v>0</v>
      </c>
      <c r="F605" s="640">
        <f>Data2025!F604</f>
        <v>0</v>
      </c>
      <c r="G605" s="265">
        <f>Data2025!H604</f>
        <v>0</v>
      </c>
      <c r="H605" s="265">
        <f t="shared" si="31"/>
        <v>0</v>
      </c>
      <c r="I605" s="641">
        <f>Data2025!J604</f>
        <v>0</v>
      </c>
      <c r="J605" s="381">
        <f>Data2025!L604</f>
        <v>0</v>
      </c>
      <c r="K605" s="381">
        <f>Data2025!M604</f>
        <v>0</v>
      </c>
      <c r="L605" s="642">
        <f>Data2025!N604</f>
        <v>0</v>
      </c>
      <c r="M605" s="642">
        <f>Data2025!O604</f>
        <v>0</v>
      </c>
      <c r="N605" s="643">
        <f>Data2025!P604</f>
        <v>0</v>
      </c>
      <c r="O605" s="644">
        <f>Data2025!Q604</f>
        <v>0</v>
      </c>
      <c r="P605" s="645" t="s">
        <v>2609</v>
      </c>
      <c r="Q605" s="646" t="e">
        <f>VLOOKUP(K605,Sheet1!$C$1:$D$101,2,)</f>
        <v>#N/A</v>
      </c>
      <c r="R605" s="496">
        <v>335000</v>
      </c>
      <c r="S605" s="504">
        <v>345000</v>
      </c>
      <c r="T605" s="648">
        <f>Data2025!T604</f>
        <v>0</v>
      </c>
      <c r="U605" s="497" t="s">
        <v>538</v>
      </c>
      <c r="V605" s="648">
        <f>Data2025!V604</f>
        <v>0</v>
      </c>
      <c r="W605" s="648">
        <f>Data2025!X604</f>
        <v>0</v>
      </c>
      <c r="X605" s="497" t="s">
        <v>541</v>
      </c>
      <c r="Y605" s="268" t="str">
        <f t="shared" si="32"/>
        <v>Alat Kebersihan</v>
      </c>
      <c r="Z605" s="649" t="str">
        <f t="shared" si="33"/>
        <v>Alat Kebersihan</v>
      </c>
      <c r="AA605" s="498" t="s">
        <v>3367</v>
      </c>
      <c r="AB605" s="269">
        <v>67000</v>
      </c>
      <c r="AC605" s="269">
        <v>335000</v>
      </c>
      <c r="AD605" s="267">
        <v>335000</v>
      </c>
      <c r="AE605" s="270">
        <v>301801.80180180183</v>
      </c>
      <c r="AF605" s="270">
        <v>335000</v>
      </c>
      <c r="AG605" s="805" t="s">
        <v>3883</v>
      </c>
      <c r="AH605" s="651">
        <f>Data2025!W604</f>
        <v>0</v>
      </c>
    </row>
    <row r="606" spans="1:36" s="501" customFormat="1" ht="16.5" thickTop="1" thickBot="1">
      <c r="A606" s="636">
        <f>Data2025!G605</f>
        <v>0</v>
      </c>
      <c r="B606" s="637">
        <f>Data2025!K605</f>
        <v>0</v>
      </c>
      <c r="C606" s="638">
        <f>Data2025!D605</f>
        <v>0</v>
      </c>
      <c r="D606" s="639">
        <f>Data2025!C605</f>
        <v>0</v>
      </c>
      <c r="E606" s="265">
        <f>Data2025!E605</f>
        <v>0</v>
      </c>
      <c r="F606" s="640">
        <f>Data2025!F605</f>
        <v>0</v>
      </c>
      <c r="G606" s="265">
        <f>Data2025!H605</f>
        <v>0</v>
      </c>
      <c r="H606" s="265">
        <f t="shared" si="31"/>
        <v>0</v>
      </c>
      <c r="I606" s="641">
        <f>Data2025!J605</f>
        <v>0</v>
      </c>
      <c r="J606" s="381">
        <f>Data2025!L605</f>
        <v>0</v>
      </c>
      <c r="K606" s="381">
        <f>Data2025!M605</f>
        <v>0</v>
      </c>
      <c r="L606" s="642">
        <f>Data2025!N605</f>
        <v>0</v>
      </c>
      <c r="M606" s="642">
        <f>Data2025!O605</f>
        <v>0</v>
      </c>
      <c r="N606" s="643">
        <f>Data2025!P605</f>
        <v>0</v>
      </c>
      <c r="O606" s="644">
        <f>Data2025!Q605</f>
        <v>0</v>
      </c>
      <c r="P606" s="645" t="s">
        <v>2609</v>
      </c>
      <c r="Q606" s="646" t="e">
        <f>VLOOKUP(K606,Sheet1!$C$1:$D$101,2,)</f>
        <v>#N/A</v>
      </c>
      <c r="R606" s="496">
        <v>205500</v>
      </c>
      <c r="S606" s="504">
        <v>235500</v>
      </c>
      <c r="T606" s="648">
        <f>Data2025!T605</f>
        <v>0</v>
      </c>
      <c r="U606" s="497" t="s">
        <v>538</v>
      </c>
      <c r="V606" s="648">
        <f>Data2025!V605</f>
        <v>0</v>
      </c>
      <c r="W606" s="648">
        <f>Data2025!X605</f>
        <v>0</v>
      </c>
      <c r="X606" s="497" t="s">
        <v>541</v>
      </c>
      <c r="Y606" s="268" t="str">
        <f t="shared" si="32"/>
        <v>Alat Kebersihan</v>
      </c>
      <c r="Z606" s="649" t="str">
        <f t="shared" si="33"/>
        <v>Alat Kebersihan</v>
      </c>
      <c r="AA606" s="498" t="s">
        <v>3363</v>
      </c>
      <c r="AB606" s="499">
        <v>13700</v>
      </c>
      <c r="AC606" s="499">
        <v>205500</v>
      </c>
      <c r="AD606" s="496">
        <v>205500</v>
      </c>
      <c r="AE606" s="500">
        <v>185135.13513513515</v>
      </c>
      <c r="AF606" s="500">
        <v>205500</v>
      </c>
      <c r="AG606" s="805" t="s">
        <v>3883</v>
      </c>
      <c r="AH606" s="651">
        <f>Data2025!W605</f>
        <v>0</v>
      </c>
    </row>
    <row r="607" spans="1:36" ht="16.5" thickTop="1" thickBot="1">
      <c r="A607" s="636">
        <f>Data2025!G606</f>
        <v>0</v>
      </c>
      <c r="B607" s="637">
        <f>Data2025!K606</f>
        <v>0</v>
      </c>
      <c r="C607" s="638">
        <f>Data2025!D606</f>
        <v>0</v>
      </c>
      <c r="D607" s="639">
        <f>Data2025!C606</f>
        <v>0</v>
      </c>
      <c r="E607" s="265">
        <f>Data2025!E606</f>
        <v>0</v>
      </c>
      <c r="F607" s="640">
        <f>Data2025!F606</f>
        <v>0</v>
      </c>
      <c r="G607" s="265">
        <f>Data2025!H606</f>
        <v>0</v>
      </c>
      <c r="H607" s="265">
        <f t="shared" si="31"/>
        <v>0</v>
      </c>
      <c r="I607" s="641">
        <f>Data2025!J606</f>
        <v>0</v>
      </c>
      <c r="J607" s="381">
        <f>Data2025!L606</f>
        <v>0</v>
      </c>
      <c r="K607" s="381">
        <f>Data2025!M606</f>
        <v>0</v>
      </c>
      <c r="L607" s="642">
        <f>Data2025!N606</f>
        <v>0</v>
      </c>
      <c r="M607" s="642">
        <f>Data2025!O606</f>
        <v>0</v>
      </c>
      <c r="N607" s="643">
        <f>Data2025!P606</f>
        <v>0</v>
      </c>
      <c r="O607" s="644">
        <f>Data2025!Q606</f>
        <v>0</v>
      </c>
      <c r="P607" s="645" t="s">
        <v>2609</v>
      </c>
      <c r="Q607" s="646" t="e">
        <f>VLOOKUP(K607,Sheet1!$C$1:$D$101,2,)</f>
        <v>#N/A</v>
      </c>
      <c r="R607" s="496">
        <v>121000</v>
      </c>
      <c r="S607" s="504">
        <v>141000</v>
      </c>
      <c r="T607" s="648">
        <f>Data2025!T606</f>
        <v>0</v>
      </c>
      <c r="U607" s="497" t="s">
        <v>538</v>
      </c>
      <c r="V607" s="648">
        <f>Data2025!V606</f>
        <v>0</v>
      </c>
      <c r="W607" s="648">
        <f>Data2025!X606</f>
        <v>0</v>
      </c>
      <c r="X607" s="497" t="s">
        <v>541</v>
      </c>
      <c r="Y607" s="268" t="str">
        <f t="shared" si="32"/>
        <v>Alat Kebersihan</v>
      </c>
      <c r="Z607" s="649" t="str">
        <f t="shared" si="33"/>
        <v>Alat Kebersihan</v>
      </c>
      <c r="AA607" s="498" t="s">
        <v>3363</v>
      </c>
      <c r="AB607" s="269">
        <v>12100</v>
      </c>
      <c r="AC607" s="269">
        <v>121000</v>
      </c>
      <c r="AD607" s="267">
        <v>121000</v>
      </c>
      <c r="AE607" s="270">
        <v>109009.00900900901</v>
      </c>
      <c r="AF607" s="270">
        <v>121000</v>
      </c>
      <c r="AG607" s="805" t="s">
        <v>3883</v>
      </c>
      <c r="AH607" s="651">
        <f>Data2025!W606</f>
        <v>0</v>
      </c>
    </row>
    <row r="608" spans="1:36" ht="16.5" thickTop="1" thickBot="1">
      <c r="A608" s="636">
        <f>Data2025!G607</f>
        <v>0</v>
      </c>
      <c r="B608" s="637">
        <f>Data2025!K607</f>
        <v>0</v>
      </c>
      <c r="C608" s="638">
        <f>Data2025!D607</f>
        <v>0</v>
      </c>
      <c r="D608" s="639">
        <f>Data2025!C607</f>
        <v>0</v>
      </c>
      <c r="E608" s="265">
        <f>Data2025!E607</f>
        <v>0</v>
      </c>
      <c r="F608" s="640">
        <f>Data2025!F607</f>
        <v>0</v>
      </c>
      <c r="G608" s="265">
        <f>Data2025!H607</f>
        <v>0</v>
      </c>
      <c r="H608" s="265">
        <f t="shared" si="31"/>
        <v>0</v>
      </c>
      <c r="I608" s="641">
        <f>Data2025!J607</f>
        <v>0</v>
      </c>
      <c r="J608" s="381">
        <f>Data2025!L607</f>
        <v>0</v>
      </c>
      <c r="K608" s="381">
        <f>Data2025!M607</f>
        <v>0</v>
      </c>
      <c r="L608" s="642">
        <f>Data2025!N607</f>
        <v>0</v>
      </c>
      <c r="M608" s="642">
        <f>Data2025!O607</f>
        <v>0</v>
      </c>
      <c r="N608" s="643">
        <f>Data2025!P607</f>
        <v>0</v>
      </c>
      <c r="O608" s="644">
        <f>Data2025!Q607</f>
        <v>0</v>
      </c>
      <c r="P608" s="645" t="s">
        <v>2609</v>
      </c>
      <c r="Q608" s="646" t="e">
        <f>VLOOKUP(K608,Sheet1!$C$1:$D$101,2,)</f>
        <v>#N/A</v>
      </c>
      <c r="R608" s="496">
        <v>45000</v>
      </c>
      <c r="S608" s="504">
        <v>51000</v>
      </c>
      <c r="T608" s="648">
        <f>Data2025!T607</f>
        <v>0</v>
      </c>
      <c r="U608" s="497" t="s">
        <v>538</v>
      </c>
      <c r="V608" s="648">
        <f>Data2025!V607</f>
        <v>0</v>
      </c>
      <c r="W608" s="648">
        <f>Data2025!X607</f>
        <v>0</v>
      </c>
      <c r="X608" s="497" t="s">
        <v>541</v>
      </c>
      <c r="Y608" s="268" t="str">
        <f t="shared" si="32"/>
        <v>Alat Kebersihan</v>
      </c>
      <c r="Z608" s="649" t="str">
        <f t="shared" si="33"/>
        <v>Alat Kebersihan</v>
      </c>
      <c r="AA608" s="498" t="s">
        <v>3363</v>
      </c>
      <c r="AB608" s="269">
        <v>15000</v>
      </c>
      <c r="AC608" s="269">
        <v>45000</v>
      </c>
      <c r="AD608" s="267">
        <v>45000</v>
      </c>
      <c r="AE608" s="270">
        <v>40540.54054054054</v>
      </c>
      <c r="AF608" s="270">
        <v>45000</v>
      </c>
      <c r="AG608" s="805" t="s">
        <v>3883</v>
      </c>
      <c r="AH608" s="651">
        <f>Data2025!W607</f>
        <v>0</v>
      </c>
    </row>
    <row r="609" spans="1:35" s="501" customFormat="1" ht="16.5" thickTop="1" thickBot="1">
      <c r="A609" s="636">
        <f>Data2025!G608</f>
        <v>0</v>
      </c>
      <c r="B609" s="637">
        <f>Data2025!K608</f>
        <v>0</v>
      </c>
      <c r="C609" s="638">
        <f>Data2025!D608</f>
        <v>0</v>
      </c>
      <c r="D609" s="639">
        <f>Data2025!C608</f>
        <v>0</v>
      </c>
      <c r="E609" s="265">
        <f>Data2025!E608</f>
        <v>0</v>
      </c>
      <c r="F609" s="640">
        <f>Data2025!F608</f>
        <v>0</v>
      </c>
      <c r="G609" s="265">
        <f>Data2025!H608</f>
        <v>0</v>
      </c>
      <c r="H609" s="265">
        <f t="shared" si="31"/>
        <v>0</v>
      </c>
      <c r="I609" s="641">
        <f>Data2025!J608</f>
        <v>0</v>
      </c>
      <c r="J609" s="381">
        <f>Data2025!L608</f>
        <v>0</v>
      </c>
      <c r="K609" s="381">
        <f>Data2025!M608</f>
        <v>0</v>
      </c>
      <c r="L609" s="642">
        <f>Data2025!N608</f>
        <v>0</v>
      </c>
      <c r="M609" s="642">
        <f>Data2025!O608</f>
        <v>0</v>
      </c>
      <c r="N609" s="643">
        <f>Data2025!P608</f>
        <v>0</v>
      </c>
      <c r="O609" s="644">
        <f>Data2025!Q608</f>
        <v>0</v>
      </c>
      <c r="P609" s="645" t="s">
        <v>2609</v>
      </c>
      <c r="Q609" s="646" t="e">
        <f>VLOOKUP(K609,Sheet1!$C$1:$D$101,2,)</f>
        <v>#N/A</v>
      </c>
      <c r="R609" s="496">
        <v>300000</v>
      </c>
      <c r="S609" s="504">
        <v>320000</v>
      </c>
      <c r="T609" s="648">
        <f>Data2025!T608</f>
        <v>0</v>
      </c>
      <c r="U609" s="497" t="s">
        <v>538</v>
      </c>
      <c r="V609" s="648">
        <f>Data2025!V608</f>
        <v>0</v>
      </c>
      <c r="W609" s="648">
        <f>Data2025!X608</f>
        <v>0</v>
      </c>
      <c r="X609" s="497" t="s">
        <v>541</v>
      </c>
      <c r="Y609" s="268" t="str">
        <f t="shared" si="32"/>
        <v>Alat Kebersihan</v>
      </c>
      <c r="Z609" s="649" t="str">
        <f t="shared" si="33"/>
        <v>Alat Kebersihan</v>
      </c>
      <c r="AA609" s="498" t="s">
        <v>3367</v>
      </c>
      <c r="AB609" s="499">
        <v>30000</v>
      </c>
      <c r="AC609" s="499">
        <v>300000</v>
      </c>
      <c r="AD609" s="496">
        <v>300000</v>
      </c>
      <c r="AE609" s="500">
        <v>270270.2702702703</v>
      </c>
      <c r="AF609" s="500">
        <v>300000</v>
      </c>
      <c r="AG609" s="805" t="s">
        <v>3883</v>
      </c>
      <c r="AH609" s="651">
        <f>Data2025!W608</f>
        <v>0</v>
      </c>
    </row>
    <row r="610" spans="1:35" s="501" customFormat="1" ht="16.5" thickTop="1" thickBot="1">
      <c r="A610" s="636">
        <f>Data2025!G609</f>
        <v>0</v>
      </c>
      <c r="B610" s="637">
        <f>Data2025!K609</f>
        <v>0</v>
      </c>
      <c r="C610" s="638">
        <f>Data2025!D609</f>
        <v>0</v>
      </c>
      <c r="D610" s="639">
        <f>Data2025!C609</f>
        <v>0</v>
      </c>
      <c r="E610" s="265">
        <f>Data2025!E609</f>
        <v>0</v>
      </c>
      <c r="F610" s="640">
        <f>Data2025!F609</f>
        <v>0</v>
      </c>
      <c r="G610" s="265">
        <f>Data2025!H609</f>
        <v>0</v>
      </c>
      <c r="H610" s="265">
        <f t="shared" si="31"/>
        <v>0</v>
      </c>
      <c r="I610" s="641">
        <f>Data2025!J609</f>
        <v>0</v>
      </c>
      <c r="J610" s="381">
        <f>Data2025!L609</f>
        <v>0</v>
      </c>
      <c r="K610" s="381">
        <f>Data2025!M609</f>
        <v>0</v>
      </c>
      <c r="L610" s="642">
        <f>Data2025!N609</f>
        <v>0</v>
      </c>
      <c r="M610" s="642">
        <f>Data2025!O609</f>
        <v>0</v>
      </c>
      <c r="N610" s="643">
        <f>Data2025!P609</f>
        <v>0</v>
      </c>
      <c r="O610" s="644">
        <f>Data2025!Q609</f>
        <v>0</v>
      </c>
      <c r="P610" s="645" t="s">
        <v>2609</v>
      </c>
      <c r="Q610" s="646" t="e">
        <f>VLOOKUP(K610,Sheet1!$C$1:$D$101,2,)</f>
        <v>#N/A</v>
      </c>
      <c r="R610" s="496">
        <v>60000</v>
      </c>
      <c r="S610" s="504">
        <v>70000</v>
      </c>
      <c r="T610" s="648">
        <f>Data2025!T609</f>
        <v>0</v>
      </c>
      <c r="U610" s="497" t="s">
        <v>538</v>
      </c>
      <c r="V610" s="648">
        <f>Data2025!V609</f>
        <v>0</v>
      </c>
      <c r="W610" s="648">
        <f>Data2025!X609</f>
        <v>0</v>
      </c>
      <c r="X610" s="497" t="s">
        <v>541</v>
      </c>
      <c r="Y610" s="268" t="str">
        <f t="shared" si="32"/>
        <v>Alat Kebersihan</v>
      </c>
      <c r="Z610" s="649" t="str">
        <f t="shared" si="33"/>
        <v>Alat Kebersihan</v>
      </c>
      <c r="AA610" s="498" t="s">
        <v>3363</v>
      </c>
      <c r="AB610" s="499">
        <v>12000</v>
      </c>
      <c r="AC610" s="499">
        <v>60000</v>
      </c>
      <c r="AD610" s="496">
        <v>60000</v>
      </c>
      <c r="AE610" s="500">
        <v>54054.054054054053</v>
      </c>
      <c r="AF610" s="500">
        <v>60000</v>
      </c>
      <c r="AG610" s="805" t="s">
        <v>3883</v>
      </c>
      <c r="AH610" s="651">
        <f>Data2025!W609</f>
        <v>0</v>
      </c>
    </row>
    <row r="611" spans="1:35" s="501" customFormat="1" ht="16.5" thickTop="1" thickBot="1">
      <c r="A611" s="636">
        <f>Data2025!G610</f>
        <v>0</v>
      </c>
      <c r="B611" s="637">
        <f>Data2025!K610</f>
        <v>0</v>
      </c>
      <c r="C611" s="638">
        <f>Data2025!D610</f>
        <v>0</v>
      </c>
      <c r="D611" s="639">
        <f>Data2025!C610</f>
        <v>0</v>
      </c>
      <c r="E611" s="265">
        <f>Data2025!E610</f>
        <v>0</v>
      </c>
      <c r="F611" s="640">
        <f>Data2025!F610</f>
        <v>0</v>
      </c>
      <c r="G611" s="265">
        <f>Data2025!H610</f>
        <v>0</v>
      </c>
      <c r="H611" s="265">
        <f t="shared" si="31"/>
        <v>0</v>
      </c>
      <c r="I611" s="641">
        <f>Data2025!J610</f>
        <v>0</v>
      </c>
      <c r="J611" s="381">
        <f>Data2025!L610</f>
        <v>0</v>
      </c>
      <c r="K611" s="381">
        <f>Data2025!M610</f>
        <v>0</v>
      </c>
      <c r="L611" s="642">
        <f>Data2025!N610</f>
        <v>0</v>
      </c>
      <c r="M611" s="642">
        <f>Data2025!O610</f>
        <v>0</v>
      </c>
      <c r="N611" s="643">
        <f>Data2025!P610</f>
        <v>0</v>
      </c>
      <c r="O611" s="644">
        <f>Data2025!Q610</f>
        <v>0</v>
      </c>
      <c r="P611" s="645" t="s">
        <v>2609</v>
      </c>
      <c r="Q611" s="646" t="e">
        <f>VLOOKUP(K611,Sheet1!$C$1:$D$101,2,)</f>
        <v>#N/A</v>
      </c>
      <c r="R611" s="496">
        <v>150000</v>
      </c>
      <c r="S611" s="504">
        <v>174000</v>
      </c>
      <c r="T611" s="648">
        <f>Data2025!T610</f>
        <v>0</v>
      </c>
      <c r="U611" s="497" t="s">
        <v>538</v>
      </c>
      <c r="V611" s="648">
        <f>Data2025!V610</f>
        <v>0</v>
      </c>
      <c r="W611" s="648">
        <f>Data2025!X610</f>
        <v>0</v>
      </c>
      <c r="X611" s="497" t="s">
        <v>541</v>
      </c>
      <c r="Y611" s="268" t="str">
        <f t="shared" si="32"/>
        <v>Alat Kebersihan</v>
      </c>
      <c r="Z611" s="649" t="str">
        <f t="shared" si="33"/>
        <v>Alat Kebersihan</v>
      </c>
      <c r="AA611" s="498" t="s">
        <v>3363</v>
      </c>
      <c r="AB611" s="499">
        <v>12500</v>
      </c>
      <c r="AC611" s="499">
        <v>150000</v>
      </c>
      <c r="AD611" s="496">
        <v>150000</v>
      </c>
      <c r="AE611" s="500">
        <v>135135.13513513515</v>
      </c>
      <c r="AF611" s="500">
        <v>150000</v>
      </c>
      <c r="AG611" s="805" t="s">
        <v>3883</v>
      </c>
      <c r="AH611" s="651">
        <f>Data2025!W610</f>
        <v>0</v>
      </c>
    </row>
    <row r="612" spans="1:35" s="501" customFormat="1" ht="16.5" thickTop="1" thickBot="1">
      <c r="A612" s="636">
        <f>Data2025!G611</f>
        <v>0</v>
      </c>
      <c r="B612" s="637">
        <f>Data2025!K611</f>
        <v>0</v>
      </c>
      <c r="C612" s="638">
        <f>Data2025!D611</f>
        <v>0</v>
      </c>
      <c r="D612" s="639">
        <f>Data2025!C611</f>
        <v>0</v>
      </c>
      <c r="E612" s="265">
        <f>Data2025!E611</f>
        <v>0</v>
      </c>
      <c r="F612" s="640">
        <f>Data2025!F611</f>
        <v>0</v>
      </c>
      <c r="G612" s="265">
        <f>Data2025!H611</f>
        <v>0</v>
      </c>
      <c r="H612" s="265">
        <f t="shared" si="31"/>
        <v>0</v>
      </c>
      <c r="I612" s="641">
        <f>Data2025!J611</f>
        <v>0</v>
      </c>
      <c r="J612" s="381">
        <f>Data2025!L611</f>
        <v>0</v>
      </c>
      <c r="K612" s="381">
        <f>Data2025!M611</f>
        <v>0</v>
      </c>
      <c r="L612" s="642">
        <f>Data2025!N611</f>
        <v>0</v>
      </c>
      <c r="M612" s="642">
        <f>Data2025!O611</f>
        <v>0</v>
      </c>
      <c r="N612" s="643">
        <f>Data2025!P611</f>
        <v>0</v>
      </c>
      <c r="O612" s="644">
        <f>Data2025!Q611</f>
        <v>0</v>
      </c>
      <c r="P612" s="645" t="s">
        <v>2609</v>
      </c>
      <c r="Q612" s="646" t="e">
        <f>VLOOKUP(K612,Sheet1!$C$1:$D$101,2,)</f>
        <v>#N/A</v>
      </c>
      <c r="R612" s="496">
        <v>60000</v>
      </c>
      <c r="S612" s="504">
        <v>70000</v>
      </c>
      <c r="T612" s="648">
        <f>Data2025!T611</f>
        <v>0</v>
      </c>
      <c r="U612" s="497" t="s">
        <v>538</v>
      </c>
      <c r="V612" s="648">
        <f>Data2025!V611</f>
        <v>0</v>
      </c>
      <c r="W612" s="648">
        <f>Data2025!X611</f>
        <v>0</v>
      </c>
      <c r="X612" s="497" t="s">
        <v>541</v>
      </c>
      <c r="Y612" s="268" t="str">
        <f t="shared" si="32"/>
        <v>Alat Kebersihan</v>
      </c>
      <c r="Z612" s="649" t="str">
        <f t="shared" si="33"/>
        <v>Alat Kebersihan</v>
      </c>
      <c r="AA612" s="498" t="s">
        <v>3363</v>
      </c>
      <c r="AB612" s="499">
        <v>12000</v>
      </c>
      <c r="AC612" s="499">
        <v>60000</v>
      </c>
      <c r="AD612" s="496">
        <v>60000</v>
      </c>
      <c r="AE612" s="500">
        <v>54054.054054054053</v>
      </c>
      <c r="AF612" s="500">
        <v>60000</v>
      </c>
      <c r="AG612" s="805" t="s">
        <v>3883</v>
      </c>
      <c r="AH612" s="651">
        <f>Data2025!W611</f>
        <v>0</v>
      </c>
    </row>
    <row r="613" spans="1:35" s="501" customFormat="1" ht="16.5" thickTop="1" thickBot="1">
      <c r="A613" s="636">
        <f>Data2025!G612</f>
        <v>0</v>
      </c>
      <c r="B613" s="637">
        <f>Data2025!K612</f>
        <v>0</v>
      </c>
      <c r="C613" s="638">
        <f>Data2025!D612</f>
        <v>0</v>
      </c>
      <c r="D613" s="639">
        <f>Data2025!C612</f>
        <v>0</v>
      </c>
      <c r="E613" s="265">
        <f>Data2025!E612</f>
        <v>0</v>
      </c>
      <c r="F613" s="640">
        <f>Data2025!F612</f>
        <v>0</v>
      </c>
      <c r="G613" s="265">
        <f>Data2025!H612</f>
        <v>0</v>
      </c>
      <c r="H613" s="265">
        <f t="shared" si="31"/>
        <v>0</v>
      </c>
      <c r="I613" s="641">
        <f>Data2025!J612</f>
        <v>0</v>
      </c>
      <c r="J613" s="381">
        <f>Data2025!L612</f>
        <v>0</v>
      </c>
      <c r="K613" s="381">
        <f>Data2025!M612</f>
        <v>0</v>
      </c>
      <c r="L613" s="642">
        <f>Data2025!N612</f>
        <v>0</v>
      </c>
      <c r="M613" s="642">
        <f>Data2025!O612</f>
        <v>0</v>
      </c>
      <c r="N613" s="643">
        <f>Data2025!P612</f>
        <v>0</v>
      </c>
      <c r="O613" s="644">
        <f>Data2025!Q612</f>
        <v>0</v>
      </c>
      <c r="P613" s="645" t="s">
        <v>2609</v>
      </c>
      <c r="Q613" s="646" t="e">
        <f>VLOOKUP(K613,Sheet1!$C$1:$D$101,2,)</f>
        <v>#N/A</v>
      </c>
      <c r="R613" s="496">
        <v>350000</v>
      </c>
      <c r="S613" s="504">
        <v>360000</v>
      </c>
      <c r="T613" s="648">
        <f>Data2025!T612</f>
        <v>0</v>
      </c>
      <c r="U613" s="497" t="s">
        <v>538</v>
      </c>
      <c r="V613" s="648">
        <f>Data2025!V612</f>
        <v>0</v>
      </c>
      <c r="W613" s="648">
        <f>Data2025!X612</f>
        <v>0</v>
      </c>
      <c r="X613" s="497" t="s">
        <v>541</v>
      </c>
      <c r="Y613" s="268" t="str">
        <f t="shared" si="32"/>
        <v>Alat Kebersihan</v>
      </c>
      <c r="Z613" s="649" t="str">
        <f t="shared" si="33"/>
        <v>Alat Kebersihan</v>
      </c>
      <c r="AA613" s="498" t="s">
        <v>3371</v>
      </c>
      <c r="AB613" s="499">
        <v>70000</v>
      </c>
      <c r="AC613" s="499">
        <v>350000</v>
      </c>
      <c r="AD613" s="496">
        <v>350000</v>
      </c>
      <c r="AE613" s="500">
        <v>315315.31531531533</v>
      </c>
      <c r="AF613" s="500">
        <v>350000</v>
      </c>
      <c r="AG613" s="805" t="s">
        <v>3883</v>
      </c>
      <c r="AH613" s="651">
        <f>Data2025!W612</f>
        <v>0</v>
      </c>
    </row>
    <row r="614" spans="1:35" s="501" customFormat="1" ht="16.5" thickTop="1" thickBot="1">
      <c r="A614" s="636">
        <f>Data2025!G613</f>
        <v>0</v>
      </c>
      <c r="B614" s="637">
        <f>Data2025!K613</f>
        <v>0</v>
      </c>
      <c r="C614" s="638">
        <f>Data2025!D613</f>
        <v>0</v>
      </c>
      <c r="D614" s="639">
        <f>Data2025!C613</f>
        <v>0</v>
      </c>
      <c r="E614" s="265">
        <f>Data2025!E613</f>
        <v>0</v>
      </c>
      <c r="F614" s="640">
        <f>Data2025!F613</f>
        <v>0</v>
      </c>
      <c r="G614" s="265">
        <f>Data2025!H613</f>
        <v>0</v>
      </c>
      <c r="H614" s="265">
        <f t="shared" si="31"/>
        <v>0</v>
      </c>
      <c r="I614" s="641">
        <f>Data2025!J613</f>
        <v>0</v>
      </c>
      <c r="J614" s="381">
        <f>Data2025!L613</f>
        <v>0</v>
      </c>
      <c r="K614" s="381">
        <f>Data2025!M613</f>
        <v>0</v>
      </c>
      <c r="L614" s="642">
        <f>Data2025!N613</f>
        <v>0</v>
      </c>
      <c r="M614" s="642">
        <f>Data2025!O613</f>
        <v>0</v>
      </c>
      <c r="N614" s="643">
        <f>Data2025!P613</f>
        <v>0</v>
      </c>
      <c r="O614" s="644">
        <f>Data2025!Q613</f>
        <v>0</v>
      </c>
      <c r="P614" s="645" t="s">
        <v>2650</v>
      </c>
      <c r="Q614" s="646" t="e">
        <f>VLOOKUP(K614,Sheet1!$C$1:$D$101,2,)</f>
        <v>#N/A</v>
      </c>
      <c r="R614" s="496">
        <v>300000</v>
      </c>
      <c r="S614" s="504">
        <v>604000</v>
      </c>
      <c r="T614" s="648">
        <f>Data2025!T613</f>
        <v>0</v>
      </c>
      <c r="U614" s="497" t="s">
        <v>538</v>
      </c>
      <c r="V614" s="648">
        <f>Data2025!V613</f>
        <v>0</v>
      </c>
      <c r="W614" s="648">
        <f>Data2025!X613</f>
        <v>0</v>
      </c>
      <c r="X614" s="497" t="s">
        <v>541</v>
      </c>
      <c r="Y614" s="268" t="str">
        <f t="shared" si="32"/>
        <v>Percetakan</v>
      </c>
      <c r="Z614" s="649" t="str">
        <f t="shared" si="33"/>
        <v>Percetakan</v>
      </c>
      <c r="AA614" s="498" t="s">
        <v>3363</v>
      </c>
      <c r="AB614" s="499">
        <v>300000</v>
      </c>
      <c r="AC614" s="499">
        <v>600000</v>
      </c>
      <c r="AD614" s="496">
        <v>300000</v>
      </c>
      <c r="AE614" s="500">
        <v>270270.2702702703</v>
      </c>
      <c r="AF614" s="500">
        <v>300000</v>
      </c>
      <c r="AG614" s="805" t="s">
        <v>3883</v>
      </c>
      <c r="AH614" s="651">
        <f>Data2025!W613</f>
        <v>0</v>
      </c>
      <c r="AI614" s="501">
        <v>213</v>
      </c>
    </row>
    <row r="615" spans="1:35" s="501" customFormat="1" ht="16.5" thickTop="1" thickBot="1">
      <c r="A615" s="636">
        <f>Data2025!G614</f>
        <v>0</v>
      </c>
      <c r="B615" s="637">
        <f>Data2025!K614</f>
        <v>0</v>
      </c>
      <c r="C615" s="638">
        <f>Data2025!D614</f>
        <v>0</v>
      </c>
      <c r="D615" s="639">
        <f>Data2025!C614</f>
        <v>0</v>
      </c>
      <c r="E615" s="265">
        <f>Data2025!E614</f>
        <v>0</v>
      </c>
      <c r="F615" s="640">
        <f>Data2025!F614</f>
        <v>0</v>
      </c>
      <c r="G615" s="265">
        <f>Data2025!H614</f>
        <v>0</v>
      </c>
      <c r="H615" s="265">
        <f t="shared" si="31"/>
        <v>0</v>
      </c>
      <c r="I615" s="641">
        <f>Data2025!J614</f>
        <v>0</v>
      </c>
      <c r="J615" s="381">
        <f>Data2025!L614</f>
        <v>0</v>
      </c>
      <c r="K615" s="381">
        <f>Data2025!M614</f>
        <v>0</v>
      </c>
      <c r="L615" s="642">
        <f>Data2025!N614</f>
        <v>0</v>
      </c>
      <c r="M615" s="642">
        <f>Data2025!O614</f>
        <v>0</v>
      </c>
      <c r="N615" s="643">
        <f>Data2025!P614</f>
        <v>0</v>
      </c>
      <c r="O615" s="644">
        <f>Data2025!Q614</f>
        <v>0</v>
      </c>
      <c r="P615" s="645" t="s">
        <v>710</v>
      </c>
      <c r="Q615" s="646" t="e">
        <f>VLOOKUP(K615,Sheet1!$C$1:$D$101,2,)</f>
        <v>#N/A</v>
      </c>
      <c r="R615" s="496">
        <v>55000</v>
      </c>
      <c r="S615" s="504">
        <v>65000</v>
      </c>
      <c r="T615" s="648">
        <f>Data2025!T614</f>
        <v>0</v>
      </c>
      <c r="U615" s="497" t="s">
        <v>538</v>
      </c>
      <c r="V615" s="648">
        <f>Data2025!V614</f>
        <v>0</v>
      </c>
      <c r="W615" s="648">
        <f>Data2025!X614</f>
        <v>0</v>
      </c>
      <c r="X615" s="497" t="s">
        <v>541</v>
      </c>
      <c r="Y615" s="268" t="str">
        <f t="shared" si="32"/>
        <v>Alat Tulis Kantor (ATK)</v>
      </c>
      <c r="Z615" s="649" t="str">
        <f t="shared" si="33"/>
        <v>Alat Tulis Kantor (ATK)</v>
      </c>
      <c r="AA615" s="498" t="s">
        <v>3362</v>
      </c>
      <c r="AB615" s="499">
        <v>11000</v>
      </c>
      <c r="AC615" s="499">
        <v>55000</v>
      </c>
      <c r="AD615" s="496">
        <v>55000</v>
      </c>
      <c r="AE615" s="500">
        <v>49549.549549549549</v>
      </c>
      <c r="AF615" s="500">
        <v>55000</v>
      </c>
      <c r="AG615" s="805" t="s">
        <v>3883</v>
      </c>
      <c r="AH615" s="651">
        <f>Data2025!W614</f>
        <v>0</v>
      </c>
      <c r="AI615" s="501">
        <v>213</v>
      </c>
    </row>
    <row r="616" spans="1:35" s="501" customFormat="1" ht="16.5" thickTop="1" thickBot="1">
      <c r="A616" s="636">
        <f>Data2025!G615</f>
        <v>0</v>
      </c>
      <c r="B616" s="637">
        <f>Data2025!K615</f>
        <v>0</v>
      </c>
      <c r="C616" s="638">
        <f>Data2025!D615</f>
        <v>0</v>
      </c>
      <c r="D616" s="639">
        <f>Data2025!C615</f>
        <v>0</v>
      </c>
      <c r="E616" s="265">
        <f>Data2025!E615</f>
        <v>0</v>
      </c>
      <c r="F616" s="640">
        <f>Data2025!F615</f>
        <v>0</v>
      </c>
      <c r="G616" s="265">
        <f>Data2025!H615</f>
        <v>0</v>
      </c>
      <c r="H616" s="265">
        <f t="shared" si="31"/>
        <v>0</v>
      </c>
      <c r="I616" s="641">
        <f>Data2025!J615</f>
        <v>0</v>
      </c>
      <c r="J616" s="381">
        <f>Data2025!L615</f>
        <v>0</v>
      </c>
      <c r="K616" s="381">
        <f>Data2025!M615</f>
        <v>0</v>
      </c>
      <c r="L616" s="642">
        <f>Data2025!N615</f>
        <v>0</v>
      </c>
      <c r="M616" s="642">
        <f>Data2025!O615</f>
        <v>0</v>
      </c>
      <c r="N616" s="643">
        <f>Data2025!P615</f>
        <v>0</v>
      </c>
      <c r="O616" s="644">
        <f>Data2025!Q615</f>
        <v>0</v>
      </c>
      <c r="P616" s="645" t="s">
        <v>710</v>
      </c>
      <c r="Q616" s="646" t="e">
        <f>VLOOKUP(K616,Sheet1!$C$1:$D$101,2,)</f>
        <v>#N/A</v>
      </c>
      <c r="R616" s="496">
        <v>95000</v>
      </c>
      <c r="S616" s="504">
        <v>97000</v>
      </c>
      <c r="T616" s="648">
        <f>Data2025!T615</f>
        <v>0</v>
      </c>
      <c r="U616" s="497" t="s">
        <v>538</v>
      </c>
      <c r="V616" s="648">
        <f>Data2025!V615</f>
        <v>0</v>
      </c>
      <c r="W616" s="648">
        <f>Data2025!X615</f>
        <v>0</v>
      </c>
      <c r="X616" s="497" t="s">
        <v>541</v>
      </c>
      <c r="Y616" s="268" t="str">
        <f t="shared" si="32"/>
        <v>Alat Tulis Kantor (ATK)</v>
      </c>
      <c r="Z616" s="649" t="str">
        <f t="shared" si="33"/>
        <v>Alat Tulis Kantor (ATK)</v>
      </c>
      <c r="AA616" s="498" t="s">
        <v>3364</v>
      </c>
      <c r="AB616" s="499">
        <v>95000</v>
      </c>
      <c r="AC616" s="499">
        <v>95000</v>
      </c>
      <c r="AD616" s="496">
        <v>95000</v>
      </c>
      <c r="AE616" s="500">
        <v>85585.585585585592</v>
      </c>
      <c r="AF616" s="500">
        <v>95000</v>
      </c>
      <c r="AG616" s="805" t="s">
        <v>3883</v>
      </c>
      <c r="AH616" s="651">
        <f>Data2025!W615</f>
        <v>0</v>
      </c>
      <c r="AI616" s="501">
        <v>213</v>
      </c>
    </row>
    <row r="617" spans="1:35" s="501" customFormat="1" ht="16.5" thickTop="1" thickBot="1">
      <c r="A617" s="636">
        <f>Data2025!G616</f>
        <v>0</v>
      </c>
      <c r="B617" s="637">
        <f>Data2025!K616</f>
        <v>0</v>
      </c>
      <c r="C617" s="638">
        <f>Data2025!D616</f>
        <v>0</v>
      </c>
      <c r="D617" s="639">
        <f>Data2025!C616</f>
        <v>0</v>
      </c>
      <c r="E617" s="265">
        <f>Data2025!E616</f>
        <v>0</v>
      </c>
      <c r="F617" s="640">
        <f>Data2025!F616</f>
        <v>0</v>
      </c>
      <c r="G617" s="265">
        <f>Data2025!H616</f>
        <v>0</v>
      </c>
      <c r="H617" s="265">
        <f t="shared" si="31"/>
        <v>0</v>
      </c>
      <c r="I617" s="641">
        <f>Data2025!J616</f>
        <v>0</v>
      </c>
      <c r="J617" s="381">
        <f>Data2025!L616</f>
        <v>0</v>
      </c>
      <c r="K617" s="381">
        <f>Data2025!M616</f>
        <v>0</v>
      </c>
      <c r="L617" s="642">
        <f>Data2025!N616</f>
        <v>0</v>
      </c>
      <c r="M617" s="642">
        <f>Data2025!O616</f>
        <v>0</v>
      </c>
      <c r="N617" s="643">
        <f>Data2025!P616</f>
        <v>0</v>
      </c>
      <c r="O617" s="644">
        <f>Data2025!Q616</f>
        <v>0</v>
      </c>
      <c r="P617" s="645" t="s">
        <v>710</v>
      </c>
      <c r="Q617" s="646" t="e">
        <f>VLOOKUP(K617,Sheet1!$C$1:$D$101,2,)</f>
        <v>#N/A</v>
      </c>
      <c r="R617" s="496">
        <v>550000</v>
      </c>
      <c r="S617" s="504">
        <v>750000</v>
      </c>
      <c r="T617" s="648">
        <f>Data2025!T616</f>
        <v>0</v>
      </c>
      <c r="U617" s="497" t="s">
        <v>538</v>
      </c>
      <c r="V617" s="648">
        <f>Data2025!V616</f>
        <v>0</v>
      </c>
      <c r="W617" s="648">
        <f>Data2025!X616</f>
        <v>0</v>
      </c>
      <c r="X617" s="497" t="s">
        <v>541</v>
      </c>
      <c r="Y617" s="268" t="str">
        <f t="shared" si="32"/>
        <v>Alat Tulis Kantor (ATK)</v>
      </c>
      <c r="Z617" s="649" t="str">
        <f t="shared" si="33"/>
        <v>Alat Tulis Kantor (ATK)</v>
      </c>
      <c r="AA617" s="498" t="s">
        <v>3363</v>
      </c>
      <c r="AB617" s="499">
        <v>5500</v>
      </c>
      <c r="AC617" s="499">
        <v>550000</v>
      </c>
      <c r="AD617" s="496">
        <v>550000</v>
      </c>
      <c r="AE617" s="500">
        <v>495495.4954954955</v>
      </c>
      <c r="AF617" s="500">
        <v>550000</v>
      </c>
      <c r="AG617" s="805" t="s">
        <v>3883</v>
      </c>
      <c r="AH617" s="651">
        <f>Data2025!W616</f>
        <v>0</v>
      </c>
      <c r="AI617" s="501">
        <v>213</v>
      </c>
    </row>
    <row r="618" spans="1:35" s="501" customFormat="1" ht="16.5" thickTop="1" thickBot="1">
      <c r="A618" s="636">
        <f>Data2025!G617</f>
        <v>0</v>
      </c>
      <c r="B618" s="637">
        <f>Data2025!K617</f>
        <v>0</v>
      </c>
      <c r="C618" s="638">
        <f>Data2025!D617</f>
        <v>0</v>
      </c>
      <c r="D618" s="639">
        <f>Data2025!C617</f>
        <v>0</v>
      </c>
      <c r="E618" s="265">
        <f>Data2025!E617</f>
        <v>0</v>
      </c>
      <c r="F618" s="640">
        <f>Data2025!F617</f>
        <v>0</v>
      </c>
      <c r="G618" s="265">
        <f>Data2025!H617</f>
        <v>0</v>
      </c>
      <c r="H618" s="265">
        <f t="shared" si="31"/>
        <v>0</v>
      </c>
      <c r="I618" s="641">
        <f>Data2025!J617</f>
        <v>0</v>
      </c>
      <c r="J618" s="381">
        <f>Data2025!L617</f>
        <v>0</v>
      </c>
      <c r="K618" s="381">
        <f>Data2025!M617</f>
        <v>0</v>
      </c>
      <c r="L618" s="642">
        <f>Data2025!N617</f>
        <v>0</v>
      </c>
      <c r="M618" s="642">
        <f>Data2025!O617</f>
        <v>0</v>
      </c>
      <c r="N618" s="643">
        <f>Data2025!P617</f>
        <v>0</v>
      </c>
      <c r="O618" s="644">
        <f>Data2025!Q617</f>
        <v>0</v>
      </c>
      <c r="P618" s="645" t="s">
        <v>710</v>
      </c>
      <c r="Q618" s="646" t="e">
        <f>VLOOKUP(K618,Sheet1!$C$1:$D$101,2,)</f>
        <v>#N/A</v>
      </c>
      <c r="R618" s="496">
        <v>120000</v>
      </c>
      <c r="S618" s="504">
        <v>124000</v>
      </c>
      <c r="T618" s="648">
        <f>Data2025!T617</f>
        <v>0</v>
      </c>
      <c r="U618" s="497" t="s">
        <v>538</v>
      </c>
      <c r="V618" s="648">
        <f>Data2025!V617</f>
        <v>0</v>
      </c>
      <c r="W618" s="648">
        <f>Data2025!X617</f>
        <v>0</v>
      </c>
      <c r="X618" s="497" t="s">
        <v>541</v>
      </c>
      <c r="Y618" s="268" t="str">
        <f t="shared" si="32"/>
        <v>Alat Tulis Kantor (ATK)</v>
      </c>
      <c r="Z618" s="649" t="str">
        <f t="shared" si="33"/>
        <v>Alat Tulis Kantor (ATK)</v>
      </c>
      <c r="AA618" s="498" t="s">
        <v>3365</v>
      </c>
      <c r="AB618" s="499">
        <v>60000</v>
      </c>
      <c r="AC618" s="499">
        <v>120000</v>
      </c>
      <c r="AD618" s="496">
        <v>120000</v>
      </c>
      <c r="AE618" s="500">
        <v>108108.10810810811</v>
      </c>
      <c r="AF618" s="500">
        <v>120000</v>
      </c>
      <c r="AG618" s="805" t="s">
        <v>3883</v>
      </c>
      <c r="AH618" s="651">
        <f>Data2025!W617</f>
        <v>0</v>
      </c>
      <c r="AI618" s="501">
        <v>213</v>
      </c>
    </row>
    <row r="619" spans="1:35" s="501" customFormat="1" ht="16.5" thickTop="1" thickBot="1">
      <c r="A619" s="636">
        <f>Data2025!G618</f>
        <v>0</v>
      </c>
      <c r="B619" s="637">
        <f>Data2025!K618</f>
        <v>0</v>
      </c>
      <c r="C619" s="638">
        <f>Data2025!D618</f>
        <v>0</v>
      </c>
      <c r="D619" s="639">
        <f>Data2025!C618</f>
        <v>0</v>
      </c>
      <c r="E619" s="265">
        <f>Data2025!E618</f>
        <v>0</v>
      </c>
      <c r="F619" s="640">
        <f>Data2025!F618</f>
        <v>0</v>
      </c>
      <c r="G619" s="265">
        <f>Data2025!H618</f>
        <v>0</v>
      </c>
      <c r="H619" s="265">
        <f t="shared" si="31"/>
        <v>0</v>
      </c>
      <c r="I619" s="641">
        <f>Data2025!J618</f>
        <v>0</v>
      </c>
      <c r="J619" s="381">
        <f>Data2025!L618</f>
        <v>0</v>
      </c>
      <c r="K619" s="381">
        <f>Data2025!M618</f>
        <v>0</v>
      </c>
      <c r="L619" s="642">
        <f>Data2025!N618</f>
        <v>0</v>
      </c>
      <c r="M619" s="642">
        <f>Data2025!O618</f>
        <v>0</v>
      </c>
      <c r="N619" s="643">
        <f>Data2025!P618</f>
        <v>0</v>
      </c>
      <c r="O619" s="644">
        <f>Data2025!Q618</f>
        <v>0</v>
      </c>
      <c r="P619" s="645" t="s">
        <v>710</v>
      </c>
      <c r="Q619" s="646" t="e">
        <f>VLOOKUP(K619,Sheet1!$C$1:$D$101,2,)</f>
        <v>#N/A</v>
      </c>
      <c r="R619" s="496">
        <v>37500</v>
      </c>
      <c r="S619" s="504">
        <v>47500</v>
      </c>
      <c r="T619" s="648">
        <f>Data2025!T618</f>
        <v>0</v>
      </c>
      <c r="U619" s="497" t="s">
        <v>538</v>
      </c>
      <c r="V619" s="648">
        <f>Data2025!V618</f>
        <v>0</v>
      </c>
      <c r="W619" s="648">
        <f>Data2025!X618</f>
        <v>0</v>
      </c>
      <c r="X619" s="497" t="s">
        <v>541</v>
      </c>
      <c r="Y619" s="268" t="str">
        <f t="shared" si="32"/>
        <v>Alat Tulis Kantor (ATK)</v>
      </c>
      <c r="Z619" s="649" t="str">
        <f t="shared" si="33"/>
        <v>Alat Tulis Kantor (ATK)</v>
      </c>
      <c r="AA619" s="498" t="s">
        <v>3362</v>
      </c>
      <c r="AB619" s="499">
        <v>7500</v>
      </c>
      <c r="AC619" s="499">
        <v>37500</v>
      </c>
      <c r="AD619" s="496">
        <v>37500</v>
      </c>
      <c r="AE619" s="500">
        <v>33783.783783783787</v>
      </c>
      <c r="AF619" s="500">
        <v>37500</v>
      </c>
      <c r="AG619" s="805" t="s">
        <v>3883</v>
      </c>
      <c r="AH619" s="651">
        <f>Data2025!W618</f>
        <v>0</v>
      </c>
      <c r="AI619" s="501">
        <v>213</v>
      </c>
    </row>
    <row r="620" spans="1:35" s="501" customFormat="1" ht="16.5" thickTop="1" thickBot="1">
      <c r="A620" s="636">
        <f>Data2025!G619</f>
        <v>0</v>
      </c>
      <c r="B620" s="637">
        <f>Data2025!K619</f>
        <v>0</v>
      </c>
      <c r="C620" s="638">
        <f>Data2025!D619</f>
        <v>0</v>
      </c>
      <c r="D620" s="639">
        <f>Data2025!C619</f>
        <v>0</v>
      </c>
      <c r="E620" s="265">
        <f>Data2025!E619</f>
        <v>0</v>
      </c>
      <c r="F620" s="640">
        <f>Data2025!F619</f>
        <v>0</v>
      </c>
      <c r="G620" s="265">
        <f>Data2025!H619</f>
        <v>0</v>
      </c>
      <c r="H620" s="265">
        <f t="shared" si="31"/>
        <v>0</v>
      </c>
      <c r="I620" s="641">
        <f>Data2025!J619</f>
        <v>0</v>
      </c>
      <c r="J620" s="381">
        <f>Data2025!L619</f>
        <v>0</v>
      </c>
      <c r="K620" s="381">
        <f>Data2025!M619</f>
        <v>0</v>
      </c>
      <c r="L620" s="642">
        <f>Data2025!N619</f>
        <v>0</v>
      </c>
      <c r="M620" s="642">
        <f>Data2025!O619</f>
        <v>0</v>
      </c>
      <c r="N620" s="643">
        <f>Data2025!P619</f>
        <v>0</v>
      </c>
      <c r="O620" s="644">
        <f>Data2025!Q619</f>
        <v>0</v>
      </c>
      <c r="P620" s="645" t="s">
        <v>710</v>
      </c>
      <c r="Q620" s="646" t="e">
        <f>VLOOKUP(K620,Sheet1!$C$1:$D$101,2,)</f>
        <v>#N/A</v>
      </c>
      <c r="R620" s="496">
        <v>69000</v>
      </c>
      <c r="S620" s="504">
        <v>75000</v>
      </c>
      <c r="T620" s="648">
        <f>Data2025!T619</f>
        <v>0</v>
      </c>
      <c r="U620" s="497" t="s">
        <v>538</v>
      </c>
      <c r="V620" s="648">
        <f>Data2025!V619</f>
        <v>0</v>
      </c>
      <c r="W620" s="648">
        <f>Data2025!X619</f>
        <v>0</v>
      </c>
      <c r="X620" s="497" t="s">
        <v>541</v>
      </c>
      <c r="Y620" s="268" t="str">
        <f t="shared" si="32"/>
        <v>Alat Tulis Kantor (ATK)</v>
      </c>
      <c r="Z620" s="649" t="str">
        <f t="shared" si="33"/>
        <v>Alat Tulis Kantor (ATK)</v>
      </c>
      <c r="AA620" s="498" t="s">
        <v>3365</v>
      </c>
      <c r="AB620" s="499">
        <v>23000</v>
      </c>
      <c r="AC620" s="499">
        <v>69000</v>
      </c>
      <c r="AD620" s="496">
        <v>69000</v>
      </c>
      <c r="AE620" s="500">
        <v>62162.16216216216</v>
      </c>
      <c r="AF620" s="500">
        <v>69000</v>
      </c>
      <c r="AG620" s="805" t="s">
        <v>3883</v>
      </c>
      <c r="AH620" s="651">
        <f>Data2025!W619</f>
        <v>0</v>
      </c>
      <c r="AI620" s="501">
        <v>213</v>
      </c>
    </row>
    <row r="621" spans="1:35" s="501" customFormat="1" ht="16.5" thickTop="1" thickBot="1">
      <c r="A621" s="636">
        <f>Data2025!G620</f>
        <v>0</v>
      </c>
      <c r="B621" s="637">
        <f>Data2025!K620</f>
        <v>0</v>
      </c>
      <c r="C621" s="638">
        <f>Data2025!D620</f>
        <v>0</v>
      </c>
      <c r="D621" s="639">
        <f>Data2025!C620</f>
        <v>0</v>
      </c>
      <c r="E621" s="265">
        <f>Data2025!E620</f>
        <v>0</v>
      </c>
      <c r="F621" s="640">
        <f>Data2025!F620</f>
        <v>0</v>
      </c>
      <c r="G621" s="265">
        <f>Data2025!H620</f>
        <v>0</v>
      </c>
      <c r="H621" s="265">
        <f t="shared" si="31"/>
        <v>0</v>
      </c>
      <c r="I621" s="641">
        <f>Data2025!J620</f>
        <v>0</v>
      </c>
      <c r="J621" s="381">
        <f>Data2025!L620</f>
        <v>0</v>
      </c>
      <c r="K621" s="381">
        <f>Data2025!M620</f>
        <v>0</v>
      </c>
      <c r="L621" s="642">
        <f>Data2025!N620</f>
        <v>0</v>
      </c>
      <c r="M621" s="642">
        <f>Data2025!O620</f>
        <v>0</v>
      </c>
      <c r="N621" s="643">
        <f>Data2025!P620</f>
        <v>0</v>
      </c>
      <c r="O621" s="644">
        <f>Data2025!Q620</f>
        <v>0</v>
      </c>
      <c r="P621" s="645" t="s">
        <v>710</v>
      </c>
      <c r="Q621" s="646" t="e">
        <f>VLOOKUP(K621,Sheet1!$C$1:$D$101,2,)</f>
        <v>#N/A</v>
      </c>
      <c r="R621" s="496">
        <v>125000</v>
      </c>
      <c r="S621" s="504">
        <v>135000</v>
      </c>
      <c r="T621" s="648">
        <f>Data2025!T620</f>
        <v>0</v>
      </c>
      <c r="U621" s="497" t="s">
        <v>538</v>
      </c>
      <c r="V621" s="648">
        <f>Data2025!V620</f>
        <v>0</v>
      </c>
      <c r="W621" s="648">
        <f>Data2025!X620</f>
        <v>0</v>
      </c>
      <c r="X621" s="497" t="s">
        <v>541</v>
      </c>
      <c r="Y621" s="268" t="str">
        <f t="shared" si="32"/>
        <v>Alat Tulis Kantor (ATK)</v>
      </c>
      <c r="Z621" s="649" t="str">
        <f t="shared" si="33"/>
        <v>Alat Tulis Kantor (ATK)</v>
      </c>
      <c r="AA621" s="498" t="s">
        <v>3368</v>
      </c>
      <c r="AB621" s="499">
        <v>25000</v>
      </c>
      <c r="AC621" s="499">
        <v>125000</v>
      </c>
      <c r="AD621" s="496">
        <v>125000</v>
      </c>
      <c r="AE621" s="500">
        <v>112612.61261261262</v>
      </c>
      <c r="AF621" s="500">
        <v>125000</v>
      </c>
      <c r="AG621" s="805" t="s">
        <v>3883</v>
      </c>
      <c r="AH621" s="651">
        <f>Data2025!W620</f>
        <v>0</v>
      </c>
      <c r="AI621" s="501">
        <v>213</v>
      </c>
    </row>
    <row r="622" spans="1:35" s="501" customFormat="1" ht="16.5" thickTop="1" thickBot="1">
      <c r="A622" s="636">
        <f>Data2025!G621</f>
        <v>0</v>
      </c>
      <c r="B622" s="637">
        <f>Data2025!K621</f>
        <v>0</v>
      </c>
      <c r="C622" s="638">
        <f>Data2025!D621</f>
        <v>0</v>
      </c>
      <c r="D622" s="639">
        <f>Data2025!C621</f>
        <v>0</v>
      </c>
      <c r="E622" s="265">
        <f>Data2025!E621</f>
        <v>0</v>
      </c>
      <c r="F622" s="640">
        <f>Data2025!F621</f>
        <v>0</v>
      </c>
      <c r="G622" s="265">
        <f>Data2025!H621</f>
        <v>0</v>
      </c>
      <c r="H622" s="265">
        <f t="shared" si="31"/>
        <v>0</v>
      </c>
      <c r="I622" s="641">
        <f>Data2025!J621</f>
        <v>0</v>
      </c>
      <c r="J622" s="381">
        <f>Data2025!L621</f>
        <v>0</v>
      </c>
      <c r="K622" s="381">
        <f>Data2025!M621</f>
        <v>0</v>
      </c>
      <c r="L622" s="642">
        <f>Data2025!N621</f>
        <v>0</v>
      </c>
      <c r="M622" s="642">
        <f>Data2025!O621</f>
        <v>0</v>
      </c>
      <c r="N622" s="643">
        <f>Data2025!P621</f>
        <v>0</v>
      </c>
      <c r="O622" s="644">
        <f>Data2025!Q621</f>
        <v>0</v>
      </c>
      <c r="P622" s="645" t="s">
        <v>710</v>
      </c>
      <c r="Q622" s="646" t="e">
        <f>VLOOKUP(K622,Sheet1!$C$1:$D$101,2,)</f>
        <v>#N/A</v>
      </c>
      <c r="R622" s="496">
        <v>10000</v>
      </c>
      <c r="S622" s="504">
        <v>14000</v>
      </c>
      <c r="T622" s="648">
        <f>Data2025!T621</f>
        <v>0</v>
      </c>
      <c r="U622" s="497" t="s">
        <v>538</v>
      </c>
      <c r="V622" s="648">
        <f>Data2025!V621</f>
        <v>0</v>
      </c>
      <c r="W622" s="648">
        <f>Data2025!X621</f>
        <v>0</v>
      </c>
      <c r="X622" s="497" t="s">
        <v>541</v>
      </c>
      <c r="Y622" s="268" t="str">
        <f t="shared" si="32"/>
        <v>Alat Tulis Kantor (ATK)</v>
      </c>
      <c r="Z622" s="649" t="str">
        <f t="shared" si="33"/>
        <v>Alat Tulis Kantor (ATK)</v>
      </c>
      <c r="AA622" s="498" t="s">
        <v>3362</v>
      </c>
      <c r="AB622" s="499">
        <v>5000</v>
      </c>
      <c r="AC622" s="499">
        <v>10000</v>
      </c>
      <c r="AD622" s="496">
        <v>10000</v>
      </c>
      <c r="AE622" s="500">
        <v>9009.0090090090089</v>
      </c>
      <c r="AF622" s="500">
        <v>10000</v>
      </c>
      <c r="AG622" s="805" t="s">
        <v>3883</v>
      </c>
      <c r="AH622" s="651">
        <f>Data2025!W621</f>
        <v>0</v>
      </c>
      <c r="AI622" s="501">
        <v>213</v>
      </c>
    </row>
    <row r="623" spans="1:35" s="501" customFormat="1" ht="16.5" thickTop="1" thickBot="1">
      <c r="A623" s="636">
        <f>Data2025!G622</f>
        <v>0</v>
      </c>
      <c r="B623" s="637">
        <f>Data2025!K622</f>
        <v>0</v>
      </c>
      <c r="C623" s="638">
        <f>Data2025!D622</f>
        <v>0</v>
      </c>
      <c r="D623" s="639">
        <f>Data2025!C622</f>
        <v>0</v>
      </c>
      <c r="E623" s="265">
        <f>Data2025!E622</f>
        <v>0</v>
      </c>
      <c r="F623" s="640">
        <f>Data2025!F622</f>
        <v>0</v>
      </c>
      <c r="G623" s="265">
        <f>Data2025!H622</f>
        <v>0</v>
      </c>
      <c r="H623" s="265">
        <f t="shared" si="31"/>
        <v>0</v>
      </c>
      <c r="I623" s="641">
        <f>Data2025!J622</f>
        <v>0</v>
      </c>
      <c r="J623" s="381">
        <f>Data2025!L622</f>
        <v>0</v>
      </c>
      <c r="K623" s="381">
        <f>Data2025!M622</f>
        <v>0</v>
      </c>
      <c r="L623" s="642">
        <f>Data2025!N622</f>
        <v>0</v>
      </c>
      <c r="M623" s="642">
        <f>Data2025!O622</f>
        <v>0</v>
      </c>
      <c r="N623" s="643">
        <f>Data2025!P622</f>
        <v>0</v>
      </c>
      <c r="O623" s="644">
        <f>Data2025!Q622</f>
        <v>0</v>
      </c>
      <c r="P623" s="645" t="s">
        <v>710</v>
      </c>
      <c r="Q623" s="646" t="e">
        <f>VLOOKUP(K623,Sheet1!$C$1:$D$101,2,)</f>
        <v>#N/A</v>
      </c>
      <c r="R623" s="496">
        <v>235000</v>
      </c>
      <c r="S623" s="504">
        <v>237000</v>
      </c>
      <c r="T623" s="648">
        <f>Data2025!T622</f>
        <v>0</v>
      </c>
      <c r="U623" s="497" t="s">
        <v>538</v>
      </c>
      <c r="V623" s="648">
        <f>Data2025!V622</f>
        <v>0</v>
      </c>
      <c r="W623" s="648">
        <f>Data2025!X622</f>
        <v>0</v>
      </c>
      <c r="X623" s="497" t="s">
        <v>541</v>
      </c>
      <c r="Y623" s="268" t="str">
        <f t="shared" si="32"/>
        <v>Alat Tulis Kantor (ATK)</v>
      </c>
      <c r="Z623" s="649" t="str">
        <f t="shared" si="33"/>
        <v>Alat Tulis Kantor (ATK)</v>
      </c>
      <c r="AA623" s="498" t="s">
        <v>3364</v>
      </c>
      <c r="AB623" s="499">
        <v>235000</v>
      </c>
      <c r="AC623" s="499">
        <v>235000</v>
      </c>
      <c r="AD623" s="496">
        <v>235000</v>
      </c>
      <c r="AE623" s="500">
        <v>211711.71171171172</v>
      </c>
      <c r="AF623" s="500">
        <v>235000</v>
      </c>
      <c r="AG623" s="805" t="s">
        <v>3883</v>
      </c>
      <c r="AH623" s="651">
        <f>Data2025!W622</f>
        <v>0</v>
      </c>
      <c r="AI623" s="501">
        <v>213</v>
      </c>
    </row>
    <row r="624" spans="1:35" s="501" customFormat="1" ht="16.5" thickTop="1" thickBot="1">
      <c r="A624" s="636">
        <f>Data2025!G623</f>
        <v>0</v>
      </c>
      <c r="B624" s="637">
        <f>Data2025!K623</f>
        <v>0</v>
      </c>
      <c r="C624" s="638">
        <f>Data2025!D623</f>
        <v>0</v>
      </c>
      <c r="D624" s="639">
        <f>Data2025!C623</f>
        <v>0</v>
      </c>
      <c r="E624" s="265">
        <f>Data2025!E623</f>
        <v>0</v>
      </c>
      <c r="F624" s="640">
        <f>Data2025!F623</f>
        <v>0</v>
      </c>
      <c r="G624" s="265">
        <f>Data2025!H623</f>
        <v>0</v>
      </c>
      <c r="H624" s="265">
        <f t="shared" si="31"/>
        <v>0</v>
      </c>
      <c r="I624" s="641">
        <f>Data2025!J623</f>
        <v>0</v>
      </c>
      <c r="J624" s="381">
        <f>Data2025!L623</f>
        <v>0</v>
      </c>
      <c r="K624" s="381">
        <f>Data2025!M623</f>
        <v>0</v>
      </c>
      <c r="L624" s="642">
        <f>Data2025!N623</f>
        <v>0</v>
      </c>
      <c r="M624" s="642">
        <f>Data2025!O623</f>
        <v>0</v>
      </c>
      <c r="N624" s="643">
        <f>Data2025!P623</f>
        <v>0</v>
      </c>
      <c r="O624" s="644">
        <f>Data2025!Q623</f>
        <v>0</v>
      </c>
      <c r="P624" s="645" t="s">
        <v>710</v>
      </c>
      <c r="Q624" s="646" t="e">
        <f>VLOOKUP(K624,Sheet1!$C$1:$D$101,2,)</f>
        <v>#N/A</v>
      </c>
      <c r="R624" s="496">
        <v>450000</v>
      </c>
      <c r="S624" s="504">
        <v>454000</v>
      </c>
      <c r="T624" s="648">
        <f>Data2025!T623</f>
        <v>0</v>
      </c>
      <c r="U624" s="497" t="s">
        <v>538</v>
      </c>
      <c r="V624" s="648">
        <f>Data2025!V623</f>
        <v>0</v>
      </c>
      <c r="W624" s="648">
        <f>Data2025!X623</f>
        <v>0</v>
      </c>
      <c r="X624" s="497" t="s">
        <v>541</v>
      </c>
      <c r="Y624" s="268" t="str">
        <f t="shared" si="32"/>
        <v>Alat Tulis Kantor (ATK)</v>
      </c>
      <c r="Z624" s="649" t="str">
        <f t="shared" si="33"/>
        <v>Alat Tulis Kantor (ATK)</v>
      </c>
      <c r="AA624" s="498" t="s">
        <v>3364</v>
      </c>
      <c r="AB624" s="499">
        <v>225000</v>
      </c>
      <c r="AC624" s="499">
        <v>450000</v>
      </c>
      <c r="AD624" s="496">
        <v>450000</v>
      </c>
      <c r="AE624" s="500">
        <v>405405.40540540538</v>
      </c>
      <c r="AF624" s="500">
        <v>450000</v>
      </c>
      <c r="AG624" s="805" t="s">
        <v>3883</v>
      </c>
      <c r="AH624" s="651">
        <f>Data2025!W623</f>
        <v>0</v>
      </c>
      <c r="AI624" s="501">
        <v>213</v>
      </c>
    </row>
    <row r="625" spans="1:36" s="501" customFormat="1" ht="16.5" thickTop="1" thickBot="1">
      <c r="A625" s="636">
        <f>Data2025!G624</f>
        <v>0</v>
      </c>
      <c r="B625" s="637">
        <f>Data2025!K624</f>
        <v>0</v>
      </c>
      <c r="C625" s="638">
        <f>Data2025!D624</f>
        <v>0</v>
      </c>
      <c r="D625" s="639">
        <f>Data2025!C624</f>
        <v>0</v>
      </c>
      <c r="E625" s="265">
        <f>Data2025!E624</f>
        <v>0</v>
      </c>
      <c r="F625" s="640">
        <f>Data2025!F624</f>
        <v>0</v>
      </c>
      <c r="G625" s="265">
        <f>Data2025!H624</f>
        <v>0</v>
      </c>
      <c r="H625" s="265">
        <f t="shared" si="31"/>
        <v>0</v>
      </c>
      <c r="I625" s="641">
        <f>Data2025!J624</f>
        <v>0</v>
      </c>
      <c r="J625" s="381">
        <f>Data2025!L624</f>
        <v>0</v>
      </c>
      <c r="K625" s="381">
        <f>Data2025!M624</f>
        <v>0</v>
      </c>
      <c r="L625" s="642">
        <f>Data2025!N624</f>
        <v>0</v>
      </c>
      <c r="M625" s="642">
        <f>Data2025!O624</f>
        <v>0</v>
      </c>
      <c r="N625" s="643">
        <f>Data2025!P624</f>
        <v>0</v>
      </c>
      <c r="O625" s="644">
        <f>Data2025!Q624</f>
        <v>0</v>
      </c>
      <c r="P625" s="645" t="s">
        <v>710</v>
      </c>
      <c r="Q625" s="646" t="e">
        <f>VLOOKUP(K625,Sheet1!$C$1:$D$101,2,)</f>
        <v>#N/A</v>
      </c>
      <c r="R625" s="496">
        <v>426000</v>
      </c>
      <c r="S625" s="504">
        <v>450000</v>
      </c>
      <c r="T625" s="648">
        <f>Data2025!T624</f>
        <v>0</v>
      </c>
      <c r="U625" s="497" t="s">
        <v>538</v>
      </c>
      <c r="V625" s="648">
        <f>Data2025!V624</f>
        <v>0</v>
      </c>
      <c r="W625" s="648">
        <f>Data2025!X624</f>
        <v>0</v>
      </c>
      <c r="X625" s="497" t="s">
        <v>541</v>
      </c>
      <c r="Y625" s="268" t="str">
        <f t="shared" si="32"/>
        <v>Alat Tulis Kantor (ATK)</v>
      </c>
      <c r="Z625" s="649" t="str">
        <f t="shared" si="33"/>
        <v>Alat Tulis Kantor (ATK)</v>
      </c>
      <c r="AA625" s="498" t="s">
        <v>3363</v>
      </c>
      <c r="AB625" s="499">
        <v>35500</v>
      </c>
      <c r="AC625" s="499">
        <v>426000</v>
      </c>
      <c r="AD625" s="496">
        <v>426000</v>
      </c>
      <c r="AE625" s="500">
        <v>383783.78378378379</v>
      </c>
      <c r="AF625" s="500">
        <v>426000</v>
      </c>
      <c r="AG625" s="805" t="s">
        <v>3883</v>
      </c>
      <c r="AH625" s="651">
        <f>Data2025!W624</f>
        <v>0</v>
      </c>
      <c r="AI625" s="501">
        <v>213</v>
      </c>
    </row>
    <row r="626" spans="1:36" s="501" customFormat="1" ht="16.5" thickTop="1" thickBot="1">
      <c r="A626" s="636">
        <f>Data2025!G625</f>
        <v>0</v>
      </c>
      <c r="B626" s="637">
        <f>Data2025!K625</f>
        <v>0</v>
      </c>
      <c r="C626" s="638">
        <f>Data2025!D625</f>
        <v>0</v>
      </c>
      <c r="D626" s="639">
        <f>Data2025!C625</f>
        <v>0</v>
      </c>
      <c r="E626" s="265">
        <f>Data2025!E625</f>
        <v>0</v>
      </c>
      <c r="F626" s="640">
        <f>Data2025!F625</f>
        <v>0</v>
      </c>
      <c r="G626" s="265">
        <f>Data2025!H625</f>
        <v>0</v>
      </c>
      <c r="H626" s="265">
        <f t="shared" si="31"/>
        <v>0</v>
      </c>
      <c r="I626" s="641">
        <f>Data2025!J625</f>
        <v>0</v>
      </c>
      <c r="J626" s="381">
        <f>Data2025!L625</f>
        <v>0</v>
      </c>
      <c r="K626" s="381">
        <f>Data2025!M625</f>
        <v>0</v>
      </c>
      <c r="L626" s="642">
        <f>Data2025!N625</f>
        <v>0</v>
      </c>
      <c r="M626" s="642">
        <f>Data2025!O625</f>
        <v>0</v>
      </c>
      <c r="N626" s="643">
        <f>Data2025!P625</f>
        <v>0</v>
      </c>
      <c r="O626" s="644">
        <f>Data2025!Q625</f>
        <v>0</v>
      </c>
      <c r="P626" s="645" t="s">
        <v>710</v>
      </c>
      <c r="Q626" s="646" t="e">
        <f>VLOOKUP(K626,Sheet1!$C$1:$D$101,2,)</f>
        <v>#N/A</v>
      </c>
      <c r="R626" s="496">
        <v>45000</v>
      </c>
      <c r="S626" s="504">
        <v>47000</v>
      </c>
      <c r="T626" s="648">
        <f>Data2025!T625</f>
        <v>0</v>
      </c>
      <c r="U626" s="497" t="s">
        <v>538</v>
      </c>
      <c r="V626" s="648">
        <f>Data2025!V625</f>
        <v>0</v>
      </c>
      <c r="W626" s="648">
        <f>Data2025!X625</f>
        <v>0</v>
      </c>
      <c r="X626" s="497" t="s">
        <v>541</v>
      </c>
      <c r="Y626" s="268" t="str">
        <f t="shared" si="32"/>
        <v>Alat Tulis Kantor (ATK)</v>
      </c>
      <c r="Z626" s="649" t="str">
        <f t="shared" si="33"/>
        <v>Alat Tulis Kantor (ATK)</v>
      </c>
      <c r="AA626" s="498" t="s">
        <v>3365</v>
      </c>
      <c r="AB626" s="499">
        <v>45000</v>
      </c>
      <c r="AC626" s="499">
        <v>45000</v>
      </c>
      <c r="AD626" s="496">
        <v>45000</v>
      </c>
      <c r="AE626" s="500">
        <v>40540.54054054054</v>
      </c>
      <c r="AF626" s="500">
        <v>45000</v>
      </c>
      <c r="AG626" s="805" t="s">
        <v>3883</v>
      </c>
      <c r="AH626" s="651">
        <f>Data2025!W625</f>
        <v>0</v>
      </c>
      <c r="AI626" s="501">
        <v>213</v>
      </c>
    </row>
    <row r="627" spans="1:36" s="501" customFormat="1" ht="16.5" thickTop="1" thickBot="1">
      <c r="A627" s="636">
        <f>Data2025!G626</f>
        <v>0</v>
      </c>
      <c r="B627" s="637">
        <f>Data2025!K626</f>
        <v>0</v>
      </c>
      <c r="C627" s="638">
        <f>Data2025!D626</f>
        <v>0</v>
      </c>
      <c r="D627" s="639">
        <f>Data2025!C626</f>
        <v>0</v>
      </c>
      <c r="E627" s="265">
        <f>Data2025!E626</f>
        <v>0</v>
      </c>
      <c r="F627" s="640">
        <f>Data2025!F626</f>
        <v>0</v>
      </c>
      <c r="G627" s="265">
        <f>Data2025!H626</f>
        <v>0</v>
      </c>
      <c r="H627" s="265">
        <f t="shared" si="31"/>
        <v>0</v>
      </c>
      <c r="I627" s="641">
        <f>Data2025!J626</f>
        <v>0</v>
      </c>
      <c r="J627" s="381">
        <f>Data2025!L626</f>
        <v>0</v>
      </c>
      <c r="K627" s="381">
        <f>Data2025!M626</f>
        <v>0</v>
      </c>
      <c r="L627" s="642">
        <f>Data2025!N626</f>
        <v>0</v>
      </c>
      <c r="M627" s="642">
        <f>Data2025!O626</f>
        <v>0</v>
      </c>
      <c r="N627" s="643">
        <f>Data2025!P626</f>
        <v>0</v>
      </c>
      <c r="O627" s="644">
        <f>Data2025!Q626</f>
        <v>0</v>
      </c>
      <c r="P627" s="645" t="s">
        <v>710</v>
      </c>
      <c r="Q627" s="646" t="e">
        <f>VLOOKUP(K627,Sheet1!$C$1:$D$101,2,)</f>
        <v>#N/A</v>
      </c>
      <c r="R627" s="496">
        <v>200000</v>
      </c>
      <c r="S627" s="504">
        <v>220000</v>
      </c>
      <c r="T627" s="648">
        <f>Data2025!T626</f>
        <v>0</v>
      </c>
      <c r="U627" s="497" t="s">
        <v>538</v>
      </c>
      <c r="V627" s="648">
        <f>Data2025!V626</f>
        <v>0</v>
      </c>
      <c r="W627" s="648">
        <f>Data2025!X626</f>
        <v>0</v>
      </c>
      <c r="X627" s="497" t="s">
        <v>541</v>
      </c>
      <c r="Y627" s="268" t="str">
        <f t="shared" si="32"/>
        <v>Alat Tulis Kantor (ATK)</v>
      </c>
      <c r="Z627" s="649" t="str">
        <f t="shared" si="33"/>
        <v>Alat Tulis Kantor (ATK)</v>
      </c>
      <c r="AA627" s="498" t="s">
        <v>3362</v>
      </c>
      <c r="AB627" s="499">
        <v>20000</v>
      </c>
      <c r="AC627" s="499">
        <v>200000</v>
      </c>
      <c r="AD627" s="496">
        <v>200000</v>
      </c>
      <c r="AE627" s="500">
        <v>180180.18018018018</v>
      </c>
      <c r="AF627" s="500">
        <v>200000</v>
      </c>
      <c r="AG627" s="805" t="s">
        <v>3883</v>
      </c>
      <c r="AH627" s="651">
        <f>Data2025!W626</f>
        <v>0</v>
      </c>
      <c r="AI627" s="501">
        <v>213</v>
      </c>
    </row>
    <row r="628" spans="1:36" s="501" customFormat="1" ht="16.5" thickTop="1" thickBot="1">
      <c r="A628" s="636">
        <f>Data2025!G627</f>
        <v>0</v>
      </c>
      <c r="B628" s="637">
        <f>Data2025!K627</f>
        <v>0</v>
      </c>
      <c r="C628" s="638">
        <f>Data2025!D627</f>
        <v>0</v>
      </c>
      <c r="D628" s="639">
        <f>Data2025!C627</f>
        <v>0</v>
      </c>
      <c r="E628" s="265">
        <f>Data2025!E627</f>
        <v>0</v>
      </c>
      <c r="F628" s="640">
        <f>Data2025!F627</f>
        <v>0</v>
      </c>
      <c r="G628" s="265">
        <f>Data2025!H627</f>
        <v>0</v>
      </c>
      <c r="H628" s="265">
        <f t="shared" si="31"/>
        <v>0</v>
      </c>
      <c r="I628" s="641">
        <f>Data2025!J627</f>
        <v>0</v>
      </c>
      <c r="J628" s="381">
        <f>Data2025!L627</f>
        <v>0</v>
      </c>
      <c r="K628" s="381">
        <f>Data2025!M627</f>
        <v>0</v>
      </c>
      <c r="L628" s="642">
        <f>Data2025!N627</f>
        <v>0</v>
      </c>
      <c r="M628" s="642">
        <f>Data2025!O627</f>
        <v>0</v>
      </c>
      <c r="N628" s="643">
        <f>Data2025!P627</f>
        <v>0</v>
      </c>
      <c r="O628" s="644">
        <f>Data2025!Q627</f>
        <v>0</v>
      </c>
      <c r="P628" s="645" t="s">
        <v>710</v>
      </c>
      <c r="Q628" s="646" t="e">
        <f>VLOOKUP(K628,Sheet1!$C$1:$D$101,2,)</f>
        <v>#N/A</v>
      </c>
      <c r="R628" s="496">
        <v>550000</v>
      </c>
      <c r="S628" s="504">
        <v>750000</v>
      </c>
      <c r="T628" s="648">
        <f>Data2025!T627</f>
        <v>0</v>
      </c>
      <c r="U628" s="497" t="s">
        <v>538</v>
      </c>
      <c r="V628" s="648">
        <f>Data2025!V627</f>
        <v>0</v>
      </c>
      <c r="W628" s="648">
        <f>Data2025!X627</f>
        <v>0</v>
      </c>
      <c r="X628" s="497" t="s">
        <v>541</v>
      </c>
      <c r="Y628" s="268" t="str">
        <f t="shared" si="32"/>
        <v>Alat Tulis Kantor (ATK)</v>
      </c>
      <c r="Z628" s="649" t="str">
        <f t="shared" si="33"/>
        <v>Alat Tulis Kantor (ATK)</v>
      </c>
      <c r="AA628" s="498" t="s">
        <v>3363</v>
      </c>
      <c r="AB628" s="499">
        <v>5500</v>
      </c>
      <c r="AC628" s="499">
        <v>550000</v>
      </c>
      <c r="AD628" s="496">
        <v>550000</v>
      </c>
      <c r="AE628" s="500">
        <v>495495.4954954955</v>
      </c>
      <c r="AF628" s="500">
        <v>550000</v>
      </c>
      <c r="AG628" s="805" t="s">
        <v>3883</v>
      </c>
      <c r="AH628" s="651">
        <f>Data2025!W627</f>
        <v>0</v>
      </c>
      <c r="AI628" s="501">
        <v>213</v>
      </c>
    </row>
    <row r="629" spans="1:36" s="501" customFormat="1" ht="16.5" thickTop="1" thickBot="1">
      <c r="A629" s="636">
        <f>Data2025!G628</f>
        <v>0</v>
      </c>
      <c r="B629" s="637">
        <f>Data2025!K628</f>
        <v>0</v>
      </c>
      <c r="C629" s="638">
        <f>Data2025!D628</f>
        <v>0</v>
      </c>
      <c r="D629" s="639">
        <f>Data2025!C628</f>
        <v>0</v>
      </c>
      <c r="E629" s="265">
        <f>Data2025!E628</f>
        <v>0</v>
      </c>
      <c r="F629" s="640">
        <f>Data2025!F628</f>
        <v>0</v>
      </c>
      <c r="G629" s="265">
        <f>Data2025!H628</f>
        <v>0</v>
      </c>
      <c r="H629" s="265">
        <f t="shared" si="31"/>
        <v>0</v>
      </c>
      <c r="I629" s="641">
        <f>Data2025!J628</f>
        <v>0</v>
      </c>
      <c r="J629" s="381">
        <f>Data2025!L628</f>
        <v>0</v>
      </c>
      <c r="K629" s="381">
        <f>Data2025!M628</f>
        <v>0</v>
      </c>
      <c r="L629" s="642">
        <f>Data2025!N628</f>
        <v>0</v>
      </c>
      <c r="M629" s="642">
        <f>Data2025!O628</f>
        <v>0</v>
      </c>
      <c r="N629" s="643">
        <f>Data2025!P628</f>
        <v>0</v>
      </c>
      <c r="O629" s="644">
        <f>Data2025!Q628</f>
        <v>0</v>
      </c>
      <c r="P629" s="645" t="s">
        <v>710</v>
      </c>
      <c r="Q629" s="646" t="e">
        <f>VLOOKUP(K629,Sheet1!$C$1:$D$101,2,)</f>
        <v>#N/A</v>
      </c>
      <c r="R629" s="496">
        <v>48000</v>
      </c>
      <c r="S629" s="504">
        <v>50000</v>
      </c>
      <c r="T629" s="648">
        <f>Data2025!T628</f>
        <v>0</v>
      </c>
      <c r="U629" s="497" t="s">
        <v>538</v>
      </c>
      <c r="V629" s="648">
        <f>Data2025!V628</f>
        <v>0</v>
      </c>
      <c r="W629" s="648">
        <f>Data2025!X628</f>
        <v>0</v>
      </c>
      <c r="X629" s="497" t="s">
        <v>541</v>
      </c>
      <c r="Y629" s="268" t="str">
        <f t="shared" si="32"/>
        <v>Alat Tulis Kantor (ATK)</v>
      </c>
      <c r="Z629" s="649" t="str">
        <f t="shared" si="33"/>
        <v>Alat Tulis Kantor (ATK)</v>
      </c>
      <c r="AA629" s="498" t="s">
        <v>3362</v>
      </c>
      <c r="AB629" s="499">
        <v>48000</v>
      </c>
      <c r="AC629" s="499">
        <v>48000</v>
      </c>
      <c r="AD629" s="496">
        <v>48000</v>
      </c>
      <c r="AE629" s="500">
        <v>43243.243243243247</v>
      </c>
      <c r="AF629" s="500">
        <v>48000</v>
      </c>
      <c r="AG629" s="805" t="s">
        <v>3883</v>
      </c>
      <c r="AH629" s="651">
        <f>Data2025!W628</f>
        <v>0</v>
      </c>
      <c r="AI629" s="501">
        <v>213</v>
      </c>
    </row>
    <row r="630" spans="1:36" s="501" customFormat="1" ht="16.5" thickTop="1" thickBot="1">
      <c r="A630" s="636">
        <f>Data2025!G629</f>
        <v>0</v>
      </c>
      <c r="B630" s="637">
        <f>Data2025!K629</f>
        <v>0</v>
      </c>
      <c r="C630" s="638">
        <f>Data2025!D629</f>
        <v>0</v>
      </c>
      <c r="D630" s="639">
        <f>Data2025!C629</f>
        <v>0</v>
      </c>
      <c r="E630" s="265">
        <f>Data2025!E629</f>
        <v>0</v>
      </c>
      <c r="F630" s="640">
        <f>Data2025!F629</f>
        <v>0</v>
      </c>
      <c r="G630" s="265">
        <f>Data2025!H629</f>
        <v>0</v>
      </c>
      <c r="H630" s="265">
        <f t="shared" si="31"/>
        <v>0</v>
      </c>
      <c r="I630" s="641">
        <f>Data2025!J629</f>
        <v>0</v>
      </c>
      <c r="J630" s="381">
        <f>Data2025!L629</f>
        <v>0</v>
      </c>
      <c r="K630" s="381">
        <f>Data2025!M629</f>
        <v>0</v>
      </c>
      <c r="L630" s="642">
        <f>Data2025!N629</f>
        <v>0</v>
      </c>
      <c r="M630" s="642">
        <f>Data2025!O629</f>
        <v>0</v>
      </c>
      <c r="N630" s="643">
        <f>Data2025!P629</f>
        <v>0</v>
      </c>
      <c r="O630" s="644">
        <f>Data2025!Q629</f>
        <v>0</v>
      </c>
      <c r="P630" s="645" t="s">
        <v>710</v>
      </c>
      <c r="Q630" s="646" t="e">
        <f>VLOOKUP(K630,Sheet1!$C$1:$D$101,2,)</f>
        <v>#N/A</v>
      </c>
      <c r="R630" s="496">
        <v>165000</v>
      </c>
      <c r="S630" s="504">
        <v>185000</v>
      </c>
      <c r="T630" s="648">
        <f>Data2025!T629</f>
        <v>0</v>
      </c>
      <c r="U630" s="497" t="s">
        <v>538</v>
      </c>
      <c r="V630" s="648">
        <f>Data2025!V629</f>
        <v>0</v>
      </c>
      <c r="W630" s="648">
        <f>Data2025!X629</f>
        <v>0</v>
      </c>
      <c r="X630" s="497" t="s">
        <v>541</v>
      </c>
      <c r="Y630" s="268" t="str">
        <f t="shared" si="32"/>
        <v>Alat Tulis Kantor (ATK)</v>
      </c>
      <c r="Z630" s="649" t="str">
        <f t="shared" si="33"/>
        <v>Alat Tulis Kantor (ATK)</v>
      </c>
      <c r="AA630" s="498" t="s">
        <v>3362</v>
      </c>
      <c r="AB630" s="499">
        <v>16500</v>
      </c>
      <c r="AC630" s="499">
        <v>165000</v>
      </c>
      <c r="AD630" s="496">
        <v>165000</v>
      </c>
      <c r="AE630" s="500">
        <v>148648.64864864864</v>
      </c>
      <c r="AF630" s="500">
        <v>165000</v>
      </c>
      <c r="AG630" s="805" t="s">
        <v>3883</v>
      </c>
      <c r="AH630" s="651">
        <f>Data2025!W629</f>
        <v>0</v>
      </c>
      <c r="AI630" s="501">
        <v>213</v>
      </c>
    </row>
    <row r="631" spans="1:36" s="501" customFormat="1" ht="16.5" thickTop="1" thickBot="1">
      <c r="A631" s="636">
        <f>Data2025!G630</f>
        <v>0</v>
      </c>
      <c r="B631" s="637">
        <f>Data2025!K630</f>
        <v>0</v>
      </c>
      <c r="C631" s="638">
        <f>Data2025!D630</f>
        <v>0</v>
      </c>
      <c r="D631" s="639">
        <f>Data2025!C630</f>
        <v>0</v>
      </c>
      <c r="E631" s="265">
        <f>Data2025!E630</f>
        <v>0</v>
      </c>
      <c r="F631" s="640">
        <f>Data2025!F630</f>
        <v>0</v>
      </c>
      <c r="G631" s="265">
        <f>Data2025!H630</f>
        <v>0</v>
      </c>
      <c r="H631" s="265">
        <f t="shared" si="31"/>
        <v>0</v>
      </c>
      <c r="I631" s="641">
        <f>Data2025!J630</f>
        <v>0</v>
      </c>
      <c r="J631" s="381">
        <f>Data2025!L630</f>
        <v>0</v>
      </c>
      <c r="K631" s="381">
        <f>Data2025!M630</f>
        <v>0</v>
      </c>
      <c r="L631" s="642">
        <f>Data2025!N630</f>
        <v>0</v>
      </c>
      <c r="M631" s="642">
        <f>Data2025!O630</f>
        <v>0</v>
      </c>
      <c r="N631" s="643">
        <f>Data2025!P630</f>
        <v>0</v>
      </c>
      <c r="O631" s="644">
        <f>Data2025!Q630</f>
        <v>0</v>
      </c>
      <c r="P631" s="645" t="s">
        <v>710</v>
      </c>
      <c r="Q631" s="646" t="e">
        <f>VLOOKUP(K631,Sheet1!$C$1:$D$101,2,)</f>
        <v>#N/A</v>
      </c>
      <c r="R631" s="496">
        <v>325000</v>
      </c>
      <c r="S631" s="504">
        <v>335000</v>
      </c>
      <c r="T631" s="648">
        <f>Data2025!T630</f>
        <v>0</v>
      </c>
      <c r="U631" s="497" t="s">
        <v>538</v>
      </c>
      <c r="V631" s="648">
        <f>Data2025!V630</f>
        <v>0</v>
      </c>
      <c r="W631" s="648">
        <f>Data2025!X630</f>
        <v>0</v>
      </c>
      <c r="X631" s="497" t="s">
        <v>541</v>
      </c>
      <c r="Y631" s="268" t="str">
        <f t="shared" si="32"/>
        <v>Alat Tulis Kantor (ATK)</v>
      </c>
      <c r="Z631" s="649" t="str">
        <f t="shared" si="33"/>
        <v>Alat Tulis Kantor (ATK)</v>
      </c>
      <c r="AA631" s="498" t="s">
        <v>3365</v>
      </c>
      <c r="AB631" s="499">
        <v>65000</v>
      </c>
      <c r="AC631" s="499">
        <v>325000</v>
      </c>
      <c r="AD631" s="496">
        <v>325000</v>
      </c>
      <c r="AE631" s="500">
        <v>292792.79279279278</v>
      </c>
      <c r="AF631" s="500">
        <v>325000</v>
      </c>
      <c r="AG631" s="805" t="s">
        <v>3883</v>
      </c>
      <c r="AH631" s="651">
        <f>Data2025!W630</f>
        <v>0</v>
      </c>
      <c r="AI631" s="501">
        <v>213</v>
      </c>
    </row>
    <row r="632" spans="1:36" s="501" customFormat="1" ht="16.5" thickTop="1" thickBot="1">
      <c r="A632" s="636">
        <f>Data2025!G631</f>
        <v>0</v>
      </c>
      <c r="B632" s="637">
        <f>Data2025!K631</f>
        <v>0</v>
      </c>
      <c r="C632" s="638">
        <f>Data2025!D631</f>
        <v>0</v>
      </c>
      <c r="D632" s="639">
        <f>Data2025!C631</f>
        <v>0</v>
      </c>
      <c r="E632" s="265">
        <f>Data2025!E631</f>
        <v>0</v>
      </c>
      <c r="F632" s="640">
        <f>Data2025!F631</f>
        <v>0</v>
      </c>
      <c r="G632" s="265">
        <f>Data2025!H631</f>
        <v>0</v>
      </c>
      <c r="H632" s="265">
        <f t="shared" si="31"/>
        <v>0</v>
      </c>
      <c r="I632" s="641">
        <f>Data2025!J631</f>
        <v>0</v>
      </c>
      <c r="J632" s="381">
        <f>Data2025!L631</f>
        <v>0</v>
      </c>
      <c r="K632" s="381">
        <f>Data2025!M631</f>
        <v>0</v>
      </c>
      <c r="L632" s="642">
        <f>Data2025!N631</f>
        <v>0</v>
      </c>
      <c r="M632" s="642">
        <f>Data2025!O631</f>
        <v>0</v>
      </c>
      <c r="N632" s="643">
        <f>Data2025!P631</f>
        <v>0</v>
      </c>
      <c r="O632" s="644">
        <f>Data2025!Q631</f>
        <v>0</v>
      </c>
      <c r="P632" s="645" t="s">
        <v>710</v>
      </c>
      <c r="Q632" s="646" t="e">
        <f>VLOOKUP(K632,Sheet1!$C$1:$D$101,2,)</f>
        <v>#N/A</v>
      </c>
      <c r="R632" s="496">
        <v>239200</v>
      </c>
      <c r="S632" s="504">
        <v>247200</v>
      </c>
      <c r="T632" s="648">
        <f>Data2025!T631</f>
        <v>0</v>
      </c>
      <c r="U632" s="497" t="s">
        <v>538</v>
      </c>
      <c r="V632" s="648">
        <f>Data2025!V631</f>
        <v>0</v>
      </c>
      <c r="W632" s="648">
        <f>Data2025!X631</f>
        <v>0</v>
      </c>
      <c r="X632" s="497" t="s">
        <v>541</v>
      </c>
      <c r="Y632" s="268" t="str">
        <f t="shared" si="32"/>
        <v>Alat Tulis Kantor (ATK)</v>
      </c>
      <c r="Z632" s="649" t="str">
        <f t="shared" si="33"/>
        <v>Alat Tulis Kantor (ATK)</v>
      </c>
      <c r="AA632" s="498" t="s">
        <v>3363</v>
      </c>
      <c r="AB632" s="499">
        <v>59800</v>
      </c>
      <c r="AC632" s="499">
        <v>239200</v>
      </c>
      <c r="AD632" s="496">
        <v>239200</v>
      </c>
      <c r="AE632" s="500">
        <v>215495.4954954955</v>
      </c>
      <c r="AF632" s="500">
        <v>239200</v>
      </c>
      <c r="AG632" s="805" t="s">
        <v>3883</v>
      </c>
      <c r="AH632" s="651">
        <f>Data2025!W631</f>
        <v>0</v>
      </c>
      <c r="AI632" s="501">
        <v>213</v>
      </c>
    </row>
    <row r="633" spans="1:36" s="501" customFormat="1" ht="16.5" thickTop="1" thickBot="1">
      <c r="A633" s="636">
        <f>Data2025!G632</f>
        <v>0</v>
      </c>
      <c r="B633" s="637">
        <f>Data2025!K632</f>
        <v>0</v>
      </c>
      <c r="C633" s="638">
        <f>Data2025!D632</f>
        <v>0</v>
      </c>
      <c r="D633" s="639">
        <f>Data2025!C632</f>
        <v>0</v>
      </c>
      <c r="E633" s="265">
        <f>Data2025!E632</f>
        <v>0</v>
      </c>
      <c r="F633" s="640">
        <f>Data2025!F632</f>
        <v>0</v>
      </c>
      <c r="G633" s="265">
        <f>Data2025!H632</f>
        <v>0</v>
      </c>
      <c r="H633" s="265">
        <f t="shared" si="31"/>
        <v>0</v>
      </c>
      <c r="I633" s="641">
        <f>Data2025!J632</f>
        <v>0</v>
      </c>
      <c r="J633" s="381">
        <f>Data2025!L632</f>
        <v>0</v>
      </c>
      <c r="K633" s="381">
        <f>Data2025!M632</f>
        <v>0</v>
      </c>
      <c r="L633" s="642">
        <f>Data2025!N632</f>
        <v>0</v>
      </c>
      <c r="M633" s="642">
        <f>Data2025!O632</f>
        <v>0</v>
      </c>
      <c r="N633" s="643">
        <f>Data2025!P632</f>
        <v>0</v>
      </c>
      <c r="O633" s="644">
        <f>Data2025!Q632</f>
        <v>0</v>
      </c>
      <c r="P633" s="645" t="s">
        <v>710</v>
      </c>
      <c r="Q633" s="646" t="e">
        <f>VLOOKUP(K633,Sheet1!$C$1:$D$101,2,)</f>
        <v>#N/A</v>
      </c>
      <c r="R633" s="496">
        <v>40000</v>
      </c>
      <c r="S633" s="504">
        <v>44000</v>
      </c>
      <c r="T633" s="648">
        <f>Data2025!T632</f>
        <v>0</v>
      </c>
      <c r="U633" s="497" t="s">
        <v>538</v>
      </c>
      <c r="V633" s="648">
        <f>Data2025!V632</f>
        <v>0</v>
      </c>
      <c r="W633" s="648">
        <f>Data2025!X632</f>
        <v>0</v>
      </c>
      <c r="X633" s="497" t="s">
        <v>541</v>
      </c>
      <c r="Y633" s="268" t="str">
        <f t="shared" si="32"/>
        <v>Alat Tulis Kantor (ATK)</v>
      </c>
      <c r="Z633" s="649" t="str">
        <f t="shared" si="33"/>
        <v>Alat Tulis Kantor (ATK)</v>
      </c>
      <c r="AA633" s="498" t="s">
        <v>3364</v>
      </c>
      <c r="AB633" s="499">
        <v>20000</v>
      </c>
      <c r="AC633" s="499">
        <v>40000</v>
      </c>
      <c r="AD633" s="496">
        <v>40000</v>
      </c>
      <c r="AE633" s="500">
        <v>36036.036036036036</v>
      </c>
      <c r="AF633" s="500">
        <v>40000</v>
      </c>
      <c r="AG633" s="805" t="s">
        <v>3883</v>
      </c>
      <c r="AH633" s="651">
        <f>Data2025!W632</f>
        <v>0</v>
      </c>
      <c r="AI633" s="501">
        <v>213</v>
      </c>
    </row>
    <row r="634" spans="1:36" s="501" customFormat="1" ht="16.5" thickTop="1" thickBot="1">
      <c r="A634" s="636">
        <f>Data2025!G633</f>
        <v>0</v>
      </c>
      <c r="B634" s="637">
        <f>Data2025!K633</f>
        <v>0</v>
      </c>
      <c r="C634" s="638">
        <f>Data2025!D633</f>
        <v>0</v>
      </c>
      <c r="D634" s="639">
        <f>Data2025!C633</f>
        <v>0</v>
      </c>
      <c r="E634" s="265">
        <f>Data2025!E633</f>
        <v>0</v>
      </c>
      <c r="F634" s="640">
        <f>Data2025!F633</f>
        <v>0</v>
      </c>
      <c r="G634" s="265">
        <f>Data2025!H633</f>
        <v>0</v>
      </c>
      <c r="H634" s="265">
        <f t="shared" si="31"/>
        <v>0</v>
      </c>
      <c r="I634" s="641">
        <f>Data2025!J633</f>
        <v>0</v>
      </c>
      <c r="J634" s="381">
        <f>Data2025!L633</f>
        <v>0</v>
      </c>
      <c r="K634" s="381">
        <f>Data2025!M633</f>
        <v>0</v>
      </c>
      <c r="L634" s="642">
        <f>Data2025!N633</f>
        <v>0</v>
      </c>
      <c r="M634" s="642">
        <f>Data2025!O633</f>
        <v>0</v>
      </c>
      <c r="N634" s="643">
        <f>Data2025!P633</f>
        <v>0</v>
      </c>
      <c r="O634" s="644">
        <f>Data2025!Q633</f>
        <v>0</v>
      </c>
      <c r="P634" s="645" t="s">
        <v>710</v>
      </c>
      <c r="Q634" s="646" t="e">
        <f>VLOOKUP(K634,Sheet1!$C$1:$D$101,2,)</f>
        <v>#N/A</v>
      </c>
      <c r="R634" s="496">
        <v>87500</v>
      </c>
      <c r="S634" s="504">
        <v>89500</v>
      </c>
      <c r="T634" s="648">
        <f>Data2025!T633</f>
        <v>0</v>
      </c>
      <c r="U634" s="497" t="s">
        <v>538</v>
      </c>
      <c r="V634" s="648">
        <f>Data2025!V633</f>
        <v>0</v>
      </c>
      <c r="W634" s="648">
        <f>Data2025!X633</f>
        <v>0</v>
      </c>
      <c r="X634" s="497" t="s">
        <v>541</v>
      </c>
      <c r="Y634" s="268" t="str">
        <f t="shared" si="32"/>
        <v>Alat Tulis Kantor (ATK)</v>
      </c>
      <c r="Z634" s="649" t="str">
        <f t="shared" si="33"/>
        <v>Alat Tulis Kantor (ATK)</v>
      </c>
      <c r="AA634" s="498" t="s">
        <v>3370</v>
      </c>
      <c r="AB634" s="499">
        <v>87500</v>
      </c>
      <c r="AC634" s="499">
        <v>87500</v>
      </c>
      <c r="AD634" s="496">
        <v>87500</v>
      </c>
      <c r="AE634" s="500">
        <v>78828.828828828831</v>
      </c>
      <c r="AF634" s="500">
        <v>87500</v>
      </c>
      <c r="AG634" s="805" t="s">
        <v>3883</v>
      </c>
      <c r="AH634" s="651">
        <f>Data2025!W633</f>
        <v>0</v>
      </c>
      <c r="AI634" s="502">
        <v>213</v>
      </c>
      <c r="AJ634" s="502"/>
    </row>
    <row r="635" spans="1:36" s="501" customFormat="1" ht="16.5" thickTop="1" thickBot="1">
      <c r="A635" s="636">
        <f>Data2025!G634</f>
        <v>0</v>
      </c>
      <c r="B635" s="637">
        <f>Data2025!K634</f>
        <v>0</v>
      </c>
      <c r="C635" s="638">
        <f>Data2025!D634</f>
        <v>0</v>
      </c>
      <c r="D635" s="639">
        <f>Data2025!C634</f>
        <v>0</v>
      </c>
      <c r="E635" s="265">
        <f>Data2025!E634</f>
        <v>0</v>
      </c>
      <c r="F635" s="640">
        <f>Data2025!F634</f>
        <v>0</v>
      </c>
      <c r="G635" s="265">
        <f>Data2025!H634</f>
        <v>0</v>
      </c>
      <c r="H635" s="265">
        <f t="shared" si="31"/>
        <v>0</v>
      </c>
      <c r="I635" s="641">
        <f>Data2025!J634</f>
        <v>0</v>
      </c>
      <c r="J635" s="381">
        <f>Data2025!L634</f>
        <v>0</v>
      </c>
      <c r="K635" s="381">
        <f>Data2025!M634</f>
        <v>0</v>
      </c>
      <c r="L635" s="642">
        <f>Data2025!N634</f>
        <v>0</v>
      </c>
      <c r="M635" s="642">
        <f>Data2025!O634</f>
        <v>0</v>
      </c>
      <c r="N635" s="643">
        <f>Data2025!P634</f>
        <v>0</v>
      </c>
      <c r="O635" s="644">
        <f>Data2025!Q634</f>
        <v>0</v>
      </c>
      <c r="P635" s="645" t="s">
        <v>710</v>
      </c>
      <c r="Q635" s="646" t="e">
        <f>VLOOKUP(K635,Sheet1!$C$1:$D$101,2,)</f>
        <v>#N/A</v>
      </c>
      <c r="R635" s="496">
        <v>297000</v>
      </c>
      <c r="S635" s="504">
        <v>309000</v>
      </c>
      <c r="T635" s="648">
        <f>Data2025!T634</f>
        <v>0</v>
      </c>
      <c r="U635" s="497" t="s">
        <v>538</v>
      </c>
      <c r="V635" s="648">
        <f>Data2025!V634</f>
        <v>0</v>
      </c>
      <c r="W635" s="648">
        <f>Data2025!X634</f>
        <v>0</v>
      </c>
      <c r="X635" s="497" t="s">
        <v>541</v>
      </c>
      <c r="Y635" s="268" t="str">
        <f t="shared" si="32"/>
        <v>Alat Tulis Kantor (ATK)</v>
      </c>
      <c r="Z635" s="649" t="str">
        <f t="shared" si="33"/>
        <v>Alat Tulis Kantor (ATK)</v>
      </c>
      <c r="AA635" s="498" t="s">
        <v>3363</v>
      </c>
      <c r="AB635" s="499">
        <v>49500</v>
      </c>
      <c r="AC635" s="499">
        <v>297000</v>
      </c>
      <c r="AD635" s="496">
        <v>297000</v>
      </c>
      <c r="AE635" s="500">
        <v>267567.56756756757</v>
      </c>
      <c r="AF635" s="500">
        <v>297000</v>
      </c>
      <c r="AG635" s="805" t="s">
        <v>3883</v>
      </c>
      <c r="AH635" s="651">
        <f>Data2025!W634</f>
        <v>0</v>
      </c>
      <c r="AI635" s="501">
        <v>213</v>
      </c>
    </row>
    <row r="636" spans="1:36" s="501" customFormat="1" ht="16.5" thickTop="1" thickBot="1">
      <c r="A636" s="636">
        <f>Data2025!G635</f>
        <v>0</v>
      </c>
      <c r="B636" s="637">
        <f>Data2025!K635</f>
        <v>0</v>
      </c>
      <c r="C636" s="638">
        <f>Data2025!D635</f>
        <v>0</v>
      </c>
      <c r="D636" s="639">
        <f>Data2025!C635</f>
        <v>0</v>
      </c>
      <c r="E636" s="265">
        <f>Data2025!E635</f>
        <v>0</v>
      </c>
      <c r="F636" s="640">
        <f>Data2025!F635</f>
        <v>0</v>
      </c>
      <c r="G636" s="265">
        <f>Data2025!H635</f>
        <v>0</v>
      </c>
      <c r="H636" s="265">
        <f t="shared" si="31"/>
        <v>0</v>
      </c>
      <c r="I636" s="641">
        <f>Data2025!J635</f>
        <v>0</v>
      </c>
      <c r="J636" s="381">
        <f>Data2025!L635</f>
        <v>0</v>
      </c>
      <c r="K636" s="381">
        <f>Data2025!M635</f>
        <v>0</v>
      </c>
      <c r="L636" s="642">
        <f>Data2025!N635</f>
        <v>0</v>
      </c>
      <c r="M636" s="642">
        <f>Data2025!O635</f>
        <v>0</v>
      </c>
      <c r="N636" s="643">
        <f>Data2025!P635</f>
        <v>0</v>
      </c>
      <c r="O636" s="644">
        <f>Data2025!Q635</f>
        <v>0</v>
      </c>
      <c r="P636" s="645" t="s">
        <v>710</v>
      </c>
      <c r="Q636" s="646" t="e">
        <f>VLOOKUP(K636,Sheet1!$C$1:$D$101,2,)</f>
        <v>#N/A</v>
      </c>
      <c r="R636" s="496">
        <v>396000</v>
      </c>
      <c r="S636" s="504">
        <v>420000</v>
      </c>
      <c r="T636" s="648">
        <f>Data2025!T635</f>
        <v>0</v>
      </c>
      <c r="U636" s="497" t="s">
        <v>538</v>
      </c>
      <c r="V636" s="648">
        <f>Data2025!V635</f>
        <v>0</v>
      </c>
      <c r="W636" s="648">
        <f>Data2025!X635</f>
        <v>0</v>
      </c>
      <c r="X636" s="497" t="s">
        <v>541</v>
      </c>
      <c r="Y636" s="268" t="str">
        <f t="shared" si="32"/>
        <v>Alat Tulis Kantor (ATK)</v>
      </c>
      <c r="Z636" s="649" t="str">
        <f t="shared" si="33"/>
        <v>Alat Tulis Kantor (ATK)</v>
      </c>
      <c r="AA636" s="498" t="s">
        <v>3367</v>
      </c>
      <c r="AB636" s="499">
        <v>33000</v>
      </c>
      <c r="AC636" s="499">
        <v>396000</v>
      </c>
      <c r="AD636" s="496">
        <v>396000</v>
      </c>
      <c r="AE636" s="500">
        <v>356756.75675675675</v>
      </c>
      <c r="AF636" s="500">
        <v>396000</v>
      </c>
      <c r="AG636" s="805" t="s">
        <v>3883</v>
      </c>
      <c r="AH636" s="651">
        <f>Data2025!W635</f>
        <v>0</v>
      </c>
      <c r="AI636" s="501">
        <v>213</v>
      </c>
    </row>
    <row r="637" spans="1:36" s="501" customFormat="1" ht="16.5" thickTop="1" thickBot="1">
      <c r="A637" s="636">
        <f>Data2025!G636</f>
        <v>0</v>
      </c>
      <c r="B637" s="637">
        <f>Data2025!K636</f>
        <v>0</v>
      </c>
      <c r="C637" s="638">
        <f>Data2025!D636</f>
        <v>0</v>
      </c>
      <c r="D637" s="639">
        <f>Data2025!C636</f>
        <v>0</v>
      </c>
      <c r="E637" s="265">
        <f>Data2025!E636</f>
        <v>0</v>
      </c>
      <c r="F637" s="640">
        <f>Data2025!F636</f>
        <v>0</v>
      </c>
      <c r="G637" s="265">
        <f>Data2025!H636</f>
        <v>0</v>
      </c>
      <c r="H637" s="265">
        <f t="shared" si="31"/>
        <v>0</v>
      </c>
      <c r="I637" s="641">
        <f>Data2025!J636</f>
        <v>0</v>
      </c>
      <c r="J637" s="381">
        <f>Data2025!L636</f>
        <v>0</v>
      </c>
      <c r="K637" s="381">
        <f>Data2025!M636</f>
        <v>0</v>
      </c>
      <c r="L637" s="642">
        <f>Data2025!N636</f>
        <v>0</v>
      </c>
      <c r="M637" s="642">
        <f>Data2025!O636</f>
        <v>0</v>
      </c>
      <c r="N637" s="643">
        <f>Data2025!P636</f>
        <v>0</v>
      </c>
      <c r="O637" s="644">
        <f>Data2025!Q636</f>
        <v>0</v>
      </c>
      <c r="P637" s="645" t="s">
        <v>710</v>
      </c>
      <c r="Q637" s="646" t="e">
        <f>VLOOKUP(K637,Sheet1!$C$1:$D$101,2,)</f>
        <v>#N/A</v>
      </c>
      <c r="R637" s="496">
        <v>240000</v>
      </c>
      <c r="S637" s="504">
        <v>256000</v>
      </c>
      <c r="T637" s="648">
        <f>Data2025!T636</f>
        <v>0</v>
      </c>
      <c r="U637" s="497" t="s">
        <v>538</v>
      </c>
      <c r="V637" s="648">
        <f>Data2025!V636</f>
        <v>0</v>
      </c>
      <c r="W637" s="648">
        <f>Data2025!X636</f>
        <v>0</v>
      </c>
      <c r="X637" s="497" t="s">
        <v>541</v>
      </c>
      <c r="Y637" s="268" t="str">
        <f t="shared" si="32"/>
        <v>Alat Tulis Kantor (ATK)</v>
      </c>
      <c r="Z637" s="649" t="str">
        <f t="shared" si="33"/>
        <v>Alat Tulis Kantor (ATK)</v>
      </c>
      <c r="AA637" s="498" t="s">
        <v>3367</v>
      </c>
      <c r="AB637" s="499">
        <v>30000</v>
      </c>
      <c r="AC637" s="499">
        <v>240000</v>
      </c>
      <c r="AD637" s="496">
        <v>240000</v>
      </c>
      <c r="AE637" s="500">
        <v>216216.21621621621</v>
      </c>
      <c r="AF637" s="500">
        <v>240000</v>
      </c>
      <c r="AG637" s="805" t="s">
        <v>3883</v>
      </c>
      <c r="AH637" s="651">
        <f>Data2025!W636</f>
        <v>0</v>
      </c>
      <c r="AI637" s="501">
        <v>213</v>
      </c>
    </row>
    <row r="638" spans="1:36" s="501" customFormat="1" ht="16.5" thickTop="1" thickBot="1">
      <c r="A638" s="636">
        <f>Data2025!G637</f>
        <v>0</v>
      </c>
      <c r="B638" s="637">
        <f>Data2025!K637</f>
        <v>0</v>
      </c>
      <c r="C638" s="638">
        <f>Data2025!D637</f>
        <v>0</v>
      </c>
      <c r="D638" s="639">
        <f>Data2025!C637</f>
        <v>0</v>
      </c>
      <c r="E638" s="265">
        <f>Data2025!E637</f>
        <v>0</v>
      </c>
      <c r="F638" s="640">
        <f>Data2025!F637</f>
        <v>0</v>
      </c>
      <c r="G638" s="265">
        <f>Data2025!H637</f>
        <v>0</v>
      </c>
      <c r="H638" s="265">
        <f t="shared" si="31"/>
        <v>0</v>
      </c>
      <c r="I638" s="641">
        <f>Data2025!J637</f>
        <v>0</v>
      </c>
      <c r="J638" s="381">
        <f>Data2025!L637</f>
        <v>0</v>
      </c>
      <c r="K638" s="381">
        <f>Data2025!M637</f>
        <v>0</v>
      </c>
      <c r="L638" s="642">
        <f>Data2025!N637</f>
        <v>0</v>
      </c>
      <c r="M638" s="642">
        <f>Data2025!O637</f>
        <v>0</v>
      </c>
      <c r="N638" s="643">
        <f>Data2025!P637</f>
        <v>0</v>
      </c>
      <c r="O638" s="644">
        <f>Data2025!Q637</f>
        <v>0</v>
      </c>
      <c r="P638" s="645" t="s">
        <v>710</v>
      </c>
      <c r="Q638" s="646" t="e">
        <f>VLOOKUP(K638,Sheet1!$C$1:$D$101,2,)</f>
        <v>#N/A</v>
      </c>
      <c r="R638" s="496">
        <v>440000</v>
      </c>
      <c r="S638" s="504">
        <v>448000</v>
      </c>
      <c r="T638" s="648">
        <f>Data2025!T637</f>
        <v>0</v>
      </c>
      <c r="U638" s="497" t="s">
        <v>538</v>
      </c>
      <c r="V638" s="648">
        <f>Data2025!V637</f>
        <v>0</v>
      </c>
      <c r="W638" s="648">
        <f>Data2025!X637</f>
        <v>0</v>
      </c>
      <c r="X638" s="497" t="s">
        <v>541</v>
      </c>
      <c r="Y638" s="268" t="str">
        <f t="shared" si="32"/>
        <v>Alat Tulis Kantor (ATK)</v>
      </c>
      <c r="Z638" s="649" t="str">
        <f t="shared" si="33"/>
        <v>Alat Tulis Kantor (ATK)</v>
      </c>
      <c r="AA638" s="498" t="s">
        <v>3367</v>
      </c>
      <c r="AB638" s="499">
        <v>110000</v>
      </c>
      <c r="AC638" s="499">
        <v>440000</v>
      </c>
      <c r="AD638" s="496">
        <v>440000</v>
      </c>
      <c r="AE638" s="500">
        <v>396396.39639639639</v>
      </c>
      <c r="AF638" s="500">
        <v>440000</v>
      </c>
      <c r="AG638" s="805" t="s">
        <v>3883</v>
      </c>
      <c r="AH638" s="651">
        <f>Data2025!W637</f>
        <v>0</v>
      </c>
      <c r="AI638" s="501">
        <v>213</v>
      </c>
    </row>
    <row r="639" spans="1:36" s="501" customFormat="1" ht="16.5" thickTop="1" thickBot="1">
      <c r="A639" s="636">
        <f>Data2025!G638</f>
        <v>0</v>
      </c>
      <c r="B639" s="637">
        <f>Data2025!K638</f>
        <v>0</v>
      </c>
      <c r="C639" s="638">
        <f>Data2025!D638</f>
        <v>0</v>
      </c>
      <c r="D639" s="639">
        <f>Data2025!C638</f>
        <v>0</v>
      </c>
      <c r="E639" s="265">
        <f>Data2025!E638</f>
        <v>0</v>
      </c>
      <c r="F639" s="640">
        <f>Data2025!F638</f>
        <v>0</v>
      </c>
      <c r="G639" s="265">
        <f>Data2025!H638</f>
        <v>0</v>
      </c>
      <c r="H639" s="265">
        <f t="shared" si="31"/>
        <v>0</v>
      </c>
      <c r="I639" s="641">
        <f>Data2025!J638</f>
        <v>0</v>
      </c>
      <c r="J639" s="381">
        <f>Data2025!L638</f>
        <v>0</v>
      </c>
      <c r="K639" s="381">
        <f>Data2025!M638</f>
        <v>0</v>
      </c>
      <c r="L639" s="642">
        <f>Data2025!N638</f>
        <v>0</v>
      </c>
      <c r="M639" s="642">
        <f>Data2025!O638</f>
        <v>0</v>
      </c>
      <c r="N639" s="643">
        <f>Data2025!P638</f>
        <v>0</v>
      </c>
      <c r="O639" s="644">
        <f>Data2025!Q638</f>
        <v>0</v>
      </c>
      <c r="P639" s="645" t="s">
        <v>710</v>
      </c>
      <c r="Q639" s="646" t="e">
        <f>VLOOKUP(K639,Sheet1!$C$1:$D$101,2,)</f>
        <v>#N/A</v>
      </c>
      <c r="R639" s="496">
        <v>440000</v>
      </c>
      <c r="S639" s="504">
        <v>448000</v>
      </c>
      <c r="T639" s="648">
        <f>Data2025!T638</f>
        <v>0</v>
      </c>
      <c r="U639" s="497" t="s">
        <v>538</v>
      </c>
      <c r="V639" s="648">
        <f>Data2025!V638</f>
        <v>0</v>
      </c>
      <c r="W639" s="648">
        <f>Data2025!X638</f>
        <v>0</v>
      </c>
      <c r="X639" s="497" t="s">
        <v>541</v>
      </c>
      <c r="Y639" s="268" t="str">
        <f t="shared" si="32"/>
        <v>Alat Tulis Kantor (ATK)</v>
      </c>
      <c r="Z639" s="649" t="str">
        <f t="shared" si="33"/>
        <v>Alat Tulis Kantor (ATK)</v>
      </c>
      <c r="AA639" s="498" t="s">
        <v>3367</v>
      </c>
      <c r="AB639" s="499">
        <v>110000</v>
      </c>
      <c r="AC639" s="499">
        <v>440000</v>
      </c>
      <c r="AD639" s="496">
        <v>440000</v>
      </c>
      <c r="AE639" s="500">
        <v>396396.39639639639</v>
      </c>
      <c r="AF639" s="500">
        <v>440000</v>
      </c>
      <c r="AG639" s="805" t="s">
        <v>3883</v>
      </c>
      <c r="AH639" s="651">
        <f>Data2025!W638</f>
        <v>0</v>
      </c>
      <c r="AI639" s="501">
        <v>213</v>
      </c>
    </row>
    <row r="640" spans="1:36" s="501" customFormat="1" ht="16.5" thickTop="1" thickBot="1">
      <c r="A640" s="636">
        <f>Data2025!G639</f>
        <v>0</v>
      </c>
      <c r="B640" s="637">
        <f>Data2025!K639</f>
        <v>0</v>
      </c>
      <c r="C640" s="638">
        <f>Data2025!D639</f>
        <v>0</v>
      </c>
      <c r="D640" s="639">
        <f>Data2025!C639</f>
        <v>0</v>
      </c>
      <c r="E640" s="265">
        <f>Data2025!E639</f>
        <v>0</v>
      </c>
      <c r="F640" s="640">
        <f>Data2025!F639</f>
        <v>0</v>
      </c>
      <c r="G640" s="265">
        <f>Data2025!H639</f>
        <v>0</v>
      </c>
      <c r="H640" s="265">
        <f t="shared" si="31"/>
        <v>0</v>
      </c>
      <c r="I640" s="641">
        <f>Data2025!J639</f>
        <v>0</v>
      </c>
      <c r="J640" s="381">
        <f>Data2025!L639</f>
        <v>0</v>
      </c>
      <c r="K640" s="381">
        <f>Data2025!M639</f>
        <v>0</v>
      </c>
      <c r="L640" s="642">
        <f>Data2025!N639</f>
        <v>0</v>
      </c>
      <c r="M640" s="642">
        <f>Data2025!O639</f>
        <v>0</v>
      </c>
      <c r="N640" s="643">
        <f>Data2025!P639</f>
        <v>0</v>
      </c>
      <c r="O640" s="644">
        <f>Data2025!Q639</f>
        <v>0</v>
      </c>
      <c r="P640" s="645" t="s">
        <v>710</v>
      </c>
      <c r="Q640" s="646" t="e">
        <f>VLOOKUP(K640,Sheet1!$C$1:$D$101,2,)</f>
        <v>#N/A</v>
      </c>
      <c r="R640" s="496">
        <v>510000</v>
      </c>
      <c r="S640" s="504">
        <v>522000</v>
      </c>
      <c r="T640" s="648">
        <f>Data2025!T639</f>
        <v>0</v>
      </c>
      <c r="U640" s="497" t="s">
        <v>538</v>
      </c>
      <c r="V640" s="648">
        <f>Data2025!V639</f>
        <v>0</v>
      </c>
      <c r="W640" s="648">
        <f>Data2025!X639</f>
        <v>0</v>
      </c>
      <c r="X640" s="497" t="s">
        <v>541</v>
      </c>
      <c r="Y640" s="268" t="str">
        <f t="shared" si="32"/>
        <v>Alat Tulis Kantor (ATK)</v>
      </c>
      <c r="Z640" s="649" t="str">
        <f t="shared" si="33"/>
        <v>Alat Tulis Kantor (ATK)</v>
      </c>
      <c r="AA640" s="498" t="s">
        <v>3367</v>
      </c>
      <c r="AB640" s="499">
        <v>85000</v>
      </c>
      <c r="AC640" s="499">
        <v>510000</v>
      </c>
      <c r="AD640" s="496">
        <v>510000</v>
      </c>
      <c r="AE640" s="500">
        <v>459459.45945945947</v>
      </c>
      <c r="AF640" s="500">
        <v>510000</v>
      </c>
      <c r="AG640" s="805" t="s">
        <v>3883</v>
      </c>
      <c r="AH640" s="651">
        <f>Data2025!W639</f>
        <v>0</v>
      </c>
      <c r="AI640" s="501">
        <v>213</v>
      </c>
    </row>
    <row r="641" spans="1:36" s="501" customFormat="1" ht="16.5" thickTop="1" thickBot="1">
      <c r="A641" s="636">
        <f>Data2025!G640</f>
        <v>0</v>
      </c>
      <c r="B641" s="637">
        <f>Data2025!K640</f>
        <v>0</v>
      </c>
      <c r="C641" s="638">
        <f>Data2025!D640</f>
        <v>0</v>
      </c>
      <c r="D641" s="639">
        <f>Data2025!C640</f>
        <v>0</v>
      </c>
      <c r="E641" s="265">
        <f>Data2025!E640</f>
        <v>0</v>
      </c>
      <c r="F641" s="640">
        <f>Data2025!F640</f>
        <v>0</v>
      </c>
      <c r="G641" s="265">
        <f>Data2025!H640</f>
        <v>0</v>
      </c>
      <c r="H641" s="265">
        <f t="shared" si="31"/>
        <v>0</v>
      </c>
      <c r="I641" s="641">
        <f>Data2025!J640</f>
        <v>0</v>
      </c>
      <c r="J641" s="381">
        <f>Data2025!L640</f>
        <v>0</v>
      </c>
      <c r="K641" s="381">
        <f>Data2025!M640</f>
        <v>0</v>
      </c>
      <c r="L641" s="642">
        <f>Data2025!N640</f>
        <v>0</v>
      </c>
      <c r="M641" s="642">
        <f>Data2025!O640</f>
        <v>0</v>
      </c>
      <c r="N641" s="643">
        <f>Data2025!P640</f>
        <v>0</v>
      </c>
      <c r="O641" s="644">
        <f>Data2025!Q640</f>
        <v>0</v>
      </c>
      <c r="P641" s="645" t="s">
        <v>710</v>
      </c>
      <c r="Q641" s="646" t="e">
        <f>VLOOKUP(K641,Sheet1!$C$1:$D$101,2,)</f>
        <v>#N/A</v>
      </c>
      <c r="R641" s="496">
        <v>440000</v>
      </c>
      <c r="S641" s="504">
        <v>448000</v>
      </c>
      <c r="T641" s="648">
        <f>Data2025!T640</f>
        <v>0</v>
      </c>
      <c r="U641" s="497" t="s">
        <v>538</v>
      </c>
      <c r="V641" s="648">
        <f>Data2025!V640</f>
        <v>0</v>
      </c>
      <c r="W641" s="648">
        <f>Data2025!X640</f>
        <v>0</v>
      </c>
      <c r="X641" s="497" t="s">
        <v>541</v>
      </c>
      <c r="Y641" s="268" t="str">
        <f t="shared" si="32"/>
        <v>Alat Tulis Kantor (ATK)</v>
      </c>
      <c r="Z641" s="649" t="str">
        <f t="shared" si="33"/>
        <v>Alat Tulis Kantor (ATK)</v>
      </c>
      <c r="AA641" s="498" t="s">
        <v>3367</v>
      </c>
      <c r="AB641" s="499">
        <v>110000</v>
      </c>
      <c r="AC641" s="499">
        <v>440000</v>
      </c>
      <c r="AD641" s="496">
        <v>440000</v>
      </c>
      <c r="AE641" s="500">
        <v>396396.39639639639</v>
      </c>
      <c r="AF641" s="500">
        <v>440000</v>
      </c>
      <c r="AG641" s="805" t="s">
        <v>3883</v>
      </c>
      <c r="AH641" s="651">
        <f>Data2025!W640</f>
        <v>0</v>
      </c>
      <c r="AI641" s="502">
        <v>213</v>
      </c>
      <c r="AJ641" s="502"/>
    </row>
    <row r="642" spans="1:36" s="501" customFormat="1" ht="16.5" thickTop="1" thickBot="1">
      <c r="A642" s="636">
        <f>Data2025!G641</f>
        <v>0</v>
      </c>
      <c r="B642" s="637">
        <f>Data2025!K641</f>
        <v>0</v>
      </c>
      <c r="C642" s="638">
        <f>Data2025!D641</f>
        <v>0</v>
      </c>
      <c r="D642" s="639">
        <f>Data2025!C641</f>
        <v>0</v>
      </c>
      <c r="E642" s="265">
        <f>Data2025!E641</f>
        <v>0</v>
      </c>
      <c r="F642" s="640">
        <f>Data2025!F641</f>
        <v>0</v>
      </c>
      <c r="G642" s="265">
        <f>Data2025!H641</f>
        <v>0</v>
      </c>
      <c r="H642" s="265">
        <f t="shared" si="31"/>
        <v>0</v>
      </c>
      <c r="I642" s="641">
        <f>Data2025!J641</f>
        <v>0</v>
      </c>
      <c r="J642" s="381">
        <f>Data2025!L641</f>
        <v>0</v>
      </c>
      <c r="K642" s="381">
        <f>Data2025!M641</f>
        <v>0</v>
      </c>
      <c r="L642" s="642">
        <f>Data2025!N641</f>
        <v>0</v>
      </c>
      <c r="M642" s="642">
        <f>Data2025!O641</f>
        <v>0</v>
      </c>
      <c r="N642" s="643">
        <f>Data2025!P641</f>
        <v>0</v>
      </c>
      <c r="O642" s="644">
        <f>Data2025!Q641</f>
        <v>0</v>
      </c>
      <c r="P642" s="645" t="s">
        <v>710</v>
      </c>
      <c r="Q642" s="646" t="e">
        <f>VLOOKUP(K642,Sheet1!$C$1:$D$101,2,)</f>
        <v>#N/A</v>
      </c>
      <c r="R642" s="496">
        <v>1700000</v>
      </c>
      <c r="S642" s="504">
        <v>1708000</v>
      </c>
      <c r="T642" s="648">
        <f>Data2025!T641</f>
        <v>0</v>
      </c>
      <c r="U642" s="497" t="s">
        <v>538</v>
      </c>
      <c r="V642" s="648">
        <f>Data2025!V641</f>
        <v>0</v>
      </c>
      <c r="W642" s="648">
        <f>Data2025!X641</f>
        <v>0</v>
      </c>
      <c r="X642" s="497" t="s">
        <v>541</v>
      </c>
      <c r="Y642" s="268" t="str">
        <f t="shared" si="32"/>
        <v>Alat Tulis Kantor (ATK)</v>
      </c>
      <c r="Z642" s="649" t="str">
        <f t="shared" si="33"/>
        <v>Alat Tulis Kantor (ATK)</v>
      </c>
      <c r="AA642" s="498" t="s">
        <v>3363</v>
      </c>
      <c r="AB642" s="499">
        <v>425000</v>
      </c>
      <c r="AC642" s="499">
        <v>1700000</v>
      </c>
      <c r="AD642" s="496">
        <v>1700000</v>
      </c>
      <c r="AE642" s="500">
        <v>1531531.5315315316</v>
      </c>
      <c r="AF642" s="500">
        <v>1700000</v>
      </c>
      <c r="AG642" s="805" t="s">
        <v>3883</v>
      </c>
      <c r="AH642" s="651">
        <f>Data2025!W641</f>
        <v>0</v>
      </c>
      <c r="AI642" s="501">
        <v>213</v>
      </c>
    </row>
    <row r="643" spans="1:36" s="501" customFormat="1" ht="16.5" thickTop="1" thickBot="1">
      <c r="A643" s="636">
        <f>Data2025!G642</f>
        <v>0</v>
      </c>
      <c r="B643" s="637">
        <f>Data2025!K642</f>
        <v>0</v>
      </c>
      <c r="C643" s="638">
        <f>Data2025!D642</f>
        <v>0</v>
      </c>
      <c r="D643" s="639">
        <f>Data2025!C642</f>
        <v>0</v>
      </c>
      <c r="E643" s="265">
        <f>Data2025!E642</f>
        <v>0</v>
      </c>
      <c r="F643" s="640">
        <f>Data2025!F642</f>
        <v>0</v>
      </c>
      <c r="G643" s="265">
        <f>Data2025!H642</f>
        <v>0</v>
      </c>
      <c r="H643" s="265">
        <f t="shared" si="31"/>
        <v>0</v>
      </c>
      <c r="I643" s="641">
        <f>Data2025!J642</f>
        <v>0</v>
      </c>
      <c r="J643" s="381">
        <f>Data2025!L642</f>
        <v>0</v>
      </c>
      <c r="K643" s="381">
        <f>Data2025!M642</f>
        <v>0</v>
      </c>
      <c r="L643" s="642">
        <f>Data2025!N642</f>
        <v>0</v>
      </c>
      <c r="M643" s="642">
        <f>Data2025!O642</f>
        <v>0</v>
      </c>
      <c r="N643" s="643">
        <f>Data2025!P642</f>
        <v>0</v>
      </c>
      <c r="O643" s="644">
        <f>Data2025!Q642</f>
        <v>0</v>
      </c>
      <c r="P643" s="645" t="s">
        <v>2609</v>
      </c>
      <c r="Q643" s="646" t="e">
        <f>VLOOKUP(K643,Sheet1!$C$1:$D$101,2,)</f>
        <v>#N/A</v>
      </c>
      <c r="R643" s="496">
        <v>750000</v>
      </c>
      <c r="S643" s="504">
        <v>770000</v>
      </c>
      <c r="T643" s="648">
        <f>Data2025!T642</f>
        <v>0</v>
      </c>
      <c r="U643" s="497" t="s">
        <v>538</v>
      </c>
      <c r="V643" s="648">
        <f>Data2025!V642</f>
        <v>0</v>
      </c>
      <c r="W643" s="648">
        <f>Data2025!X642</f>
        <v>0</v>
      </c>
      <c r="X643" s="497" t="s">
        <v>541</v>
      </c>
      <c r="Y643" s="268" t="str">
        <f t="shared" si="32"/>
        <v>Alat Kebersihan</v>
      </c>
      <c r="Z643" s="649" t="str">
        <f t="shared" si="33"/>
        <v>Alat Kebersihan</v>
      </c>
      <c r="AA643" s="498" t="s">
        <v>3364</v>
      </c>
      <c r="AB643" s="499">
        <v>75000</v>
      </c>
      <c r="AC643" s="499">
        <v>750000</v>
      </c>
      <c r="AD643" s="496">
        <v>750000</v>
      </c>
      <c r="AE643" s="500">
        <v>675675.67567567574</v>
      </c>
      <c r="AF643" s="500">
        <v>750000</v>
      </c>
      <c r="AG643" s="805" t="s">
        <v>3883</v>
      </c>
      <c r="AH643" s="651">
        <f>Data2025!W642</f>
        <v>0</v>
      </c>
      <c r="AI643" s="501">
        <v>214</v>
      </c>
    </row>
    <row r="644" spans="1:36" s="501" customFormat="1" ht="16.5" thickTop="1" thickBot="1">
      <c r="A644" s="636">
        <f>Data2025!G643</f>
        <v>0</v>
      </c>
      <c r="B644" s="637">
        <f>Data2025!K643</f>
        <v>0</v>
      </c>
      <c r="C644" s="638">
        <f>Data2025!D643</f>
        <v>0</v>
      </c>
      <c r="D644" s="639">
        <f>Data2025!C643</f>
        <v>0</v>
      </c>
      <c r="E644" s="265">
        <f>Data2025!E643</f>
        <v>0</v>
      </c>
      <c r="F644" s="640">
        <f>Data2025!F643</f>
        <v>0</v>
      </c>
      <c r="G644" s="265">
        <f>Data2025!H643</f>
        <v>0</v>
      </c>
      <c r="H644" s="265">
        <f t="shared" si="31"/>
        <v>0</v>
      </c>
      <c r="I644" s="641">
        <f>Data2025!J643</f>
        <v>0</v>
      </c>
      <c r="J644" s="381">
        <f>Data2025!L643</f>
        <v>0</v>
      </c>
      <c r="K644" s="381">
        <f>Data2025!M643</f>
        <v>0</v>
      </c>
      <c r="L644" s="642">
        <f>Data2025!N643</f>
        <v>0</v>
      </c>
      <c r="M644" s="642">
        <f>Data2025!O643</f>
        <v>0</v>
      </c>
      <c r="N644" s="643">
        <f>Data2025!P643</f>
        <v>0</v>
      </c>
      <c r="O644" s="644">
        <f>Data2025!Q643</f>
        <v>0</v>
      </c>
      <c r="P644" s="645" t="s">
        <v>2609</v>
      </c>
      <c r="Q644" s="646" t="e">
        <f>VLOOKUP(K644,Sheet1!$C$1:$D$101,2,)</f>
        <v>#N/A</v>
      </c>
      <c r="R644" s="496">
        <v>375000</v>
      </c>
      <c r="S644" s="504">
        <v>405000</v>
      </c>
      <c r="T644" s="648">
        <f>Data2025!T643</f>
        <v>0</v>
      </c>
      <c r="U644" s="497" t="s">
        <v>538</v>
      </c>
      <c r="V644" s="648">
        <f>Data2025!V643</f>
        <v>0</v>
      </c>
      <c r="W644" s="648">
        <f>Data2025!X643</f>
        <v>0</v>
      </c>
      <c r="X644" s="497" t="s">
        <v>541</v>
      </c>
      <c r="Y644" s="268" t="str">
        <f t="shared" si="32"/>
        <v>Alat Kebersihan</v>
      </c>
      <c r="Z644" s="649" t="str">
        <f t="shared" si="33"/>
        <v>Alat Kebersihan</v>
      </c>
      <c r="AA644" s="498" t="s">
        <v>3363</v>
      </c>
      <c r="AB644" s="499">
        <v>25000</v>
      </c>
      <c r="AC644" s="499">
        <v>375000</v>
      </c>
      <c r="AD644" s="496">
        <v>375000</v>
      </c>
      <c r="AE644" s="500">
        <v>337837.83783783787</v>
      </c>
      <c r="AF644" s="500">
        <v>375000</v>
      </c>
      <c r="AG644" s="805" t="s">
        <v>3883</v>
      </c>
      <c r="AH644" s="651">
        <f>Data2025!W643</f>
        <v>0</v>
      </c>
      <c r="AI644" s="501">
        <v>214</v>
      </c>
    </row>
    <row r="645" spans="1:36" s="501" customFormat="1" ht="16.5" thickTop="1" thickBot="1">
      <c r="A645" s="636">
        <f>Data2025!G644</f>
        <v>0</v>
      </c>
      <c r="B645" s="637">
        <f>Data2025!K644</f>
        <v>0</v>
      </c>
      <c r="C645" s="638">
        <f>Data2025!D644</f>
        <v>0</v>
      </c>
      <c r="D645" s="639">
        <f>Data2025!C644</f>
        <v>0</v>
      </c>
      <c r="E645" s="265">
        <f>Data2025!E644</f>
        <v>0</v>
      </c>
      <c r="F645" s="640">
        <f>Data2025!F644</f>
        <v>0</v>
      </c>
      <c r="G645" s="265">
        <f>Data2025!H644</f>
        <v>0</v>
      </c>
      <c r="H645" s="265">
        <f t="shared" ref="H645:H708" si="34">G645</f>
        <v>0</v>
      </c>
      <c r="I645" s="641">
        <f>Data2025!J644</f>
        <v>0</v>
      </c>
      <c r="J645" s="381">
        <f>Data2025!L644</f>
        <v>0</v>
      </c>
      <c r="K645" s="381">
        <f>Data2025!M644</f>
        <v>0</v>
      </c>
      <c r="L645" s="642">
        <f>Data2025!N644</f>
        <v>0</v>
      </c>
      <c r="M645" s="642">
        <f>Data2025!O644</f>
        <v>0</v>
      </c>
      <c r="N645" s="643">
        <f>Data2025!P644</f>
        <v>0</v>
      </c>
      <c r="O645" s="644">
        <f>Data2025!Q644</f>
        <v>0</v>
      </c>
      <c r="P645" s="645" t="s">
        <v>2609</v>
      </c>
      <c r="Q645" s="646" t="e">
        <f>VLOOKUP(K645,Sheet1!$C$1:$D$101,2,)</f>
        <v>#N/A</v>
      </c>
      <c r="R645" s="496">
        <v>845000</v>
      </c>
      <c r="S645" s="504">
        <v>855000</v>
      </c>
      <c r="T645" s="648">
        <f>Data2025!T644</f>
        <v>0</v>
      </c>
      <c r="U645" s="497" t="s">
        <v>538</v>
      </c>
      <c r="V645" s="648">
        <f>Data2025!V644</f>
        <v>0</v>
      </c>
      <c r="W645" s="648">
        <f>Data2025!X644</f>
        <v>0</v>
      </c>
      <c r="X645" s="497" t="s">
        <v>541</v>
      </c>
      <c r="Y645" s="268" t="str">
        <f t="shared" ref="Y645:Y708" si="35">P645</f>
        <v>Alat Kebersihan</v>
      </c>
      <c r="Z645" s="649" t="str">
        <f t="shared" ref="Z645:Z708" si="36">Y645</f>
        <v>Alat Kebersihan</v>
      </c>
      <c r="AA645" s="498" t="s">
        <v>3363</v>
      </c>
      <c r="AB645" s="499">
        <v>169000</v>
      </c>
      <c r="AC645" s="499">
        <v>845000</v>
      </c>
      <c r="AD645" s="496">
        <v>845000</v>
      </c>
      <c r="AE645" s="500">
        <v>761261.2612612613</v>
      </c>
      <c r="AF645" s="500">
        <v>845000</v>
      </c>
      <c r="AG645" s="805" t="s">
        <v>3883</v>
      </c>
      <c r="AH645" s="651">
        <f>Data2025!W644</f>
        <v>0</v>
      </c>
      <c r="AI645" s="501">
        <v>214</v>
      </c>
    </row>
    <row r="646" spans="1:36" s="501" customFormat="1" ht="16.5" thickTop="1" thickBot="1">
      <c r="A646" s="636">
        <f>Data2025!G645</f>
        <v>0</v>
      </c>
      <c r="B646" s="637">
        <f>Data2025!K645</f>
        <v>0</v>
      </c>
      <c r="C646" s="638">
        <f>Data2025!D645</f>
        <v>0</v>
      </c>
      <c r="D646" s="639">
        <f>Data2025!C645</f>
        <v>0</v>
      </c>
      <c r="E646" s="265">
        <f>Data2025!E645</f>
        <v>0</v>
      </c>
      <c r="F646" s="640">
        <f>Data2025!F645</f>
        <v>0</v>
      </c>
      <c r="G646" s="265">
        <f>Data2025!H645</f>
        <v>0</v>
      </c>
      <c r="H646" s="265">
        <f t="shared" si="34"/>
        <v>0</v>
      </c>
      <c r="I646" s="641">
        <f>Data2025!J645</f>
        <v>0</v>
      </c>
      <c r="J646" s="381">
        <f>Data2025!L645</f>
        <v>0</v>
      </c>
      <c r="K646" s="381">
        <f>Data2025!M645</f>
        <v>0</v>
      </c>
      <c r="L646" s="642">
        <f>Data2025!N645</f>
        <v>0</v>
      </c>
      <c r="M646" s="642">
        <f>Data2025!O645</f>
        <v>0</v>
      </c>
      <c r="N646" s="643">
        <f>Data2025!P645</f>
        <v>0</v>
      </c>
      <c r="O646" s="644">
        <f>Data2025!Q645</f>
        <v>0</v>
      </c>
      <c r="P646" s="645" t="s">
        <v>2609</v>
      </c>
      <c r="Q646" s="646" t="e">
        <f>VLOOKUP(K646,Sheet1!$C$1:$D$101,2,)</f>
        <v>#N/A</v>
      </c>
      <c r="R646" s="496">
        <v>200000</v>
      </c>
      <c r="S646" s="504">
        <v>210000</v>
      </c>
      <c r="T646" s="648">
        <f>Data2025!T645</f>
        <v>0</v>
      </c>
      <c r="U646" s="497" t="s">
        <v>538</v>
      </c>
      <c r="V646" s="648">
        <f>Data2025!V645</f>
        <v>0</v>
      </c>
      <c r="W646" s="648">
        <f>Data2025!X645</f>
        <v>0</v>
      </c>
      <c r="X646" s="497" t="s">
        <v>541</v>
      </c>
      <c r="Y646" s="268" t="str">
        <f t="shared" si="35"/>
        <v>Alat Kebersihan</v>
      </c>
      <c r="Z646" s="649" t="str">
        <f t="shared" si="36"/>
        <v>Alat Kebersihan</v>
      </c>
      <c r="AA646" s="498" t="s">
        <v>3363</v>
      </c>
      <c r="AB646" s="499">
        <v>40000</v>
      </c>
      <c r="AC646" s="499">
        <v>200000</v>
      </c>
      <c r="AD646" s="496">
        <v>200000</v>
      </c>
      <c r="AE646" s="500">
        <v>180180.18018018018</v>
      </c>
      <c r="AF646" s="500">
        <v>200000</v>
      </c>
      <c r="AG646" s="805" t="s">
        <v>3883</v>
      </c>
      <c r="AH646" s="651">
        <f>Data2025!W645</f>
        <v>0</v>
      </c>
      <c r="AI646" s="501">
        <v>214</v>
      </c>
    </row>
    <row r="647" spans="1:36" s="501" customFormat="1" ht="16.5" thickTop="1" thickBot="1">
      <c r="A647" s="636">
        <f>Data2025!G646</f>
        <v>0</v>
      </c>
      <c r="B647" s="637">
        <f>Data2025!K646</f>
        <v>0</v>
      </c>
      <c r="C647" s="638">
        <f>Data2025!D646</f>
        <v>0</v>
      </c>
      <c r="D647" s="639">
        <f>Data2025!C646</f>
        <v>0</v>
      </c>
      <c r="E647" s="265">
        <f>Data2025!E646</f>
        <v>0</v>
      </c>
      <c r="F647" s="640">
        <f>Data2025!F646</f>
        <v>0</v>
      </c>
      <c r="G647" s="265">
        <f>Data2025!H646</f>
        <v>0</v>
      </c>
      <c r="H647" s="265">
        <f t="shared" si="34"/>
        <v>0</v>
      </c>
      <c r="I647" s="641">
        <f>Data2025!J646</f>
        <v>0</v>
      </c>
      <c r="J647" s="381">
        <f>Data2025!L646</f>
        <v>0</v>
      </c>
      <c r="K647" s="381">
        <f>Data2025!M646</f>
        <v>0</v>
      </c>
      <c r="L647" s="642">
        <f>Data2025!N646</f>
        <v>0</v>
      </c>
      <c r="M647" s="642">
        <f>Data2025!O646</f>
        <v>0</v>
      </c>
      <c r="N647" s="643">
        <f>Data2025!P646</f>
        <v>0</v>
      </c>
      <c r="O647" s="644">
        <f>Data2025!Q646</f>
        <v>0</v>
      </c>
      <c r="P647" s="645" t="s">
        <v>2609</v>
      </c>
      <c r="Q647" s="646" t="e">
        <f>VLOOKUP(K647,Sheet1!$C$1:$D$101,2,)</f>
        <v>#N/A</v>
      </c>
      <c r="R647" s="496">
        <v>700000</v>
      </c>
      <c r="S647" s="504">
        <v>770000</v>
      </c>
      <c r="T647" s="648">
        <f>Data2025!T646</f>
        <v>0</v>
      </c>
      <c r="U647" s="497" t="s">
        <v>538</v>
      </c>
      <c r="V647" s="648">
        <f>Data2025!V646</f>
        <v>0</v>
      </c>
      <c r="W647" s="648">
        <f>Data2025!X646</f>
        <v>0</v>
      </c>
      <c r="X647" s="497" t="s">
        <v>541</v>
      </c>
      <c r="Y647" s="268" t="str">
        <f t="shared" si="35"/>
        <v>Alat Kebersihan</v>
      </c>
      <c r="Z647" s="649" t="str">
        <f t="shared" si="36"/>
        <v>Alat Kebersihan</v>
      </c>
      <c r="AA647" s="498" t="s">
        <v>3363</v>
      </c>
      <c r="AB647" s="499">
        <v>20000</v>
      </c>
      <c r="AC647" s="499">
        <v>700000</v>
      </c>
      <c r="AD647" s="496">
        <v>700000</v>
      </c>
      <c r="AE647" s="500">
        <v>630630.63063063065</v>
      </c>
      <c r="AF647" s="500">
        <v>700000</v>
      </c>
      <c r="AG647" s="805" t="s">
        <v>3883</v>
      </c>
      <c r="AH647" s="651">
        <f>Data2025!W646</f>
        <v>0</v>
      </c>
      <c r="AI647" s="501">
        <v>214</v>
      </c>
    </row>
    <row r="648" spans="1:36" s="501" customFormat="1" ht="16.5" thickTop="1" thickBot="1">
      <c r="A648" s="636">
        <f>Data2025!G647</f>
        <v>0</v>
      </c>
      <c r="B648" s="637">
        <f>Data2025!K647</f>
        <v>0</v>
      </c>
      <c r="C648" s="638">
        <f>Data2025!D647</f>
        <v>0</v>
      </c>
      <c r="D648" s="639">
        <f>Data2025!C647</f>
        <v>0</v>
      </c>
      <c r="E648" s="265">
        <f>Data2025!E647</f>
        <v>0</v>
      </c>
      <c r="F648" s="640">
        <f>Data2025!F647</f>
        <v>0</v>
      </c>
      <c r="G648" s="265">
        <f>Data2025!H647</f>
        <v>0</v>
      </c>
      <c r="H648" s="265">
        <f t="shared" si="34"/>
        <v>0</v>
      </c>
      <c r="I648" s="641">
        <f>Data2025!J647</f>
        <v>0</v>
      </c>
      <c r="J648" s="381">
        <f>Data2025!L647</f>
        <v>0</v>
      </c>
      <c r="K648" s="381">
        <f>Data2025!M647</f>
        <v>0</v>
      </c>
      <c r="L648" s="642">
        <f>Data2025!N647</f>
        <v>0</v>
      </c>
      <c r="M648" s="642">
        <f>Data2025!O647</f>
        <v>0</v>
      </c>
      <c r="N648" s="643">
        <f>Data2025!P647</f>
        <v>0</v>
      </c>
      <c r="O648" s="644">
        <f>Data2025!Q647</f>
        <v>0</v>
      </c>
      <c r="P648" s="645" t="s">
        <v>2609</v>
      </c>
      <c r="Q648" s="646" t="e">
        <f>VLOOKUP(K648,Sheet1!$C$1:$D$101,2,)</f>
        <v>#N/A</v>
      </c>
      <c r="R648" s="496">
        <v>875000</v>
      </c>
      <c r="S648" s="504">
        <v>925000</v>
      </c>
      <c r="T648" s="648">
        <f>Data2025!T647</f>
        <v>0</v>
      </c>
      <c r="U648" s="497" t="s">
        <v>538</v>
      </c>
      <c r="V648" s="648">
        <f>Data2025!V647</f>
        <v>0</v>
      </c>
      <c r="W648" s="648">
        <f>Data2025!X647</f>
        <v>0</v>
      </c>
      <c r="X648" s="497" t="s">
        <v>541</v>
      </c>
      <c r="Y648" s="268" t="str">
        <f t="shared" si="35"/>
        <v>Alat Kebersihan</v>
      </c>
      <c r="Z648" s="649" t="str">
        <f t="shared" si="36"/>
        <v>Alat Kebersihan</v>
      </c>
      <c r="AA648" s="498" t="s">
        <v>3363</v>
      </c>
      <c r="AB648" s="499">
        <v>35000</v>
      </c>
      <c r="AC648" s="499">
        <v>875000</v>
      </c>
      <c r="AD648" s="496">
        <v>875000</v>
      </c>
      <c r="AE648" s="500">
        <v>788288.28828828828</v>
      </c>
      <c r="AF648" s="500">
        <v>875000</v>
      </c>
      <c r="AG648" s="805" t="s">
        <v>3883</v>
      </c>
      <c r="AH648" s="651">
        <f>Data2025!W647</f>
        <v>0</v>
      </c>
      <c r="AI648" s="501">
        <v>214</v>
      </c>
    </row>
    <row r="649" spans="1:36" s="501" customFormat="1" ht="16.5" thickTop="1" thickBot="1">
      <c r="A649" s="636">
        <f>Data2025!G648</f>
        <v>0</v>
      </c>
      <c r="B649" s="637">
        <f>Data2025!K648</f>
        <v>0</v>
      </c>
      <c r="C649" s="638">
        <f>Data2025!D648</f>
        <v>0</v>
      </c>
      <c r="D649" s="639">
        <f>Data2025!C648</f>
        <v>0</v>
      </c>
      <c r="E649" s="265">
        <f>Data2025!E648</f>
        <v>0</v>
      </c>
      <c r="F649" s="640">
        <f>Data2025!F648</f>
        <v>0</v>
      </c>
      <c r="G649" s="265">
        <f>Data2025!H648</f>
        <v>0</v>
      </c>
      <c r="H649" s="265">
        <f t="shared" si="34"/>
        <v>0</v>
      </c>
      <c r="I649" s="641">
        <f>Data2025!J648</f>
        <v>0</v>
      </c>
      <c r="J649" s="381">
        <f>Data2025!L648</f>
        <v>0</v>
      </c>
      <c r="K649" s="381">
        <f>Data2025!M648</f>
        <v>0</v>
      </c>
      <c r="L649" s="642">
        <f>Data2025!N648</f>
        <v>0</v>
      </c>
      <c r="M649" s="642">
        <f>Data2025!O648</f>
        <v>0</v>
      </c>
      <c r="N649" s="643">
        <f>Data2025!P648</f>
        <v>0</v>
      </c>
      <c r="O649" s="644">
        <f>Data2025!Q648</f>
        <v>0</v>
      </c>
      <c r="P649" s="645" t="s">
        <v>710</v>
      </c>
      <c r="Q649" s="646" t="e">
        <f>VLOOKUP(K649,Sheet1!$C$1:$D$101,2,)</f>
        <v>#N/A</v>
      </c>
      <c r="R649" s="496">
        <v>2000000</v>
      </c>
      <c r="S649" s="504">
        <v>2080000</v>
      </c>
      <c r="T649" s="648">
        <f>Data2025!T648</f>
        <v>0</v>
      </c>
      <c r="U649" s="497" t="s">
        <v>538</v>
      </c>
      <c r="V649" s="648">
        <f>Data2025!V648</f>
        <v>0</v>
      </c>
      <c r="W649" s="648">
        <f>Data2025!X648</f>
        <v>0</v>
      </c>
      <c r="X649" s="497" t="s">
        <v>541</v>
      </c>
      <c r="Y649" s="268" t="str">
        <f t="shared" si="35"/>
        <v>Alat Tulis Kantor (ATK)</v>
      </c>
      <c r="Z649" s="649" t="str">
        <f t="shared" si="36"/>
        <v>Alat Tulis Kantor (ATK)</v>
      </c>
      <c r="AA649" s="498" t="s">
        <v>3369</v>
      </c>
      <c r="AB649" s="499">
        <v>50000</v>
      </c>
      <c r="AC649" s="499">
        <v>2000000</v>
      </c>
      <c r="AD649" s="496">
        <v>2000000</v>
      </c>
      <c r="AE649" s="500">
        <v>1801801.8018018019</v>
      </c>
      <c r="AF649" s="500">
        <v>2000000</v>
      </c>
      <c r="AG649" s="805" t="s">
        <v>3883</v>
      </c>
      <c r="AH649" s="651">
        <f>Data2025!W648</f>
        <v>0</v>
      </c>
      <c r="AI649" s="501">
        <v>215</v>
      </c>
    </row>
    <row r="650" spans="1:36" ht="16.5" thickTop="1" thickBot="1">
      <c r="A650" s="636">
        <f>Data2025!G649</f>
        <v>0</v>
      </c>
      <c r="B650" s="637">
        <f>Data2025!K649</f>
        <v>0</v>
      </c>
      <c r="C650" s="638">
        <f>Data2025!D649</f>
        <v>0</v>
      </c>
      <c r="D650" s="639">
        <f>Data2025!C649</f>
        <v>0</v>
      </c>
      <c r="E650" s="265">
        <f>Data2025!E649</f>
        <v>0</v>
      </c>
      <c r="F650" s="640">
        <f>Data2025!F649</f>
        <v>0</v>
      </c>
      <c r="G650" s="265">
        <f>Data2025!H649</f>
        <v>0</v>
      </c>
      <c r="H650" s="265">
        <f t="shared" si="34"/>
        <v>0</v>
      </c>
      <c r="I650" s="641">
        <f>Data2025!J649</f>
        <v>0</v>
      </c>
      <c r="J650" s="381">
        <f>Data2025!L649</f>
        <v>0</v>
      </c>
      <c r="K650" s="381">
        <f>Data2025!M649</f>
        <v>0</v>
      </c>
      <c r="L650" s="642">
        <f>Data2025!N649</f>
        <v>0</v>
      </c>
      <c r="M650" s="642">
        <f>Data2025!O649</f>
        <v>0</v>
      </c>
      <c r="N650" s="643">
        <f>Data2025!P649</f>
        <v>0</v>
      </c>
      <c r="O650" s="644">
        <f>Data2025!Q649</f>
        <v>0</v>
      </c>
      <c r="P650" s="645" t="s">
        <v>280</v>
      </c>
      <c r="Q650" s="646" t="e">
        <f>VLOOKUP(K650,Sheet1!$C$1:$D$101,2,)</f>
        <v>#N/A</v>
      </c>
      <c r="R650" s="267">
        <v>900000</v>
      </c>
      <c r="S650" s="647">
        <v>1020000</v>
      </c>
      <c r="T650" s="648">
        <f>Data2025!T649</f>
        <v>0</v>
      </c>
      <c r="U650" s="268" t="s">
        <v>2531</v>
      </c>
      <c r="V650" s="648">
        <f>Data2025!V649</f>
        <v>0</v>
      </c>
      <c r="W650" s="648">
        <f>Data2025!X649</f>
        <v>0</v>
      </c>
      <c r="X650" s="268" t="s">
        <v>2529</v>
      </c>
      <c r="Y650" s="268" t="str">
        <f t="shared" si="35"/>
        <v>Kudapan</v>
      </c>
      <c r="Z650" s="649" t="str">
        <f t="shared" si="36"/>
        <v>Kudapan</v>
      </c>
      <c r="AA650" s="650" t="s">
        <v>3362</v>
      </c>
      <c r="AB650" s="269">
        <v>15000</v>
      </c>
      <c r="AC650" s="269">
        <v>900000</v>
      </c>
      <c r="AD650" s="267">
        <v>900000</v>
      </c>
      <c r="AE650" s="270">
        <v>810810.81081081077</v>
      </c>
      <c r="AF650" s="270">
        <v>900000</v>
      </c>
      <c r="AG650" s="805" t="s">
        <v>3883</v>
      </c>
      <c r="AH650" s="651">
        <f>Data2025!W649</f>
        <v>0</v>
      </c>
      <c r="AI650" s="61">
        <v>216</v>
      </c>
    </row>
    <row r="651" spans="1:36" ht="16.5" thickTop="1" thickBot="1">
      <c r="A651" s="636">
        <f>Data2025!G650</f>
        <v>0</v>
      </c>
      <c r="B651" s="637">
        <f>Data2025!K650</f>
        <v>0</v>
      </c>
      <c r="C651" s="638">
        <f>Data2025!D650</f>
        <v>0</v>
      </c>
      <c r="D651" s="639">
        <f>Data2025!C650</f>
        <v>0</v>
      </c>
      <c r="E651" s="265">
        <f>Data2025!E650</f>
        <v>0</v>
      </c>
      <c r="F651" s="640">
        <f>Data2025!F650</f>
        <v>0</v>
      </c>
      <c r="G651" s="265">
        <f>Data2025!H650</f>
        <v>0</v>
      </c>
      <c r="H651" s="265">
        <f t="shared" si="34"/>
        <v>0</v>
      </c>
      <c r="I651" s="641">
        <f>Data2025!J650</f>
        <v>0</v>
      </c>
      <c r="J651" s="381">
        <f>Data2025!L650</f>
        <v>0</v>
      </c>
      <c r="K651" s="381">
        <f>Data2025!M650</f>
        <v>0</v>
      </c>
      <c r="L651" s="642">
        <f>Data2025!N650</f>
        <v>0</v>
      </c>
      <c r="M651" s="642">
        <f>Data2025!O650</f>
        <v>0</v>
      </c>
      <c r="N651" s="643">
        <f>Data2025!P650</f>
        <v>0</v>
      </c>
      <c r="O651" s="644">
        <f>Data2025!Q650</f>
        <v>0</v>
      </c>
      <c r="P651" s="645" t="s">
        <v>8</v>
      </c>
      <c r="Q651" s="646" t="e">
        <f>VLOOKUP(K651,Sheet1!$C$1:$D$101,2,)</f>
        <v>#N/A</v>
      </c>
      <c r="R651" s="267">
        <v>2400000</v>
      </c>
      <c r="S651" s="647">
        <v>2520000</v>
      </c>
      <c r="T651" s="648">
        <f>Data2025!T650</f>
        <v>0</v>
      </c>
      <c r="U651" s="268" t="s">
        <v>2520</v>
      </c>
      <c r="V651" s="648">
        <f>Data2025!V650</f>
        <v>0</v>
      </c>
      <c r="W651" s="648">
        <f>Data2025!X650</f>
        <v>0</v>
      </c>
      <c r="X651" s="268" t="s">
        <v>3391</v>
      </c>
      <c r="Y651" s="268" t="str">
        <f t="shared" si="35"/>
        <v>Konsumsi</v>
      </c>
      <c r="Z651" s="649" t="str">
        <f t="shared" si="36"/>
        <v>Konsumsi</v>
      </c>
      <c r="AA651" s="650" t="s">
        <v>3362</v>
      </c>
      <c r="AB651" s="269">
        <v>40000</v>
      </c>
      <c r="AC651" s="269">
        <v>2400000</v>
      </c>
      <c r="AD651" s="267">
        <v>2400000</v>
      </c>
      <c r="AE651" s="270">
        <v>2162162.1621621624</v>
      </c>
      <c r="AF651" s="270">
        <v>2400000</v>
      </c>
      <c r="AG651" s="805" t="s">
        <v>3883</v>
      </c>
      <c r="AH651" s="651">
        <f>Data2025!W650</f>
        <v>0</v>
      </c>
      <c r="AI651" s="61">
        <v>219</v>
      </c>
    </row>
    <row r="652" spans="1:36" s="501" customFormat="1" ht="16.5" thickTop="1" thickBot="1">
      <c r="A652" s="636">
        <f>Data2025!G651</f>
        <v>0</v>
      </c>
      <c r="B652" s="637">
        <f>Data2025!K651</f>
        <v>0</v>
      </c>
      <c r="C652" s="638">
        <f>Data2025!D651</f>
        <v>0</v>
      </c>
      <c r="D652" s="639">
        <f>Data2025!C651</f>
        <v>0</v>
      </c>
      <c r="E652" s="265">
        <f>Data2025!E651</f>
        <v>0</v>
      </c>
      <c r="F652" s="640">
        <f>Data2025!F651</f>
        <v>0</v>
      </c>
      <c r="G652" s="265">
        <f>Data2025!H651</f>
        <v>0</v>
      </c>
      <c r="H652" s="265">
        <f t="shared" si="34"/>
        <v>0</v>
      </c>
      <c r="I652" s="641">
        <f>Data2025!J651</f>
        <v>0</v>
      </c>
      <c r="J652" s="381">
        <f>Data2025!L651</f>
        <v>0</v>
      </c>
      <c r="K652" s="381">
        <f>Data2025!M651</f>
        <v>0</v>
      </c>
      <c r="L652" s="642">
        <f>Data2025!N651</f>
        <v>0</v>
      </c>
      <c r="M652" s="642">
        <f>Data2025!O651</f>
        <v>0</v>
      </c>
      <c r="N652" s="643">
        <f>Data2025!P651</f>
        <v>0</v>
      </c>
      <c r="O652" s="644">
        <f>Data2025!Q651</f>
        <v>0</v>
      </c>
      <c r="P652" s="645" t="s">
        <v>2609</v>
      </c>
      <c r="Q652" s="646" t="e">
        <f>VLOOKUP(K652,Sheet1!$C$1:$D$101,2,)</f>
        <v>#N/A</v>
      </c>
      <c r="R652" s="496">
        <v>300000</v>
      </c>
      <c r="S652" s="504">
        <v>340000</v>
      </c>
      <c r="T652" s="648">
        <f>Data2025!T651</f>
        <v>0</v>
      </c>
      <c r="U652" s="497" t="s">
        <v>538</v>
      </c>
      <c r="V652" s="648">
        <f>Data2025!V651</f>
        <v>0</v>
      </c>
      <c r="W652" s="648">
        <f>Data2025!X651</f>
        <v>0</v>
      </c>
      <c r="X652" s="497" t="s">
        <v>541</v>
      </c>
      <c r="Y652" s="268" t="str">
        <f t="shared" si="35"/>
        <v>Alat Kebersihan</v>
      </c>
      <c r="Z652" s="649" t="str">
        <f t="shared" si="36"/>
        <v>Alat Kebersihan</v>
      </c>
      <c r="AA652" s="498" t="s">
        <v>3363</v>
      </c>
      <c r="AB652" s="499">
        <v>15000</v>
      </c>
      <c r="AC652" s="499">
        <v>300000</v>
      </c>
      <c r="AD652" s="496">
        <v>300000</v>
      </c>
      <c r="AE652" s="500">
        <v>270270.2702702703</v>
      </c>
      <c r="AF652" s="500">
        <v>300000</v>
      </c>
      <c r="AG652" s="805" t="s">
        <v>3883</v>
      </c>
      <c r="AH652" s="651">
        <f>Data2025!W651</f>
        <v>0</v>
      </c>
      <c r="AI652" s="502">
        <v>218</v>
      </c>
      <c r="AJ652" s="502"/>
    </row>
    <row r="653" spans="1:36" s="501" customFormat="1" ht="16.5" thickTop="1" thickBot="1">
      <c r="A653" s="636">
        <f>Data2025!G652</f>
        <v>0</v>
      </c>
      <c r="B653" s="637">
        <f>Data2025!K652</f>
        <v>0</v>
      </c>
      <c r="C653" s="638">
        <f>Data2025!D652</f>
        <v>0</v>
      </c>
      <c r="D653" s="639">
        <f>Data2025!C652</f>
        <v>0</v>
      </c>
      <c r="E653" s="265">
        <f>Data2025!E652</f>
        <v>0</v>
      </c>
      <c r="F653" s="640">
        <f>Data2025!F652</f>
        <v>0</v>
      </c>
      <c r="G653" s="265">
        <f>Data2025!H652</f>
        <v>0</v>
      </c>
      <c r="H653" s="265">
        <f t="shared" si="34"/>
        <v>0</v>
      </c>
      <c r="I653" s="641">
        <f>Data2025!J652</f>
        <v>0</v>
      </c>
      <c r="J653" s="381">
        <f>Data2025!L652</f>
        <v>0</v>
      </c>
      <c r="K653" s="381">
        <f>Data2025!M652</f>
        <v>0</v>
      </c>
      <c r="L653" s="642">
        <f>Data2025!N652</f>
        <v>0</v>
      </c>
      <c r="M653" s="642">
        <f>Data2025!O652</f>
        <v>0</v>
      </c>
      <c r="N653" s="643">
        <f>Data2025!P652</f>
        <v>0</v>
      </c>
      <c r="O653" s="644">
        <f>Data2025!Q652</f>
        <v>0</v>
      </c>
      <c r="P653" s="645" t="s">
        <v>2609</v>
      </c>
      <c r="Q653" s="646" t="e">
        <f>VLOOKUP(K653,Sheet1!$C$1:$D$101,2,)</f>
        <v>#N/A</v>
      </c>
      <c r="R653" s="496">
        <v>3900000</v>
      </c>
      <c r="S653" s="504">
        <v>4020000</v>
      </c>
      <c r="T653" s="648">
        <f>Data2025!T652</f>
        <v>0</v>
      </c>
      <c r="U653" s="497" t="s">
        <v>538</v>
      </c>
      <c r="V653" s="648">
        <f>Data2025!V652</f>
        <v>0</v>
      </c>
      <c r="W653" s="648">
        <f>Data2025!X652</f>
        <v>0</v>
      </c>
      <c r="X653" s="497" t="s">
        <v>541</v>
      </c>
      <c r="Y653" s="268" t="str">
        <f t="shared" si="35"/>
        <v>Alat Kebersihan</v>
      </c>
      <c r="Z653" s="649" t="str">
        <f t="shared" si="36"/>
        <v>Alat Kebersihan</v>
      </c>
      <c r="AA653" s="498" t="s">
        <v>3363</v>
      </c>
      <c r="AB653" s="499">
        <v>65000</v>
      </c>
      <c r="AC653" s="499">
        <v>3900000</v>
      </c>
      <c r="AD653" s="496">
        <v>3900000</v>
      </c>
      <c r="AE653" s="500">
        <v>3513513.5135135134</v>
      </c>
      <c r="AF653" s="500">
        <v>3900000</v>
      </c>
      <c r="AG653" s="805" t="s">
        <v>3883</v>
      </c>
      <c r="AH653" s="651">
        <f>Data2025!W652</f>
        <v>0</v>
      </c>
      <c r="AI653" s="501">
        <v>218</v>
      </c>
    </row>
    <row r="654" spans="1:36" s="501" customFormat="1" ht="16.5" thickTop="1" thickBot="1">
      <c r="A654" s="636">
        <f>Data2025!G653</f>
        <v>0</v>
      </c>
      <c r="B654" s="637">
        <f>Data2025!K653</f>
        <v>0</v>
      </c>
      <c r="C654" s="638">
        <f>Data2025!D653</f>
        <v>0</v>
      </c>
      <c r="D654" s="639">
        <f>Data2025!C653</f>
        <v>0</v>
      </c>
      <c r="E654" s="265">
        <f>Data2025!E653</f>
        <v>0</v>
      </c>
      <c r="F654" s="640">
        <f>Data2025!F653</f>
        <v>0</v>
      </c>
      <c r="G654" s="265">
        <f>Data2025!H653</f>
        <v>0</v>
      </c>
      <c r="H654" s="265">
        <f t="shared" si="34"/>
        <v>0</v>
      </c>
      <c r="I654" s="641">
        <f>Data2025!J653</f>
        <v>0</v>
      </c>
      <c r="J654" s="381">
        <f>Data2025!L653</f>
        <v>0</v>
      </c>
      <c r="K654" s="381">
        <f>Data2025!M653</f>
        <v>0</v>
      </c>
      <c r="L654" s="642">
        <f>Data2025!N653</f>
        <v>0</v>
      </c>
      <c r="M654" s="642">
        <f>Data2025!O653</f>
        <v>0</v>
      </c>
      <c r="N654" s="643">
        <f>Data2025!P653</f>
        <v>0</v>
      </c>
      <c r="O654" s="644">
        <f>Data2025!Q653</f>
        <v>0</v>
      </c>
      <c r="P654" s="645" t="s">
        <v>2609</v>
      </c>
      <c r="Q654" s="646" t="e">
        <f>VLOOKUP(K654,Sheet1!$C$1:$D$101,2,)</f>
        <v>#N/A</v>
      </c>
      <c r="R654" s="496">
        <v>900000</v>
      </c>
      <c r="S654" s="504">
        <v>930000</v>
      </c>
      <c r="T654" s="648">
        <f>Data2025!T653</f>
        <v>0</v>
      </c>
      <c r="U654" s="497" t="s">
        <v>538</v>
      </c>
      <c r="V654" s="648">
        <f>Data2025!V653</f>
        <v>0</v>
      </c>
      <c r="W654" s="648">
        <f>Data2025!X653</f>
        <v>0</v>
      </c>
      <c r="X654" s="497" t="s">
        <v>541</v>
      </c>
      <c r="Y654" s="268" t="str">
        <f t="shared" si="35"/>
        <v>Alat Kebersihan</v>
      </c>
      <c r="Z654" s="649" t="str">
        <f t="shared" si="36"/>
        <v>Alat Kebersihan</v>
      </c>
      <c r="AA654" s="498" t="s">
        <v>3363</v>
      </c>
      <c r="AB654" s="499">
        <v>60000</v>
      </c>
      <c r="AC654" s="499">
        <v>900000</v>
      </c>
      <c r="AD654" s="496">
        <v>900000</v>
      </c>
      <c r="AE654" s="500">
        <v>810810.81081081077</v>
      </c>
      <c r="AF654" s="500">
        <v>900000</v>
      </c>
      <c r="AG654" s="805" t="s">
        <v>3883</v>
      </c>
      <c r="AH654" s="651">
        <f>Data2025!W653</f>
        <v>0</v>
      </c>
      <c r="AI654" s="502">
        <v>218</v>
      </c>
      <c r="AJ654" s="502"/>
    </row>
    <row r="655" spans="1:36" s="501" customFormat="1" ht="16.5" thickTop="1" thickBot="1">
      <c r="A655" s="636">
        <f>Data2025!G654</f>
        <v>0</v>
      </c>
      <c r="B655" s="637">
        <f>Data2025!K654</f>
        <v>0</v>
      </c>
      <c r="C655" s="638">
        <f>Data2025!D654</f>
        <v>0</v>
      </c>
      <c r="D655" s="639">
        <f>Data2025!C654</f>
        <v>0</v>
      </c>
      <c r="E655" s="265">
        <f>Data2025!E654</f>
        <v>0</v>
      </c>
      <c r="F655" s="640">
        <f>Data2025!F654</f>
        <v>0</v>
      </c>
      <c r="G655" s="265">
        <f>Data2025!H654</f>
        <v>0</v>
      </c>
      <c r="H655" s="265">
        <f t="shared" si="34"/>
        <v>0</v>
      </c>
      <c r="I655" s="641">
        <f>Data2025!J654</f>
        <v>0</v>
      </c>
      <c r="J655" s="381">
        <f>Data2025!L654</f>
        <v>0</v>
      </c>
      <c r="K655" s="381">
        <f>Data2025!M654</f>
        <v>0</v>
      </c>
      <c r="L655" s="642">
        <f>Data2025!N654</f>
        <v>0</v>
      </c>
      <c r="M655" s="642">
        <f>Data2025!O654</f>
        <v>0</v>
      </c>
      <c r="N655" s="643">
        <f>Data2025!P654</f>
        <v>0</v>
      </c>
      <c r="O655" s="644">
        <f>Data2025!Q654</f>
        <v>0</v>
      </c>
      <c r="P655" s="645" t="s">
        <v>2609</v>
      </c>
      <c r="Q655" s="646" t="e">
        <f>VLOOKUP(K655,Sheet1!$C$1:$D$101,2,)</f>
        <v>#N/A</v>
      </c>
      <c r="R655" s="496">
        <v>375000</v>
      </c>
      <c r="S655" s="504">
        <v>405000</v>
      </c>
      <c r="T655" s="648">
        <f>Data2025!T654</f>
        <v>0</v>
      </c>
      <c r="U655" s="497" t="s">
        <v>538</v>
      </c>
      <c r="V655" s="648">
        <f>Data2025!V654</f>
        <v>0</v>
      </c>
      <c r="W655" s="648">
        <f>Data2025!X654</f>
        <v>0</v>
      </c>
      <c r="X655" s="497" t="s">
        <v>541</v>
      </c>
      <c r="Y655" s="268" t="str">
        <f t="shared" si="35"/>
        <v>Alat Kebersihan</v>
      </c>
      <c r="Z655" s="649" t="str">
        <f t="shared" si="36"/>
        <v>Alat Kebersihan</v>
      </c>
      <c r="AA655" s="498" t="s">
        <v>3363</v>
      </c>
      <c r="AB655" s="499">
        <v>25000</v>
      </c>
      <c r="AC655" s="499">
        <v>375000</v>
      </c>
      <c r="AD655" s="496">
        <v>375000</v>
      </c>
      <c r="AE655" s="500">
        <v>337837.83783783787</v>
      </c>
      <c r="AF655" s="500">
        <v>375000</v>
      </c>
      <c r="AG655" s="805" t="s">
        <v>3883</v>
      </c>
      <c r="AH655" s="651">
        <f>Data2025!W654</f>
        <v>0</v>
      </c>
      <c r="AI655" s="501">
        <v>218</v>
      </c>
    </row>
    <row r="656" spans="1:36" s="501" customFormat="1" ht="16.5" thickTop="1" thickBot="1">
      <c r="A656" s="636">
        <f>Data2025!G655</f>
        <v>0</v>
      </c>
      <c r="B656" s="637">
        <f>Data2025!K655</f>
        <v>0</v>
      </c>
      <c r="C656" s="638">
        <f>Data2025!D655</f>
        <v>0</v>
      </c>
      <c r="D656" s="639">
        <f>Data2025!C655</f>
        <v>0</v>
      </c>
      <c r="E656" s="265">
        <f>Data2025!E655</f>
        <v>0</v>
      </c>
      <c r="F656" s="640">
        <f>Data2025!F655</f>
        <v>0</v>
      </c>
      <c r="G656" s="265">
        <f>Data2025!H655</f>
        <v>0</v>
      </c>
      <c r="H656" s="265">
        <f t="shared" si="34"/>
        <v>0</v>
      </c>
      <c r="I656" s="641">
        <f>Data2025!J655</f>
        <v>0</v>
      </c>
      <c r="J656" s="381">
        <f>Data2025!L655</f>
        <v>0</v>
      </c>
      <c r="K656" s="381">
        <f>Data2025!M655</f>
        <v>0</v>
      </c>
      <c r="L656" s="642">
        <f>Data2025!N655</f>
        <v>0</v>
      </c>
      <c r="M656" s="642">
        <f>Data2025!O655</f>
        <v>0</v>
      </c>
      <c r="N656" s="643">
        <f>Data2025!P655</f>
        <v>0</v>
      </c>
      <c r="O656" s="644">
        <f>Data2025!Q655</f>
        <v>0</v>
      </c>
      <c r="P656" s="645" t="s">
        <v>2609</v>
      </c>
      <c r="Q656" s="646" t="e">
        <f>VLOOKUP(K656,Sheet1!$C$1:$D$101,2,)</f>
        <v>#N/A</v>
      </c>
      <c r="R656" s="496">
        <v>510000</v>
      </c>
      <c r="S656" s="504">
        <v>540000</v>
      </c>
      <c r="T656" s="648">
        <f>Data2025!T655</f>
        <v>0</v>
      </c>
      <c r="U656" s="497" t="s">
        <v>538</v>
      </c>
      <c r="V656" s="648">
        <f>Data2025!V655</f>
        <v>0</v>
      </c>
      <c r="W656" s="648">
        <f>Data2025!X655</f>
        <v>0</v>
      </c>
      <c r="X656" s="497" t="s">
        <v>541</v>
      </c>
      <c r="Y656" s="268" t="str">
        <f t="shared" si="35"/>
        <v>Alat Kebersihan</v>
      </c>
      <c r="Z656" s="649" t="str">
        <f t="shared" si="36"/>
        <v>Alat Kebersihan</v>
      </c>
      <c r="AA656" s="498" t="s">
        <v>3363</v>
      </c>
      <c r="AB656" s="499">
        <v>34000</v>
      </c>
      <c r="AC656" s="499">
        <v>510000</v>
      </c>
      <c r="AD656" s="496">
        <v>510000</v>
      </c>
      <c r="AE656" s="500">
        <v>459459.45945945947</v>
      </c>
      <c r="AF656" s="500">
        <v>510000</v>
      </c>
      <c r="AG656" s="805" t="s">
        <v>3883</v>
      </c>
      <c r="AH656" s="651">
        <f>Data2025!W655</f>
        <v>0</v>
      </c>
      <c r="AI656" s="501">
        <v>218</v>
      </c>
    </row>
    <row r="657" spans="1:35" s="685" customFormat="1" ht="16.5" thickTop="1" thickBot="1">
      <c r="A657" s="636">
        <f>Data2025!G656</f>
        <v>0</v>
      </c>
      <c r="B657" s="637">
        <f>Data2025!K656</f>
        <v>0</v>
      </c>
      <c r="C657" s="638">
        <f>Data2025!D656</f>
        <v>0</v>
      </c>
      <c r="D657" s="639">
        <f>Data2025!C656</f>
        <v>0</v>
      </c>
      <c r="E657" s="265">
        <f>Data2025!E656</f>
        <v>0</v>
      </c>
      <c r="F657" s="640">
        <f>Data2025!F656</f>
        <v>0</v>
      </c>
      <c r="G657" s="265">
        <f>Data2025!H656</f>
        <v>0</v>
      </c>
      <c r="H657" s="265">
        <f t="shared" si="34"/>
        <v>0</v>
      </c>
      <c r="I657" s="641">
        <f>Data2025!J656</f>
        <v>0</v>
      </c>
      <c r="J657" s="381">
        <f>Data2025!L656</f>
        <v>0</v>
      </c>
      <c r="K657" s="381">
        <f>Data2025!M656</f>
        <v>0</v>
      </c>
      <c r="L657" s="642">
        <f>Data2025!N656</f>
        <v>0</v>
      </c>
      <c r="M657" s="642">
        <f>Data2025!O656</f>
        <v>0</v>
      </c>
      <c r="N657" s="643">
        <f>Data2025!P656</f>
        <v>0</v>
      </c>
      <c r="O657" s="644">
        <f>Data2025!Q656</f>
        <v>0</v>
      </c>
      <c r="P657" s="645" t="s">
        <v>2664</v>
      </c>
      <c r="Q657" s="646" t="e">
        <f>VLOOKUP(K657,Sheet1!$C$1:$D$101,2,)</f>
        <v>#N/A</v>
      </c>
      <c r="R657" s="679">
        <v>1819600</v>
      </c>
      <c r="S657" s="680">
        <v>2002000</v>
      </c>
      <c r="T657" s="648">
        <f>Data2025!T656</f>
        <v>0</v>
      </c>
      <c r="U657" s="681" t="s">
        <v>538</v>
      </c>
      <c r="V657" s="648">
        <f>Data2025!V656</f>
        <v>0</v>
      </c>
      <c r="W657" s="648">
        <f>Data2025!X656</f>
        <v>0</v>
      </c>
      <c r="X657" s="681" t="s">
        <v>540</v>
      </c>
      <c r="Y657" s="268" t="str">
        <f t="shared" si="35"/>
        <v>Jasa PLN</v>
      </c>
      <c r="Z657" s="649" t="str">
        <f t="shared" si="36"/>
        <v>Jasa PLN</v>
      </c>
      <c r="AA657" s="682" t="s">
        <v>3373</v>
      </c>
      <c r="AB657" s="683">
        <v>2000000</v>
      </c>
      <c r="AC657" s="683">
        <v>2000000</v>
      </c>
      <c r="AD657" s="679">
        <v>1819600</v>
      </c>
      <c r="AE657" s="684">
        <v>1639279.2792792793</v>
      </c>
      <c r="AF657" s="684">
        <v>1819600</v>
      </c>
      <c r="AG657" s="805" t="s">
        <v>3883</v>
      </c>
      <c r="AH657" s="651">
        <f>Data2025!W656</f>
        <v>0</v>
      </c>
      <c r="AI657" s="685">
        <v>219</v>
      </c>
    </row>
    <row r="658" spans="1:35" ht="16.5" thickTop="1" thickBot="1">
      <c r="A658" s="636">
        <f>Data2025!G657</f>
        <v>0</v>
      </c>
      <c r="B658" s="637">
        <f>Data2025!K657</f>
        <v>0</v>
      </c>
      <c r="C658" s="638">
        <f>Data2025!D657</f>
        <v>0</v>
      </c>
      <c r="D658" s="639">
        <f>Data2025!C657</f>
        <v>0</v>
      </c>
      <c r="E658" s="265">
        <f>Data2025!E657</f>
        <v>0</v>
      </c>
      <c r="F658" s="640">
        <f>Data2025!F657</f>
        <v>0</v>
      </c>
      <c r="G658" s="265">
        <f>Data2025!H657</f>
        <v>0</v>
      </c>
      <c r="H658" s="265">
        <f t="shared" si="34"/>
        <v>0</v>
      </c>
      <c r="I658" s="641">
        <f>Data2025!J657</f>
        <v>0</v>
      </c>
      <c r="J658" s="381">
        <f>Data2025!L657</f>
        <v>0</v>
      </c>
      <c r="K658" s="381">
        <f>Data2025!M657</f>
        <v>0</v>
      </c>
      <c r="L658" s="642">
        <f>Data2025!N657</f>
        <v>0</v>
      </c>
      <c r="M658" s="642">
        <f>Data2025!O657</f>
        <v>0</v>
      </c>
      <c r="N658" s="643">
        <f>Data2025!P657</f>
        <v>0</v>
      </c>
      <c r="O658" s="644">
        <f>Data2025!Q657</f>
        <v>0</v>
      </c>
      <c r="P658" s="645" t="s">
        <v>2668</v>
      </c>
      <c r="Q658" s="646" t="e">
        <f>VLOOKUP(K658,Sheet1!$C$1:$D$101,2,)</f>
        <v>#N/A</v>
      </c>
      <c r="R658" s="267">
        <v>1179100</v>
      </c>
      <c r="S658" s="647">
        <v>1502000</v>
      </c>
      <c r="T658" s="648">
        <f>Data2025!T657</f>
        <v>0</v>
      </c>
      <c r="U658" s="268" t="s">
        <v>538</v>
      </c>
      <c r="V658" s="648">
        <f>Data2025!V657</f>
        <v>0</v>
      </c>
      <c r="W658" s="648">
        <f>Data2025!X657</f>
        <v>0</v>
      </c>
      <c r="X658" s="268" t="s">
        <v>541</v>
      </c>
      <c r="Y658" s="268" t="str">
        <f t="shared" si="35"/>
        <v>Jasa Internet</v>
      </c>
      <c r="Z658" s="649" t="str">
        <f t="shared" si="36"/>
        <v>Jasa Internet</v>
      </c>
      <c r="AA658" s="650" t="s">
        <v>3373</v>
      </c>
      <c r="AB658" s="269">
        <v>1500000</v>
      </c>
      <c r="AC658" s="269">
        <v>1500000</v>
      </c>
      <c r="AD658" s="267">
        <v>1179100</v>
      </c>
      <c r="AE658" s="270">
        <v>1062252.2522522523</v>
      </c>
      <c r="AF658" s="270">
        <v>1179100</v>
      </c>
      <c r="AG658" s="805" t="s">
        <v>3883</v>
      </c>
      <c r="AH658" s="651">
        <f>Data2025!W657</f>
        <v>0</v>
      </c>
      <c r="AI658" s="61">
        <v>220</v>
      </c>
    </row>
    <row r="659" spans="1:35" s="501" customFormat="1" ht="16.5" thickTop="1" thickBot="1">
      <c r="A659" s="636">
        <f>Data2025!G658</f>
        <v>0</v>
      </c>
      <c r="B659" s="637">
        <f>Data2025!K658</f>
        <v>0</v>
      </c>
      <c r="C659" s="638">
        <f>Data2025!D658</f>
        <v>0</v>
      </c>
      <c r="D659" s="639">
        <f>Data2025!C658</f>
        <v>0</v>
      </c>
      <c r="E659" s="265">
        <f>Data2025!E658</f>
        <v>0</v>
      </c>
      <c r="F659" s="640">
        <f>Data2025!F658</f>
        <v>0</v>
      </c>
      <c r="G659" s="265">
        <f>Data2025!H658</f>
        <v>0</v>
      </c>
      <c r="H659" s="265">
        <f t="shared" si="34"/>
        <v>0</v>
      </c>
      <c r="I659" s="641">
        <f>Data2025!J658</f>
        <v>0</v>
      </c>
      <c r="J659" s="381">
        <f>Data2025!L658</f>
        <v>0</v>
      </c>
      <c r="K659" s="381">
        <f>Data2025!M658</f>
        <v>0</v>
      </c>
      <c r="L659" s="642">
        <f>Data2025!N658</f>
        <v>0</v>
      </c>
      <c r="M659" s="642">
        <f>Data2025!O658</f>
        <v>0</v>
      </c>
      <c r="N659" s="643">
        <f>Data2025!P658</f>
        <v>0</v>
      </c>
      <c r="O659" s="644">
        <f>Data2025!Q658</f>
        <v>0</v>
      </c>
      <c r="P659" s="645" t="s">
        <v>710</v>
      </c>
      <c r="Q659" s="646" t="e">
        <f>VLOOKUP(K659,Sheet1!$C$1:$D$101,2,)</f>
        <v>#N/A</v>
      </c>
      <c r="R659" s="496">
        <v>1240000</v>
      </c>
      <c r="S659" s="504">
        <v>1248000</v>
      </c>
      <c r="T659" s="648">
        <f>Data2025!T658</f>
        <v>0</v>
      </c>
      <c r="U659" s="497" t="s">
        <v>538</v>
      </c>
      <c r="V659" s="648">
        <f>Data2025!V658</f>
        <v>0</v>
      </c>
      <c r="W659" s="648">
        <f>Data2025!X658</f>
        <v>0</v>
      </c>
      <c r="X659" s="497" t="s">
        <v>541</v>
      </c>
      <c r="Y659" s="268" t="str">
        <f t="shared" si="35"/>
        <v>Alat Tulis Kantor (ATK)</v>
      </c>
      <c r="Z659" s="649" t="str">
        <f t="shared" si="36"/>
        <v>Alat Tulis Kantor (ATK)</v>
      </c>
      <c r="AA659" s="498" t="s">
        <v>3367</v>
      </c>
      <c r="AB659" s="499">
        <v>310000</v>
      </c>
      <c r="AC659" s="499">
        <v>1240000</v>
      </c>
      <c r="AD659" s="496">
        <v>1240000</v>
      </c>
      <c r="AE659" s="500">
        <v>1117117.1171171172</v>
      </c>
      <c r="AF659" s="500">
        <v>1240000</v>
      </c>
      <c r="AG659" s="805" t="s">
        <v>3883</v>
      </c>
      <c r="AH659" s="651">
        <f>Data2025!W658</f>
        <v>0</v>
      </c>
      <c r="AI659" s="501">
        <v>221</v>
      </c>
    </row>
    <row r="660" spans="1:35" s="501" customFormat="1" ht="16.5" thickTop="1" thickBot="1">
      <c r="A660" s="636">
        <f>Data2025!G659</f>
        <v>0</v>
      </c>
      <c r="B660" s="637">
        <f>Data2025!K659</f>
        <v>0</v>
      </c>
      <c r="C660" s="638">
        <f>Data2025!D659</f>
        <v>0</v>
      </c>
      <c r="D660" s="639">
        <f>Data2025!C659</f>
        <v>0</v>
      </c>
      <c r="E660" s="265">
        <f>Data2025!E659</f>
        <v>0</v>
      </c>
      <c r="F660" s="640">
        <f>Data2025!F659</f>
        <v>0</v>
      </c>
      <c r="G660" s="265">
        <f>Data2025!H659</f>
        <v>0</v>
      </c>
      <c r="H660" s="265">
        <f t="shared" si="34"/>
        <v>0</v>
      </c>
      <c r="I660" s="641">
        <f>Data2025!J659</f>
        <v>0</v>
      </c>
      <c r="J660" s="381">
        <f>Data2025!L659</f>
        <v>0</v>
      </c>
      <c r="K660" s="381">
        <f>Data2025!M659</f>
        <v>0</v>
      </c>
      <c r="L660" s="642">
        <f>Data2025!N659</f>
        <v>0</v>
      </c>
      <c r="M660" s="642">
        <f>Data2025!O659</f>
        <v>0</v>
      </c>
      <c r="N660" s="643">
        <f>Data2025!P659</f>
        <v>0</v>
      </c>
      <c r="O660" s="644">
        <f>Data2025!Q659</f>
        <v>0</v>
      </c>
      <c r="P660" s="645" t="s">
        <v>710</v>
      </c>
      <c r="Q660" s="646" t="e">
        <f>VLOOKUP(K660,Sheet1!$C$1:$D$101,2,)</f>
        <v>#N/A</v>
      </c>
      <c r="R660" s="496">
        <v>1200000</v>
      </c>
      <c r="S660" s="504">
        <v>1400000</v>
      </c>
      <c r="T660" s="648">
        <f>Data2025!T659</f>
        <v>0</v>
      </c>
      <c r="U660" s="497" t="s">
        <v>538</v>
      </c>
      <c r="V660" s="648">
        <f>Data2025!V659</f>
        <v>0</v>
      </c>
      <c r="W660" s="648">
        <f>Data2025!X659</f>
        <v>0</v>
      </c>
      <c r="X660" s="497" t="s">
        <v>541</v>
      </c>
      <c r="Y660" s="268" t="str">
        <f t="shared" si="35"/>
        <v>Alat Tulis Kantor (ATK)</v>
      </c>
      <c r="Z660" s="649" t="str">
        <f t="shared" si="36"/>
        <v>Alat Tulis Kantor (ATK)</v>
      </c>
      <c r="AA660" s="498" t="s">
        <v>3363</v>
      </c>
      <c r="AB660" s="499">
        <v>12000</v>
      </c>
      <c r="AC660" s="499">
        <v>1200000</v>
      </c>
      <c r="AD660" s="496">
        <v>1200000</v>
      </c>
      <c r="AE660" s="500">
        <v>1081081.0810810812</v>
      </c>
      <c r="AF660" s="500">
        <v>1200000</v>
      </c>
      <c r="AG660" s="805" t="s">
        <v>3883</v>
      </c>
      <c r="AH660" s="651">
        <f>Data2025!W659</f>
        <v>0</v>
      </c>
      <c r="AI660" s="501">
        <v>221</v>
      </c>
    </row>
    <row r="661" spans="1:35" ht="16.5" thickTop="1" thickBot="1">
      <c r="A661" s="636">
        <f>Data2025!G660</f>
        <v>0</v>
      </c>
      <c r="B661" s="637">
        <f>Data2025!K660</f>
        <v>0</v>
      </c>
      <c r="C661" s="638">
        <f>Data2025!D660</f>
        <v>0</v>
      </c>
      <c r="D661" s="639">
        <f>Data2025!C660</f>
        <v>0</v>
      </c>
      <c r="E661" s="265">
        <f>Data2025!E660</f>
        <v>0</v>
      </c>
      <c r="F661" s="640">
        <f>Data2025!F660</f>
        <v>0</v>
      </c>
      <c r="G661" s="265">
        <f>Data2025!H660</f>
        <v>0</v>
      </c>
      <c r="H661" s="265">
        <f t="shared" si="34"/>
        <v>0</v>
      </c>
      <c r="I661" s="641">
        <f>Data2025!J660</f>
        <v>0</v>
      </c>
      <c r="J661" s="381">
        <f>Data2025!L660</f>
        <v>0</v>
      </c>
      <c r="K661" s="381">
        <f>Data2025!M660</f>
        <v>0</v>
      </c>
      <c r="L661" s="642">
        <f>Data2025!N660</f>
        <v>0</v>
      </c>
      <c r="M661" s="642">
        <f>Data2025!O660</f>
        <v>0</v>
      </c>
      <c r="N661" s="643">
        <f>Data2025!P660</f>
        <v>0</v>
      </c>
      <c r="O661" s="644">
        <f>Data2025!Q660</f>
        <v>0</v>
      </c>
      <c r="P661" s="645" t="s">
        <v>710</v>
      </c>
      <c r="Q661" s="646" t="e">
        <f>VLOOKUP(K661,Sheet1!$C$1:$D$101,2,)</f>
        <v>#N/A</v>
      </c>
      <c r="R661" s="496">
        <v>2200000</v>
      </c>
      <c r="S661" s="504">
        <v>2202000</v>
      </c>
      <c r="T661" s="648">
        <f>Data2025!T660</f>
        <v>0</v>
      </c>
      <c r="U661" s="497" t="s">
        <v>538</v>
      </c>
      <c r="V661" s="648">
        <f>Data2025!V660</f>
        <v>0</v>
      </c>
      <c r="W661" s="648">
        <f>Data2025!X660</f>
        <v>0</v>
      </c>
      <c r="X661" s="497" t="s">
        <v>541</v>
      </c>
      <c r="Y661" s="268" t="str">
        <f t="shared" si="35"/>
        <v>Alat Tulis Kantor (ATK)</v>
      </c>
      <c r="Z661" s="649" t="str">
        <f t="shared" si="36"/>
        <v>Alat Tulis Kantor (ATK)</v>
      </c>
      <c r="AA661" s="498" t="s">
        <v>3363</v>
      </c>
      <c r="AB661" s="269">
        <v>2200000</v>
      </c>
      <c r="AC661" s="269">
        <v>2200000</v>
      </c>
      <c r="AD661" s="267">
        <v>2200000</v>
      </c>
      <c r="AE661" s="270">
        <v>1981981.981981982</v>
      </c>
      <c r="AF661" s="270">
        <v>2200000</v>
      </c>
      <c r="AG661" s="805" t="s">
        <v>3883</v>
      </c>
      <c r="AH661" s="651">
        <f>Data2025!W660</f>
        <v>0</v>
      </c>
      <c r="AI661" s="61">
        <v>221</v>
      </c>
    </row>
    <row r="662" spans="1:35" ht="16.5" thickTop="1" thickBot="1">
      <c r="A662" s="636">
        <f>Data2025!G661</f>
        <v>0</v>
      </c>
      <c r="B662" s="637">
        <f>Data2025!K661</f>
        <v>0</v>
      </c>
      <c r="C662" s="638">
        <f>Data2025!D661</f>
        <v>0</v>
      </c>
      <c r="D662" s="639">
        <f>Data2025!C661</f>
        <v>0</v>
      </c>
      <c r="E662" s="265">
        <f>Data2025!E661</f>
        <v>0</v>
      </c>
      <c r="F662" s="640">
        <f>Data2025!F661</f>
        <v>0</v>
      </c>
      <c r="G662" s="265">
        <f>Data2025!H661</f>
        <v>0</v>
      </c>
      <c r="H662" s="265">
        <f t="shared" si="34"/>
        <v>0</v>
      </c>
      <c r="I662" s="641">
        <f>Data2025!J661</f>
        <v>0</v>
      </c>
      <c r="J662" s="381">
        <f>Data2025!L661</f>
        <v>0</v>
      </c>
      <c r="K662" s="381">
        <f>Data2025!M661</f>
        <v>0</v>
      </c>
      <c r="L662" s="642">
        <f>Data2025!N661</f>
        <v>0</v>
      </c>
      <c r="M662" s="642">
        <f>Data2025!O661</f>
        <v>0</v>
      </c>
      <c r="N662" s="643">
        <f>Data2025!P661</f>
        <v>0</v>
      </c>
      <c r="O662" s="644">
        <f>Data2025!Q661</f>
        <v>0</v>
      </c>
      <c r="P662" s="645" t="s">
        <v>710</v>
      </c>
      <c r="Q662" s="646" t="e">
        <f>VLOOKUP(K662,Sheet1!$C$1:$D$101,2,)</f>
        <v>#N/A</v>
      </c>
      <c r="R662" s="496">
        <v>360000</v>
      </c>
      <c r="S662" s="504">
        <v>366000</v>
      </c>
      <c r="T662" s="648">
        <f>Data2025!T661</f>
        <v>0</v>
      </c>
      <c r="U662" s="497" t="s">
        <v>538</v>
      </c>
      <c r="V662" s="648">
        <f>Data2025!V661</f>
        <v>0</v>
      </c>
      <c r="W662" s="648">
        <f>Data2025!X661</f>
        <v>0</v>
      </c>
      <c r="X662" s="497" t="s">
        <v>541</v>
      </c>
      <c r="Y662" s="268" t="str">
        <f t="shared" si="35"/>
        <v>Alat Tulis Kantor (ATK)</v>
      </c>
      <c r="Z662" s="649" t="str">
        <f t="shared" si="36"/>
        <v>Alat Tulis Kantor (ATK)</v>
      </c>
      <c r="AA662" s="498" t="s">
        <v>3363</v>
      </c>
      <c r="AB662" s="269">
        <v>120000</v>
      </c>
      <c r="AC662" s="269">
        <v>360000</v>
      </c>
      <c r="AD662" s="267">
        <v>360000</v>
      </c>
      <c r="AE662" s="270">
        <v>324324.32432432432</v>
      </c>
      <c r="AF662" s="270">
        <v>360000</v>
      </c>
      <c r="AG662" s="805" t="s">
        <v>3883</v>
      </c>
      <c r="AH662" s="651">
        <f>Data2025!W661</f>
        <v>0</v>
      </c>
      <c r="AI662" s="61">
        <v>221</v>
      </c>
    </row>
    <row r="663" spans="1:35" ht="16.5" thickTop="1" thickBot="1">
      <c r="A663" s="636">
        <f>Data2025!G662</f>
        <v>0</v>
      </c>
      <c r="B663" s="637">
        <f>Data2025!K662</f>
        <v>0</v>
      </c>
      <c r="C663" s="638">
        <f>Data2025!D662</f>
        <v>0</v>
      </c>
      <c r="D663" s="639">
        <f>Data2025!C662</f>
        <v>0</v>
      </c>
      <c r="E663" s="265">
        <f>Data2025!E662</f>
        <v>0</v>
      </c>
      <c r="F663" s="640">
        <f>Data2025!F662</f>
        <v>0</v>
      </c>
      <c r="G663" s="265">
        <f>Data2025!H662</f>
        <v>0</v>
      </c>
      <c r="H663" s="265">
        <f t="shared" si="34"/>
        <v>0</v>
      </c>
      <c r="I663" s="641">
        <f>Data2025!J662</f>
        <v>0</v>
      </c>
      <c r="J663" s="381">
        <f>Data2025!L662</f>
        <v>0</v>
      </c>
      <c r="K663" s="381">
        <f>Data2025!M662</f>
        <v>0</v>
      </c>
      <c r="L663" s="642">
        <f>Data2025!N662</f>
        <v>0</v>
      </c>
      <c r="M663" s="642">
        <f>Data2025!O662</f>
        <v>0</v>
      </c>
      <c r="N663" s="643">
        <f>Data2025!P662</f>
        <v>0</v>
      </c>
      <c r="O663" s="644">
        <f>Data2025!Q662</f>
        <v>0</v>
      </c>
      <c r="P663" s="645" t="s">
        <v>710</v>
      </c>
      <c r="Q663" s="646" t="e">
        <f>VLOOKUP(K663,Sheet1!$C$1:$D$101,2,)</f>
        <v>#N/A</v>
      </c>
      <c r="R663" s="496">
        <v>40000</v>
      </c>
      <c r="S663" s="504">
        <v>44000</v>
      </c>
      <c r="T663" s="648">
        <f>Data2025!T662</f>
        <v>0</v>
      </c>
      <c r="U663" s="497" t="s">
        <v>538</v>
      </c>
      <c r="V663" s="648">
        <f>Data2025!V662</f>
        <v>0</v>
      </c>
      <c r="W663" s="648">
        <f>Data2025!X662</f>
        <v>0</v>
      </c>
      <c r="X663" s="497" t="s">
        <v>541</v>
      </c>
      <c r="Y663" s="268" t="str">
        <f t="shared" si="35"/>
        <v>Alat Tulis Kantor (ATK)</v>
      </c>
      <c r="Z663" s="649" t="str">
        <f t="shared" si="36"/>
        <v>Alat Tulis Kantor (ATK)</v>
      </c>
      <c r="AA663" s="498" t="s">
        <v>3363</v>
      </c>
      <c r="AB663" s="269">
        <v>20000</v>
      </c>
      <c r="AC663" s="269">
        <v>40000</v>
      </c>
      <c r="AD663" s="267">
        <v>40000</v>
      </c>
      <c r="AE663" s="270">
        <v>36036.036036036036</v>
      </c>
      <c r="AF663" s="270">
        <v>40000</v>
      </c>
      <c r="AG663" s="805" t="s">
        <v>3883</v>
      </c>
      <c r="AH663" s="651">
        <f>Data2025!W662</f>
        <v>0</v>
      </c>
      <c r="AI663" s="61">
        <v>221</v>
      </c>
    </row>
    <row r="664" spans="1:35" ht="16.5" thickTop="1" thickBot="1">
      <c r="A664" s="636">
        <f>Data2025!G663</f>
        <v>0</v>
      </c>
      <c r="B664" s="637">
        <f>Data2025!K663</f>
        <v>0</v>
      </c>
      <c r="C664" s="638">
        <f>Data2025!D663</f>
        <v>0</v>
      </c>
      <c r="D664" s="639">
        <f>Data2025!C663</f>
        <v>0</v>
      </c>
      <c r="E664" s="265">
        <f>Data2025!E663</f>
        <v>0</v>
      </c>
      <c r="F664" s="640">
        <f>Data2025!F663</f>
        <v>0</v>
      </c>
      <c r="G664" s="265">
        <f>Data2025!H663</f>
        <v>0</v>
      </c>
      <c r="H664" s="265">
        <f t="shared" si="34"/>
        <v>0</v>
      </c>
      <c r="I664" s="641">
        <f>Data2025!J663</f>
        <v>0</v>
      </c>
      <c r="J664" s="381">
        <f>Data2025!L663</f>
        <v>0</v>
      </c>
      <c r="K664" s="381">
        <f>Data2025!M663</f>
        <v>0</v>
      </c>
      <c r="L664" s="642">
        <f>Data2025!N663</f>
        <v>0</v>
      </c>
      <c r="M664" s="642">
        <f>Data2025!O663</f>
        <v>0</v>
      </c>
      <c r="N664" s="643">
        <f>Data2025!P663</f>
        <v>0</v>
      </c>
      <c r="O664" s="644">
        <f>Data2025!Q663</f>
        <v>0</v>
      </c>
      <c r="P664" s="645" t="s">
        <v>710</v>
      </c>
      <c r="Q664" s="646" t="e">
        <f>VLOOKUP(K664,Sheet1!$C$1:$D$101,2,)</f>
        <v>#N/A</v>
      </c>
      <c r="R664" s="496">
        <v>50000</v>
      </c>
      <c r="S664" s="504">
        <v>60000</v>
      </c>
      <c r="T664" s="648">
        <f>Data2025!T663</f>
        <v>0</v>
      </c>
      <c r="U664" s="497" t="s">
        <v>538</v>
      </c>
      <c r="V664" s="648">
        <f>Data2025!V663</f>
        <v>0</v>
      </c>
      <c r="W664" s="648">
        <f>Data2025!X663</f>
        <v>0</v>
      </c>
      <c r="X664" s="497" t="s">
        <v>541</v>
      </c>
      <c r="Y664" s="268" t="str">
        <f t="shared" si="35"/>
        <v>Alat Tulis Kantor (ATK)</v>
      </c>
      <c r="Z664" s="649" t="str">
        <f t="shared" si="36"/>
        <v>Alat Tulis Kantor (ATK)</v>
      </c>
      <c r="AA664" s="498" t="s">
        <v>3363</v>
      </c>
      <c r="AB664" s="269">
        <v>10000</v>
      </c>
      <c r="AC664" s="269">
        <v>50000</v>
      </c>
      <c r="AD664" s="267">
        <v>50000</v>
      </c>
      <c r="AE664" s="270">
        <v>45045.045045045044</v>
      </c>
      <c r="AF664" s="270">
        <v>50000</v>
      </c>
      <c r="AG664" s="805" t="s">
        <v>3883</v>
      </c>
      <c r="AH664" s="651">
        <f>Data2025!W663</f>
        <v>0</v>
      </c>
      <c r="AI664" s="61">
        <v>221</v>
      </c>
    </row>
    <row r="665" spans="1:35" ht="16.5" thickTop="1" thickBot="1">
      <c r="A665" s="636">
        <f>Data2025!G664</f>
        <v>0</v>
      </c>
      <c r="B665" s="637">
        <f>Data2025!K664</f>
        <v>0</v>
      </c>
      <c r="C665" s="638">
        <f>Data2025!D664</f>
        <v>0</v>
      </c>
      <c r="D665" s="639">
        <f>Data2025!C664</f>
        <v>0</v>
      </c>
      <c r="E665" s="265">
        <f>Data2025!E664</f>
        <v>0</v>
      </c>
      <c r="F665" s="640">
        <f>Data2025!F664</f>
        <v>0</v>
      </c>
      <c r="G665" s="265">
        <f>Data2025!H664</f>
        <v>0</v>
      </c>
      <c r="H665" s="265">
        <f t="shared" si="34"/>
        <v>0</v>
      </c>
      <c r="I665" s="641">
        <f>Data2025!J664</f>
        <v>0</v>
      </c>
      <c r="J665" s="381">
        <f>Data2025!L664</f>
        <v>0</v>
      </c>
      <c r="K665" s="381">
        <f>Data2025!M664</f>
        <v>0</v>
      </c>
      <c r="L665" s="642">
        <f>Data2025!N664</f>
        <v>0</v>
      </c>
      <c r="M665" s="642">
        <f>Data2025!O664</f>
        <v>0</v>
      </c>
      <c r="N665" s="643">
        <f>Data2025!P664</f>
        <v>0</v>
      </c>
      <c r="O665" s="644">
        <f>Data2025!Q664</f>
        <v>0</v>
      </c>
      <c r="P665" s="645" t="s">
        <v>710</v>
      </c>
      <c r="Q665" s="646" t="e">
        <f>VLOOKUP(K665,Sheet1!$C$1:$D$101,2,)</f>
        <v>#N/A</v>
      </c>
      <c r="R665" s="496">
        <v>40000</v>
      </c>
      <c r="S665" s="504">
        <v>44000</v>
      </c>
      <c r="T665" s="648">
        <f>Data2025!T664</f>
        <v>0</v>
      </c>
      <c r="U665" s="497" t="s">
        <v>538</v>
      </c>
      <c r="V665" s="648">
        <f>Data2025!V664</f>
        <v>0</v>
      </c>
      <c r="W665" s="648">
        <f>Data2025!X664</f>
        <v>0</v>
      </c>
      <c r="X665" s="497" t="s">
        <v>541</v>
      </c>
      <c r="Y665" s="268" t="str">
        <f t="shared" si="35"/>
        <v>Alat Tulis Kantor (ATK)</v>
      </c>
      <c r="Z665" s="649" t="str">
        <f t="shared" si="36"/>
        <v>Alat Tulis Kantor (ATK)</v>
      </c>
      <c r="AA665" s="498" t="s">
        <v>3366</v>
      </c>
      <c r="AB665" s="269">
        <v>20000</v>
      </c>
      <c r="AC665" s="269">
        <v>40000</v>
      </c>
      <c r="AD665" s="267">
        <v>40000</v>
      </c>
      <c r="AE665" s="270">
        <v>36036.036036036036</v>
      </c>
      <c r="AF665" s="270">
        <v>40000</v>
      </c>
      <c r="AG665" s="805" t="s">
        <v>3883</v>
      </c>
      <c r="AH665" s="651">
        <f>Data2025!W664</f>
        <v>0</v>
      </c>
      <c r="AI665" s="61">
        <v>221</v>
      </c>
    </row>
    <row r="666" spans="1:35" ht="16.5" thickTop="1" thickBot="1">
      <c r="A666" s="636">
        <f>Data2025!G665</f>
        <v>0</v>
      </c>
      <c r="B666" s="637">
        <f>Data2025!K665</f>
        <v>0</v>
      </c>
      <c r="C666" s="638">
        <f>Data2025!D665</f>
        <v>0</v>
      </c>
      <c r="D666" s="639">
        <f>Data2025!C665</f>
        <v>0</v>
      </c>
      <c r="E666" s="265">
        <f>Data2025!E665</f>
        <v>0</v>
      </c>
      <c r="F666" s="640">
        <f>Data2025!F665</f>
        <v>0</v>
      </c>
      <c r="G666" s="265">
        <f>Data2025!H665</f>
        <v>0</v>
      </c>
      <c r="H666" s="265">
        <f t="shared" si="34"/>
        <v>0</v>
      </c>
      <c r="I666" s="641">
        <f>Data2025!J665</f>
        <v>0</v>
      </c>
      <c r="J666" s="381">
        <f>Data2025!L665</f>
        <v>0</v>
      </c>
      <c r="K666" s="381">
        <f>Data2025!M665</f>
        <v>0</v>
      </c>
      <c r="L666" s="642">
        <f>Data2025!N665</f>
        <v>0</v>
      </c>
      <c r="M666" s="642">
        <f>Data2025!O665</f>
        <v>0</v>
      </c>
      <c r="N666" s="643">
        <f>Data2025!P665</f>
        <v>0</v>
      </c>
      <c r="O666" s="644">
        <f>Data2025!Q665</f>
        <v>0</v>
      </c>
      <c r="P666" s="645" t="s">
        <v>710</v>
      </c>
      <c r="Q666" s="646" t="e">
        <f>VLOOKUP(K666,Sheet1!$C$1:$D$101,2,)</f>
        <v>#N/A</v>
      </c>
      <c r="R666" s="496">
        <v>75000</v>
      </c>
      <c r="S666" s="504">
        <v>85000</v>
      </c>
      <c r="T666" s="648">
        <f>Data2025!T665</f>
        <v>0</v>
      </c>
      <c r="U666" s="497" t="s">
        <v>538</v>
      </c>
      <c r="V666" s="648">
        <f>Data2025!V665</f>
        <v>0</v>
      </c>
      <c r="W666" s="648">
        <f>Data2025!X665</f>
        <v>0</v>
      </c>
      <c r="X666" s="497" t="s">
        <v>541</v>
      </c>
      <c r="Y666" s="268" t="str">
        <f t="shared" si="35"/>
        <v>Alat Tulis Kantor (ATK)</v>
      </c>
      <c r="Z666" s="649" t="str">
        <f t="shared" si="36"/>
        <v>Alat Tulis Kantor (ATK)</v>
      </c>
      <c r="AA666" s="498" t="s">
        <v>3363</v>
      </c>
      <c r="AB666" s="269">
        <v>15000</v>
      </c>
      <c r="AC666" s="269">
        <v>75000</v>
      </c>
      <c r="AD666" s="267">
        <v>75000</v>
      </c>
      <c r="AE666" s="270">
        <v>67567.567567567574</v>
      </c>
      <c r="AF666" s="270">
        <v>75000</v>
      </c>
      <c r="AG666" s="805" t="s">
        <v>3883</v>
      </c>
      <c r="AH666" s="651">
        <f>Data2025!W665</f>
        <v>0</v>
      </c>
      <c r="AI666" s="61">
        <v>221</v>
      </c>
    </row>
    <row r="667" spans="1:35" ht="16.5" thickTop="1" thickBot="1">
      <c r="A667" s="636">
        <f>Data2025!G666</f>
        <v>0</v>
      </c>
      <c r="B667" s="637">
        <f>Data2025!K666</f>
        <v>0</v>
      </c>
      <c r="C667" s="638">
        <f>Data2025!D666</f>
        <v>0</v>
      </c>
      <c r="D667" s="639">
        <f>Data2025!C666</f>
        <v>0</v>
      </c>
      <c r="E667" s="265">
        <f>Data2025!E666</f>
        <v>0</v>
      </c>
      <c r="F667" s="640">
        <f>Data2025!F666</f>
        <v>0</v>
      </c>
      <c r="G667" s="265">
        <f>Data2025!H666</f>
        <v>0</v>
      </c>
      <c r="H667" s="265">
        <f t="shared" si="34"/>
        <v>0</v>
      </c>
      <c r="I667" s="641">
        <f>Data2025!J666</f>
        <v>0</v>
      </c>
      <c r="J667" s="381">
        <f>Data2025!L666</f>
        <v>0</v>
      </c>
      <c r="K667" s="381">
        <f>Data2025!M666</f>
        <v>0</v>
      </c>
      <c r="L667" s="642">
        <f>Data2025!N666</f>
        <v>0</v>
      </c>
      <c r="M667" s="642">
        <f>Data2025!O666</f>
        <v>0</v>
      </c>
      <c r="N667" s="643">
        <f>Data2025!P666</f>
        <v>0</v>
      </c>
      <c r="O667" s="644">
        <f>Data2025!Q666</f>
        <v>0</v>
      </c>
      <c r="P667" s="645" t="s">
        <v>710</v>
      </c>
      <c r="Q667" s="646" t="e">
        <f>VLOOKUP(K667,Sheet1!$C$1:$D$101,2,)</f>
        <v>#N/A</v>
      </c>
      <c r="R667" s="496">
        <v>75000</v>
      </c>
      <c r="S667" s="504">
        <v>85000</v>
      </c>
      <c r="T667" s="648">
        <f>Data2025!T666</f>
        <v>0</v>
      </c>
      <c r="U667" s="497" t="s">
        <v>538</v>
      </c>
      <c r="V667" s="648">
        <f>Data2025!V666</f>
        <v>0</v>
      </c>
      <c r="W667" s="648">
        <f>Data2025!X666</f>
        <v>0</v>
      </c>
      <c r="X667" s="497" t="s">
        <v>541</v>
      </c>
      <c r="Y667" s="268" t="str">
        <f t="shared" si="35"/>
        <v>Alat Tulis Kantor (ATK)</v>
      </c>
      <c r="Z667" s="649" t="str">
        <f t="shared" si="36"/>
        <v>Alat Tulis Kantor (ATK)</v>
      </c>
      <c r="AA667" s="498" t="s">
        <v>3363</v>
      </c>
      <c r="AB667" s="269">
        <v>15000</v>
      </c>
      <c r="AC667" s="269">
        <v>75000</v>
      </c>
      <c r="AD667" s="267">
        <v>75000</v>
      </c>
      <c r="AE667" s="270">
        <v>67567.567567567574</v>
      </c>
      <c r="AF667" s="270">
        <v>75000</v>
      </c>
      <c r="AG667" s="805" t="s">
        <v>3883</v>
      </c>
      <c r="AH667" s="651">
        <f>Data2025!W666</f>
        <v>0</v>
      </c>
      <c r="AI667" s="61">
        <v>221</v>
      </c>
    </row>
    <row r="668" spans="1:35" ht="16.5" thickTop="1" thickBot="1">
      <c r="A668" s="636">
        <f>Data2025!G667</f>
        <v>0</v>
      </c>
      <c r="B668" s="637">
        <f>Data2025!K667</f>
        <v>0</v>
      </c>
      <c r="C668" s="638">
        <f>Data2025!D667</f>
        <v>0</v>
      </c>
      <c r="D668" s="639">
        <f>Data2025!C667</f>
        <v>0</v>
      </c>
      <c r="E668" s="265">
        <f>Data2025!E667</f>
        <v>0</v>
      </c>
      <c r="F668" s="640">
        <f>Data2025!F667</f>
        <v>0</v>
      </c>
      <c r="G668" s="265">
        <f>Data2025!H667</f>
        <v>0</v>
      </c>
      <c r="H668" s="265">
        <f t="shared" si="34"/>
        <v>0</v>
      </c>
      <c r="I668" s="641">
        <f>Data2025!J667</f>
        <v>0</v>
      </c>
      <c r="J668" s="381">
        <f>Data2025!L667</f>
        <v>0</v>
      </c>
      <c r="K668" s="381">
        <f>Data2025!M667</f>
        <v>0</v>
      </c>
      <c r="L668" s="642">
        <f>Data2025!N667</f>
        <v>0</v>
      </c>
      <c r="M668" s="642">
        <f>Data2025!O667</f>
        <v>0</v>
      </c>
      <c r="N668" s="643">
        <f>Data2025!P667</f>
        <v>0</v>
      </c>
      <c r="O668" s="644">
        <f>Data2025!Q667</f>
        <v>0</v>
      </c>
      <c r="P668" s="645" t="s">
        <v>710</v>
      </c>
      <c r="Q668" s="646" t="e">
        <f>VLOOKUP(K668,Sheet1!$C$1:$D$101,2,)</f>
        <v>#N/A</v>
      </c>
      <c r="R668" s="496">
        <v>209000</v>
      </c>
      <c r="S668" s="504">
        <v>229000</v>
      </c>
      <c r="T668" s="648">
        <f>Data2025!T667</f>
        <v>0</v>
      </c>
      <c r="U668" s="497" t="s">
        <v>538</v>
      </c>
      <c r="V668" s="648">
        <f>Data2025!V667</f>
        <v>0</v>
      </c>
      <c r="W668" s="648">
        <f>Data2025!X667</f>
        <v>0</v>
      </c>
      <c r="X668" s="497" t="s">
        <v>541</v>
      </c>
      <c r="Y668" s="268" t="str">
        <f t="shared" si="35"/>
        <v>Alat Tulis Kantor (ATK)</v>
      </c>
      <c r="Z668" s="649" t="str">
        <f t="shared" si="36"/>
        <v>Alat Tulis Kantor (ATK)</v>
      </c>
      <c r="AA668" s="498" t="s">
        <v>3363</v>
      </c>
      <c r="AB668" s="269">
        <v>20900</v>
      </c>
      <c r="AC668" s="269">
        <v>209000</v>
      </c>
      <c r="AD668" s="267">
        <v>209000</v>
      </c>
      <c r="AE668" s="270">
        <v>188288.28828828828</v>
      </c>
      <c r="AF668" s="270">
        <v>209000</v>
      </c>
      <c r="AG668" s="805" t="s">
        <v>3883</v>
      </c>
      <c r="AH668" s="651">
        <f>Data2025!W667</f>
        <v>0</v>
      </c>
      <c r="AI668" s="61">
        <v>221</v>
      </c>
    </row>
    <row r="669" spans="1:35" ht="16.5" thickTop="1" thickBot="1">
      <c r="A669" s="636">
        <f>Data2025!G668</f>
        <v>0</v>
      </c>
      <c r="B669" s="637">
        <f>Data2025!K668</f>
        <v>0</v>
      </c>
      <c r="C669" s="638">
        <f>Data2025!D668</f>
        <v>0</v>
      </c>
      <c r="D669" s="639">
        <f>Data2025!C668</f>
        <v>0</v>
      </c>
      <c r="E669" s="265">
        <f>Data2025!E668</f>
        <v>0</v>
      </c>
      <c r="F669" s="640">
        <f>Data2025!F668</f>
        <v>0</v>
      </c>
      <c r="G669" s="265">
        <f>Data2025!H668</f>
        <v>0</v>
      </c>
      <c r="H669" s="265">
        <f t="shared" si="34"/>
        <v>0</v>
      </c>
      <c r="I669" s="641">
        <f>Data2025!J668</f>
        <v>0</v>
      </c>
      <c r="J669" s="381">
        <f>Data2025!L668</f>
        <v>0</v>
      </c>
      <c r="K669" s="381">
        <f>Data2025!M668</f>
        <v>0</v>
      </c>
      <c r="L669" s="642">
        <f>Data2025!N668</f>
        <v>0</v>
      </c>
      <c r="M669" s="642">
        <f>Data2025!O668</f>
        <v>0</v>
      </c>
      <c r="N669" s="643">
        <f>Data2025!P668</f>
        <v>0</v>
      </c>
      <c r="O669" s="644">
        <f>Data2025!Q668</f>
        <v>0</v>
      </c>
      <c r="P669" s="645" t="s">
        <v>710</v>
      </c>
      <c r="Q669" s="646" t="e">
        <f>VLOOKUP(K669,Sheet1!$C$1:$D$101,2,)</f>
        <v>#N/A</v>
      </c>
      <c r="R669" s="496">
        <v>500000</v>
      </c>
      <c r="S669" s="504">
        <v>510000</v>
      </c>
      <c r="T669" s="648">
        <f>Data2025!T668</f>
        <v>0</v>
      </c>
      <c r="U669" s="497" t="s">
        <v>538</v>
      </c>
      <c r="V669" s="648">
        <f>Data2025!V668</f>
        <v>0</v>
      </c>
      <c r="W669" s="648">
        <f>Data2025!X668</f>
        <v>0</v>
      </c>
      <c r="X669" s="497" t="s">
        <v>541</v>
      </c>
      <c r="Y669" s="268" t="str">
        <f t="shared" si="35"/>
        <v>Alat Tulis Kantor (ATK)</v>
      </c>
      <c r="Z669" s="649" t="str">
        <f t="shared" si="36"/>
        <v>Alat Tulis Kantor (ATK)</v>
      </c>
      <c r="AA669" s="498" t="s">
        <v>3363</v>
      </c>
      <c r="AB669" s="269">
        <v>100000</v>
      </c>
      <c r="AC669" s="269">
        <v>500000</v>
      </c>
      <c r="AD669" s="267">
        <v>500000</v>
      </c>
      <c r="AE669" s="270">
        <v>450450.45045045047</v>
      </c>
      <c r="AF669" s="270">
        <v>500000</v>
      </c>
      <c r="AG669" s="805" t="s">
        <v>3883</v>
      </c>
      <c r="AH669" s="651">
        <f>Data2025!W668</f>
        <v>0</v>
      </c>
      <c r="AI669" s="61">
        <v>221</v>
      </c>
    </row>
    <row r="670" spans="1:35" ht="16.5" thickTop="1" thickBot="1">
      <c r="A670" s="636">
        <f>Data2025!G669</f>
        <v>0</v>
      </c>
      <c r="B670" s="637">
        <f>Data2025!K669</f>
        <v>0</v>
      </c>
      <c r="C670" s="638">
        <f>Data2025!D669</f>
        <v>0</v>
      </c>
      <c r="D670" s="639">
        <f>Data2025!C669</f>
        <v>0</v>
      </c>
      <c r="E670" s="265">
        <f>Data2025!E669</f>
        <v>0</v>
      </c>
      <c r="F670" s="640">
        <f>Data2025!F669</f>
        <v>0</v>
      </c>
      <c r="G670" s="265">
        <f>Data2025!H669</f>
        <v>0</v>
      </c>
      <c r="H670" s="265">
        <f t="shared" si="34"/>
        <v>0</v>
      </c>
      <c r="I670" s="641">
        <f>Data2025!J669</f>
        <v>0</v>
      </c>
      <c r="J670" s="381">
        <f>Data2025!L669</f>
        <v>0</v>
      </c>
      <c r="K670" s="381">
        <f>Data2025!M669</f>
        <v>0</v>
      </c>
      <c r="L670" s="642">
        <f>Data2025!N669</f>
        <v>0</v>
      </c>
      <c r="M670" s="642">
        <f>Data2025!O669</f>
        <v>0</v>
      </c>
      <c r="N670" s="643">
        <f>Data2025!P669</f>
        <v>0</v>
      </c>
      <c r="O670" s="644">
        <f>Data2025!Q669</f>
        <v>0</v>
      </c>
      <c r="P670" s="645" t="s">
        <v>710</v>
      </c>
      <c r="Q670" s="646" t="e">
        <f>VLOOKUP(K670,Sheet1!$C$1:$D$101,2,)</f>
        <v>#N/A</v>
      </c>
      <c r="R670" s="496">
        <v>50000</v>
      </c>
      <c r="S670" s="504">
        <v>54000</v>
      </c>
      <c r="T670" s="648">
        <f>Data2025!T669</f>
        <v>0</v>
      </c>
      <c r="U670" s="497" t="s">
        <v>538</v>
      </c>
      <c r="V670" s="648">
        <f>Data2025!V669</f>
        <v>0</v>
      </c>
      <c r="W670" s="648">
        <f>Data2025!X669</f>
        <v>0</v>
      </c>
      <c r="X670" s="497" t="s">
        <v>541</v>
      </c>
      <c r="Y670" s="268" t="str">
        <f t="shared" si="35"/>
        <v>Alat Tulis Kantor (ATK)</v>
      </c>
      <c r="Z670" s="649" t="str">
        <f t="shared" si="36"/>
        <v>Alat Tulis Kantor (ATK)</v>
      </c>
      <c r="AA670" s="498" t="s">
        <v>3363</v>
      </c>
      <c r="AB670" s="269">
        <v>25000</v>
      </c>
      <c r="AC670" s="269">
        <v>50000</v>
      </c>
      <c r="AD670" s="267">
        <v>50000</v>
      </c>
      <c r="AE670" s="270">
        <v>45045.045045045044</v>
      </c>
      <c r="AF670" s="270">
        <v>50000</v>
      </c>
      <c r="AG670" s="805" t="s">
        <v>3883</v>
      </c>
      <c r="AH670" s="651">
        <f>Data2025!W669</f>
        <v>0</v>
      </c>
      <c r="AI670" s="61">
        <v>221</v>
      </c>
    </row>
    <row r="671" spans="1:35" ht="16.5" thickTop="1" thickBot="1">
      <c r="A671" s="636">
        <f>Data2025!G670</f>
        <v>0</v>
      </c>
      <c r="B671" s="637">
        <f>Data2025!K670</f>
        <v>0</v>
      </c>
      <c r="C671" s="638">
        <f>Data2025!D670</f>
        <v>0</v>
      </c>
      <c r="D671" s="639">
        <f>Data2025!C670</f>
        <v>0</v>
      </c>
      <c r="E671" s="265">
        <f>Data2025!E670</f>
        <v>0</v>
      </c>
      <c r="F671" s="640">
        <f>Data2025!F670</f>
        <v>0</v>
      </c>
      <c r="G671" s="265">
        <f>Data2025!H670</f>
        <v>0</v>
      </c>
      <c r="H671" s="265">
        <f t="shared" si="34"/>
        <v>0</v>
      </c>
      <c r="I671" s="641">
        <f>Data2025!J670</f>
        <v>0</v>
      </c>
      <c r="J671" s="381">
        <f>Data2025!L670</f>
        <v>0</v>
      </c>
      <c r="K671" s="381">
        <f>Data2025!M670</f>
        <v>0</v>
      </c>
      <c r="L671" s="642">
        <f>Data2025!N670</f>
        <v>0</v>
      </c>
      <c r="M671" s="642">
        <f>Data2025!O670</f>
        <v>0</v>
      </c>
      <c r="N671" s="643">
        <f>Data2025!P670</f>
        <v>0</v>
      </c>
      <c r="O671" s="644">
        <f>Data2025!Q670</f>
        <v>0</v>
      </c>
      <c r="P671" s="645" t="s">
        <v>710</v>
      </c>
      <c r="Q671" s="646" t="e">
        <f>VLOOKUP(K671,Sheet1!$C$1:$D$101,2,)</f>
        <v>#N/A</v>
      </c>
      <c r="R671" s="496">
        <v>77500</v>
      </c>
      <c r="S671" s="504">
        <v>87500</v>
      </c>
      <c r="T671" s="648">
        <f>Data2025!T670</f>
        <v>0</v>
      </c>
      <c r="U671" s="497" t="s">
        <v>538</v>
      </c>
      <c r="V671" s="648">
        <f>Data2025!V670</f>
        <v>0</v>
      </c>
      <c r="W671" s="648">
        <f>Data2025!X670</f>
        <v>0</v>
      </c>
      <c r="X671" s="497" t="s">
        <v>541</v>
      </c>
      <c r="Y671" s="268" t="str">
        <f t="shared" si="35"/>
        <v>Alat Tulis Kantor (ATK)</v>
      </c>
      <c r="Z671" s="649" t="str">
        <f t="shared" si="36"/>
        <v>Alat Tulis Kantor (ATK)</v>
      </c>
      <c r="AA671" s="498" t="s">
        <v>3363</v>
      </c>
      <c r="AB671" s="269">
        <v>15500</v>
      </c>
      <c r="AC671" s="269">
        <v>77500</v>
      </c>
      <c r="AD671" s="267">
        <v>77500</v>
      </c>
      <c r="AE671" s="270">
        <v>69819.819819819822</v>
      </c>
      <c r="AF671" s="270">
        <v>77500</v>
      </c>
      <c r="AG671" s="805" t="s">
        <v>3883</v>
      </c>
      <c r="AH671" s="651">
        <f>Data2025!W670</f>
        <v>0</v>
      </c>
      <c r="AI671" s="61">
        <v>221</v>
      </c>
    </row>
    <row r="672" spans="1:35" s="501" customFormat="1" ht="16.5" thickTop="1" thickBot="1">
      <c r="A672" s="636">
        <f>Data2025!G671</f>
        <v>0</v>
      </c>
      <c r="B672" s="637">
        <f>Data2025!K671</f>
        <v>0</v>
      </c>
      <c r="C672" s="638">
        <f>Data2025!D671</f>
        <v>0</v>
      </c>
      <c r="D672" s="639">
        <f>Data2025!C671</f>
        <v>0</v>
      </c>
      <c r="E672" s="265">
        <f>Data2025!E671</f>
        <v>0</v>
      </c>
      <c r="F672" s="640">
        <f>Data2025!F671</f>
        <v>0</v>
      </c>
      <c r="G672" s="265">
        <f>Data2025!H671</f>
        <v>0</v>
      </c>
      <c r="H672" s="265">
        <f t="shared" si="34"/>
        <v>0</v>
      </c>
      <c r="I672" s="641">
        <f>Data2025!J671</f>
        <v>0</v>
      </c>
      <c r="J672" s="381">
        <f>Data2025!L671</f>
        <v>0</v>
      </c>
      <c r="K672" s="381">
        <f>Data2025!M671</f>
        <v>0</v>
      </c>
      <c r="L672" s="642">
        <f>Data2025!N671</f>
        <v>0</v>
      </c>
      <c r="M672" s="642">
        <f>Data2025!O671</f>
        <v>0</v>
      </c>
      <c r="N672" s="643">
        <f>Data2025!P671</f>
        <v>0</v>
      </c>
      <c r="O672" s="644">
        <f>Data2025!Q671</f>
        <v>0</v>
      </c>
      <c r="P672" s="645" t="s">
        <v>710</v>
      </c>
      <c r="Q672" s="646" t="e">
        <f>VLOOKUP(K672,Sheet1!$C$1:$D$101,2,)</f>
        <v>#N/A</v>
      </c>
      <c r="R672" s="496">
        <v>30000</v>
      </c>
      <c r="S672" s="504">
        <v>40000</v>
      </c>
      <c r="T672" s="648">
        <f>Data2025!T671</f>
        <v>0</v>
      </c>
      <c r="U672" s="497" t="s">
        <v>538</v>
      </c>
      <c r="V672" s="648">
        <f>Data2025!V671</f>
        <v>0</v>
      </c>
      <c r="W672" s="648">
        <f>Data2025!X671</f>
        <v>0</v>
      </c>
      <c r="X672" s="497" t="s">
        <v>541</v>
      </c>
      <c r="Y672" s="268" t="str">
        <f t="shared" si="35"/>
        <v>Alat Tulis Kantor (ATK)</v>
      </c>
      <c r="Z672" s="649" t="str">
        <f t="shared" si="36"/>
        <v>Alat Tulis Kantor (ATK)</v>
      </c>
      <c r="AA672" s="498" t="s">
        <v>3362</v>
      </c>
      <c r="AB672" s="499">
        <v>6000</v>
      </c>
      <c r="AC672" s="499">
        <v>30000</v>
      </c>
      <c r="AD672" s="496">
        <v>30000</v>
      </c>
      <c r="AE672" s="500">
        <v>27027.027027027027</v>
      </c>
      <c r="AF672" s="500">
        <v>30000</v>
      </c>
      <c r="AG672" s="805" t="s">
        <v>3883</v>
      </c>
      <c r="AH672" s="651">
        <f>Data2025!W671</f>
        <v>0</v>
      </c>
      <c r="AI672" s="501">
        <v>221</v>
      </c>
    </row>
    <row r="673" spans="1:35" s="501" customFormat="1" ht="16.5" thickTop="1" thickBot="1">
      <c r="A673" s="636">
        <f>Data2025!G672</f>
        <v>0</v>
      </c>
      <c r="B673" s="637">
        <f>Data2025!K672</f>
        <v>0</v>
      </c>
      <c r="C673" s="638">
        <f>Data2025!D672</f>
        <v>0</v>
      </c>
      <c r="D673" s="639">
        <f>Data2025!C672</f>
        <v>0</v>
      </c>
      <c r="E673" s="265">
        <f>Data2025!E672</f>
        <v>0</v>
      </c>
      <c r="F673" s="640">
        <f>Data2025!F672</f>
        <v>0</v>
      </c>
      <c r="G673" s="265">
        <f>Data2025!H672</f>
        <v>0</v>
      </c>
      <c r="H673" s="265">
        <f t="shared" si="34"/>
        <v>0</v>
      </c>
      <c r="I673" s="641">
        <f>Data2025!J672</f>
        <v>0</v>
      </c>
      <c r="J673" s="381">
        <f>Data2025!L672</f>
        <v>0</v>
      </c>
      <c r="K673" s="381">
        <f>Data2025!M672</f>
        <v>0</v>
      </c>
      <c r="L673" s="642">
        <f>Data2025!N672</f>
        <v>0</v>
      </c>
      <c r="M673" s="642">
        <f>Data2025!O672</f>
        <v>0</v>
      </c>
      <c r="N673" s="643">
        <f>Data2025!P672</f>
        <v>0</v>
      </c>
      <c r="O673" s="644">
        <f>Data2025!Q672</f>
        <v>0</v>
      </c>
      <c r="P673" s="645" t="s">
        <v>710</v>
      </c>
      <c r="Q673" s="646" t="e">
        <f>VLOOKUP(K673,Sheet1!$C$1:$D$101,2,)</f>
        <v>#N/A</v>
      </c>
      <c r="R673" s="496">
        <v>125000</v>
      </c>
      <c r="S673" s="504">
        <v>135000</v>
      </c>
      <c r="T673" s="648">
        <f>Data2025!T672</f>
        <v>0</v>
      </c>
      <c r="U673" s="497" t="s">
        <v>538</v>
      </c>
      <c r="V673" s="648">
        <f>Data2025!V672</f>
        <v>0</v>
      </c>
      <c r="W673" s="648">
        <f>Data2025!X672</f>
        <v>0</v>
      </c>
      <c r="X673" s="497" t="s">
        <v>541</v>
      </c>
      <c r="Y673" s="268" t="str">
        <f t="shared" si="35"/>
        <v>Alat Tulis Kantor (ATK)</v>
      </c>
      <c r="Z673" s="649" t="str">
        <f t="shared" si="36"/>
        <v>Alat Tulis Kantor (ATK)</v>
      </c>
      <c r="AA673" s="498" t="s">
        <v>3363</v>
      </c>
      <c r="AB673" s="499">
        <v>25000</v>
      </c>
      <c r="AC673" s="499">
        <v>125000</v>
      </c>
      <c r="AD673" s="496">
        <v>125000</v>
      </c>
      <c r="AE673" s="500">
        <v>112612.61261261262</v>
      </c>
      <c r="AF673" s="500">
        <v>125000</v>
      </c>
      <c r="AG673" s="805" t="s">
        <v>3883</v>
      </c>
      <c r="AH673" s="651">
        <f>Data2025!W672</f>
        <v>0</v>
      </c>
      <c r="AI673" s="501">
        <v>221</v>
      </c>
    </row>
    <row r="674" spans="1:35" s="501" customFormat="1" ht="16.5" thickTop="1" thickBot="1">
      <c r="A674" s="636">
        <f>Data2025!G673</f>
        <v>0</v>
      </c>
      <c r="B674" s="637">
        <f>Data2025!K673</f>
        <v>0</v>
      </c>
      <c r="C674" s="638">
        <f>Data2025!D673</f>
        <v>0</v>
      </c>
      <c r="D674" s="639">
        <f>Data2025!C673</f>
        <v>0</v>
      </c>
      <c r="E674" s="265">
        <f>Data2025!E673</f>
        <v>0</v>
      </c>
      <c r="F674" s="640">
        <f>Data2025!F673</f>
        <v>0</v>
      </c>
      <c r="G674" s="265">
        <f>Data2025!H673</f>
        <v>0</v>
      </c>
      <c r="H674" s="265">
        <f t="shared" si="34"/>
        <v>0</v>
      </c>
      <c r="I674" s="641">
        <f>Data2025!J673</f>
        <v>0</v>
      </c>
      <c r="J674" s="381">
        <f>Data2025!L673</f>
        <v>0</v>
      </c>
      <c r="K674" s="381">
        <f>Data2025!M673</f>
        <v>0</v>
      </c>
      <c r="L674" s="642">
        <f>Data2025!N673</f>
        <v>0</v>
      </c>
      <c r="M674" s="642">
        <f>Data2025!O673</f>
        <v>0</v>
      </c>
      <c r="N674" s="643">
        <f>Data2025!P673</f>
        <v>0</v>
      </c>
      <c r="O674" s="644">
        <f>Data2025!Q673</f>
        <v>0</v>
      </c>
      <c r="P674" s="645" t="s">
        <v>710</v>
      </c>
      <c r="Q674" s="646" t="e">
        <f>VLOOKUP(K674,Sheet1!$C$1:$D$101,2,)</f>
        <v>#N/A</v>
      </c>
      <c r="R674" s="496">
        <v>240000</v>
      </c>
      <c r="S674" s="504">
        <v>244000</v>
      </c>
      <c r="T674" s="648">
        <f>Data2025!T673</f>
        <v>0</v>
      </c>
      <c r="U674" s="497" t="s">
        <v>538</v>
      </c>
      <c r="V674" s="648">
        <f>Data2025!V673</f>
        <v>0</v>
      </c>
      <c r="W674" s="648">
        <f>Data2025!X673</f>
        <v>0</v>
      </c>
      <c r="X674" s="497" t="s">
        <v>541</v>
      </c>
      <c r="Y674" s="268" t="str">
        <f t="shared" si="35"/>
        <v>Alat Tulis Kantor (ATK)</v>
      </c>
      <c r="Z674" s="649" t="str">
        <f t="shared" si="36"/>
        <v>Alat Tulis Kantor (ATK)</v>
      </c>
      <c r="AA674" s="498" t="s">
        <v>3364</v>
      </c>
      <c r="AB674" s="499">
        <v>120000</v>
      </c>
      <c r="AC674" s="499">
        <v>240000</v>
      </c>
      <c r="AD674" s="496">
        <v>240000</v>
      </c>
      <c r="AE674" s="500">
        <v>216216.21621621621</v>
      </c>
      <c r="AF674" s="500">
        <v>240000</v>
      </c>
      <c r="AG674" s="805" t="s">
        <v>3883</v>
      </c>
      <c r="AH674" s="651">
        <f>Data2025!W673</f>
        <v>0</v>
      </c>
      <c r="AI674" s="501">
        <v>221</v>
      </c>
    </row>
    <row r="675" spans="1:35" s="501" customFormat="1" ht="16.5" thickTop="1" thickBot="1">
      <c r="A675" s="636">
        <f>Data2025!G674</f>
        <v>0</v>
      </c>
      <c r="B675" s="637">
        <f>Data2025!K674</f>
        <v>0</v>
      </c>
      <c r="C675" s="638">
        <f>Data2025!D674</f>
        <v>0</v>
      </c>
      <c r="D675" s="639">
        <f>Data2025!C674</f>
        <v>0</v>
      </c>
      <c r="E675" s="265">
        <f>Data2025!E674</f>
        <v>0</v>
      </c>
      <c r="F675" s="640">
        <f>Data2025!F674</f>
        <v>0</v>
      </c>
      <c r="G675" s="265">
        <f>Data2025!H674</f>
        <v>0</v>
      </c>
      <c r="H675" s="265">
        <f t="shared" si="34"/>
        <v>0</v>
      </c>
      <c r="I675" s="641">
        <f>Data2025!J674</f>
        <v>0</v>
      </c>
      <c r="J675" s="381">
        <f>Data2025!L674</f>
        <v>0</v>
      </c>
      <c r="K675" s="381">
        <f>Data2025!M674</f>
        <v>0</v>
      </c>
      <c r="L675" s="642">
        <f>Data2025!N674</f>
        <v>0</v>
      </c>
      <c r="M675" s="642">
        <f>Data2025!O674</f>
        <v>0</v>
      </c>
      <c r="N675" s="643">
        <f>Data2025!P674</f>
        <v>0</v>
      </c>
      <c r="O675" s="644">
        <f>Data2025!Q674</f>
        <v>0</v>
      </c>
      <c r="P675" s="645" t="s">
        <v>710</v>
      </c>
      <c r="Q675" s="646" t="e">
        <f>VLOOKUP(K675,Sheet1!$C$1:$D$101,2,)</f>
        <v>#N/A</v>
      </c>
      <c r="R675" s="496">
        <v>30000</v>
      </c>
      <c r="S675" s="504">
        <v>34000</v>
      </c>
      <c r="T675" s="648">
        <f>Data2025!T674</f>
        <v>0</v>
      </c>
      <c r="U675" s="497" t="s">
        <v>538</v>
      </c>
      <c r="V675" s="648">
        <f>Data2025!V674</f>
        <v>0</v>
      </c>
      <c r="W675" s="648">
        <f>Data2025!X674</f>
        <v>0</v>
      </c>
      <c r="X675" s="497" t="s">
        <v>541</v>
      </c>
      <c r="Y675" s="268" t="str">
        <f t="shared" si="35"/>
        <v>Alat Tulis Kantor (ATK)</v>
      </c>
      <c r="Z675" s="649" t="str">
        <f t="shared" si="36"/>
        <v>Alat Tulis Kantor (ATK)</v>
      </c>
      <c r="AA675" s="498" t="s">
        <v>3363</v>
      </c>
      <c r="AB675" s="499">
        <v>15000</v>
      </c>
      <c r="AC675" s="499">
        <v>30000</v>
      </c>
      <c r="AD675" s="496">
        <v>30000</v>
      </c>
      <c r="AE675" s="500">
        <v>27027.027027027027</v>
      </c>
      <c r="AF675" s="500">
        <v>30000</v>
      </c>
      <c r="AG675" s="805" t="s">
        <v>3883</v>
      </c>
      <c r="AH675" s="651">
        <f>Data2025!W674</f>
        <v>0</v>
      </c>
      <c r="AI675" s="501">
        <v>221</v>
      </c>
    </row>
    <row r="676" spans="1:35" ht="16.5" thickTop="1" thickBot="1">
      <c r="A676" s="636">
        <f>Data2025!G675</f>
        <v>0</v>
      </c>
      <c r="B676" s="637">
        <f>Data2025!K675</f>
        <v>0</v>
      </c>
      <c r="C676" s="638">
        <f>Data2025!D675</f>
        <v>0</v>
      </c>
      <c r="D676" s="639">
        <f>Data2025!C675</f>
        <v>0</v>
      </c>
      <c r="E676" s="265">
        <f>Data2025!E675</f>
        <v>0</v>
      </c>
      <c r="F676" s="640">
        <f>Data2025!F675</f>
        <v>0</v>
      </c>
      <c r="G676" s="265">
        <f>Data2025!H675</f>
        <v>0</v>
      </c>
      <c r="H676" s="265">
        <f t="shared" si="34"/>
        <v>0</v>
      </c>
      <c r="I676" s="641">
        <f>Data2025!J675</f>
        <v>0</v>
      </c>
      <c r="J676" s="381">
        <f>Data2025!L675</f>
        <v>0</v>
      </c>
      <c r="K676" s="381">
        <f>Data2025!M675</f>
        <v>0</v>
      </c>
      <c r="L676" s="642">
        <f>Data2025!N675</f>
        <v>0</v>
      </c>
      <c r="M676" s="642">
        <f>Data2025!O675</f>
        <v>0</v>
      </c>
      <c r="N676" s="643">
        <f>Data2025!P675</f>
        <v>0</v>
      </c>
      <c r="O676" s="644">
        <f>Data2025!Q675</f>
        <v>0</v>
      </c>
      <c r="P676" s="645" t="s">
        <v>710</v>
      </c>
      <c r="Q676" s="646" t="e">
        <f>VLOOKUP(K676,Sheet1!$C$1:$D$101,2,)</f>
        <v>#N/A</v>
      </c>
      <c r="R676" s="496">
        <v>70800</v>
      </c>
      <c r="S676" s="504">
        <v>74800</v>
      </c>
      <c r="T676" s="648">
        <f>Data2025!T675</f>
        <v>0</v>
      </c>
      <c r="U676" s="497" t="s">
        <v>538</v>
      </c>
      <c r="V676" s="648">
        <f>Data2025!V675</f>
        <v>0</v>
      </c>
      <c r="W676" s="648">
        <f>Data2025!X675</f>
        <v>0</v>
      </c>
      <c r="X676" s="497" t="s">
        <v>541</v>
      </c>
      <c r="Y676" s="268" t="str">
        <f t="shared" si="35"/>
        <v>Alat Tulis Kantor (ATK)</v>
      </c>
      <c r="Z676" s="649" t="str">
        <f t="shared" si="36"/>
        <v>Alat Tulis Kantor (ATK)</v>
      </c>
      <c r="AA676" s="498" t="s">
        <v>3363</v>
      </c>
      <c r="AB676" s="269">
        <v>35400</v>
      </c>
      <c r="AC676" s="269">
        <v>70800</v>
      </c>
      <c r="AD676" s="267">
        <v>70800</v>
      </c>
      <c r="AE676" s="270">
        <v>63783.783783783787</v>
      </c>
      <c r="AF676" s="270">
        <v>70800</v>
      </c>
      <c r="AG676" s="805" t="s">
        <v>3883</v>
      </c>
      <c r="AH676" s="651">
        <f>Data2025!W675</f>
        <v>0</v>
      </c>
      <c r="AI676" s="61">
        <v>221</v>
      </c>
    </row>
    <row r="677" spans="1:35" s="501" customFormat="1" ht="16.5" thickTop="1" thickBot="1">
      <c r="A677" s="636">
        <f>Data2025!G676</f>
        <v>0</v>
      </c>
      <c r="B677" s="637">
        <f>Data2025!K676</f>
        <v>0</v>
      </c>
      <c r="C677" s="638">
        <f>Data2025!D676</f>
        <v>0</v>
      </c>
      <c r="D677" s="639">
        <f>Data2025!C676</f>
        <v>0</v>
      </c>
      <c r="E677" s="265">
        <f>Data2025!E676</f>
        <v>0</v>
      </c>
      <c r="F677" s="640">
        <f>Data2025!F676</f>
        <v>0</v>
      </c>
      <c r="G677" s="265">
        <f>Data2025!H676</f>
        <v>0</v>
      </c>
      <c r="H677" s="265">
        <f t="shared" si="34"/>
        <v>0</v>
      </c>
      <c r="I677" s="641">
        <f>Data2025!J676</f>
        <v>0</v>
      </c>
      <c r="J677" s="381">
        <f>Data2025!L676</f>
        <v>0</v>
      </c>
      <c r="K677" s="381">
        <f>Data2025!M676</f>
        <v>0</v>
      </c>
      <c r="L677" s="642">
        <f>Data2025!N676</f>
        <v>0</v>
      </c>
      <c r="M677" s="642">
        <f>Data2025!O676</f>
        <v>0</v>
      </c>
      <c r="N677" s="643">
        <f>Data2025!P676</f>
        <v>0</v>
      </c>
      <c r="O677" s="644">
        <f>Data2025!Q676</f>
        <v>0</v>
      </c>
      <c r="P677" s="645" t="s">
        <v>710</v>
      </c>
      <c r="Q677" s="646" t="e">
        <f>VLOOKUP(K677,Sheet1!$C$1:$D$101,2,)</f>
        <v>#N/A</v>
      </c>
      <c r="R677" s="496">
        <v>90000</v>
      </c>
      <c r="S677" s="504">
        <v>102000</v>
      </c>
      <c r="T677" s="648">
        <f>Data2025!T676</f>
        <v>0</v>
      </c>
      <c r="U677" s="497" t="s">
        <v>538</v>
      </c>
      <c r="V677" s="648">
        <f>Data2025!V676</f>
        <v>0</v>
      </c>
      <c r="W677" s="648">
        <f>Data2025!X676</f>
        <v>0</v>
      </c>
      <c r="X677" s="497" t="s">
        <v>541</v>
      </c>
      <c r="Y677" s="268" t="str">
        <f t="shared" si="35"/>
        <v>Alat Tulis Kantor (ATK)</v>
      </c>
      <c r="Z677" s="649" t="str">
        <f t="shared" si="36"/>
        <v>Alat Tulis Kantor (ATK)</v>
      </c>
      <c r="AA677" s="498" t="s">
        <v>3363</v>
      </c>
      <c r="AB677" s="499">
        <v>15000</v>
      </c>
      <c r="AC677" s="499">
        <v>90000</v>
      </c>
      <c r="AD677" s="496">
        <v>90000</v>
      </c>
      <c r="AE677" s="500">
        <v>81081.08108108108</v>
      </c>
      <c r="AF677" s="500">
        <v>90000</v>
      </c>
      <c r="AG677" s="805" t="s">
        <v>3883</v>
      </c>
      <c r="AH677" s="651">
        <f>Data2025!W676</f>
        <v>0</v>
      </c>
      <c r="AI677" s="501">
        <v>221</v>
      </c>
    </row>
    <row r="678" spans="1:35" s="501" customFormat="1" ht="16.5" thickTop="1" thickBot="1">
      <c r="A678" s="636">
        <f>Data2025!G677</f>
        <v>0</v>
      </c>
      <c r="B678" s="637">
        <f>Data2025!K677</f>
        <v>0</v>
      </c>
      <c r="C678" s="638">
        <f>Data2025!D677</f>
        <v>0</v>
      </c>
      <c r="D678" s="639">
        <f>Data2025!C677</f>
        <v>0</v>
      </c>
      <c r="E678" s="265">
        <f>Data2025!E677</f>
        <v>0</v>
      </c>
      <c r="F678" s="640">
        <f>Data2025!F677</f>
        <v>0</v>
      </c>
      <c r="G678" s="265">
        <f>Data2025!H677</f>
        <v>0</v>
      </c>
      <c r="H678" s="265">
        <f t="shared" si="34"/>
        <v>0</v>
      </c>
      <c r="I678" s="641">
        <f>Data2025!J677</f>
        <v>0</v>
      </c>
      <c r="J678" s="381">
        <f>Data2025!L677</f>
        <v>0</v>
      </c>
      <c r="K678" s="381">
        <f>Data2025!M677</f>
        <v>0</v>
      </c>
      <c r="L678" s="642">
        <f>Data2025!N677</f>
        <v>0</v>
      </c>
      <c r="M678" s="642">
        <f>Data2025!O677</f>
        <v>0</v>
      </c>
      <c r="N678" s="643">
        <f>Data2025!P677</f>
        <v>0</v>
      </c>
      <c r="O678" s="644">
        <f>Data2025!Q677</f>
        <v>0</v>
      </c>
      <c r="P678" s="645" t="s">
        <v>710</v>
      </c>
      <c r="Q678" s="646" t="e">
        <f>VLOOKUP(K678,Sheet1!$C$1:$D$101,2,)</f>
        <v>#N/A</v>
      </c>
      <c r="R678" s="496">
        <v>25000</v>
      </c>
      <c r="S678" s="504">
        <v>35000</v>
      </c>
      <c r="T678" s="648">
        <f>Data2025!T677</f>
        <v>0</v>
      </c>
      <c r="U678" s="497" t="s">
        <v>538</v>
      </c>
      <c r="V678" s="648">
        <f>Data2025!V677</f>
        <v>0</v>
      </c>
      <c r="W678" s="648">
        <f>Data2025!X677</f>
        <v>0</v>
      </c>
      <c r="X678" s="497" t="s">
        <v>541</v>
      </c>
      <c r="Y678" s="268" t="str">
        <f t="shared" si="35"/>
        <v>Alat Tulis Kantor (ATK)</v>
      </c>
      <c r="Z678" s="649" t="str">
        <f t="shared" si="36"/>
        <v>Alat Tulis Kantor (ATK)</v>
      </c>
      <c r="AA678" s="498" t="s">
        <v>3362</v>
      </c>
      <c r="AB678" s="499">
        <v>5000</v>
      </c>
      <c r="AC678" s="499">
        <v>25000</v>
      </c>
      <c r="AD678" s="496">
        <v>25000</v>
      </c>
      <c r="AE678" s="500">
        <v>22522.522522522522</v>
      </c>
      <c r="AF678" s="500">
        <v>25000</v>
      </c>
      <c r="AG678" s="805" t="s">
        <v>3883</v>
      </c>
      <c r="AH678" s="651">
        <f>Data2025!W677</f>
        <v>0</v>
      </c>
      <c r="AI678" s="501">
        <v>221</v>
      </c>
    </row>
    <row r="679" spans="1:35" ht="16.5" thickTop="1" thickBot="1">
      <c r="A679" s="636">
        <f>Data2025!G678</f>
        <v>0</v>
      </c>
      <c r="B679" s="637">
        <f>Data2025!K678</f>
        <v>0</v>
      </c>
      <c r="C679" s="638">
        <f>Data2025!D678</f>
        <v>0</v>
      </c>
      <c r="D679" s="639">
        <f>Data2025!C678</f>
        <v>0</v>
      </c>
      <c r="E679" s="265">
        <f>Data2025!E678</f>
        <v>0</v>
      </c>
      <c r="F679" s="640">
        <f>Data2025!F678</f>
        <v>0</v>
      </c>
      <c r="G679" s="265">
        <f>Data2025!H678</f>
        <v>0</v>
      </c>
      <c r="H679" s="265">
        <f t="shared" si="34"/>
        <v>0</v>
      </c>
      <c r="I679" s="641">
        <f>Data2025!J678</f>
        <v>0</v>
      </c>
      <c r="J679" s="381">
        <f>Data2025!L678</f>
        <v>0</v>
      </c>
      <c r="K679" s="381">
        <f>Data2025!M678</f>
        <v>0</v>
      </c>
      <c r="L679" s="642">
        <f>Data2025!N678</f>
        <v>0</v>
      </c>
      <c r="M679" s="642">
        <f>Data2025!O678</f>
        <v>0</v>
      </c>
      <c r="N679" s="643">
        <f>Data2025!P678</f>
        <v>0</v>
      </c>
      <c r="O679" s="644">
        <f>Data2025!Q678</f>
        <v>0</v>
      </c>
      <c r="P679" s="645" t="s">
        <v>710</v>
      </c>
      <c r="Q679" s="646" t="e">
        <f>VLOOKUP(K679,Sheet1!$C$1:$D$101,2,)</f>
        <v>#N/A</v>
      </c>
      <c r="R679" s="496">
        <v>100000</v>
      </c>
      <c r="S679" s="504">
        <v>110000</v>
      </c>
      <c r="T679" s="648">
        <f>Data2025!T678</f>
        <v>0</v>
      </c>
      <c r="U679" s="497" t="s">
        <v>538</v>
      </c>
      <c r="V679" s="648">
        <f>Data2025!V678</f>
        <v>0</v>
      </c>
      <c r="W679" s="648">
        <f>Data2025!X678</f>
        <v>0</v>
      </c>
      <c r="X679" s="497" t="s">
        <v>541</v>
      </c>
      <c r="Y679" s="268" t="str">
        <f t="shared" si="35"/>
        <v>Alat Tulis Kantor (ATK)</v>
      </c>
      <c r="Z679" s="649" t="str">
        <f t="shared" si="36"/>
        <v>Alat Tulis Kantor (ATK)</v>
      </c>
      <c r="AA679" s="498" t="s">
        <v>3367</v>
      </c>
      <c r="AB679" s="269">
        <v>20000</v>
      </c>
      <c r="AC679" s="269">
        <v>100000</v>
      </c>
      <c r="AD679" s="267">
        <v>100000</v>
      </c>
      <c r="AE679" s="270">
        <v>90090.090090090089</v>
      </c>
      <c r="AF679" s="270">
        <v>100000</v>
      </c>
      <c r="AG679" s="805" t="s">
        <v>3883</v>
      </c>
      <c r="AH679" s="651">
        <f>Data2025!W678</f>
        <v>0</v>
      </c>
      <c r="AI679" s="61">
        <v>221</v>
      </c>
    </row>
    <row r="680" spans="1:35" ht="16.5" thickTop="1" thickBot="1">
      <c r="A680" s="636">
        <f>Data2025!G679</f>
        <v>0</v>
      </c>
      <c r="B680" s="637">
        <f>Data2025!K679</f>
        <v>0</v>
      </c>
      <c r="C680" s="638">
        <f>Data2025!D679</f>
        <v>0</v>
      </c>
      <c r="D680" s="639">
        <f>Data2025!C679</f>
        <v>0</v>
      </c>
      <c r="E680" s="265">
        <f>Data2025!E679</f>
        <v>0</v>
      </c>
      <c r="F680" s="640">
        <f>Data2025!F679</f>
        <v>0</v>
      </c>
      <c r="G680" s="265">
        <f>Data2025!H679</f>
        <v>0</v>
      </c>
      <c r="H680" s="265">
        <f t="shared" si="34"/>
        <v>0</v>
      </c>
      <c r="I680" s="641">
        <f>Data2025!J679</f>
        <v>0</v>
      </c>
      <c r="J680" s="381">
        <f>Data2025!L679</f>
        <v>0</v>
      </c>
      <c r="K680" s="381">
        <f>Data2025!M679</f>
        <v>0</v>
      </c>
      <c r="L680" s="642">
        <f>Data2025!N679</f>
        <v>0</v>
      </c>
      <c r="M680" s="642">
        <f>Data2025!O679</f>
        <v>0</v>
      </c>
      <c r="N680" s="643">
        <f>Data2025!P679</f>
        <v>0</v>
      </c>
      <c r="O680" s="644">
        <f>Data2025!Q679</f>
        <v>0</v>
      </c>
      <c r="P680" s="645" t="s">
        <v>710</v>
      </c>
      <c r="Q680" s="646" t="e">
        <f>VLOOKUP(K680,Sheet1!$C$1:$D$101,2,)</f>
        <v>#N/A</v>
      </c>
      <c r="R680" s="496">
        <v>50000</v>
      </c>
      <c r="S680" s="504">
        <v>60000</v>
      </c>
      <c r="T680" s="648">
        <f>Data2025!T679</f>
        <v>0</v>
      </c>
      <c r="U680" s="497" t="s">
        <v>538</v>
      </c>
      <c r="V680" s="648">
        <f>Data2025!V679</f>
        <v>0</v>
      </c>
      <c r="W680" s="648">
        <f>Data2025!X679</f>
        <v>0</v>
      </c>
      <c r="X680" s="497" t="s">
        <v>541</v>
      </c>
      <c r="Y680" s="268" t="str">
        <f t="shared" si="35"/>
        <v>Alat Tulis Kantor (ATK)</v>
      </c>
      <c r="Z680" s="649" t="str">
        <f t="shared" si="36"/>
        <v>Alat Tulis Kantor (ATK)</v>
      </c>
      <c r="AA680" s="498" t="s">
        <v>3363</v>
      </c>
      <c r="AB680" s="269">
        <v>10000</v>
      </c>
      <c r="AC680" s="269">
        <v>50000</v>
      </c>
      <c r="AD680" s="267">
        <v>50000</v>
      </c>
      <c r="AE680" s="270">
        <v>45045.045045045044</v>
      </c>
      <c r="AF680" s="270">
        <v>50000</v>
      </c>
      <c r="AG680" s="805" t="s">
        <v>3883</v>
      </c>
      <c r="AH680" s="651">
        <f>Data2025!W679</f>
        <v>0</v>
      </c>
      <c r="AI680" s="61">
        <v>221</v>
      </c>
    </row>
    <row r="681" spans="1:35" ht="16.5" thickTop="1" thickBot="1">
      <c r="A681" s="636">
        <f>Data2025!G680</f>
        <v>0</v>
      </c>
      <c r="B681" s="637">
        <f>Data2025!K680</f>
        <v>0</v>
      </c>
      <c r="C681" s="638">
        <f>Data2025!D680</f>
        <v>0</v>
      </c>
      <c r="D681" s="639">
        <f>Data2025!C680</f>
        <v>0</v>
      </c>
      <c r="E681" s="265">
        <f>Data2025!E680</f>
        <v>0</v>
      </c>
      <c r="F681" s="640">
        <f>Data2025!F680</f>
        <v>0</v>
      </c>
      <c r="G681" s="265">
        <f>Data2025!H680</f>
        <v>0</v>
      </c>
      <c r="H681" s="265">
        <f t="shared" si="34"/>
        <v>0</v>
      </c>
      <c r="I681" s="641">
        <f>Data2025!J680</f>
        <v>0</v>
      </c>
      <c r="J681" s="381">
        <f>Data2025!L680</f>
        <v>0</v>
      </c>
      <c r="K681" s="381">
        <f>Data2025!M680</f>
        <v>0</v>
      </c>
      <c r="L681" s="642">
        <f>Data2025!N680</f>
        <v>0</v>
      </c>
      <c r="M681" s="642">
        <f>Data2025!O680</f>
        <v>0</v>
      </c>
      <c r="N681" s="643">
        <f>Data2025!P680</f>
        <v>0</v>
      </c>
      <c r="O681" s="644">
        <f>Data2025!Q680</f>
        <v>0</v>
      </c>
      <c r="P681" s="645" t="s">
        <v>710</v>
      </c>
      <c r="Q681" s="646" t="e">
        <f>VLOOKUP(K681,Sheet1!$C$1:$D$101,2,)</f>
        <v>#N/A</v>
      </c>
      <c r="R681" s="496">
        <v>100000</v>
      </c>
      <c r="S681" s="504">
        <v>110000</v>
      </c>
      <c r="T681" s="648">
        <f>Data2025!T680</f>
        <v>0</v>
      </c>
      <c r="U681" s="497" t="s">
        <v>538</v>
      </c>
      <c r="V681" s="648">
        <f>Data2025!V680</f>
        <v>0</v>
      </c>
      <c r="W681" s="648">
        <f>Data2025!X680</f>
        <v>0</v>
      </c>
      <c r="X681" s="497" t="s">
        <v>541</v>
      </c>
      <c r="Y681" s="268" t="str">
        <f t="shared" si="35"/>
        <v>Alat Tulis Kantor (ATK)</v>
      </c>
      <c r="Z681" s="649" t="str">
        <f t="shared" si="36"/>
        <v>Alat Tulis Kantor (ATK)</v>
      </c>
      <c r="AA681" s="498" t="s">
        <v>3366</v>
      </c>
      <c r="AB681" s="269">
        <v>20000</v>
      </c>
      <c r="AC681" s="269">
        <v>100000</v>
      </c>
      <c r="AD681" s="267">
        <v>100000</v>
      </c>
      <c r="AE681" s="270">
        <v>90090.090090090089</v>
      </c>
      <c r="AF681" s="270">
        <v>100000</v>
      </c>
      <c r="AG681" s="805" t="s">
        <v>3883</v>
      </c>
      <c r="AH681" s="651">
        <f>Data2025!W680</f>
        <v>0</v>
      </c>
      <c r="AI681" s="61">
        <v>221</v>
      </c>
    </row>
    <row r="682" spans="1:35" s="501" customFormat="1" ht="16.5" thickTop="1" thickBot="1">
      <c r="A682" s="636">
        <f>Data2025!G681</f>
        <v>0</v>
      </c>
      <c r="B682" s="637">
        <f>Data2025!K681</f>
        <v>0</v>
      </c>
      <c r="C682" s="638">
        <f>Data2025!D681</f>
        <v>0</v>
      </c>
      <c r="D682" s="639">
        <f>Data2025!C681</f>
        <v>0</v>
      </c>
      <c r="E682" s="265">
        <f>Data2025!E681</f>
        <v>0</v>
      </c>
      <c r="F682" s="640">
        <f>Data2025!F681</f>
        <v>0</v>
      </c>
      <c r="G682" s="265">
        <f>Data2025!H681</f>
        <v>0</v>
      </c>
      <c r="H682" s="265">
        <f t="shared" si="34"/>
        <v>0</v>
      </c>
      <c r="I682" s="641">
        <f>Data2025!J681</f>
        <v>0</v>
      </c>
      <c r="J682" s="381">
        <f>Data2025!L681</f>
        <v>0</v>
      </c>
      <c r="K682" s="381">
        <f>Data2025!M681</f>
        <v>0</v>
      </c>
      <c r="L682" s="642">
        <f>Data2025!N681</f>
        <v>0</v>
      </c>
      <c r="M682" s="642">
        <f>Data2025!O681</f>
        <v>0</v>
      </c>
      <c r="N682" s="643">
        <f>Data2025!P681</f>
        <v>0</v>
      </c>
      <c r="O682" s="644">
        <f>Data2025!Q681</f>
        <v>0</v>
      </c>
      <c r="P682" s="645" t="s">
        <v>710</v>
      </c>
      <c r="Q682" s="646" t="e">
        <f>VLOOKUP(K682,Sheet1!$C$1:$D$101,2,)</f>
        <v>#N/A</v>
      </c>
      <c r="R682" s="496">
        <v>80000</v>
      </c>
      <c r="S682" s="504">
        <v>82000</v>
      </c>
      <c r="T682" s="648">
        <f>Data2025!T681</f>
        <v>0</v>
      </c>
      <c r="U682" s="497" t="s">
        <v>538</v>
      </c>
      <c r="V682" s="648">
        <f>Data2025!V681</f>
        <v>0</v>
      </c>
      <c r="W682" s="648">
        <f>Data2025!X681</f>
        <v>0</v>
      </c>
      <c r="X682" s="497" t="s">
        <v>541</v>
      </c>
      <c r="Y682" s="268" t="str">
        <f t="shared" si="35"/>
        <v>Alat Tulis Kantor (ATK)</v>
      </c>
      <c r="Z682" s="649" t="str">
        <f t="shared" si="36"/>
        <v>Alat Tulis Kantor (ATK)</v>
      </c>
      <c r="AA682" s="498" t="s">
        <v>3363</v>
      </c>
      <c r="AB682" s="499">
        <v>80000</v>
      </c>
      <c r="AC682" s="499">
        <v>80000</v>
      </c>
      <c r="AD682" s="496">
        <v>80000</v>
      </c>
      <c r="AE682" s="500">
        <v>72072.072072072071</v>
      </c>
      <c r="AF682" s="500">
        <v>80000</v>
      </c>
      <c r="AG682" s="805" t="s">
        <v>3883</v>
      </c>
      <c r="AH682" s="651">
        <f>Data2025!W681</f>
        <v>0</v>
      </c>
      <c r="AI682" s="501">
        <v>221</v>
      </c>
    </row>
    <row r="683" spans="1:35" ht="16.5" thickTop="1" thickBot="1">
      <c r="A683" s="636">
        <f>Data2025!G682</f>
        <v>0</v>
      </c>
      <c r="B683" s="637">
        <f>Data2025!K682</f>
        <v>0</v>
      </c>
      <c r="C683" s="638">
        <f>Data2025!D682</f>
        <v>0</v>
      </c>
      <c r="D683" s="639">
        <f>Data2025!C682</f>
        <v>0</v>
      </c>
      <c r="E683" s="265">
        <f>Data2025!E682</f>
        <v>0</v>
      </c>
      <c r="F683" s="640">
        <f>Data2025!F682</f>
        <v>0</v>
      </c>
      <c r="G683" s="265">
        <f>Data2025!H682</f>
        <v>0</v>
      </c>
      <c r="H683" s="265">
        <f t="shared" si="34"/>
        <v>0</v>
      </c>
      <c r="I683" s="641">
        <f>Data2025!J682</f>
        <v>0</v>
      </c>
      <c r="J683" s="381">
        <f>Data2025!L682</f>
        <v>0</v>
      </c>
      <c r="K683" s="381">
        <f>Data2025!M682</f>
        <v>0</v>
      </c>
      <c r="L683" s="642">
        <f>Data2025!N682</f>
        <v>0</v>
      </c>
      <c r="M683" s="642">
        <f>Data2025!O682</f>
        <v>0</v>
      </c>
      <c r="N683" s="643">
        <f>Data2025!P682</f>
        <v>0</v>
      </c>
      <c r="O683" s="644">
        <f>Data2025!Q682</f>
        <v>0</v>
      </c>
      <c r="P683" s="645" t="s">
        <v>710</v>
      </c>
      <c r="Q683" s="646" t="e">
        <f>VLOOKUP(K683,Sheet1!$C$1:$D$101,2,)</f>
        <v>#N/A</v>
      </c>
      <c r="R683" s="496">
        <v>60000</v>
      </c>
      <c r="S683" s="504">
        <v>66000</v>
      </c>
      <c r="T683" s="648">
        <f>Data2025!T682</f>
        <v>0</v>
      </c>
      <c r="U683" s="497" t="s">
        <v>538</v>
      </c>
      <c r="V683" s="648">
        <f>Data2025!V682</f>
        <v>0</v>
      </c>
      <c r="W683" s="648">
        <f>Data2025!X682</f>
        <v>0</v>
      </c>
      <c r="X683" s="497" t="s">
        <v>541</v>
      </c>
      <c r="Y683" s="268" t="str">
        <f t="shared" si="35"/>
        <v>Alat Tulis Kantor (ATK)</v>
      </c>
      <c r="Z683" s="649" t="str">
        <f t="shared" si="36"/>
        <v>Alat Tulis Kantor (ATK)</v>
      </c>
      <c r="AA683" s="498" t="s">
        <v>3363</v>
      </c>
      <c r="AB683" s="269">
        <v>20000</v>
      </c>
      <c r="AC683" s="269">
        <v>60000</v>
      </c>
      <c r="AD683" s="267">
        <v>60000</v>
      </c>
      <c r="AE683" s="270">
        <v>54054.054054054053</v>
      </c>
      <c r="AF683" s="270">
        <v>60000</v>
      </c>
      <c r="AG683" s="805" t="s">
        <v>3883</v>
      </c>
      <c r="AH683" s="651">
        <f>Data2025!W682</f>
        <v>0</v>
      </c>
      <c r="AI683" s="61">
        <v>221</v>
      </c>
    </row>
    <row r="684" spans="1:35" s="501" customFormat="1" ht="16.5" thickTop="1" thickBot="1">
      <c r="A684" s="636">
        <f>Data2025!G683</f>
        <v>0</v>
      </c>
      <c r="B684" s="637">
        <f>Data2025!K683</f>
        <v>0</v>
      </c>
      <c r="C684" s="638">
        <f>Data2025!D683</f>
        <v>0</v>
      </c>
      <c r="D684" s="639">
        <f>Data2025!C683</f>
        <v>0</v>
      </c>
      <c r="E684" s="265">
        <f>Data2025!E683</f>
        <v>0</v>
      </c>
      <c r="F684" s="640">
        <f>Data2025!F683</f>
        <v>0</v>
      </c>
      <c r="G684" s="265">
        <f>Data2025!H683</f>
        <v>0</v>
      </c>
      <c r="H684" s="265">
        <f t="shared" si="34"/>
        <v>0</v>
      </c>
      <c r="I684" s="641">
        <f>Data2025!J683</f>
        <v>0</v>
      </c>
      <c r="J684" s="381">
        <f>Data2025!L683</f>
        <v>0</v>
      </c>
      <c r="K684" s="381">
        <f>Data2025!M683</f>
        <v>0</v>
      </c>
      <c r="L684" s="642">
        <f>Data2025!N683</f>
        <v>0</v>
      </c>
      <c r="M684" s="642">
        <f>Data2025!O683</f>
        <v>0</v>
      </c>
      <c r="N684" s="643">
        <f>Data2025!P683</f>
        <v>0</v>
      </c>
      <c r="O684" s="644">
        <f>Data2025!Q683</f>
        <v>0</v>
      </c>
      <c r="P684" s="645" t="s">
        <v>710</v>
      </c>
      <c r="Q684" s="646" t="e">
        <f>VLOOKUP(K684,Sheet1!$C$1:$D$101,2,)</f>
        <v>#N/A</v>
      </c>
      <c r="R684" s="496">
        <v>40000</v>
      </c>
      <c r="S684" s="504">
        <v>44000</v>
      </c>
      <c r="T684" s="648">
        <f>Data2025!T683</f>
        <v>0</v>
      </c>
      <c r="U684" s="497" t="s">
        <v>538</v>
      </c>
      <c r="V684" s="648">
        <f>Data2025!V683</f>
        <v>0</v>
      </c>
      <c r="W684" s="648">
        <f>Data2025!X683</f>
        <v>0</v>
      </c>
      <c r="X684" s="497" t="s">
        <v>541</v>
      </c>
      <c r="Y684" s="268" t="str">
        <f t="shared" si="35"/>
        <v>Alat Tulis Kantor (ATK)</v>
      </c>
      <c r="Z684" s="649" t="str">
        <f t="shared" si="36"/>
        <v>Alat Tulis Kantor (ATK)</v>
      </c>
      <c r="AA684" s="498" t="s">
        <v>3363</v>
      </c>
      <c r="AB684" s="499">
        <v>20000</v>
      </c>
      <c r="AC684" s="499">
        <v>40000</v>
      </c>
      <c r="AD684" s="496">
        <v>40000</v>
      </c>
      <c r="AE684" s="500">
        <v>36036.036036036036</v>
      </c>
      <c r="AF684" s="500">
        <v>40000</v>
      </c>
      <c r="AG684" s="805" t="s">
        <v>3883</v>
      </c>
      <c r="AH684" s="651">
        <f>Data2025!W683</f>
        <v>0</v>
      </c>
      <c r="AI684" s="501">
        <v>221</v>
      </c>
    </row>
    <row r="685" spans="1:35" s="501" customFormat="1" ht="16.5" thickTop="1" thickBot="1">
      <c r="A685" s="636">
        <f>Data2025!G684</f>
        <v>0</v>
      </c>
      <c r="B685" s="637">
        <f>Data2025!K684</f>
        <v>0</v>
      </c>
      <c r="C685" s="638">
        <f>Data2025!D684</f>
        <v>0</v>
      </c>
      <c r="D685" s="639">
        <f>Data2025!C684</f>
        <v>0</v>
      </c>
      <c r="E685" s="265">
        <f>Data2025!E684</f>
        <v>0</v>
      </c>
      <c r="F685" s="640">
        <f>Data2025!F684</f>
        <v>0</v>
      </c>
      <c r="G685" s="265">
        <f>Data2025!H684</f>
        <v>0</v>
      </c>
      <c r="H685" s="265">
        <f t="shared" si="34"/>
        <v>0</v>
      </c>
      <c r="I685" s="641">
        <f>Data2025!J684</f>
        <v>0</v>
      </c>
      <c r="J685" s="381">
        <f>Data2025!L684</f>
        <v>0</v>
      </c>
      <c r="K685" s="381">
        <f>Data2025!M684</f>
        <v>0</v>
      </c>
      <c r="L685" s="642">
        <f>Data2025!N684</f>
        <v>0</v>
      </c>
      <c r="M685" s="642">
        <f>Data2025!O684</f>
        <v>0</v>
      </c>
      <c r="N685" s="643">
        <f>Data2025!P684</f>
        <v>0</v>
      </c>
      <c r="O685" s="644">
        <f>Data2025!Q684</f>
        <v>0</v>
      </c>
      <c r="P685" s="645" t="s">
        <v>710</v>
      </c>
      <c r="Q685" s="646" t="e">
        <f>VLOOKUP(K685,Sheet1!$C$1:$D$101,2,)</f>
        <v>#N/A</v>
      </c>
      <c r="R685" s="496">
        <v>50000</v>
      </c>
      <c r="S685" s="504">
        <v>58000</v>
      </c>
      <c r="T685" s="648">
        <f>Data2025!T684</f>
        <v>0</v>
      </c>
      <c r="U685" s="497" t="s">
        <v>538</v>
      </c>
      <c r="V685" s="648">
        <f>Data2025!V684</f>
        <v>0</v>
      </c>
      <c r="W685" s="648">
        <f>Data2025!X684</f>
        <v>0</v>
      </c>
      <c r="X685" s="497" t="s">
        <v>541</v>
      </c>
      <c r="Y685" s="268" t="str">
        <f t="shared" si="35"/>
        <v>Alat Tulis Kantor (ATK)</v>
      </c>
      <c r="Z685" s="649" t="str">
        <f t="shared" si="36"/>
        <v>Alat Tulis Kantor (ATK)</v>
      </c>
      <c r="AA685" s="498" t="s">
        <v>3363</v>
      </c>
      <c r="AB685" s="499">
        <v>12500</v>
      </c>
      <c r="AC685" s="499">
        <v>50000</v>
      </c>
      <c r="AD685" s="496">
        <v>50000</v>
      </c>
      <c r="AE685" s="500">
        <v>45045.045045045044</v>
      </c>
      <c r="AF685" s="500">
        <v>50000</v>
      </c>
      <c r="AG685" s="805" t="s">
        <v>3883</v>
      </c>
      <c r="AH685" s="651">
        <f>Data2025!W684</f>
        <v>0</v>
      </c>
      <c r="AI685" s="501">
        <v>221</v>
      </c>
    </row>
    <row r="686" spans="1:35" s="501" customFormat="1" ht="16.5" thickTop="1" thickBot="1">
      <c r="A686" s="636">
        <f>Data2025!G685</f>
        <v>0</v>
      </c>
      <c r="B686" s="637">
        <f>Data2025!K685</f>
        <v>0</v>
      </c>
      <c r="C686" s="638">
        <f>Data2025!D685</f>
        <v>0</v>
      </c>
      <c r="D686" s="639">
        <f>Data2025!C685</f>
        <v>0</v>
      </c>
      <c r="E686" s="265">
        <f>Data2025!E685</f>
        <v>0</v>
      </c>
      <c r="F686" s="640">
        <f>Data2025!F685</f>
        <v>0</v>
      </c>
      <c r="G686" s="265">
        <f>Data2025!H685</f>
        <v>0</v>
      </c>
      <c r="H686" s="265">
        <f t="shared" si="34"/>
        <v>0</v>
      </c>
      <c r="I686" s="641">
        <f>Data2025!J685</f>
        <v>0</v>
      </c>
      <c r="J686" s="381">
        <f>Data2025!L685</f>
        <v>0</v>
      </c>
      <c r="K686" s="381">
        <f>Data2025!M685</f>
        <v>0</v>
      </c>
      <c r="L686" s="642">
        <f>Data2025!N685</f>
        <v>0</v>
      </c>
      <c r="M686" s="642">
        <f>Data2025!O685</f>
        <v>0</v>
      </c>
      <c r="N686" s="643">
        <f>Data2025!P685</f>
        <v>0</v>
      </c>
      <c r="O686" s="644">
        <f>Data2025!Q685</f>
        <v>0</v>
      </c>
      <c r="P686" s="645" t="s">
        <v>710</v>
      </c>
      <c r="Q686" s="646" t="e">
        <f>VLOOKUP(K686,Sheet1!$C$1:$D$101,2,)</f>
        <v>#N/A</v>
      </c>
      <c r="R686" s="496">
        <v>125000</v>
      </c>
      <c r="S686" s="504">
        <v>135000</v>
      </c>
      <c r="T686" s="648">
        <f>Data2025!T685</f>
        <v>0</v>
      </c>
      <c r="U686" s="497" t="s">
        <v>538</v>
      </c>
      <c r="V686" s="648">
        <f>Data2025!V685</f>
        <v>0</v>
      </c>
      <c r="W686" s="648">
        <f>Data2025!X685</f>
        <v>0</v>
      </c>
      <c r="X686" s="497" t="s">
        <v>541</v>
      </c>
      <c r="Y686" s="268" t="str">
        <f t="shared" si="35"/>
        <v>Alat Tulis Kantor (ATK)</v>
      </c>
      <c r="Z686" s="649" t="str">
        <f t="shared" si="36"/>
        <v>Alat Tulis Kantor (ATK)</v>
      </c>
      <c r="AA686" s="498" t="s">
        <v>3363</v>
      </c>
      <c r="AB686" s="499">
        <v>25000</v>
      </c>
      <c r="AC686" s="499">
        <v>125000</v>
      </c>
      <c r="AD686" s="496">
        <v>125000</v>
      </c>
      <c r="AE686" s="500">
        <v>112612.61261261262</v>
      </c>
      <c r="AF686" s="500">
        <v>125000</v>
      </c>
      <c r="AG686" s="805" t="s">
        <v>3883</v>
      </c>
      <c r="AH686" s="651">
        <f>Data2025!W685</f>
        <v>0</v>
      </c>
      <c r="AI686" s="501">
        <v>221</v>
      </c>
    </row>
    <row r="687" spans="1:35" s="501" customFormat="1" ht="16.5" thickTop="1" thickBot="1">
      <c r="A687" s="636">
        <f>Data2025!G686</f>
        <v>0</v>
      </c>
      <c r="B687" s="637">
        <f>Data2025!K686</f>
        <v>0</v>
      </c>
      <c r="C687" s="638">
        <f>Data2025!D686</f>
        <v>0</v>
      </c>
      <c r="D687" s="639">
        <f>Data2025!C686</f>
        <v>0</v>
      </c>
      <c r="E687" s="265">
        <f>Data2025!E686</f>
        <v>0</v>
      </c>
      <c r="F687" s="640">
        <f>Data2025!F686</f>
        <v>0</v>
      </c>
      <c r="G687" s="265">
        <f>Data2025!H686</f>
        <v>0</v>
      </c>
      <c r="H687" s="265">
        <f t="shared" si="34"/>
        <v>0</v>
      </c>
      <c r="I687" s="641">
        <f>Data2025!J686</f>
        <v>0</v>
      </c>
      <c r="J687" s="381">
        <f>Data2025!L686</f>
        <v>0</v>
      </c>
      <c r="K687" s="381">
        <f>Data2025!M686</f>
        <v>0</v>
      </c>
      <c r="L687" s="642">
        <f>Data2025!N686</f>
        <v>0</v>
      </c>
      <c r="M687" s="642">
        <f>Data2025!O686</f>
        <v>0</v>
      </c>
      <c r="N687" s="643">
        <f>Data2025!P686</f>
        <v>0</v>
      </c>
      <c r="O687" s="644">
        <f>Data2025!Q686</f>
        <v>0</v>
      </c>
      <c r="P687" s="645" t="s">
        <v>710</v>
      </c>
      <c r="Q687" s="646" t="e">
        <f>VLOOKUP(K687,Sheet1!$C$1:$D$101,2,)</f>
        <v>#N/A</v>
      </c>
      <c r="R687" s="496">
        <v>100000</v>
      </c>
      <c r="S687" s="504">
        <v>104000</v>
      </c>
      <c r="T687" s="648">
        <f>Data2025!T686</f>
        <v>0</v>
      </c>
      <c r="U687" s="497" t="s">
        <v>538</v>
      </c>
      <c r="V687" s="648">
        <f>Data2025!V686</f>
        <v>0</v>
      </c>
      <c r="W687" s="648">
        <f>Data2025!X686</f>
        <v>0</v>
      </c>
      <c r="X687" s="497" t="s">
        <v>541</v>
      </c>
      <c r="Y687" s="268" t="str">
        <f t="shared" si="35"/>
        <v>Alat Tulis Kantor (ATK)</v>
      </c>
      <c r="Z687" s="649" t="str">
        <f t="shared" si="36"/>
        <v>Alat Tulis Kantor (ATK)</v>
      </c>
      <c r="AA687" s="498" t="s">
        <v>3363</v>
      </c>
      <c r="AB687" s="499">
        <v>50000</v>
      </c>
      <c r="AC687" s="499">
        <v>100000</v>
      </c>
      <c r="AD687" s="496">
        <v>100000</v>
      </c>
      <c r="AE687" s="500">
        <v>90090.090090090089</v>
      </c>
      <c r="AF687" s="500">
        <v>100000</v>
      </c>
      <c r="AG687" s="805" t="s">
        <v>3883</v>
      </c>
      <c r="AH687" s="651">
        <f>Data2025!W686</f>
        <v>0</v>
      </c>
      <c r="AI687" s="501">
        <v>221</v>
      </c>
    </row>
    <row r="688" spans="1:35" ht="16.5" thickTop="1" thickBot="1">
      <c r="A688" s="636">
        <f>Data2025!G687</f>
        <v>0</v>
      </c>
      <c r="B688" s="637">
        <f>Data2025!K687</f>
        <v>0</v>
      </c>
      <c r="C688" s="638">
        <f>Data2025!D687</f>
        <v>0</v>
      </c>
      <c r="D688" s="639">
        <f>Data2025!C687</f>
        <v>0</v>
      </c>
      <c r="E688" s="265">
        <f>Data2025!E687</f>
        <v>0</v>
      </c>
      <c r="F688" s="640">
        <f>Data2025!F687</f>
        <v>0</v>
      </c>
      <c r="G688" s="265">
        <f>Data2025!H687</f>
        <v>0</v>
      </c>
      <c r="H688" s="265">
        <f t="shared" si="34"/>
        <v>0</v>
      </c>
      <c r="I688" s="641">
        <f>Data2025!J687</f>
        <v>0</v>
      </c>
      <c r="J688" s="381">
        <f>Data2025!L687</f>
        <v>0</v>
      </c>
      <c r="K688" s="381">
        <f>Data2025!M687</f>
        <v>0</v>
      </c>
      <c r="L688" s="642">
        <f>Data2025!N687</f>
        <v>0</v>
      </c>
      <c r="M688" s="642">
        <f>Data2025!O687</f>
        <v>0</v>
      </c>
      <c r="N688" s="643">
        <f>Data2025!P687</f>
        <v>0</v>
      </c>
      <c r="O688" s="644">
        <f>Data2025!Q687</f>
        <v>0</v>
      </c>
      <c r="P688" s="645" t="s">
        <v>1545</v>
      </c>
      <c r="Q688" s="646" t="e">
        <f>VLOOKUP(K688,Sheet1!$C$1:$D$101,2,)</f>
        <v>#N/A</v>
      </c>
      <c r="R688" s="267">
        <v>1250000</v>
      </c>
      <c r="S688" s="647">
        <v>1300000</v>
      </c>
      <c r="T688" s="648">
        <f>Data2025!T687</f>
        <v>0</v>
      </c>
      <c r="U688" s="268" t="s">
        <v>2531</v>
      </c>
      <c r="V688" s="648">
        <f>Data2025!V687</f>
        <v>0</v>
      </c>
      <c r="W688" s="648">
        <f>Data2025!X687</f>
        <v>0</v>
      </c>
      <c r="X688" s="268" t="s">
        <v>2529</v>
      </c>
      <c r="Y688" s="268" t="str">
        <f t="shared" si="35"/>
        <v>Air Mineral</v>
      </c>
      <c r="Z688" s="649" t="str">
        <f t="shared" si="36"/>
        <v>Air Mineral</v>
      </c>
      <c r="AA688" s="650" t="s">
        <v>3372</v>
      </c>
      <c r="AB688" s="269">
        <v>50000</v>
      </c>
      <c r="AC688" s="269">
        <v>1250000</v>
      </c>
      <c r="AD688" s="267">
        <v>1250000</v>
      </c>
      <c r="AE688" s="270">
        <v>1126126.1261261262</v>
      </c>
      <c r="AF688" s="270">
        <v>1250000</v>
      </c>
      <c r="AG688" s="805" t="s">
        <v>3883</v>
      </c>
      <c r="AH688" s="651">
        <f>Data2025!W687</f>
        <v>0</v>
      </c>
      <c r="AI688" s="61">
        <v>222</v>
      </c>
    </row>
    <row r="689" spans="1:36" ht="16.5" thickTop="1" thickBot="1">
      <c r="A689" s="636">
        <f>Data2025!G688</f>
        <v>0</v>
      </c>
      <c r="B689" s="637">
        <f>Data2025!K688</f>
        <v>0</v>
      </c>
      <c r="C689" s="638">
        <f>Data2025!D688</f>
        <v>0</v>
      </c>
      <c r="D689" s="639">
        <f>Data2025!C688</f>
        <v>0</v>
      </c>
      <c r="E689" s="265">
        <f>Data2025!E688</f>
        <v>0</v>
      </c>
      <c r="F689" s="640">
        <f>Data2025!F688</f>
        <v>0</v>
      </c>
      <c r="G689" s="265">
        <f>Data2025!H688</f>
        <v>0</v>
      </c>
      <c r="H689" s="265">
        <f t="shared" si="34"/>
        <v>0</v>
      </c>
      <c r="I689" s="641">
        <f>Data2025!J688</f>
        <v>0</v>
      </c>
      <c r="J689" s="381">
        <f>Data2025!L688</f>
        <v>0</v>
      </c>
      <c r="K689" s="381">
        <f>Data2025!M688</f>
        <v>0</v>
      </c>
      <c r="L689" s="642">
        <f>Data2025!N688</f>
        <v>0</v>
      </c>
      <c r="M689" s="642">
        <f>Data2025!O688</f>
        <v>0</v>
      </c>
      <c r="N689" s="643">
        <f>Data2025!P688</f>
        <v>0</v>
      </c>
      <c r="O689" s="644">
        <f>Data2025!Q688</f>
        <v>0</v>
      </c>
      <c r="P689" s="645" t="s">
        <v>2672</v>
      </c>
      <c r="Q689" s="646" t="e">
        <f>VLOOKUP(K689,Sheet1!$C$1:$D$101,2,)</f>
        <v>#N/A</v>
      </c>
      <c r="R689" s="267">
        <v>1000000</v>
      </c>
      <c r="S689" s="647">
        <v>1002000</v>
      </c>
      <c r="T689" s="648">
        <f>Data2025!T688</f>
        <v>0</v>
      </c>
      <c r="U689" s="268" t="s">
        <v>538</v>
      </c>
      <c r="V689" s="648">
        <f>Data2025!V688</f>
        <v>0</v>
      </c>
      <c r="W689" s="648">
        <f>Data2025!X688</f>
        <v>0</v>
      </c>
      <c r="X689" s="268" t="s">
        <v>540</v>
      </c>
      <c r="Y689" s="268" t="str">
        <f t="shared" si="35"/>
        <v>Jasa Tenaga Operator</v>
      </c>
      <c r="Z689" s="649" t="str">
        <f t="shared" si="36"/>
        <v>Jasa Tenaga Operator</v>
      </c>
      <c r="AA689" s="650" t="s">
        <v>3373</v>
      </c>
      <c r="AB689" s="269">
        <v>1000000</v>
      </c>
      <c r="AC689" s="269">
        <v>1000000</v>
      </c>
      <c r="AD689" s="267">
        <v>1000000</v>
      </c>
      <c r="AE689" s="270">
        <v>900900.90090090095</v>
      </c>
      <c r="AF689" s="270">
        <v>1000000</v>
      </c>
      <c r="AG689" s="805" t="s">
        <v>3883</v>
      </c>
      <c r="AH689" s="651">
        <f>Data2025!W688</f>
        <v>0</v>
      </c>
      <c r="AI689" s="277">
        <v>223</v>
      </c>
      <c r="AJ689" s="277"/>
    </row>
    <row r="690" spans="1:36" ht="16.5" thickTop="1" thickBot="1">
      <c r="A690" s="636">
        <f>Data2025!G689</f>
        <v>0</v>
      </c>
      <c r="B690" s="637">
        <f>Data2025!K689</f>
        <v>0</v>
      </c>
      <c r="C690" s="638">
        <f>Data2025!D689</f>
        <v>0</v>
      </c>
      <c r="D690" s="639">
        <f>Data2025!C689</f>
        <v>0</v>
      </c>
      <c r="E690" s="265">
        <f>Data2025!E689</f>
        <v>0</v>
      </c>
      <c r="F690" s="640">
        <f>Data2025!F689</f>
        <v>0</v>
      </c>
      <c r="G690" s="265">
        <f>Data2025!H689</f>
        <v>0</v>
      </c>
      <c r="H690" s="265">
        <f t="shared" si="34"/>
        <v>0</v>
      </c>
      <c r="I690" s="641">
        <f>Data2025!J689</f>
        <v>0</v>
      </c>
      <c r="J690" s="381">
        <f>Data2025!L689</f>
        <v>0</v>
      </c>
      <c r="K690" s="381">
        <f>Data2025!M689</f>
        <v>0</v>
      </c>
      <c r="L690" s="642">
        <f>Data2025!N689</f>
        <v>0</v>
      </c>
      <c r="M690" s="642">
        <f>Data2025!O689</f>
        <v>0</v>
      </c>
      <c r="N690" s="643">
        <f>Data2025!P689</f>
        <v>0</v>
      </c>
      <c r="O690" s="644">
        <f>Data2025!Q689</f>
        <v>0</v>
      </c>
      <c r="P690" s="645" t="s">
        <v>280</v>
      </c>
      <c r="Q690" s="646" t="e">
        <f>VLOOKUP(K690,Sheet1!$C$1:$D$101,2,)</f>
        <v>#N/A</v>
      </c>
      <c r="R690" s="267">
        <v>900000</v>
      </c>
      <c r="S690" s="647">
        <v>1020000</v>
      </c>
      <c r="T690" s="648">
        <f>Data2025!T689</f>
        <v>0</v>
      </c>
      <c r="U690" s="268" t="s">
        <v>2531</v>
      </c>
      <c r="V690" s="648">
        <f>Data2025!V689</f>
        <v>0</v>
      </c>
      <c r="W690" s="648">
        <f>Data2025!X689</f>
        <v>0</v>
      </c>
      <c r="X690" s="268" t="s">
        <v>2529</v>
      </c>
      <c r="Y690" s="268" t="str">
        <f t="shared" si="35"/>
        <v>Kudapan</v>
      </c>
      <c r="Z690" s="649" t="str">
        <f t="shared" si="36"/>
        <v>Kudapan</v>
      </c>
      <c r="AA690" s="650" t="s">
        <v>3363</v>
      </c>
      <c r="AB690" s="269">
        <v>15000</v>
      </c>
      <c r="AC690" s="269">
        <v>900000</v>
      </c>
      <c r="AD690" s="267">
        <v>900000</v>
      </c>
      <c r="AE690" s="270">
        <v>810810.81081081077</v>
      </c>
      <c r="AF690" s="270">
        <v>900000</v>
      </c>
      <c r="AG690" s="805" t="s">
        <v>3883</v>
      </c>
      <c r="AH690" s="651">
        <f>Data2025!W689</f>
        <v>0</v>
      </c>
      <c r="AI690" s="61">
        <v>224</v>
      </c>
    </row>
    <row r="691" spans="1:36" ht="16.5" thickTop="1" thickBot="1">
      <c r="A691" s="636">
        <f>Data2025!G690</f>
        <v>0</v>
      </c>
      <c r="B691" s="637">
        <f>Data2025!K690</f>
        <v>0</v>
      </c>
      <c r="C691" s="638">
        <f>Data2025!D690</f>
        <v>0</v>
      </c>
      <c r="D691" s="639">
        <f>Data2025!C690</f>
        <v>0</v>
      </c>
      <c r="E691" s="265">
        <f>Data2025!E690</f>
        <v>0</v>
      </c>
      <c r="F691" s="640">
        <f>Data2025!F690</f>
        <v>0</v>
      </c>
      <c r="G691" s="265">
        <f>Data2025!H690</f>
        <v>0</v>
      </c>
      <c r="H691" s="265">
        <f t="shared" si="34"/>
        <v>0</v>
      </c>
      <c r="I691" s="641">
        <f>Data2025!J690</f>
        <v>0</v>
      </c>
      <c r="J691" s="381">
        <f>Data2025!L690</f>
        <v>0</v>
      </c>
      <c r="K691" s="381">
        <f>Data2025!M690</f>
        <v>0</v>
      </c>
      <c r="L691" s="642">
        <f>Data2025!N690</f>
        <v>0</v>
      </c>
      <c r="M691" s="642">
        <f>Data2025!O690</f>
        <v>0</v>
      </c>
      <c r="N691" s="643">
        <f>Data2025!P690</f>
        <v>0</v>
      </c>
      <c r="O691" s="644">
        <f>Data2025!Q690</f>
        <v>0</v>
      </c>
      <c r="P691" s="645" t="s">
        <v>2675</v>
      </c>
      <c r="Q691" s="646" t="e">
        <f>VLOOKUP(K691,Sheet1!$C$1:$D$101,2,)</f>
        <v>#N/A</v>
      </c>
      <c r="R691" s="267">
        <v>4375000</v>
      </c>
      <c r="S691" s="647">
        <v>11136650</v>
      </c>
      <c r="T691" s="648">
        <f>Data2025!T690</f>
        <v>0</v>
      </c>
      <c r="U691" s="268" t="s">
        <v>538</v>
      </c>
      <c r="V691" s="648">
        <f>Data2025!V690</f>
        <v>0</v>
      </c>
      <c r="W691" s="648">
        <f>Data2025!X690</f>
        <v>0</v>
      </c>
      <c r="X691" s="268" t="s">
        <v>541</v>
      </c>
      <c r="Y691" s="268" t="str">
        <f t="shared" si="35"/>
        <v>Penggandaan</v>
      </c>
      <c r="Z691" s="649" t="str">
        <f t="shared" si="36"/>
        <v>Penggandaan</v>
      </c>
      <c r="AA691" s="650" t="s">
        <v>3368</v>
      </c>
      <c r="AB691" s="269">
        <v>350</v>
      </c>
      <c r="AC691" s="269">
        <v>1658650</v>
      </c>
      <c r="AD691" s="267">
        <v>4375000</v>
      </c>
      <c r="AE691" s="270">
        <v>3941441.4414414414</v>
      </c>
      <c r="AF691" s="270">
        <v>4375000</v>
      </c>
      <c r="AG691" s="805" t="s">
        <v>3883</v>
      </c>
      <c r="AH691" s="651">
        <f>Data2025!W690</f>
        <v>0</v>
      </c>
      <c r="AI691" s="61">
        <v>225</v>
      </c>
    </row>
    <row r="692" spans="1:36" ht="16.5" thickTop="1" thickBot="1">
      <c r="A692" s="636">
        <f>Data2025!G691</f>
        <v>0</v>
      </c>
      <c r="B692" s="637">
        <f>Data2025!K691</f>
        <v>0</v>
      </c>
      <c r="C692" s="638">
        <f>Data2025!D691</f>
        <v>0</v>
      </c>
      <c r="D692" s="639">
        <f>Data2025!C691</f>
        <v>0</v>
      </c>
      <c r="E692" s="265">
        <f>Data2025!E691</f>
        <v>0</v>
      </c>
      <c r="F692" s="640">
        <f>Data2025!F691</f>
        <v>0</v>
      </c>
      <c r="G692" s="265">
        <f>Data2025!H691</f>
        <v>0</v>
      </c>
      <c r="H692" s="265">
        <f t="shared" si="34"/>
        <v>0</v>
      </c>
      <c r="I692" s="641">
        <f>Data2025!J691</f>
        <v>0</v>
      </c>
      <c r="J692" s="381">
        <f>Data2025!L691</f>
        <v>0</v>
      </c>
      <c r="K692" s="381">
        <f>Data2025!M691</f>
        <v>0</v>
      </c>
      <c r="L692" s="642">
        <f>Data2025!N691</f>
        <v>0</v>
      </c>
      <c r="M692" s="642">
        <f>Data2025!O691</f>
        <v>0</v>
      </c>
      <c r="N692" s="643">
        <f>Data2025!P691</f>
        <v>0</v>
      </c>
      <c r="O692" s="644">
        <f>Data2025!Q691</f>
        <v>0</v>
      </c>
      <c r="P692" s="645" t="s">
        <v>799</v>
      </c>
      <c r="Q692" s="646" t="e">
        <f>VLOOKUP(K692,Sheet1!$C$1:$D$101,2,)</f>
        <v>#N/A</v>
      </c>
      <c r="R692" s="267">
        <v>1633800</v>
      </c>
      <c r="S692" s="647">
        <v>1675800</v>
      </c>
      <c r="T692" s="648">
        <f>Data2025!T691</f>
        <v>0</v>
      </c>
      <c r="U692" s="268" t="s">
        <v>3392</v>
      </c>
      <c r="V692" s="648">
        <f>Data2025!V691</f>
        <v>0</v>
      </c>
      <c r="W692" s="648">
        <f>Data2025!X691</f>
        <v>0</v>
      </c>
      <c r="X692" s="268" t="s">
        <v>2723</v>
      </c>
      <c r="Y692" s="268" t="str">
        <f t="shared" si="35"/>
        <v>Peralatan Listrik</v>
      </c>
      <c r="Z692" s="649" t="str">
        <f t="shared" si="36"/>
        <v>Peralatan Listrik</v>
      </c>
      <c r="AA692" s="650" t="s">
        <v>3363</v>
      </c>
      <c r="AB692" s="269">
        <v>77800</v>
      </c>
      <c r="AC692" s="269">
        <v>1633800</v>
      </c>
      <c r="AD692" s="267">
        <v>1633800</v>
      </c>
      <c r="AE692" s="270">
        <v>1471891.8918918918</v>
      </c>
      <c r="AF692" s="270">
        <v>1633800</v>
      </c>
      <c r="AG692" s="805" t="s">
        <v>3883</v>
      </c>
      <c r="AH692" s="651">
        <f>Data2025!W691</f>
        <v>0</v>
      </c>
      <c r="AI692" s="277">
        <v>226</v>
      </c>
      <c r="AJ692" s="277"/>
    </row>
    <row r="693" spans="1:36" s="501" customFormat="1" ht="16.5" thickTop="1" thickBot="1">
      <c r="A693" s="636">
        <f>Data2025!G692</f>
        <v>0</v>
      </c>
      <c r="B693" s="637">
        <f>Data2025!K692</f>
        <v>0</v>
      </c>
      <c r="C693" s="638">
        <f>Data2025!D692</f>
        <v>0</v>
      </c>
      <c r="D693" s="639">
        <f>Data2025!C692</f>
        <v>0</v>
      </c>
      <c r="E693" s="265">
        <f>Data2025!E692</f>
        <v>0</v>
      </c>
      <c r="F693" s="640">
        <f>Data2025!F692</f>
        <v>0</v>
      </c>
      <c r="G693" s="265">
        <f>Data2025!H692</f>
        <v>0</v>
      </c>
      <c r="H693" s="265">
        <f t="shared" si="34"/>
        <v>0</v>
      </c>
      <c r="I693" s="641">
        <f>Data2025!J692</f>
        <v>0</v>
      </c>
      <c r="J693" s="381">
        <f>Data2025!L692</f>
        <v>0</v>
      </c>
      <c r="K693" s="381">
        <f>Data2025!M692</f>
        <v>0</v>
      </c>
      <c r="L693" s="642">
        <f>Data2025!N692</f>
        <v>0</v>
      </c>
      <c r="M693" s="642">
        <f>Data2025!O692</f>
        <v>0</v>
      </c>
      <c r="N693" s="643">
        <f>Data2025!P692</f>
        <v>0</v>
      </c>
      <c r="O693" s="644">
        <f>Data2025!Q692</f>
        <v>0</v>
      </c>
      <c r="P693" s="645" t="s">
        <v>710</v>
      </c>
      <c r="Q693" s="646" t="e">
        <f>VLOOKUP(K693,Sheet1!$C$1:$D$101,2,)</f>
        <v>#N/A</v>
      </c>
      <c r="R693" s="496">
        <v>55000</v>
      </c>
      <c r="S693" s="504">
        <v>65000</v>
      </c>
      <c r="T693" s="648">
        <f>Data2025!T692</f>
        <v>0</v>
      </c>
      <c r="U693" s="497" t="s">
        <v>538</v>
      </c>
      <c r="V693" s="648">
        <f>Data2025!V692</f>
        <v>0</v>
      </c>
      <c r="W693" s="648">
        <f>Data2025!X692</f>
        <v>0</v>
      </c>
      <c r="X693" s="497" t="s">
        <v>541</v>
      </c>
      <c r="Y693" s="268" t="str">
        <f t="shared" si="35"/>
        <v>Alat Tulis Kantor (ATK)</v>
      </c>
      <c r="Z693" s="649" t="str">
        <f t="shared" si="36"/>
        <v>Alat Tulis Kantor (ATK)</v>
      </c>
      <c r="AA693" s="498" t="s">
        <v>3362</v>
      </c>
      <c r="AB693" s="499">
        <v>11000</v>
      </c>
      <c r="AC693" s="499">
        <v>55000</v>
      </c>
      <c r="AD693" s="496">
        <v>55000</v>
      </c>
      <c r="AE693" s="500">
        <v>49549.549549549549</v>
      </c>
      <c r="AF693" s="500">
        <v>55000</v>
      </c>
      <c r="AG693" s="805" t="s">
        <v>3883</v>
      </c>
      <c r="AH693" s="651">
        <f>Data2025!W692</f>
        <v>0</v>
      </c>
      <c r="AI693" s="501">
        <v>227</v>
      </c>
    </row>
    <row r="694" spans="1:36" s="501" customFormat="1" ht="16.5" thickTop="1" thickBot="1">
      <c r="A694" s="636">
        <f>Data2025!G693</f>
        <v>0</v>
      </c>
      <c r="B694" s="637">
        <f>Data2025!K693</f>
        <v>0</v>
      </c>
      <c r="C694" s="638">
        <f>Data2025!D693</f>
        <v>0</v>
      </c>
      <c r="D694" s="639">
        <f>Data2025!C693</f>
        <v>0</v>
      </c>
      <c r="E694" s="265">
        <f>Data2025!E693</f>
        <v>0</v>
      </c>
      <c r="F694" s="640">
        <f>Data2025!F693</f>
        <v>0</v>
      </c>
      <c r="G694" s="265">
        <f>Data2025!H693</f>
        <v>0</v>
      </c>
      <c r="H694" s="265">
        <f t="shared" si="34"/>
        <v>0</v>
      </c>
      <c r="I694" s="641">
        <f>Data2025!J693</f>
        <v>0</v>
      </c>
      <c r="J694" s="381">
        <f>Data2025!L693</f>
        <v>0</v>
      </c>
      <c r="K694" s="381">
        <f>Data2025!M693</f>
        <v>0</v>
      </c>
      <c r="L694" s="642">
        <f>Data2025!N693</f>
        <v>0</v>
      </c>
      <c r="M694" s="642">
        <f>Data2025!O693</f>
        <v>0</v>
      </c>
      <c r="N694" s="643">
        <f>Data2025!P693</f>
        <v>0</v>
      </c>
      <c r="O694" s="644">
        <f>Data2025!Q693</f>
        <v>0</v>
      </c>
      <c r="P694" s="645" t="s">
        <v>710</v>
      </c>
      <c r="Q694" s="646" t="e">
        <f>VLOOKUP(K694,Sheet1!$C$1:$D$101,2,)</f>
        <v>#N/A</v>
      </c>
      <c r="R694" s="496">
        <v>95000</v>
      </c>
      <c r="S694" s="504">
        <v>97000</v>
      </c>
      <c r="T694" s="648">
        <f>Data2025!T693</f>
        <v>0</v>
      </c>
      <c r="U694" s="497" t="s">
        <v>538</v>
      </c>
      <c r="V694" s="648">
        <f>Data2025!V693</f>
        <v>0</v>
      </c>
      <c r="W694" s="648">
        <f>Data2025!X693</f>
        <v>0</v>
      </c>
      <c r="X694" s="497" t="s">
        <v>541</v>
      </c>
      <c r="Y694" s="268" t="str">
        <f t="shared" si="35"/>
        <v>Alat Tulis Kantor (ATK)</v>
      </c>
      <c r="Z694" s="649" t="str">
        <f t="shared" si="36"/>
        <v>Alat Tulis Kantor (ATK)</v>
      </c>
      <c r="AA694" s="498" t="s">
        <v>3364</v>
      </c>
      <c r="AB694" s="499">
        <v>95000</v>
      </c>
      <c r="AC694" s="499">
        <v>95000</v>
      </c>
      <c r="AD694" s="496">
        <v>95000</v>
      </c>
      <c r="AE694" s="500">
        <v>85585.585585585592</v>
      </c>
      <c r="AF694" s="500">
        <v>95000</v>
      </c>
      <c r="AG694" s="805" t="s">
        <v>3883</v>
      </c>
      <c r="AH694" s="651">
        <f>Data2025!W693</f>
        <v>0</v>
      </c>
      <c r="AI694" s="502">
        <v>227</v>
      </c>
      <c r="AJ694" s="502"/>
    </row>
    <row r="695" spans="1:36" s="501" customFormat="1" ht="16.5" thickTop="1" thickBot="1">
      <c r="A695" s="636">
        <f>Data2025!G694</f>
        <v>0</v>
      </c>
      <c r="B695" s="637">
        <f>Data2025!K694</f>
        <v>0</v>
      </c>
      <c r="C695" s="638">
        <f>Data2025!D694</f>
        <v>0</v>
      </c>
      <c r="D695" s="639">
        <f>Data2025!C694</f>
        <v>0</v>
      </c>
      <c r="E695" s="265">
        <f>Data2025!E694</f>
        <v>0</v>
      </c>
      <c r="F695" s="640">
        <f>Data2025!F694</f>
        <v>0</v>
      </c>
      <c r="G695" s="265">
        <f>Data2025!H694</f>
        <v>0</v>
      </c>
      <c r="H695" s="265">
        <f t="shared" si="34"/>
        <v>0</v>
      </c>
      <c r="I695" s="641">
        <f>Data2025!J694</f>
        <v>0</v>
      </c>
      <c r="J695" s="381">
        <f>Data2025!L694</f>
        <v>0</v>
      </c>
      <c r="K695" s="381">
        <f>Data2025!M694</f>
        <v>0</v>
      </c>
      <c r="L695" s="642">
        <f>Data2025!N694</f>
        <v>0</v>
      </c>
      <c r="M695" s="642">
        <f>Data2025!O694</f>
        <v>0</v>
      </c>
      <c r="N695" s="643">
        <f>Data2025!P694</f>
        <v>0</v>
      </c>
      <c r="O695" s="644">
        <f>Data2025!Q694</f>
        <v>0</v>
      </c>
      <c r="P695" s="645" t="s">
        <v>710</v>
      </c>
      <c r="Q695" s="646" t="e">
        <f>VLOOKUP(K695,Sheet1!$C$1:$D$101,2,)</f>
        <v>#N/A</v>
      </c>
      <c r="R695" s="496">
        <v>550000</v>
      </c>
      <c r="S695" s="504">
        <v>750000</v>
      </c>
      <c r="T695" s="648">
        <f>Data2025!T694</f>
        <v>0</v>
      </c>
      <c r="U695" s="497" t="s">
        <v>538</v>
      </c>
      <c r="V695" s="648">
        <f>Data2025!V694</f>
        <v>0</v>
      </c>
      <c r="W695" s="648">
        <f>Data2025!X694</f>
        <v>0</v>
      </c>
      <c r="X695" s="497" t="s">
        <v>541</v>
      </c>
      <c r="Y695" s="268" t="str">
        <f t="shared" si="35"/>
        <v>Alat Tulis Kantor (ATK)</v>
      </c>
      <c r="Z695" s="649" t="str">
        <f t="shared" si="36"/>
        <v>Alat Tulis Kantor (ATK)</v>
      </c>
      <c r="AA695" s="498" t="s">
        <v>3363</v>
      </c>
      <c r="AB695" s="499">
        <v>5500</v>
      </c>
      <c r="AC695" s="499">
        <v>550000</v>
      </c>
      <c r="AD695" s="496">
        <v>550000</v>
      </c>
      <c r="AE695" s="500">
        <v>495495.4954954955</v>
      </c>
      <c r="AF695" s="500">
        <v>550000</v>
      </c>
      <c r="AG695" s="805" t="s">
        <v>3883</v>
      </c>
      <c r="AH695" s="651">
        <f>Data2025!W694</f>
        <v>0</v>
      </c>
      <c r="AI695" s="501">
        <v>227</v>
      </c>
    </row>
    <row r="696" spans="1:36" s="501" customFormat="1" ht="16.5" thickTop="1" thickBot="1">
      <c r="A696" s="636">
        <f>Data2025!G695</f>
        <v>0</v>
      </c>
      <c r="B696" s="637">
        <f>Data2025!K695</f>
        <v>0</v>
      </c>
      <c r="C696" s="638">
        <f>Data2025!D695</f>
        <v>0</v>
      </c>
      <c r="D696" s="639">
        <f>Data2025!C695</f>
        <v>0</v>
      </c>
      <c r="E696" s="265">
        <f>Data2025!E695</f>
        <v>0</v>
      </c>
      <c r="F696" s="640">
        <f>Data2025!F695</f>
        <v>0</v>
      </c>
      <c r="G696" s="265">
        <f>Data2025!H695</f>
        <v>0</v>
      </c>
      <c r="H696" s="265">
        <f t="shared" si="34"/>
        <v>0</v>
      </c>
      <c r="I696" s="641">
        <f>Data2025!J695</f>
        <v>0</v>
      </c>
      <c r="J696" s="381">
        <f>Data2025!L695</f>
        <v>0</v>
      </c>
      <c r="K696" s="381">
        <f>Data2025!M695</f>
        <v>0</v>
      </c>
      <c r="L696" s="642">
        <f>Data2025!N695</f>
        <v>0</v>
      </c>
      <c r="M696" s="642">
        <f>Data2025!O695</f>
        <v>0</v>
      </c>
      <c r="N696" s="643">
        <f>Data2025!P695</f>
        <v>0</v>
      </c>
      <c r="O696" s="644">
        <f>Data2025!Q695</f>
        <v>0</v>
      </c>
      <c r="P696" s="645" t="s">
        <v>710</v>
      </c>
      <c r="Q696" s="646" t="e">
        <f>VLOOKUP(K696,Sheet1!$C$1:$D$101,2,)</f>
        <v>#N/A</v>
      </c>
      <c r="R696" s="496">
        <v>120000</v>
      </c>
      <c r="S696" s="504">
        <v>124000</v>
      </c>
      <c r="T696" s="648">
        <f>Data2025!T695</f>
        <v>0</v>
      </c>
      <c r="U696" s="497" t="s">
        <v>538</v>
      </c>
      <c r="V696" s="648">
        <f>Data2025!V695</f>
        <v>0</v>
      </c>
      <c r="W696" s="648">
        <f>Data2025!X695</f>
        <v>0</v>
      </c>
      <c r="X696" s="497" t="s">
        <v>541</v>
      </c>
      <c r="Y696" s="268" t="str">
        <f t="shared" si="35"/>
        <v>Alat Tulis Kantor (ATK)</v>
      </c>
      <c r="Z696" s="649" t="str">
        <f t="shared" si="36"/>
        <v>Alat Tulis Kantor (ATK)</v>
      </c>
      <c r="AA696" s="498" t="s">
        <v>3365</v>
      </c>
      <c r="AB696" s="499">
        <v>60000</v>
      </c>
      <c r="AC696" s="499">
        <v>120000</v>
      </c>
      <c r="AD696" s="496">
        <v>120000</v>
      </c>
      <c r="AE696" s="500">
        <v>108108.10810810811</v>
      </c>
      <c r="AF696" s="500">
        <v>120000</v>
      </c>
      <c r="AG696" s="805" t="s">
        <v>3883</v>
      </c>
      <c r="AH696" s="651">
        <f>Data2025!W695</f>
        <v>0</v>
      </c>
      <c r="AI696" s="501">
        <v>227</v>
      </c>
    </row>
    <row r="697" spans="1:36" s="501" customFormat="1" ht="16.5" thickTop="1" thickBot="1">
      <c r="A697" s="636">
        <f>Data2025!G696</f>
        <v>0</v>
      </c>
      <c r="B697" s="637">
        <f>Data2025!K696</f>
        <v>0</v>
      </c>
      <c r="C697" s="638">
        <f>Data2025!D696</f>
        <v>0</v>
      </c>
      <c r="D697" s="639">
        <f>Data2025!C696</f>
        <v>0</v>
      </c>
      <c r="E697" s="265">
        <f>Data2025!E696</f>
        <v>0</v>
      </c>
      <c r="F697" s="640">
        <f>Data2025!F696</f>
        <v>0</v>
      </c>
      <c r="G697" s="265">
        <f>Data2025!H696</f>
        <v>0</v>
      </c>
      <c r="H697" s="265">
        <f t="shared" si="34"/>
        <v>0</v>
      </c>
      <c r="I697" s="641">
        <f>Data2025!J696</f>
        <v>0</v>
      </c>
      <c r="J697" s="381">
        <f>Data2025!L696</f>
        <v>0</v>
      </c>
      <c r="K697" s="381">
        <f>Data2025!M696</f>
        <v>0</v>
      </c>
      <c r="L697" s="642">
        <f>Data2025!N696</f>
        <v>0</v>
      </c>
      <c r="M697" s="642">
        <f>Data2025!O696</f>
        <v>0</v>
      </c>
      <c r="N697" s="643">
        <f>Data2025!P696</f>
        <v>0</v>
      </c>
      <c r="O697" s="644">
        <f>Data2025!Q696</f>
        <v>0</v>
      </c>
      <c r="P697" s="645" t="s">
        <v>710</v>
      </c>
      <c r="Q697" s="646" t="e">
        <f>VLOOKUP(K697,Sheet1!$C$1:$D$101,2,)</f>
        <v>#N/A</v>
      </c>
      <c r="R697" s="496">
        <v>40000</v>
      </c>
      <c r="S697" s="504">
        <v>44000</v>
      </c>
      <c r="T697" s="648">
        <f>Data2025!T696</f>
        <v>0</v>
      </c>
      <c r="U697" s="497" t="s">
        <v>538</v>
      </c>
      <c r="V697" s="648">
        <f>Data2025!V696</f>
        <v>0</v>
      </c>
      <c r="W697" s="648">
        <f>Data2025!X696</f>
        <v>0</v>
      </c>
      <c r="X697" s="497" t="s">
        <v>541</v>
      </c>
      <c r="Y697" s="268" t="str">
        <f t="shared" si="35"/>
        <v>Alat Tulis Kantor (ATK)</v>
      </c>
      <c r="Z697" s="649" t="str">
        <f t="shared" si="36"/>
        <v>Alat Tulis Kantor (ATK)</v>
      </c>
      <c r="AA697" s="498" t="s">
        <v>3363</v>
      </c>
      <c r="AB697" s="499">
        <v>20000</v>
      </c>
      <c r="AC697" s="499">
        <v>40000</v>
      </c>
      <c r="AD697" s="496">
        <v>40000</v>
      </c>
      <c r="AE697" s="500">
        <v>36036.036036036036</v>
      </c>
      <c r="AF697" s="500">
        <v>40000</v>
      </c>
      <c r="AG697" s="805" t="s">
        <v>3883</v>
      </c>
      <c r="AH697" s="651">
        <f>Data2025!W696</f>
        <v>0</v>
      </c>
      <c r="AI697" s="501">
        <v>227</v>
      </c>
    </row>
    <row r="698" spans="1:36" s="501" customFormat="1" ht="16.5" thickTop="1" thickBot="1">
      <c r="A698" s="636">
        <f>Data2025!G697</f>
        <v>0</v>
      </c>
      <c r="B698" s="637">
        <f>Data2025!K697</f>
        <v>0</v>
      </c>
      <c r="C698" s="638">
        <f>Data2025!D697</f>
        <v>0</v>
      </c>
      <c r="D698" s="639">
        <f>Data2025!C697</f>
        <v>0</v>
      </c>
      <c r="E698" s="265">
        <f>Data2025!E697</f>
        <v>0</v>
      </c>
      <c r="F698" s="640">
        <f>Data2025!F697</f>
        <v>0</v>
      </c>
      <c r="G698" s="265">
        <f>Data2025!H697</f>
        <v>0</v>
      </c>
      <c r="H698" s="265">
        <f t="shared" si="34"/>
        <v>0</v>
      </c>
      <c r="I698" s="641">
        <f>Data2025!J697</f>
        <v>0</v>
      </c>
      <c r="J698" s="381">
        <f>Data2025!L697</f>
        <v>0</v>
      </c>
      <c r="K698" s="381">
        <f>Data2025!M697</f>
        <v>0</v>
      </c>
      <c r="L698" s="642">
        <f>Data2025!N697</f>
        <v>0</v>
      </c>
      <c r="M698" s="642">
        <f>Data2025!O697</f>
        <v>0</v>
      </c>
      <c r="N698" s="643">
        <f>Data2025!P697</f>
        <v>0</v>
      </c>
      <c r="O698" s="644">
        <f>Data2025!Q697</f>
        <v>0</v>
      </c>
      <c r="P698" s="645" t="s">
        <v>710</v>
      </c>
      <c r="Q698" s="646" t="e">
        <f>VLOOKUP(K698,Sheet1!$C$1:$D$101,2,)</f>
        <v>#N/A</v>
      </c>
      <c r="R698" s="496">
        <v>155000</v>
      </c>
      <c r="S698" s="504">
        <v>165000</v>
      </c>
      <c r="T698" s="648">
        <f>Data2025!T697</f>
        <v>0</v>
      </c>
      <c r="U698" s="497" t="s">
        <v>538</v>
      </c>
      <c r="V698" s="648">
        <f>Data2025!V697</f>
        <v>0</v>
      </c>
      <c r="W698" s="648">
        <f>Data2025!X697</f>
        <v>0</v>
      </c>
      <c r="X698" s="497" t="s">
        <v>541</v>
      </c>
      <c r="Y698" s="268" t="str">
        <f t="shared" si="35"/>
        <v>Alat Tulis Kantor (ATK)</v>
      </c>
      <c r="Z698" s="649" t="str">
        <f t="shared" si="36"/>
        <v>Alat Tulis Kantor (ATK)</v>
      </c>
      <c r="AA698" s="498" t="s">
        <v>3365</v>
      </c>
      <c r="AB698" s="499">
        <v>31000</v>
      </c>
      <c r="AC698" s="499">
        <v>155000</v>
      </c>
      <c r="AD698" s="496">
        <v>155000</v>
      </c>
      <c r="AE698" s="500">
        <v>139639.63963963964</v>
      </c>
      <c r="AF698" s="500">
        <v>155000</v>
      </c>
      <c r="AG698" s="805" t="s">
        <v>3883</v>
      </c>
      <c r="AH698" s="651">
        <f>Data2025!W697</f>
        <v>0</v>
      </c>
      <c r="AI698" s="501">
        <v>227</v>
      </c>
    </row>
    <row r="699" spans="1:36" s="501" customFormat="1" ht="16.5" thickTop="1" thickBot="1">
      <c r="A699" s="636">
        <f>Data2025!G698</f>
        <v>0</v>
      </c>
      <c r="B699" s="637">
        <f>Data2025!K698</f>
        <v>0</v>
      </c>
      <c r="C699" s="638">
        <f>Data2025!D698</f>
        <v>0</v>
      </c>
      <c r="D699" s="639">
        <f>Data2025!C698</f>
        <v>0</v>
      </c>
      <c r="E699" s="265">
        <f>Data2025!E698</f>
        <v>0</v>
      </c>
      <c r="F699" s="640">
        <f>Data2025!F698</f>
        <v>0</v>
      </c>
      <c r="G699" s="265">
        <f>Data2025!H698</f>
        <v>0</v>
      </c>
      <c r="H699" s="265">
        <f t="shared" si="34"/>
        <v>0</v>
      </c>
      <c r="I699" s="641">
        <f>Data2025!J698</f>
        <v>0</v>
      </c>
      <c r="J699" s="381">
        <f>Data2025!L698</f>
        <v>0</v>
      </c>
      <c r="K699" s="381">
        <f>Data2025!M698</f>
        <v>0</v>
      </c>
      <c r="L699" s="642">
        <f>Data2025!N698</f>
        <v>0</v>
      </c>
      <c r="M699" s="642">
        <f>Data2025!O698</f>
        <v>0</v>
      </c>
      <c r="N699" s="643">
        <f>Data2025!P698</f>
        <v>0</v>
      </c>
      <c r="O699" s="644">
        <f>Data2025!Q698</f>
        <v>0</v>
      </c>
      <c r="P699" s="645" t="s">
        <v>710</v>
      </c>
      <c r="Q699" s="646" t="e">
        <f>VLOOKUP(K699,Sheet1!$C$1:$D$101,2,)</f>
        <v>#N/A</v>
      </c>
      <c r="R699" s="496">
        <v>40000</v>
      </c>
      <c r="S699" s="504">
        <v>44000</v>
      </c>
      <c r="T699" s="648">
        <f>Data2025!T698</f>
        <v>0</v>
      </c>
      <c r="U699" s="497" t="s">
        <v>538</v>
      </c>
      <c r="V699" s="648">
        <f>Data2025!V698</f>
        <v>0</v>
      </c>
      <c r="W699" s="648">
        <f>Data2025!X698</f>
        <v>0</v>
      </c>
      <c r="X699" s="497" t="s">
        <v>541</v>
      </c>
      <c r="Y699" s="268" t="str">
        <f t="shared" si="35"/>
        <v>Alat Tulis Kantor (ATK)</v>
      </c>
      <c r="Z699" s="649" t="str">
        <f t="shared" si="36"/>
        <v>Alat Tulis Kantor (ATK)</v>
      </c>
      <c r="AA699" s="498" t="s">
        <v>3366</v>
      </c>
      <c r="AB699" s="499">
        <v>20000</v>
      </c>
      <c r="AC699" s="499">
        <v>40000</v>
      </c>
      <c r="AD699" s="496">
        <v>40000</v>
      </c>
      <c r="AE699" s="500">
        <v>36036.036036036036</v>
      </c>
      <c r="AF699" s="500">
        <v>40000</v>
      </c>
      <c r="AG699" s="805" t="s">
        <v>3883</v>
      </c>
      <c r="AH699" s="651">
        <f>Data2025!W698</f>
        <v>0</v>
      </c>
      <c r="AI699" s="501">
        <v>227</v>
      </c>
    </row>
    <row r="700" spans="1:36" s="501" customFormat="1" ht="16.5" thickTop="1" thickBot="1">
      <c r="A700" s="636">
        <f>Data2025!G699</f>
        <v>0</v>
      </c>
      <c r="B700" s="637">
        <f>Data2025!K699</f>
        <v>0</v>
      </c>
      <c r="C700" s="638">
        <f>Data2025!D699</f>
        <v>0</v>
      </c>
      <c r="D700" s="639">
        <f>Data2025!C699</f>
        <v>0</v>
      </c>
      <c r="E700" s="265">
        <f>Data2025!E699</f>
        <v>0</v>
      </c>
      <c r="F700" s="640">
        <f>Data2025!F699</f>
        <v>0</v>
      </c>
      <c r="G700" s="265">
        <f>Data2025!H699</f>
        <v>0</v>
      </c>
      <c r="H700" s="265">
        <f t="shared" si="34"/>
        <v>0</v>
      </c>
      <c r="I700" s="641">
        <f>Data2025!J699</f>
        <v>0</v>
      </c>
      <c r="J700" s="381">
        <f>Data2025!L699</f>
        <v>0</v>
      </c>
      <c r="K700" s="381">
        <f>Data2025!M699</f>
        <v>0</v>
      </c>
      <c r="L700" s="642">
        <f>Data2025!N699</f>
        <v>0</v>
      </c>
      <c r="M700" s="642">
        <f>Data2025!O699</f>
        <v>0</v>
      </c>
      <c r="N700" s="643">
        <f>Data2025!P699</f>
        <v>0</v>
      </c>
      <c r="O700" s="644">
        <f>Data2025!Q699</f>
        <v>0</v>
      </c>
      <c r="P700" s="645" t="s">
        <v>710</v>
      </c>
      <c r="Q700" s="646" t="e">
        <f>VLOOKUP(K700,Sheet1!$C$1:$D$101,2,)</f>
        <v>#N/A</v>
      </c>
      <c r="R700" s="496">
        <v>396000</v>
      </c>
      <c r="S700" s="504">
        <v>420000</v>
      </c>
      <c r="T700" s="648">
        <f>Data2025!T699</f>
        <v>0</v>
      </c>
      <c r="U700" s="497" t="s">
        <v>538</v>
      </c>
      <c r="V700" s="648">
        <f>Data2025!V699</f>
        <v>0</v>
      </c>
      <c r="W700" s="648">
        <f>Data2025!X699</f>
        <v>0</v>
      </c>
      <c r="X700" s="497" t="s">
        <v>541</v>
      </c>
      <c r="Y700" s="268" t="str">
        <f t="shared" si="35"/>
        <v>Alat Tulis Kantor (ATK)</v>
      </c>
      <c r="Z700" s="649" t="str">
        <f t="shared" si="36"/>
        <v>Alat Tulis Kantor (ATK)</v>
      </c>
      <c r="AA700" s="498" t="s">
        <v>3367</v>
      </c>
      <c r="AB700" s="499">
        <v>33000</v>
      </c>
      <c r="AC700" s="499">
        <v>396000</v>
      </c>
      <c r="AD700" s="496">
        <v>396000</v>
      </c>
      <c r="AE700" s="500">
        <v>356756.75675675675</v>
      </c>
      <c r="AF700" s="500">
        <v>396000</v>
      </c>
      <c r="AG700" s="805" t="s">
        <v>3883</v>
      </c>
      <c r="AH700" s="651">
        <f>Data2025!W699</f>
        <v>0</v>
      </c>
      <c r="AI700" s="501">
        <v>227</v>
      </c>
    </row>
    <row r="701" spans="1:36" s="501" customFormat="1" ht="16.5" thickTop="1" thickBot="1">
      <c r="A701" s="636">
        <f>Data2025!G700</f>
        <v>0</v>
      </c>
      <c r="B701" s="637">
        <f>Data2025!K700</f>
        <v>0</v>
      </c>
      <c r="C701" s="638">
        <f>Data2025!D700</f>
        <v>0</v>
      </c>
      <c r="D701" s="639">
        <f>Data2025!C700</f>
        <v>0</v>
      </c>
      <c r="E701" s="265">
        <f>Data2025!E700</f>
        <v>0</v>
      </c>
      <c r="F701" s="640">
        <f>Data2025!F700</f>
        <v>0</v>
      </c>
      <c r="G701" s="265">
        <f>Data2025!H700</f>
        <v>0</v>
      </c>
      <c r="H701" s="265">
        <f t="shared" si="34"/>
        <v>0</v>
      </c>
      <c r="I701" s="641">
        <f>Data2025!J700</f>
        <v>0</v>
      </c>
      <c r="J701" s="381">
        <f>Data2025!L700</f>
        <v>0</v>
      </c>
      <c r="K701" s="381">
        <f>Data2025!M700</f>
        <v>0</v>
      </c>
      <c r="L701" s="642">
        <f>Data2025!N700</f>
        <v>0</v>
      </c>
      <c r="M701" s="642">
        <f>Data2025!O700</f>
        <v>0</v>
      </c>
      <c r="N701" s="643">
        <f>Data2025!P700</f>
        <v>0</v>
      </c>
      <c r="O701" s="644">
        <f>Data2025!Q700</f>
        <v>0</v>
      </c>
      <c r="P701" s="645" t="s">
        <v>710</v>
      </c>
      <c r="Q701" s="646" t="e">
        <f>VLOOKUP(K701,Sheet1!$C$1:$D$101,2,)</f>
        <v>#N/A</v>
      </c>
      <c r="R701" s="496">
        <v>75000</v>
      </c>
      <c r="S701" s="504">
        <v>85000</v>
      </c>
      <c r="T701" s="648">
        <f>Data2025!T700</f>
        <v>0</v>
      </c>
      <c r="U701" s="497" t="s">
        <v>538</v>
      </c>
      <c r="V701" s="648">
        <f>Data2025!V700</f>
        <v>0</v>
      </c>
      <c r="W701" s="648">
        <f>Data2025!X700</f>
        <v>0</v>
      </c>
      <c r="X701" s="497" t="s">
        <v>541</v>
      </c>
      <c r="Y701" s="268" t="str">
        <f t="shared" si="35"/>
        <v>Alat Tulis Kantor (ATK)</v>
      </c>
      <c r="Z701" s="649" t="str">
        <f t="shared" si="36"/>
        <v>Alat Tulis Kantor (ATK)</v>
      </c>
      <c r="AA701" s="498" t="s">
        <v>3363</v>
      </c>
      <c r="AB701" s="499">
        <v>15000</v>
      </c>
      <c r="AC701" s="499">
        <v>75000</v>
      </c>
      <c r="AD701" s="496">
        <v>75000</v>
      </c>
      <c r="AE701" s="500">
        <v>67567.567567567574</v>
      </c>
      <c r="AF701" s="500">
        <v>75000</v>
      </c>
      <c r="AG701" s="805" t="s">
        <v>3883</v>
      </c>
      <c r="AH701" s="651">
        <f>Data2025!W700</f>
        <v>0</v>
      </c>
      <c r="AI701" s="502">
        <v>227</v>
      </c>
      <c r="AJ701" s="502"/>
    </row>
    <row r="702" spans="1:36" s="501" customFormat="1" ht="16.5" thickTop="1" thickBot="1">
      <c r="A702" s="636">
        <f>Data2025!G701</f>
        <v>0</v>
      </c>
      <c r="B702" s="637">
        <f>Data2025!K701</f>
        <v>0</v>
      </c>
      <c r="C702" s="638">
        <f>Data2025!D701</f>
        <v>0</v>
      </c>
      <c r="D702" s="639">
        <f>Data2025!C701</f>
        <v>0</v>
      </c>
      <c r="E702" s="265">
        <f>Data2025!E701</f>
        <v>0</v>
      </c>
      <c r="F702" s="640">
        <f>Data2025!F701</f>
        <v>0</v>
      </c>
      <c r="G702" s="265">
        <f>Data2025!H701</f>
        <v>0</v>
      </c>
      <c r="H702" s="265">
        <f t="shared" si="34"/>
        <v>0</v>
      </c>
      <c r="I702" s="641">
        <f>Data2025!J701</f>
        <v>0</v>
      </c>
      <c r="J702" s="381">
        <f>Data2025!L701</f>
        <v>0</v>
      </c>
      <c r="K702" s="381">
        <f>Data2025!M701</f>
        <v>0</v>
      </c>
      <c r="L702" s="642">
        <f>Data2025!N701</f>
        <v>0</v>
      </c>
      <c r="M702" s="642">
        <f>Data2025!O701</f>
        <v>0</v>
      </c>
      <c r="N702" s="643">
        <f>Data2025!P701</f>
        <v>0</v>
      </c>
      <c r="O702" s="644">
        <f>Data2025!Q701</f>
        <v>0</v>
      </c>
      <c r="P702" s="645" t="s">
        <v>710</v>
      </c>
      <c r="Q702" s="646" t="e">
        <f>VLOOKUP(K702,Sheet1!$C$1:$D$101,2,)</f>
        <v>#N/A</v>
      </c>
      <c r="R702" s="496">
        <v>300000</v>
      </c>
      <c r="S702" s="504">
        <v>310000</v>
      </c>
      <c r="T702" s="648">
        <f>Data2025!T701</f>
        <v>0</v>
      </c>
      <c r="U702" s="497" t="s">
        <v>538</v>
      </c>
      <c r="V702" s="648">
        <f>Data2025!V701</f>
        <v>0</v>
      </c>
      <c r="W702" s="648">
        <f>Data2025!X701</f>
        <v>0</v>
      </c>
      <c r="X702" s="497" t="s">
        <v>541</v>
      </c>
      <c r="Y702" s="268" t="str">
        <f t="shared" si="35"/>
        <v>Alat Tulis Kantor (ATK)</v>
      </c>
      <c r="Z702" s="649" t="str">
        <f t="shared" si="36"/>
        <v>Alat Tulis Kantor (ATK)</v>
      </c>
      <c r="AA702" s="498" t="s">
        <v>3365</v>
      </c>
      <c r="AB702" s="499">
        <v>60000</v>
      </c>
      <c r="AC702" s="499">
        <v>300000</v>
      </c>
      <c r="AD702" s="496">
        <v>300000</v>
      </c>
      <c r="AE702" s="500">
        <v>270270.2702702703</v>
      </c>
      <c r="AF702" s="500">
        <v>300000</v>
      </c>
      <c r="AG702" s="805" t="s">
        <v>3883</v>
      </c>
      <c r="AH702" s="651">
        <f>Data2025!W701</f>
        <v>0</v>
      </c>
      <c r="AI702" s="501">
        <v>227</v>
      </c>
    </row>
    <row r="703" spans="1:36" s="501" customFormat="1" ht="16.5" thickTop="1" thickBot="1">
      <c r="A703" s="636">
        <f>Data2025!G702</f>
        <v>0</v>
      </c>
      <c r="B703" s="637">
        <f>Data2025!K702</f>
        <v>0</v>
      </c>
      <c r="C703" s="638">
        <f>Data2025!D702</f>
        <v>0</v>
      </c>
      <c r="D703" s="639">
        <f>Data2025!C702</f>
        <v>0</v>
      </c>
      <c r="E703" s="265">
        <f>Data2025!E702</f>
        <v>0</v>
      </c>
      <c r="F703" s="640">
        <f>Data2025!F702</f>
        <v>0</v>
      </c>
      <c r="G703" s="265">
        <f>Data2025!H702</f>
        <v>0</v>
      </c>
      <c r="H703" s="265">
        <f t="shared" si="34"/>
        <v>0</v>
      </c>
      <c r="I703" s="641">
        <f>Data2025!J702</f>
        <v>0</v>
      </c>
      <c r="J703" s="381">
        <f>Data2025!L702</f>
        <v>0</v>
      </c>
      <c r="K703" s="381">
        <f>Data2025!M702</f>
        <v>0</v>
      </c>
      <c r="L703" s="642">
        <f>Data2025!N702</f>
        <v>0</v>
      </c>
      <c r="M703" s="642">
        <f>Data2025!O702</f>
        <v>0</v>
      </c>
      <c r="N703" s="643">
        <f>Data2025!P702</f>
        <v>0</v>
      </c>
      <c r="O703" s="644">
        <f>Data2025!Q702</f>
        <v>0</v>
      </c>
      <c r="P703" s="645" t="s">
        <v>710</v>
      </c>
      <c r="Q703" s="646" t="e">
        <f>VLOOKUP(K703,Sheet1!$C$1:$D$101,2,)</f>
        <v>#N/A</v>
      </c>
      <c r="R703" s="496">
        <v>37500</v>
      </c>
      <c r="S703" s="504">
        <v>47500</v>
      </c>
      <c r="T703" s="648">
        <f>Data2025!T702</f>
        <v>0</v>
      </c>
      <c r="U703" s="497" t="s">
        <v>538</v>
      </c>
      <c r="V703" s="648">
        <f>Data2025!V702</f>
        <v>0</v>
      </c>
      <c r="W703" s="648">
        <f>Data2025!X702</f>
        <v>0</v>
      </c>
      <c r="X703" s="497" t="s">
        <v>541</v>
      </c>
      <c r="Y703" s="268" t="str">
        <f t="shared" si="35"/>
        <v>Alat Tulis Kantor (ATK)</v>
      </c>
      <c r="Z703" s="649" t="str">
        <f t="shared" si="36"/>
        <v>Alat Tulis Kantor (ATK)</v>
      </c>
      <c r="AA703" s="498" t="s">
        <v>3362</v>
      </c>
      <c r="AB703" s="499">
        <v>7500</v>
      </c>
      <c r="AC703" s="499">
        <v>37500</v>
      </c>
      <c r="AD703" s="496">
        <v>37500</v>
      </c>
      <c r="AE703" s="500">
        <v>33783.783783783787</v>
      </c>
      <c r="AF703" s="500">
        <v>37500</v>
      </c>
      <c r="AG703" s="805" t="s">
        <v>3883</v>
      </c>
      <c r="AH703" s="651">
        <f>Data2025!W702</f>
        <v>0</v>
      </c>
      <c r="AI703" s="501">
        <v>227</v>
      </c>
    </row>
    <row r="704" spans="1:36" s="501" customFormat="1" ht="16.5" thickTop="1" thickBot="1">
      <c r="A704" s="636">
        <f>Data2025!G703</f>
        <v>0</v>
      </c>
      <c r="B704" s="637">
        <f>Data2025!K703</f>
        <v>0</v>
      </c>
      <c r="C704" s="638">
        <f>Data2025!D703</f>
        <v>0</v>
      </c>
      <c r="D704" s="639">
        <f>Data2025!C703</f>
        <v>0</v>
      </c>
      <c r="E704" s="265">
        <f>Data2025!E703</f>
        <v>0</v>
      </c>
      <c r="F704" s="640">
        <f>Data2025!F703</f>
        <v>0</v>
      </c>
      <c r="G704" s="265">
        <f>Data2025!H703</f>
        <v>0</v>
      </c>
      <c r="H704" s="265">
        <f t="shared" si="34"/>
        <v>0</v>
      </c>
      <c r="I704" s="641">
        <f>Data2025!J703</f>
        <v>0</v>
      </c>
      <c r="J704" s="381">
        <f>Data2025!L703</f>
        <v>0</v>
      </c>
      <c r="K704" s="381">
        <f>Data2025!M703</f>
        <v>0</v>
      </c>
      <c r="L704" s="642">
        <f>Data2025!N703</f>
        <v>0</v>
      </c>
      <c r="M704" s="642">
        <f>Data2025!O703</f>
        <v>0</v>
      </c>
      <c r="N704" s="643">
        <f>Data2025!P703</f>
        <v>0</v>
      </c>
      <c r="O704" s="644">
        <f>Data2025!Q703</f>
        <v>0</v>
      </c>
      <c r="P704" s="645" t="s">
        <v>710</v>
      </c>
      <c r="Q704" s="646" t="e">
        <f>VLOOKUP(K704,Sheet1!$C$1:$D$101,2,)</f>
        <v>#N/A</v>
      </c>
      <c r="R704" s="496">
        <v>69000</v>
      </c>
      <c r="S704" s="504">
        <v>75000</v>
      </c>
      <c r="T704" s="648">
        <f>Data2025!T703</f>
        <v>0</v>
      </c>
      <c r="U704" s="497" t="s">
        <v>538</v>
      </c>
      <c r="V704" s="648">
        <f>Data2025!V703</f>
        <v>0</v>
      </c>
      <c r="W704" s="648">
        <f>Data2025!X703</f>
        <v>0</v>
      </c>
      <c r="X704" s="497" t="s">
        <v>541</v>
      </c>
      <c r="Y704" s="268" t="str">
        <f t="shared" si="35"/>
        <v>Alat Tulis Kantor (ATK)</v>
      </c>
      <c r="Z704" s="649" t="str">
        <f t="shared" si="36"/>
        <v>Alat Tulis Kantor (ATK)</v>
      </c>
      <c r="AA704" s="498" t="s">
        <v>3365</v>
      </c>
      <c r="AB704" s="499">
        <v>23000</v>
      </c>
      <c r="AC704" s="499">
        <v>69000</v>
      </c>
      <c r="AD704" s="496">
        <v>69000</v>
      </c>
      <c r="AE704" s="500">
        <v>62162.16216216216</v>
      </c>
      <c r="AF704" s="500">
        <v>69000</v>
      </c>
      <c r="AG704" s="805" t="s">
        <v>3883</v>
      </c>
      <c r="AH704" s="651">
        <f>Data2025!W703</f>
        <v>0</v>
      </c>
      <c r="AI704" s="501">
        <v>227</v>
      </c>
    </row>
    <row r="705" spans="1:35" s="501" customFormat="1" ht="16.5" thickTop="1" thickBot="1">
      <c r="A705" s="636">
        <f>Data2025!G704</f>
        <v>0</v>
      </c>
      <c r="B705" s="637">
        <f>Data2025!K704</f>
        <v>0</v>
      </c>
      <c r="C705" s="638">
        <f>Data2025!D704</f>
        <v>0</v>
      </c>
      <c r="D705" s="639">
        <f>Data2025!C704</f>
        <v>0</v>
      </c>
      <c r="E705" s="265">
        <f>Data2025!E704</f>
        <v>0</v>
      </c>
      <c r="F705" s="640">
        <f>Data2025!F704</f>
        <v>0</v>
      </c>
      <c r="G705" s="265">
        <f>Data2025!H704</f>
        <v>0</v>
      </c>
      <c r="H705" s="265">
        <f t="shared" si="34"/>
        <v>0</v>
      </c>
      <c r="I705" s="641">
        <f>Data2025!J704</f>
        <v>0</v>
      </c>
      <c r="J705" s="381">
        <f>Data2025!L704</f>
        <v>0</v>
      </c>
      <c r="K705" s="381">
        <f>Data2025!M704</f>
        <v>0</v>
      </c>
      <c r="L705" s="642">
        <f>Data2025!N704</f>
        <v>0</v>
      </c>
      <c r="M705" s="642">
        <f>Data2025!O704</f>
        <v>0</v>
      </c>
      <c r="N705" s="643">
        <f>Data2025!P704</f>
        <v>0</v>
      </c>
      <c r="O705" s="644">
        <f>Data2025!Q704</f>
        <v>0</v>
      </c>
      <c r="P705" s="645" t="s">
        <v>710</v>
      </c>
      <c r="Q705" s="646" t="e">
        <f>VLOOKUP(K705,Sheet1!$C$1:$D$101,2,)</f>
        <v>#N/A</v>
      </c>
      <c r="R705" s="496">
        <v>125000</v>
      </c>
      <c r="S705" s="504">
        <v>135000</v>
      </c>
      <c r="T705" s="648">
        <f>Data2025!T704</f>
        <v>0</v>
      </c>
      <c r="U705" s="497" t="s">
        <v>538</v>
      </c>
      <c r="V705" s="648">
        <f>Data2025!V704</f>
        <v>0</v>
      </c>
      <c r="W705" s="648">
        <f>Data2025!X704</f>
        <v>0</v>
      </c>
      <c r="X705" s="497" t="s">
        <v>541</v>
      </c>
      <c r="Y705" s="268" t="str">
        <f t="shared" si="35"/>
        <v>Alat Tulis Kantor (ATK)</v>
      </c>
      <c r="Z705" s="649" t="str">
        <f t="shared" si="36"/>
        <v>Alat Tulis Kantor (ATK)</v>
      </c>
      <c r="AA705" s="498" t="s">
        <v>3368</v>
      </c>
      <c r="AB705" s="499">
        <v>25000</v>
      </c>
      <c r="AC705" s="499">
        <v>125000</v>
      </c>
      <c r="AD705" s="496">
        <v>125000</v>
      </c>
      <c r="AE705" s="500">
        <v>112612.61261261262</v>
      </c>
      <c r="AF705" s="500">
        <v>125000</v>
      </c>
      <c r="AG705" s="805" t="s">
        <v>3883</v>
      </c>
      <c r="AH705" s="651">
        <f>Data2025!W704</f>
        <v>0</v>
      </c>
      <c r="AI705" s="501">
        <v>227</v>
      </c>
    </row>
    <row r="706" spans="1:35" s="501" customFormat="1" ht="16.5" thickTop="1" thickBot="1">
      <c r="A706" s="636">
        <f>Data2025!G705</f>
        <v>0</v>
      </c>
      <c r="B706" s="637">
        <f>Data2025!K705</f>
        <v>0</v>
      </c>
      <c r="C706" s="638">
        <f>Data2025!D705</f>
        <v>0</v>
      </c>
      <c r="D706" s="639">
        <f>Data2025!C705</f>
        <v>0</v>
      </c>
      <c r="E706" s="265">
        <f>Data2025!E705</f>
        <v>0</v>
      </c>
      <c r="F706" s="640">
        <f>Data2025!F705</f>
        <v>0</v>
      </c>
      <c r="G706" s="265">
        <f>Data2025!H705</f>
        <v>0</v>
      </c>
      <c r="H706" s="265">
        <f t="shared" si="34"/>
        <v>0</v>
      </c>
      <c r="I706" s="641">
        <f>Data2025!J705</f>
        <v>0</v>
      </c>
      <c r="J706" s="381">
        <f>Data2025!L705</f>
        <v>0</v>
      </c>
      <c r="K706" s="381">
        <f>Data2025!M705</f>
        <v>0</v>
      </c>
      <c r="L706" s="642">
        <f>Data2025!N705</f>
        <v>0</v>
      </c>
      <c r="M706" s="642">
        <f>Data2025!O705</f>
        <v>0</v>
      </c>
      <c r="N706" s="643">
        <f>Data2025!P705</f>
        <v>0</v>
      </c>
      <c r="O706" s="644">
        <f>Data2025!Q705</f>
        <v>0</v>
      </c>
      <c r="P706" s="645" t="s">
        <v>710</v>
      </c>
      <c r="Q706" s="646" t="e">
        <f>VLOOKUP(K706,Sheet1!$C$1:$D$101,2,)</f>
        <v>#N/A</v>
      </c>
      <c r="R706" s="496">
        <v>209000</v>
      </c>
      <c r="S706" s="504">
        <v>229000</v>
      </c>
      <c r="T706" s="648">
        <f>Data2025!T705</f>
        <v>0</v>
      </c>
      <c r="U706" s="497" t="s">
        <v>538</v>
      </c>
      <c r="V706" s="648">
        <f>Data2025!V705</f>
        <v>0</v>
      </c>
      <c r="W706" s="648">
        <f>Data2025!X705</f>
        <v>0</v>
      </c>
      <c r="X706" s="497" t="s">
        <v>541</v>
      </c>
      <c r="Y706" s="268" t="str">
        <f t="shared" si="35"/>
        <v>Alat Tulis Kantor (ATK)</v>
      </c>
      <c r="Z706" s="649" t="str">
        <f t="shared" si="36"/>
        <v>Alat Tulis Kantor (ATK)</v>
      </c>
      <c r="AA706" s="498" t="s">
        <v>3363</v>
      </c>
      <c r="AB706" s="499">
        <v>20900</v>
      </c>
      <c r="AC706" s="499">
        <v>209000</v>
      </c>
      <c r="AD706" s="496">
        <v>209000</v>
      </c>
      <c r="AE706" s="500">
        <v>188288.28828828828</v>
      </c>
      <c r="AF706" s="500">
        <v>209000</v>
      </c>
      <c r="AG706" s="805" t="s">
        <v>3883</v>
      </c>
      <c r="AH706" s="651">
        <f>Data2025!W705</f>
        <v>0</v>
      </c>
      <c r="AI706" s="501">
        <v>227</v>
      </c>
    </row>
    <row r="707" spans="1:35" s="501" customFormat="1" ht="16.5" thickTop="1" thickBot="1">
      <c r="A707" s="636">
        <f>Data2025!G706</f>
        <v>0</v>
      </c>
      <c r="B707" s="637">
        <f>Data2025!K706</f>
        <v>0</v>
      </c>
      <c r="C707" s="638">
        <f>Data2025!D706</f>
        <v>0</v>
      </c>
      <c r="D707" s="639">
        <f>Data2025!C706</f>
        <v>0</v>
      </c>
      <c r="E707" s="265">
        <f>Data2025!E706</f>
        <v>0</v>
      </c>
      <c r="F707" s="640">
        <f>Data2025!F706</f>
        <v>0</v>
      </c>
      <c r="G707" s="265">
        <f>Data2025!H706</f>
        <v>0</v>
      </c>
      <c r="H707" s="265">
        <f t="shared" si="34"/>
        <v>0</v>
      </c>
      <c r="I707" s="641">
        <f>Data2025!J706</f>
        <v>0</v>
      </c>
      <c r="J707" s="381">
        <f>Data2025!L706</f>
        <v>0</v>
      </c>
      <c r="K707" s="381">
        <f>Data2025!M706</f>
        <v>0</v>
      </c>
      <c r="L707" s="642">
        <f>Data2025!N706</f>
        <v>0</v>
      </c>
      <c r="M707" s="642">
        <f>Data2025!O706</f>
        <v>0</v>
      </c>
      <c r="N707" s="643">
        <f>Data2025!P706</f>
        <v>0</v>
      </c>
      <c r="O707" s="644">
        <f>Data2025!Q706</f>
        <v>0</v>
      </c>
      <c r="P707" s="645" t="s">
        <v>710</v>
      </c>
      <c r="Q707" s="646" t="e">
        <f>VLOOKUP(K707,Sheet1!$C$1:$D$101,2,)</f>
        <v>#N/A</v>
      </c>
      <c r="R707" s="496">
        <v>10000</v>
      </c>
      <c r="S707" s="504">
        <v>14000</v>
      </c>
      <c r="T707" s="648">
        <f>Data2025!T706</f>
        <v>0</v>
      </c>
      <c r="U707" s="497" t="s">
        <v>538</v>
      </c>
      <c r="V707" s="648">
        <f>Data2025!V706</f>
        <v>0</v>
      </c>
      <c r="W707" s="648">
        <f>Data2025!X706</f>
        <v>0</v>
      </c>
      <c r="X707" s="497" t="s">
        <v>541</v>
      </c>
      <c r="Y707" s="268" t="str">
        <f t="shared" si="35"/>
        <v>Alat Tulis Kantor (ATK)</v>
      </c>
      <c r="Z707" s="649" t="str">
        <f t="shared" si="36"/>
        <v>Alat Tulis Kantor (ATK)</v>
      </c>
      <c r="AA707" s="498" t="s">
        <v>3362</v>
      </c>
      <c r="AB707" s="499">
        <v>5000</v>
      </c>
      <c r="AC707" s="499">
        <v>10000</v>
      </c>
      <c r="AD707" s="496">
        <v>10000</v>
      </c>
      <c r="AE707" s="500">
        <v>9009.0090090090089</v>
      </c>
      <c r="AF707" s="500">
        <v>10000</v>
      </c>
      <c r="AG707" s="805" t="s">
        <v>3883</v>
      </c>
      <c r="AH707" s="651">
        <f>Data2025!W706</f>
        <v>0</v>
      </c>
      <c r="AI707" s="501">
        <v>227</v>
      </c>
    </row>
    <row r="708" spans="1:35" s="501" customFormat="1" ht="16.5" thickTop="1" thickBot="1">
      <c r="A708" s="636">
        <f>Data2025!G707</f>
        <v>0</v>
      </c>
      <c r="B708" s="637">
        <f>Data2025!K707</f>
        <v>0</v>
      </c>
      <c r="C708" s="638">
        <f>Data2025!D707</f>
        <v>0</v>
      </c>
      <c r="D708" s="639">
        <f>Data2025!C707</f>
        <v>0</v>
      </c>
      <c r="E708" s="265">
        <f>Data2025!E707</f>
        <v>0</v>
      </c>
      <c r="F708" s="640">
        <f>Data2025!F707</f>
        <v>0</v>
      </c>
      <c r="G708" s="265">
        <f>Data2025!H707</f>
        <v>0</v>
      </c>
      <c r="H708" s="265">
        <f t="shared" si="34"/>
        <v>0</v>
      </c>
      <c r="I708" s="641">
        <f>Data2025!J707</f>
        <v>0</v>
      </c>
      <c r="J708" s="381">
        <f>Data2025!L707</f>
        <v>0</v>
      </c>
      <c r="K708" s="381">
        <f>Data2025!M707</f>
        <v>0</v>
      </c>
      <c r="L708" s="642">
        <f>Data2025!N707</f>
        <v>0</v>
      </c>
      <c r="M708" s="642">
        <f>Data2025!O707</f>
        <v>0</v>
      </c>
      <c r="N708" s="643">
        <f>Data2025!P707</f>
        <v>0</v>
      </c>
      <c r="O708" s="644">
        <f>Data2025!Q707</f>
        <v>0</v>
      </c>
      <c r="P708" s="645" t="s">
        <v>710</v>
      </c>
      <c r="Q708" s="646" t="e">
        <f>VLOOKUP(K708,Sheet1!$C$1:$D$101,2,)</f>
        <v>#N/A</v>
      </c>
      <c r="R708" s="496">
        <v>235000</v>
      </c>
      <c r="S708" s="504">
        <v>237000</v>
      </c>
      <c r="T708" s="648">
        <f>Data2025!T707</f>
        <v>0</v>
      </c>
      <c r="U708" s="497" t="s">
        <v>538</v>
      </c>
      <c r="V708" s="648">
        <f>Data2025!V707</f>
        <v>0</v>
      </c>
      <c r="W708" s="648">
        <f>Data2025!X707</f>
        <v>0</v>
      </c>
      <c r="X708" s="497" t="s">
        <v>541</v>
      </c>
      <c r="Y708" s="268" t="str">
        <f t="shared" si="35"/>
        <v>Alat Tulis Kantor (ATK)</v>
      </c>
      <c r="Z708" s="649" t="str">
        <f t="shared" si="36"/>
        <v>Alat Tulis Kantor (ATK)</v>
      </c>
      <c r="AA708" s="498" t="s">
        <v>3364</v>
      </c>
      <c r="AB708" s="499">
        <v>235000</v>
      </c>
      <c r="AC708" s="499">
        <v>235000</v>
      </c>
      <c r="AD708" s="496">
        <v>235000</v>
      </c>
      <c r="AE708" s="500">
        <v>211711.71171171172</v>
      </c>
      <c r="AF708" s="500">
        <v>235000</v>
      </c>
      <c r="AG708" s="805" t="s">
        <v>3883</v>
      </c>
      <c r="AH708" s="651">
        <f>Data2025!W707</f>
        <v>0</v>
      </c>
      <c r="AI708" s="501">
        <v>227</v>
      </c>
    </row>
    <row r="709" spans="1:35" s="501" customFormat="1" ht="16.5" thickTop="1" thickBot="1">
      <c r="A709" s="636">
        <f>Data2025!G708</f>
        <v>0</v>
      </c>
      <c r="B709" s="637">
        <f>Data2025!K708</f>
        <v>0</v>
      </c>
      <c r="C709" s="638">
        <f>Data2025!D708</f>
        <v>0</v>
      </c>
      <c r="D709" s="639">
        <f>Data2025!C708</f>
        <v>0</v>
      </c>
      <c r="E709" s="265">
        <f>Data2025!E708</f>
        <v>0</v>
      </c>
      <c r="F709" s="640">
        <f>Data2025!F708</f>
        <v>0</v>
      </c>
      <c r="G709" s="265">
        <f>Data2025!H708</f>
        <v>0</v>
      </c>
      <c r="H709" s="265">
        <f t="shared" ref="H709:H772" si="37">G709</f>
        <v>0</v>
      </c>
      <c r="I709" s="641">
        <f>Data2025!J708</f>
        <v>0</v>
      </c>
      <c r="J709" s="381">
        <f>Data2025!L708</f>
        <v>0</v>
      </c>
      <c r="K709" s="381">
        <f>Data2025!M708</f>
        <v>0</v>
      </c>
      <c r="L709" s="642">
        <f>Data2025!N708</f>
        <v>0</v>
      </c>
      <c r="M709" s="642">
        <f>Data2025!O708</f>
        <v>0</v>
      </c>
      <c r="N709" s="643">
        <f>Data2025!P708</f>
        <v>0</v>
      </c>
      <c r="O709" s="644">
        <f>Data2025!Q708</f>
        <v>0</v>
      </c>
      <c r="P709" s="645" t="s">
        <v>710</v>
      </c>
      <c r="Q709" s="646" t="e">
        <f>VLOOKUP(K709,Sheet1!$C$1:$D$101,2,)</f>
        <v>#N/A</v>
      </c>
      <c r="R709" s="496">
        <v>440000</v>
      </c>
      <c r="S709" s="504">
        <v>448000</v>
      </c>
      <c r="T709" s="648">
        <f>Data2025!T708</f>
        <v>0</v>
      </c>
      <c r="U709" s="497" t="s">
        <v>538</v>
      </c>
      <c r="V709" s="648">
        <f>Data2025!V708</f>
        <v>0</v>
      </c>
      <c r="W709" s="648">
        <f>Data2025!X708</f>
        <v>0</v>
      </c>
      <c r="X709" s="497" t="s">
        <v>541</v>
      </c>
      <c r="Y709" s="268" t="str">
        <f t="shared" ref="Y709:Y772" si="38">P709</f>
        <v>Alat Tulis Kantor (ATK)</v>
      </c>
      <c r="Z709" s="649" t="str">
        <f t="shared" ref="Z709:Z772" si="39">Y709</f>
        <v>Alat Tulis Kantor (ATK)</v>
      </c>
      <c r="AA709" s="498" t="s">
        <v>3367</v>
      </c>
      <c r="AB709" s="499">
        <v>110000</v>
      </c>
      <c r="AC709" s="499">
        <v>440000</v>
      </c>
      <c r="AD709" s="496">
        <v>440000</v>
      </c>
      <c r="AE709" s="500">
        <v>396396.39639639639</v>
      </c>
      <c r="AF709" s="500">
        <v>440000</v>
      </c>
      <c r="AG709" s="805" t="s">
        <v>3883</v>
      </c>
      <c r="AH709" s="651">
        <f>Data2025!W708</f>
        <v>0</v>
      </c>
      <c r="AI709" s="501">
        <v>227</v>
      </c>
    </row>
    <row r="710" spans="1:35" s="501" customFormat="1" ht="16.5" thickTop="1" thickBot="1">
      <c r="A710" s="636">
        <f>Data2025!G709</f>
        <v>0</v>
      </c>
      <c r="B710" s="637">
        <f>Data2025!K709</f>
        <v>0</v>
      </c>
      <c r="C710" s="638">
        <f>Data2025!D709</f>
        <v>0</v>
      </c>
      <c r="D710" s="639">
        <f>Data2025!C709</f>
        <v>0</v>
      </c>
      <c r="E710" s="265">
        <f>Data2025!E709</f>
        <v>0</v>
      </c>
      <c r="F710" s="640">
        <f>Data2025!F709</f>
        <v>0</v>
      </c>
      <c r="G710" s="265">
        <f>Data2025!H709</f>
        <v>0</v>
      </c>
      <c r="H710" s="265">
        <f t="shared" si="37"/>
        <v>0</v>
      </c>
      <c r="I710" s="641">
        <f>Data2025!J709</f>
        <v>0</v>
      </c>
      <c r="J710" s="381">
        <f>Data2025!L709</f>
        <v>0</v>
      </c>
      <c r="K710" s="381">
        <f>Data2025!M709</f>
        <v>0</v>
      </c>
      <c r="L710" s="642">
        <f>Data2025!N709</f>
        <v>0</v>
      </c>
      <c r="M710" s="642">
        <f>Data2025!O709</f>
        <v>0</v>
      </c>
      <c r="N710" s="643">
        <f>Data2025!P709</f>
        <v>0</v>
      </c>
      <c r="O710" s="644">
        <f>Data2025!Q709</f>
        <v>0</v>
      </c>
      <c r="P710" s="645" t="s">
        <v>710</v>
      </c>
      <c r="Q710" s="646" t="e">
        <f>VLOOKUP(K710,Sheet1!$C$1:$D$101,2,)</f>
        <v>#N/A</v>
      </c>
      <c r="R710" s="496">
        <v>426000</v>
      </c>
      <c r="S710" s="504">
        <v>450000</v>
      </c>
      <c r="T710" s="648">
        <f>Data2025!T709</f>
        <v>0</v>
      </c>
      <c r="U710" s="497" t="s">
        <v>538</v>
      </c>
      <c r="V710" s="648">
        <f>Data2025!V709</f>
        <v>0</v>
      </c>
      <c r="W710" s="648">
        <f>Data2025!X709</f>
        <v>0</v>
      </c>
      <c r="X710" s="497" t="s">
        <v>541</v>
      </c>
      <c r="Y710" s="268" t="str">
        <f t="shared" si="38"/>
        <v>Alat Tulis Kantor (ATK)</v>
      </c>
      <c r="Z710" s="649" t="str">
        <f t="shared" si="39"/>
        <v>Alat Tulis Kantor (ATK)</v>
      </c>
      <c r="AA710" s="498" t="s">
        <v>3363</v>
      </c>
      <c r="AB710" s="499">
        <v>35500</v>
      </c>
      <c r="AC710" s="499">
        <v>426000</v>
      </c>
      <c r="AD710" s="496">
        <v>426000</v>
      </c>
      <c r="AE710" s="500">
        <v>383783.78378378379</v>
      </c>
      <c r="AF710" s="500">
        <v>426000</v>
      </c>
      <c r="AG710" s="805" t="s">
        <v>3883</v>
      </c>
      <c r="AH710" s="651">
        <f>Data2025!W709</f>
        <v>0</v>
      </c>
      <c r="AI710" s="501">
        <v>227</v>
      </c>
    </row>
    <row r="711" spans="1:35" s="501" customFormat="1" ht="16.5" thickTop="1" thickBot="1">
      <c r="A711" s="636">
        <f>Data2025!G710</f>
        <v>0</v>
      </c>
      <c r="B711" s="637">
        <f>Data2025!K710</f>
        <v>0</v>
      </c>
      <c r="C711" s="638">
        <f>Data2025!D710</f>
        <v>0</v>
      </c>
      <c r="D711" s="639">
        <f>Data2025!C710</f>
        <v>0</v>
      </c>
      <c r="E711" s="265">
        <f>Data2025!E710</f>
        <v>0</v>
      </c>
      <c r="F711" s="640">
        <f>Data2025!F710</f>
        <v>0</v>
      </c>
      <c r="G711" s="265">
        <f>Data2025!H710</f>
        <v>0</v>
      </c>
      <c r="H711" s="265">
        <f t="shared" si="37"/>
        <v>0</v>
      </c>
      <c r="I711" s="641">
        <f>Data2025!J710</f>
        <v>0</v>
      </c>
      <c r="J711" s="381">
        <f>Data2025!L710</f>
        <v>0</v>
      </c>
      <c r="K711" s="381">
        <f>Data2025!M710</f>
        <v>0</v>
      </c>
      <c r="L711" s="642">
        <f>Data2025!N710</f>
        <v>0</v>
      </c>
      <c r="M711" s="642">
        <f>Data2025!O710</f>
        <v>0</v>
      </c>
      <c r="N711" s="643">
        <f>Data2025!P710</f>
        <v>0</v>
      </c>
      <c r="O711" s="644">
        <f>Data2025!Q710</f>
        <v>0</v>
      </c>
      <c r="P711" s="645" t="s">
        <v>710</v>
      </c>
      <c r="Q711" s="646" t="e">
        <f>VLOOKUP(K711,Sheet1!$C$1:$D$101,2,)</f>
        <v>#N/A</v>
      </c>
      <c r="R711" s="496">
        <v>50000</v>
      </c>
      <c r="S711" s="504">
        <v>54000</v>
      </c>
      <c r="T711" s="648">
        <f>Data2025!T710</f>
        <v>0</v>
      </c>
      <c r="U711" s="497" t="s">
        <v>538</v>
      </c>
      <c r="V711" s="648">
        <f>Data2025!V710</f>
        <v>0</v>
      </c>
      <c r="W711" s="648">
        <f>Data2025!X710</f>
        <v>0</v>
      </c>
      <c r="X711" s="497" t="s">
        <v>541</v>
      </c>
      <c r="Y711" s="268" t="str">
        <f t="shared" si="38"/>
        <v>Alat Tulis Kantor (ATK)</v>
      </c>
      <c r="Z711" s="649" t="str">
        <f t="shared" si="39"/>
        <v>Alat Tulis Kantor (ATK)</v>
      </c>
      <c r="AA711" s="498" t="s">
        <v>3363</v>
      </c>
      <c r="AB711" s="499">
        <v>25000</v>
      </c>
      <c r="AC711" s="499">
        <v>50000</v>
      </c>
      <c r="AD711" s="496">
        <v>50000</v>
      </c>
      <c r="AE711" s="500">
        <v>45045.045045045044</v>
      </c>
      <c r="AF711" s="500">
        <v>50000</v>
      </c>
      <c r="AG711" s="805" t="s">
        <v>3883</v>
      </c>
      <c r="AH711" s="651">
        <f>Data2025!W710</f>
        <v>0</v>
      </c>
      <c r="AI711" s="501">
        <v>227</v>
      </c>
    </row>
    <row r="712" spans="1:35" s="501" customFormat="1" ht="16.5" thickTop="1" thickBot="1">
      <c r="A712" s="636">
        <f>Data2025!G711</f>
        <v>0</v>
      </c>
      <c r="B712" s="637">
        <f>Data2025!K711</f>
        <v>0</v>
      </c>
      <c r="C712" s="638">
        <f>Data2025!D711</f>
        <v>0</v>
      </c>
      <c r="D712" s="639">
        <f>Data2025!C711</f>
        <v>0</v>
      </c>
      <c r="E712" s="265">
        <f>Data2025!E711</f>
        <v>0</v>
      </c>
      <c r="F712" s="640">
        <f>Data2025!F711</f>
        <v>0</v>
      </c>
      <c r="G712" s="265">
        <f>Data2025!H711</f>
        <v>0</v>
      </c>
      <c r="H712" s="265">
        <f t="shared" si="37"/>
        <v>0</v>
      </c>
      <c r="I712" s="641">
        <f>Data2025!J711</f>
        <v>0</v>
      </c>
      <c r="J712" s="381">
        <f>Data2025!L711</f>
        <v>0</v>
      </c>
      <c r="K712" s="381">
        <f>Data2025!M711</f>
        <v>0</v>
      </c>
      <c r="L712" s="642">
        <f>Data2025!N711</f>
        <v>0</v>
      </c>
      <c r="M712" s="642">
        <f>Data2025!O711</f>
        <v>0</v>
      </c>
      <c r="N712" s="643">
        <f>Data2025!P711</f>
        <v>0</v>
      </c>
      <c r="O712" s="644">
        <f>Data2025!Q711</f>
        <v>0</v>
      </c>
      <c r="P712" s="645" t="s">
        <v>710</v>
      </c>
      <c r="Q712" s="646" t="e">
        <f>VLOOKUP(K712,Sheet1!$C$1:$D$101,2,)</f>
        <v>#N/A</v>
      </c>
      <c r="R712" s="496">
        <v>45000</v>
      </c>
      <c r="S712" s="504">
        <v>47000</v>
      </c>
      <c r="T712" s="648">
        <f>Data2025!T711</f>
        <v>0</v>
      </c>
      <c r="U712" s="497" t="s">
        <v>538</v>
      </c>
      <c r="V712" s="648">
        <f>Data2025!V711</f>
        <v>0</v>
      </c>
      <c r="W712" s="648">
        <f>Data2025!X711</f>
        <v>0</v>
      </c>
      <c r="X712" s="497" t="s">
        <v>541</v>
      </c>
      <c r="Y712" s="268" t="str">
        <f t="shared" si="38"/>
        <v>Alat Tulis Kantor (ATK)</v>
      </c>
      <c r="Z712" s="649" t="str">
        <f t="shared" si="39"/>
        <v>Alat Tulis Kantor (ATK)</v>
      </c>
      <c r="AA712" s="498" t="s">
        <v>3365</v>
      </c>
      <c r="AB712" s="499">
        <v>45000</v>
      </c>
      <c r="AC712" s="499">
        <v>45000</v>
      </c>
      <c r="AD712" s="496">
        <v>45000</v>
      </c>
      <c r="AE712" s="500">
        <v>40540.54054054054</v>
      </c>
      <c r="AF712" s="500">
        <v>45000</v>
      </c>
      <c r="AG712" s="805" t="s">
        <v>3883</v>
      </c>
      <c r="AH712" s="651">
        <f>Data2025!W711</f>
        <v>0</v>
      </c>
      <c r="AI712" s="501">
        <v>227</v>
      </c>
    </row>
    <row r="713" spans="1:35" s="501" customFormat="1" ht="16.5" thickTop="1" thickBot="1">
      <c r="A713" s="636">
        <f>Data2025!G712</f>
        <v>0</v>
      </c>
      <c r="B713" s="637">
        <f>Data2025!K712</f>
        <v>0</v>
      </c>
      <c r="C713" s="638">
        <f>Data2025!D712</f>
        <v>0</v>
      </c>
      <c r="D713" s="639">
        <f>Data2025!C712</f>
        <v>0</v>
      </c>
      <c r="E713" s="265">
        <f>Data2025!E712</f>
        <v>0</v>
      </c>
      <c r="F713" s="640">
        <f>Data2025!F712</f>
        <v>0</v>
      </c>
      <c r="G713" s="265">
        <f>Data2025!H712</f>
        <v>0</v>
      </c>
      <c r="H713" s="265">
        <f t="shared" si="37"/>
        <v>0</v>
      </c>
      <c r="I713" s="641">
        <f>Data2025!J712</f>
        <v>0</v>
      </c>
      <c r="J713" s="381">
        <f>Data2025!L712</f>
        <v>0</v>
      </c>
      <c r="K713" s="381">
        <f>Data2025!M712</f>
        <v>0</v>
      </c>
      <c r="L713" s="642">
        <f>Data2025!N712</f>
        <v>0</v>
      </c>
      <c r="M713" s="642">
        <f>Data2025!O712</f>
        <v>0</v>
      </c>
      <c r="N713" s="643">
        <f>Data2025!P712</f>
        <v>0</v>
      </c>
      <c r="O713" s="644">
        <f>Data2025!Q712</f>
        <v>0</v>
      </c>
      <c r="P713" s="645" t="s">
        <v>710</v>
      </c>
      <c r="Q713" s="646" t="e">
        <f>VLOOKUP(K713,Sheet1!$C$1:$D$101,2,)</f>
        <v>#N/A</v>
      </c>
      <c r="R713" s="496">
        <v>77500</v>
      </c>
      <c r="S713" s="504">
        <v>87500</v>
      </c>
      <c r="T713" s="648">
        <f>Data2025!T712</f>
        <v>0</v>
      </c>
      <c r="U713" s="497" t="s">
        <v>538</v>
      </c>
      <c r="V713" s="648">
        <f>Data2025!V712</f>
        <v>0</v>
      </c>
      <c r="W713" s="648">
        <f>Data2025!X712</f>
        <v>0</v>
      </c>
      <c r="X713" s="497" t="s">
        <v>541</v>
      </c>
      <c r="Y713" s="268" t="str">
        <f t="shared" si="38"/>
        <v>Alat Tulis Kantor (ATK)</v>
      </c>
      <c r="Z713" s="649" t="str">
        <f t="shared" si="39"/>
        <v>Alat Tulis Kantor (ATK)</v>
      </c>
      <c r="AA713" s="498" t="s">
        <v>3363</v>
      </c>
      <c r="AB713" s="499">
        <v>15500</v>
      </c>
      <c r="AC713" s="499">
        <v>77500</v>
      </c>
      <c r="AD713" s="496">
        <v>77500</v>
      </c>
      <c r="AE713" s="500">
        <v>69819.819819819822</v>
      </c>
      <c r="AF713" s="500">
        <v>77500</v>
      </c>
      <c r="AG713" s="805" t="s">
        <v>3883</v>
      </c>
      <c r="AH713" s="651">
        <f>Data2025!W712</f>
        <v>0</v>
      </c>
      <c r="AI713" s="501">
        <v>227</v>
      </c>
    </row>
    <row r="714" spans="1:35" s="501" customFormat="1" ht="16.5" thickTop="1" thickBot="1">
      <c r="A714" s="636">
        <f>Data2025!G713</f>
        <v>0</v>
      </c>
      <c r="B714" s="637">
        <f>Data2025!K713</f>
        <v>0</v>
      </c>
      <c r="C714" s="638">
        <f>Data2025!D713</f>
        <v>0</v>
      </c>
      <c r="D714" s="639">
        <f>Data2025!C713</f>
        <v>0</v>
      </c>
      <c r="E714" s="265">
        <f>Data2025!E713</f>
        <v>0</v>
      </c>
      <c r="F714" s="640">
        <f>Data2025!F713</f>
        <v>0</v>
      </c>
      <c r="G714" s="265">
        <f>Data2025!H713</f>
        <v>0</v>
      </c>
      <c r="H714" s="265">
        <f t="shared" si="37"/>
        <v>0</v>
      </c>
      <c r="I714" s="641">
        <f>Data2025!J713</f>
        <v>0</v>
      </c>
      <c r="J714" s="381">
        <f>Data2025!L713</f>
        <v>0</v>
      </c>
      <c r="K714" s="381">
        <f>Data2025!M713</f>
        <v>0</v>
      </c>
      <c r="L714" s="642">
        <f>Data2025!N713</f>
        <v>0</v>
      </c>
      <c r="M714" s="642">
        <f>Data2025!O713</f>
        <v>0</v>
      </c>
      <c r="N714" s="643">
        <f>Data2025!P713</f>
        <v>0</v>
      </c>
      <c r="O714" s="644">
        <f>Data2025!Q713</f>
        <v>0</v>
      </c>
      <c r="P714" s="645" t="s">
        <v>710</v>
      </c>
      <c r="Q714" s="646" t="e">
        <f>VLOOKUP(K714,Sheet1!$C$1:$D$101,2,)</f>
        <v>#N/A</v>
      </c>
      <c r="R714" s="496">
        <v>30000</v>
      </c>
      <c r="S714" s="504">
        <v>40000</v>
      </c>
      <c r="T714" s="648">
        <f>Data2025!T713</f>
        <v>0</v>
      </c>
      <c r="U714" s="497" t="s">
        <v>538</v>
      </c>
      <c r="V714" s="648">
        <f>Data2025!V713</f>
        <v>0</v>
      </c>
      <c r="W714" s="648">
        <f>Data2025!X713</f>
        <v>0</v>
      </c>
      <c r="X714" s="497" t="s">
        <v>541</v>
      </c>
      <c r="Y714" s="268" t="str">
        <f t="shared" si="38"/>
        <v>Alat Tulis Kantor (ATK)</v>
      </c>
      <c r="Z714" s="649" t="str">
        <f t="shared" si="39"/>
        <v>Alat Tulis Kantor (ATK)</v>
      </c>
      <c r="AA714" s="498" t="s">
        <v>3362</v>
      </c>
      <c r="AB714" s="499">
        <v>6000</v>
      </c>
      <c r="AC714" s="499">
        <v>30000</v>
      </c>
      <c r="AD714" s="496">
        <v>30000</v>
      </c>
      <c r="AE714" s="500">
        <v>27027.027027027027</v>
      </c>
      <c r="AF714" s="500">
        <v>30000</v>
      </c>
      <c r="AG714" s="805" t="s">
        <v>3883</v>
      </c>
      <c r="AH714" s="651">
        <f>Data2025!W713</f>
        <v>0</v>
      </c>
      <c r="AI714" s="501">
        <v>227</v>
      </c>
    </row>
    <row r="715" spans="1:35" s="501" customFormat="1" ht="16.5" thickTop="1" thickBot="1">
      <c r="A715" s="636">
        <f>Data2025!G714</f>
        <v>0</v>
      </c>
      <c r="B715" s="637">
        <f>Data2025!K714</f>
        <v>0</v>
      </c>
      <c r="C715" s="638">
        <f>Data2025!D714</f>
        <v>0</v>
      </c>
      <c r="D715" s="639">
        <f>Data2025!C714</f>
        <v>0</v>
      </c>
      <c r="E715" s="265">
        <f>Data2025!E714</f>
        <v>0</v>
      </c>
      <c r="F715" s="640">
        <f>Data2025!F714</f>
        <v>0</v>
      </c>
      <c r="G715" s="265">
        <f>Data2025!H714</f>
        <v>0</v>
      </c>
      <c r="H715" s="265">
        <f t="shared" si="37"/>
        <v>0</v>
      </c>
      <c r="I715" s="641">
        <f>Data2025!J714</f>
        <v>0</v>
      </c>
      <c r="J715" s="381">
        <f>Data2025!L714</f>
        <v>0</v>
      </c>
      <c r="K715" s="381">
        <f>Data2025!M714</f>
        <v>0</v>
      </c>
      <c r="L715" s="642">
        <f>Data2025!N714</f>
        <v>0</v>
      </c>
      <c r="M715" s="642">
        <f>Data2025!O714</f>
        <v>0</v>
      </c>
      <c r="N715" s="643">
        <f>Data2025!P714</f>
        <v>0</v>
      </c>
      <c r="O715" s="644">
        <f>Data2025!Q714</f>
        <v>0</v>
      </c>
      <c r="P715" s="645" t="s">
        <v>710</v>
      </c>
      <c r="Q715" s="646" t="e">
        <f>VLOOKUP(K715,Sheet1!$C$1:$D$101,2,)</f>
        <v>#N/A</v>
      </c>
      <c r="R715" s="496">
        <v>125000</v>
      </c>
      <c r="S715" s="504">
        <v>135000</v>
      </c>
      <c r="T715" s="648">
        <f>Data2025!T714</f>
        <v>0</v>
      </c>
      <c r="U715" s="497" t="s">
        <v>538</v>
      </c>
      <c r="V715" s="648">
        <f>Data2025!V714</f>
        <v>0</v>
      </c>
      <c r="W715" s="648">
        <f>Data2025!X714</f>
        <v>0</v>
      </c>
      <c r="X715" s="497" t="s">
        <v>541</v>
      </c>
      <c r="Y715" s="268" t="str">
        <f t="shared" si="38"/>
        <v>Alat Tulis Kantor (ATK)</v>
      </c>
      <c r="Z715" s="649" t="str">
        <f t="shared" si="39"/>
        <v>Alat Tulis Kantor (ATK)</v>
      </c>
      <c r="AA715" s="498" t="s">
        <v>3363</v>
      </c>
      <c r="AB715" s="499">
        <v>25000</v>
      </c>
      <c r="AC715" s="499">
        <v>125000</v>
      </c>
      <c r="AD715" s="496">
        <v>125000</v>
      </c>
      <c r="AE715" s="500">
        <v>112612.61261261262</v>
      </c>
      <c r="AF715" s="500">
        <v>125000</v>
      </c>
      <c r="AG715" s="805" t="s">
        <v>3883</v>
      </c>
      <c r="AH715" s="651">
        <f>Data2025!W714</f>
        <v>0</v>
      </c>
      <c r="AI715" s="501">
        <v>227</v>
      </c>
    </row>
    <row r="716" spans="1:35" s="501" customFormat="1" ht="16.5" thickTop="1" thickBot="1">
      <c r="A716" s="636">
        <f>Data2025!G715</f>
        <v>0</v>
      </c>
      <c r="B716" s="637">
        <f>Data2025!K715</f>
        <v>0</v>
      </c>
      <c r="C716" s="638">
        <f>Data2025!D715</f>
        <v>0</v>
      </c>
      <c r="D716" s="639">
        <f>Data2025!C715</f>
        <v>0</v>
      </c>
      <c r="E716" s="265">
        <f>Data2025!E715</f>
        <v>0</v>
      </c>
      <c r="F716" s="640">
        <f>Data2025!F715</f>
        <v>0</v>
      </c>
      <c r="G716" s="265">
        <f>Data2025!H715</f>
        <v>0</v>
      </c>
      <c r="H716" s="265">
        <f t="shared" si="37"/>
        <v>0</v>
      </c>
      <c r="I716" s="641">
        <f>Data2025!J715</f>
        <v>0</v>
      </c>
      <c r="J716" s="381">
        <f>Data2025!L715</f>
        <v>0</v>
      </c>
      <c r="K716" s="381">
        <f>Data2025!M715</f>
        <v>0</v>
      </c>
      <c r="L716" s="642">
        <f>Data2025!N715</f>
        <v>0</v>
      </c>
      <c r="M716" s="642">
        <f>Data2025!O715</f>
        <v>0</v>
      </c>
      <c r="N716" s="643">
        <f>Data2025!P715</f>
        <v>0</v>
      </c>
      <c r="O716" s="644">
        <f>Data2025!Q715</f>
        <v>0</v>
      </c>
      <c r="P716" s="645" t="s">
        <v>710</v>
      </c>
      <c r="Q716" s="646" t="e">
        <f>VLOOKUP(K716,Sheet1!$C$1:$D$101,2,)</f>
        <v>#N/A</v>
      </c>
      <c r="R716" s="496">
        <v>500000</v>
      </c>
      <c r="S716" s="504">
        <v>520000</v>
      </c>
      <c r="T716" s="648">
        <f>Data2025!T715</f>
        <v>0</v>
      </c>
      <c r="U716" s="497" t="s">
        <v>538</v>
      </c>
      <c r="V716" s="648">
        <f>Data2025!V715</f>
        <v>0</v>
      </c>
      <c r="W716" s="648">
        <f>Data2025!X715</f>
        <v>0</v>
      </c>
      <c r="X716" s="497" t="s">
        <v>541</v>
      </c>
      <c r="Y716" s="268" t="str">
        <f t="shared" si="38"/>
        <v>Alat Tulis Kantor (ATK)</v>
      </c>
      <c r="Z716" s="649" t="str">
        <f t="shared" si="39"/>
        <v>Alat Tulis Kantor (ATK)</v>
      </c>
      <c r="AA716" s="498" t="s">
        <v>3365</v>
      </c>
      <c r="AB716" s="499">
        <v>50000</v>
      </c>
      <c r="AC716" s="499">
        <v>500000</v>
      </c>
      <c r="AD716" s="496">
        <v>500000</v>
      </c>
      <c r="AE716" s="500">
        <v>450450.45045045047</v>
      </c>
      <c r="AF716" s="500">
        <v>500000</v>
      </c>
      <c r="AG716" s="805" t="s">
        <v>3883</v>
      </c>
      <c r="AH716" s="651">
        <f>Data2025!W715</f>
        <v>0</v>
      </c>
      <c r="AI716" s="501">
        <v>227</v>
      </c>
    </row>
    <row r="717" spans="1:35" s="501" customFormat="1" ht="16.5" thickTop="1" thickBot="1">
      <c r="A717" s="636">
        <f>Data2025!G716</f>
        <v>0</v>
      </c>
      <c r="B717" s="637">
        <f>Data2025!K716</f>
        <v>0</v>
      </c>
      <c r="C717" s="638">
        <f>Data2025!D716</f>
        <v>0</v>
      </c>
      <c r="D717" s="639">
        <f>Data2025!C716</f>
        <v>0</v>
      </c>
      <c r="E717" s="265">
        <f>Data2025!E716</f>
        <v>0</v>
      </c>
      <c r="F717" s="640">
        <f>Data2025!F716</f>
        <v>0</v>
      </c>
      <c r="G717" s="265">
        <f>Data2025!H716</f>
        <v>0</v>
      </c>
      <c r="H717" s="265">
        <f t="shared" si="37"/>
        <v>0</v>
      </c>
      <c r="I717" s="641">
        <f>Data2025!J716</f>
        <v>0</v>
      </c>
      <c r="J717" s="381">
        <f>Data2025!L716</f>
        <v>0</v>
      </c>
      <c r="K717" s="381">
        <f>Data2025!M716</f>
        <v>0</v>
      </c>
      <c r="L717" s="642">
        <f>Data2025!N716</f>
        <v>0</v>
      </c>
      <c r="M717" s="642">
        <f>Data2025!O716</f>
        <v>0</v>
      </c>
      <c r="N717" s="643">
        <f>Data2025!P716</f>
        <v>0</v>
      </c>
      <c r="O717" s="644">
        <f>Data2025!Q716</f>
        <v>0</v>
      </c>
      <c r="P717" s="645" t="s">
        <v>710</v>
      </c>
      <c r="Q717" s="646" t="e">
        <f>VLOOKUP(K717,Sheet1!$C$1:$D$101,2,)</f>
        <v>#N/A</v>
      </c>
      <c r="R717" s="496">
        <v>240000</v>
      </c>
      <c r="S717" s="504">
        <v>244000</v>
      </c>
      <c r="T717" s="648">
        <f>Data2025!T716</f>
        <v>0</v>
      </c>
      <c r="U717" s="497" t="s">
        <v>538</v>
      </c>
      <c r="V717" s="648">
        <f>Data2025!V716</f>
        <v>0</v>
      </c>
      <c r="W717" s="648">
        <f>Data2025!X716</f>
        <v>0</v>
      </c>
      <c r="X717" s="497" t="s">
        <v>541</v>
      </c>
      <c r="Y717" s="268" t="str">
        <f t="shared" si="38"/>
        <v>Alat Tulis Kantor (ATK)</v>
      </c>
      <c r="Z717" s="649" t="str">
        <f t="shared" si="39"/>
        <v>Alat Tulis Kantor (ATK)</v>
      </c>
      <c r="AA717" s="498" t="s">
        <v>3364</v>
      </c>
      <c r="AB717" s="499">
        <v>120000</v>
      </c>
      <c r="AC717" s="499">
        <v>240000</v>
      </c>
      <c r="AD717" s="496">
        <v>240000</v>
      </c>
      <c r="AE717" s="500">
        <v>216216.21621621621</v>
      </c>
      <c r="AF717" s="500">
        <v>240000</v>
      </c>
      <c r="AG717" s="805" t="s">
        <v>3883</v>
      </c>
      <c r="AH717" s="651">
        <f>Data2025!W716</f>
        <v>0</v>
      </c>
      <c r="AI717" s="501">
        <v>227</v>
      </c>
    </row>
    <row r="718" spans="1:35" s="501" customFormat="1" ht="16.5" thickTop="1" thickBot="1">
      <c r="A718" s="636">
        <f>Data2025!G717</f>
        <v>0</v>
      </c>
      <c r="B718" s="637">
        <f>Data2025!K717</f>
        <v>0</v>
      </c>
      <c r="C718" s="638">
        <f>Data2025!D717</f>
        <v>0</v>
      </c>
      <c r="D718" s="639">
        <f>Data2025!C717</f>
        <v>0</v>
      </c>
      <c r="E718" s="265">
        <f>Data2025!E717</f>
        <v>0</v>
      </c>
      <c r="F718" s="640">
        <f>Data2025!F717</f>
        <v>0</v>
      </c>
      <c r="G718" s="265">
        <f>Data2025!H717</f>
        <v>0</v>
      </c>
      <c r="H718" s="265">
        <f t="shared" si="37"/>
        <v>0</v>
      </c>
      <c r="I718" s="641">
        <f>Data2025!J717</f>
        <v>0</v>
      </c>
      <c r="J718" s="381">
        <f>Data2025!L717</f>
        <v>0</v>
      </c>
      <c r="K718" s="381">
        <f>Data2025!M717</f>
        <v>0</v>
      </c>
      <c r="L718" s="642">
        <f>Data2025!N717</f>
        <v>0</v>
      </c>
      <c r="M718" s="642">
        <f>Data2025!O717</f>
        <v>0</v>
      </c>
      <c r="N718" s="643">
        <f>Data2025!P717</f>
        <v>0</v>
      </c>
      <c r="O718" s="644">
        <f>Data2025!Q717</f>
        <v>0</v>
      </c>
      <c r="P718" s="645" t="s">
        <v>710</v>
      </c>
      <c r="Q718" s="646" t="e">
        <f>VLOOKUP(K718,Sheet1!$C$1:$D$101,2,)</f>
        <v>#N/A</v>
      </c>
      <c r="R718" s="496">
        <v>30000</v>
      </c>
      <c r="S718" s="504">
        <v>34000</v>
      </c>
      <c r="T718" s="648">
        <f>Data2025!T717</f>
        <v>0</v>
      </c>
      <c r="U718" s="497" t="s">
        <v>538</v>
      </c>
      <c r="V718" s="648">
        <f>Data2025!V717</f>
        <v>0</v>
      </c>
      <c r="W718" s="648">
        <f>Data2025!X717</f>
        <v>0</v>
      </c>
      <c r="X718" s="497" t="s">
        <v>541</v>
      </c>
      <c r="Y718" s="268" t="str">
        <f t="shared" si="38"/>
        <v>Alat Tulis Kantor (ATK)</v>
      </c>
      <c r="Z718" s="649" t="str">
        <f t="shared" si="39"/>
        <v>Alat Tulis Kantor (ATK)</v>
      </c>
      <c r="AA718" s="498" t="s">
        <v>3363</v>
      </c>
      <c r="AB718" s="499">
        <v>15000</v>
      </c>
      <c r="AC718" s="499">
        <v>30000</v>
      </c>
      <c r="AD718" s="496">
        <v>30000</v>
      </c>
      <c r="AE718" s="500">
        <v>27027.027027027027</v>
      </c>
      <c r="AF718" s="500">
        <v>30000</v>
      </c>
      <c r="AG718" s="805" t="s">
        <v>3883</v>
      </c>
      <c r="AH718" s="651">
        <f>Data2025!W717</f>
        <v>0</v>
      </c>
      <c r="AI718" s="501">
        <v>227</v>
      </c>
    </row>
    <row r="719" spans="1:35" s="501" customFormat="1" ht="16.5" thickTop="1" thickBot="1">
      <c r="A719" s="636">
        <f>Data2025!G718</f>
        <v>0</v>
      </c>
      <c r="B719" s="637">
        <f>Data2025!K718</f>
        <v>0</v>
      </c>
      <c r="C719" s="638">
        <f>Data2025!D718</f>
        <v>0</v>
      </c>
      <c r="D719" s="639">
        <f>Data2025!C718</f>
        <v>0</v>
      </c>
      <c r="E719" s="265">
        <f>Data2025!E718</f>
        <v>0</v>
      </c>
      <c r="F719" s="640">
        <f>Data2025!F718</f>
        <v>0</v>
      </c>
      <c r="G719" s="265">
        <f>Data2025!H718</f>
        <v>0</v>
      </c>
      <c r="H719" s="265">
        <f t="shared" si="37"/>
        <v>0</v>
      </c>
      <c r="I719" s="641">
        <f>Data2025!J718</f>
        <v>0</v>
      </c>
      <c r="J719" s="381">
        <f>Data2025!L718</f>
        <v>0</v>
      </c>
      <c r="K719" s="381">
        <f>Data2025!M718</f>
        <v>0</v>
      </c>
      <c r="L719" s="642">
        <f>Data2025!N718</f>
        <v>0</v>
      </c>
      <c r="M719" s="642">
        <f>Data2025!O718</f>
        <v>0</v>
      </c>
      <c r="N719" s="643">
        <f>Data2025!P718</f>
        <v>0</v>
      </c>
      <c r="O719" s="644">
        <f>Data2025!Q718</f>
        <v>0</v>
      </c>
      <c r="P719" s="645" t="s">
        <v>710</v>
      </c>
      <c r="Q719" s="646" t="e">
        <f>VLOOKUP(K719,Sheet1!$C$1:$D$101,2,)</f>
        <v>#N/A</v>
      </c>
      <c r="R719" s="496">
        <v>70800</v>
      </c>
      <c r="S719" s="504">
        <v>74800</v>
      </c>
      <c r="T719" s="648">
        <f>Data2025!T718</f>
        <v>0</v>
      </c>
      <c r="U719" s="497" t="s">
        <v>538</v>
      </c>
      <c r="V719" s="648">
        <f>Data2025!V718</f>
        <v>0</v>
      </c>
      <c r="W719" s="648">
        <f>Data2025!X718</f>
        <v>0</v>
      </c>
      <c r="X719" s="497" t="s">
        <v>541</v>
      </c>
      <c r="Y719" s="268" t="str">
        <f t="shared" si="38"/>
        <v>Alat Tulis Kantor (ATK)</v>
      </c>
      <c r="Z719" s="649" t="str">
        <f t="shared" si="39"/>
        <v>Alat Tulis Kantor (ATK)</v>
      </c>
      <c r="AA719" s="498" t="s">
        <v>3363</v>
      </c>
      <c r="AB719" s="499">
        <v>35400</v>
      </c>
      <c r="AC719" s="499">
        <v>70800</v>
      </c>
      <c r="AD719" s="496">
        <v>70800</v>
      </c>
      <c r="AE719" s="500">
        <v>63783.783783783787</v>
      </c>
      <c r="AF719" s="500">
        <v>70800</v>
      </c>
      <c r="AG719" s="805" t="s">
        <v>3883</v>
      </c>
      <c r="AH719" s="651">
        <f>Data2025!W718</f>
        <v>0</v>
      </c>
      <c r="AI719" s="501">
        <v>227</v>
      </c>
    </row>
    <row r="720" spans="1:35" s="501" customFormat="1" ht="16.5" thickTop="1" thickBot="1">
      <c r="A720" s="636">
        <f>Data2025!G719</f>
        <v>0</v>
      </c>
      <c r="B720" s="637">
        <f>Data2025!K719</f>
        <v>0</v>
      </c>
      <c r="C720" s="638">
        <f>Data2025!D719</f>
        <v>0</v>
      </c>
      <c r="D720" s="639">
        <f>Data2025!C719</f>
        <v>0</v>
      </c>
      <c r="E720" s="265">
        <f>Data2025!E719</f>
        <v>0</v>
      </c>
      <c r="F720" s="640">
        <f>Data2025!F719</f>
        <v>0</v>
      </c>
      <c r="G720" s="265">
        <f>Data2025!H719</f>
        <v>0</v>
      </c>
      <c r="H720" s="265">
        <f t="shared" si="37"/>
        <v>0</v>
      </c>
      <c r="I720" s="641">
        <f>Data2025!J719</f>
        <v>0</v>
      </c>
      <c r="J720" s="381">
        <f>Data2025!L719</f>
        <v>0</v>
      </c>
      <c r="K720" s="381">
        <f>Data2025!M719</f>
        <v>0</v>
      </c>
      <c r="L720" s="642">
        <f>Data2025!N719</f>
        <v>0</v>
      </c>
      <c r="M720" s="642">
        <f>Data2025!O719</f>
        <v>0</v>
      </c>
      <c r="N720" s="643">
        <f>Data2025!P719</f>
        <v>0</v>
      </c>
      <c r="O720" s="644">
        <f>Data2025!Q719</f>
        <v>0</v>
      </c>
      <c r="P720" s="645" t="s">
        <v>710</v>
      </c>
      <c r="Q720" s="646" t="e">
        <f>VLOOKUP(K720,Sheet1!$C$1:$D$101,2,)</f>
        <v>#N/A</v>
      </c>
      <c r="R720" s="496">
        <v>200000</v>
      </c>
      <c r="S720" s="504">
        <v>220000</v>
      </c>
      <c r="T720" s="648">
        <f>Data2025!T719</f>
        <v>0</v>
      </c>
      <c r="U720" s="497" t="s">
        <v>538</v>
      </c>
      <c r="V720" s="648">
        <f>Data2025!V719</f>
        <v>0</v>
      </c>
      <c r="W720" s="648">
        <f>Data2025!X719</f>
        <v>0</v>
      </c>
      <c r="X720" s="497" t="s">
        <v>541</v>
      </c>
      <c r="Y720" s="268" t="str">
        <f t="shared" si="38"/>
        <v>Alat Tulis Kantor (ATK)</v>
      </c>
      <c r="Z720" s="649" t="str">
        <f t="shared" si="39"/>
        <v>Alat Tulis Kantor (ATK)</v>
      </c>
      <c r="AA720" s="498" t="s">
        <v>3362</v>
      </c>
      <c r="AB720" s="499">
        <v>20000</v>
      </c>
      <c r="AC720" s="499">
        <v>200000</v>
      </c>
      <c r="AD720" s="496">
        <v>200000</v>
      </c>
      <c r="AE720" s="500">
        <v>180180.18018018018</v>
      </c>
      <c r="AF720" s="500">
        <v>200000</v>
      </c>
      <c r="AG720" s="805" t="s">
        <v>3883</v>
      </c>
      <c r="AH720" s="651">
        <f>Data2025!W719</f>
        <v>0</v>
      </c>
      <c r="AI720" s="501">
        <v>227</v>
      </c>
    </row>
    <row r="721" spans="1:35" s="501" customFormat="1" ht="16.5" thickTop="1" thickBot="1">
      <c r="A721" s="636">
        <f>Data2025!G720</f>
        <v>0</v>
      </c>
      <c r="B721" s="637">
        <f>Data2025!K720</f>
        <v>0</v>
      </c>
      <c r="C721" s="638">
        <f>Data2025!D720</f>
        <v>0</v>
      </c>
      <c r="D721" s="639">
        <f>Data2025!C720</f>
        <v>0</v>
      </c>
      <c r="E721" s="265">
        <f>Data2025!E720</f>
        <v>0</v>
      </c>
      <c r="F721" s="640">
        <f>Data2025!F720</f>
        <v>0</v>
      </c>
      <c r="G721" s="265">
        <f>Data2025!H720</f>
        <v>0</v>
      </c>
      <c r="H721" s="265">
        <f t="shared" si="37"/>
        <v>0</v>
      </c>
      <c r="I721" s="641">
        <f>Data2025!J720</f>
        <v>0</v>
      </c>
      <c r="J721" s="381">
        <f>Data2025!L720</f>
        <v>0</v>
      </c>
      <c r="K721" s="381">
        <f>Data2025!M720</f>
        <v>0</v>
      </c>
      <c r="L721" s="642">
        <f>Data2025!N720</f>
        <v>0</v>
      </c>
      <c r="M721" s="642">
        <f>Data2025!O720</f>
        <v>0</v>
      </c>
      <c r="N721" s="643">
        <f>Data2025!P720</f>
        <v>0</v>
      </c>
      <c r="O721" s="644">
        <f>Data2025!Q720</f>
        <v>0</v>
      </c>
      <c r="P721" s="645" t="s">
        <v>710</v>
      </c>
      <c r="Q721" s="646" t="e">
        <f>VLOOKUP(K721,Sheet1!$C$1:$D$101,2,)</f>
        <v>#N/A</v>
      </c>
      <c r="R721" s="496">
        <v>440000</v>
      </c>
      <c r="S721" s="504">
        <v>448000</v>
      </c>
      <c r="T721" s="648">
        <f>Data2025!T720</f>
        <v>0</v>
      </c>
      <c r="U721" s="497" t="s">
        <v>538</v>
      </c>
      <c r="V721" s="648">
        <f>Data2025!V720</f>
        <v>0</v>
      </c>
      <c r="W721" s="648">
        <f>Data2025!X720</f>
        <v>0</v>
      </c>
      <c r="X721" s="497" t="s">
        <v>541</v>
      </c>
      <c r="Y721" s="268" t="str">
        <f t="shared" si="38"/>
        <v>Alat Tulis Kantor (ATK)</v>
      </c>
      <c r="Z721" s="649" t="str">
        <f t="shared" si="39"/>
        <v>Alat Tulis Kantor (ATK)</v>
      </c>
      <c r="AA721" s="498" t="s">
        <v>3367</v>
      </c>
      <c r="AB721" s="499">
        <v>110000</v>
      </c>
      <c r="AC721" s="499">
        <v>440000</v>
      </c>
      <c r="AD721" s="496">
        <v>440000</v>
      </c>
      <c r="AE721" s="500">
        <v>396396.39639639639</v>
      </c>
      <c r="AF721" s="500">
        <v>440000</v>
      </c>
      <c r="AG721" s="805" t="s">
        <v>3883</v>
      </c>
      <c r="AH721" s="651">
        <f>Data2025!W720</f>
        <v>0</v>
      </c>
      <c r="AI721" s="501">
        <v>227</v>
      </c>
    </row>
    <row r="722" spans="1:35" s="501" customFormat="1" ht="16.5" thickTop="1" thickBot="1">
      <c r="A722" s="636">
        <f>Data2025!G721</f>
        <v>0</v>
      </c>
      <c r="B722" s="637">
        <f>Data2025!K721</f>
        <v>0</v>
      </c>
      <c r="C722" s="638">
        <f>Data2025!D721</f>
        <v>0</v>
      </c>
      <c r="D722" s="639">
        <f>Data2025!C721</f>
        <v>0</v>
      </c>
      <c r="E722" s="265">
        <f>Data2025!E721</f>
        <v>0</v>
      </c>
      <c r="F722" s="640">
        <f>Data2025!F721</f>
        <v>0</v>
      </c>
      <c r="G722" s="265">
        <f>Data2025!H721</f>
        <v>0</v>
      </c>
      <c r="H722" s="265">
        <f t="shared" si="37"/>
        <v>0</v>
      </c>
      <c r="I722" s="641">
        <f>Data2025!J721</f>
        <v>0</v>
      </c>
      <c r="J722" s="381">
        <f>Data2025!L721</f>
        <v>0</v>
      </c>
      <c r="K722" s="381">
        <f>Data2025!M721</f>
        <v>0</v>
      </c>
      <c r="L722" s="642">
        <f>Data2025!N721</f>
        <v>0</v>
      </c>
      <c r="M722" s="642">
        <f>Data2025!O721</f>
        <v>0</v>
      </c>
      <c r="N722" s="643">
        <f>Data2025!P721</f>
        <v>0</v>
      </c>
      <c r="O722" s="644">
        <f>Data2025!Q721</f>
        <v>0</v>
      </c>
      <c r="P722" s="645" t="s">
        <v>710</v>
      </c>
      <c r="Q722" s="646" t="e">
        <f>VLOOKUP(K722,Sheet1!$C$1:$D$101,2,)</f>
        <v>#N/A</v>
      </c>
      <c r="R722" s="496">
        <v>25000</v>
      </c>
      <c r="S722" s="504">
        <v>35000</v>
      </c>
      <c r="T722" s="648">
        <f>Data2025!T721</f>
        <v>0</v>
      </c>
      <c r="U722" s="497" t="s">
        <v>538</v>
      </c>
      <c r="V722" s="648">
        <f>Data2025!V721</f>
        <v>0</v>
      </c>
      <c r="W722" s="648">
        <f>Data2025!X721</f>
        <v>0</v>
      </c>
      <c r="X722" s="497" t="s">
        <v>541</v>
      </c>
      <c r="Y722" s="268" t="str">
        <f t="shared" si="38"/>
        <v>Alat Tulis Kantor (ATK)</v>
      </c>
      <c r="Z722" s="649" t="str">
        <f t="shared" si="39"/>
        <v>Alat Tulis Kantor (ATK)</v>
      </c>
      <c r="AA722" s="498" t="s">
        <v>3362</v>
      </c>
      <c r="AB722" s="499">
        <v>5000</v>
      </c>
      <c r="AC722" s="499">
        <v>25000</v>
      </c>
      <c r="AD722" s="496">
        <v>25000</v>
      </c>
      <c r="AE722" s="500">
        <v>22522.522522522522</v>
      </c>
      <c r="AF722" s="500">
        <v>25000</v>
      </c>
      <c r="AG722" s="805" t="s">
        <v>3883</v>
      </c>
      <c r="AH722" s="651">
        <f>Data2025!W721</f>
        <v>0</v>
      </c>
      <c r="AI722" s="501">
        <v>227</v>
      </c>
    </row>
    <row r="723" spans="1:35" s="501" customFormat="1" ht="16.5" thickTop="1" thickBot="1">
      <c r="A723" s="636">
        <f>Data2025!G722</f>
        <v>0</v>
      </c>
      <c r="B723" s="637">
        <f>Data2025!K722</f>
        <v>0</v>
      </c>
      <c r="C723" s="638">
        <f>Data2025!D722</f>
        <v>0</v>
      </c>
      <c r="D723" s="639">
        <f>Data2025!C722</f>
        <v>0</v>
      </c>
      <c r="E723" s="265">
        <f>Data2025!E722</f>
        <v>0</v>
      </c>
      <c r="F723" s="640">
        <f>Data2025!F722</f>
        <v>0</v>
      </c>
      <c r="G723" s="265">
        <f>Data2025!H722</f>
        <v>0</v>
      </c>
      <c r="H723" s="265">
        <f t="shared" si="37"/>
        <v>0</v>
      </c>
      <c r="I723" s="641">
        <f>Data2025!J722</f>
        <v>0</v>
      </c>
      <c r="J723" s="381">
        <f>Data2025!L722</f>
        <v>0</v>
      </c>
      <c r="K723" s="381">
        <f>Data2025!M722</f>
        <v>0</v>
      </c>
      <c r="L723" s="642">
        <f>Data2025!N722</f>
        <v>0</v>
      </c>
      <c r="M723" s="642">
        <f>Data2025!O722</f>
        <v>0</v>
      </c>
      <c r="N723" s="643">
        <f>Data2025!P722</f>
        <v>0</v>
      </c>
      <c r="O723" s="644">
        <f>Data2025!Q722</f>
        <v>0</v>
      </c>
      <c r="P723" s="645" t="s">
        <v>710</v>
      </c>
      <c r="Q723" s="646" t="e">
        <f>VLOOKUP(K723,Sheet1!$C$1:$D$101,2,)</f>
        <v>#N/A</v>
      </c>
      <c r="R723" s="496">
        <v>2000000</v>
      </c>
      <c r="S723" s="504">
        <v>2080000</v>
      </c>
      <c r="T723" s="648">
        <f>Data2025!T722</f>
        <v>0</v>
      </c>
      <c r="U723" s="497" t="s">
        <v>538</v>
      </c>
      <c r="V723" s="648">
        <f>Data2025!V722</f>
        <v>0</v>
      </c>
      <c r="W723" s="648">
        <f>Data2025!X722</f>
        <v>0</v>
      </c>
      <c r="X723" s="497" t="s">
        <v>541</v>
      </c>
      <c r="Y723" s="268" t="str">
        <f t="shared" si="38"/>
        <v>Alat Tulis Kantor (ATK)</v>
      </c>
      <c r="Z723" s="649" t="str">
        <f t="shared" si="39"/>
        <v>Alat Tulis Kantor (ATK)</v>
      </c>
      <c r="AA723" s="498" t="s">
        <v>3369</v>
      </c>
      <c r="AB723" s="499">
        <v>50000</v>
      </c>
      <c r="AC723" s="499">
        <v>2000000</v>
      </c>
      <c r="AD723" s="496">
        <v>2000000</v>
      </c>
      <c r="AE723" s="500">
        <v>1801801.8018018019</v>
      </c>
      <c r="AF723" s="500">
        <v>2000000</v>
      </c>
      <c r="AG723" s="805" t="s">
        <v>3883</v>
      </c>
      <c r="AH723" s="651">
        <f>Data2025!W722</f>
        <v>0</v>
      </c>
      <c r="AI723" s="501">
        <v>227</v>
      </c>
    </row>
    <row r="724" spans="1:35" s="501" customFormat="1" ht="16.5" thickTop="1" thickBot="1">
      <c r="A724" s="636">
        <f>Data2025!G723</f>
        <v>0</v>
      </c>
      <c r="B724" s="637">
        <f>Data2025!K723</f>
        <v>0</v>
      </c>
      <c r="C724" s="638">
        <f>Data2025!D723</f>
        <v>0</v>
      </c>
      <c r="D724" s="639">
        <f>Data2025!C723</f>
        <v>0</v>
      </c>
      <c r="E724" s="265">
        <f>Data2025!E723</f>
        <v>0</v>
      </c>
      <c r="F724" s="640">
        <f>Data2025!F723</f>
        <v>0</v>
      </c>
      <c r="G724" s="265">
        <f>Data2025!H723</f>
        <v>0</v>
      </c>
      <c r="H724" s="265">
        <f t="shared" si="37"/>
        <v>0</v>
      </c>
      <c r="I724" s="641">
        <f>Data2025!J723</f>
        <v>0</v>
      </c>
      <c r="J724" s="381">
        <f>Data2025!L723</f>
        <v>0</v>
      </c>
      <c r="K724" s="381">
        <f>Data2025!M723</f>
        <v>0</v>
      </c>
      <c r="L724" s="642">
        <f>Data2025!N723</f>
        <v>0</v>
      </c>
      <c r="M724" s="642">
        <f>Data2025!O723</f>
        <v>0</v>
      </c>
      <c r="N724" s="643">
        <f>Data2025!P723</f>
        <v>0</v>
      </c>
      <c r="O724" s="644">
        <f>Data2025!Q723</f>
        <v>0</v>
      </c>
      <c r="P724" s="645" t="s">
        <v>710</v>
      </c>
      <c r="Q724" s="646" t="e">
        <f>VLOOKUP(K724,Sheet1!$C$1:$D$101,2,)</f>
        <v>#N/A</v>
      </c>
      <c r="R724" s="496">
        <v>550000</v>
      </c>
      <c r="S724" s="504">
        <v>750000</v>
      </c>
      <c r="T724" s="648">
        <f>Data2025!T723</f>
        <v>0</v>
      </c>
      <c r="U724" s="497" t="s">
        <v>538</v>
      </c>
      <c r="V724" s="648">
        <f>Data2025!V723</f>
        <v>0</v>
      </c>
      <c r="W724" s="648">
        <f>Data2025!X723</f>
        <v>0</v>
      </c>
      <c r="X724" s="497" t="s">
        <v>541</v>
      </c>
      <c r="Y724" s="268" t="str">
        <f t="shared" si="38"/>
        <v>Alat Tulis Kantor (ATK)</v>
      </c>
      <c r="Z724" s="649" t="str">
        <f t="shared" si="39"/>
        <v>Alat Tulis Kantor (ATK)</v>
      </c>
      <c r="AA724" s="498" t="s">
        <v>3363</v>
      </c>
      <c r="AB724" s="499">
        <v>5500</v>
      </c>
      <c r="AC724" s="499">
        <v>550000</v>
      </c>
      <c r="AD724" s="496">
        <v>550000</v>
      </c>
      <c r="AE724" s="500">
        <v>495495.4954954955</v>
      </c>
      <c r="AF724" s="500">
        <v>550000</v>
      </c>
      <c r="AG724" s="805" t="s">
        <v>3883</v>
      </c>
      <c r="AH724" s="651">
        <f>Data2025!W723</f>
        <v>0</v>
      </c>
      <c r="AI724" s="501">
        <v>227</v>
      </c>
    </row>
    <row r="725" spans="1:35" s="501" customFormat="1" ht="16.5" thickTop="1" thickBot="1">
      <c r="A725" s="636">
        <f>Data2025!G724</f>
        <v>0</v>
      </c>
      <c r="B725" s="637">
        <f>Data2025!K724</f>
        <v>0</v>
      </c>
      <c r="C725" s="638">
        <f>Data2025!D724</f>
        <v>0</v>
      </c>
      <c r="D725" s="639">
        <f>Data2025!C724</f>
        <v>0</v>
      </c>
      <c r="E725" s="265">
        <f>Data2025!E724</f>
        <v>0</v>
      </c>
      <c r="F725" s="640">
        <f>Data2025!F724</f>
        <v>0</v>
      </c>
      <c r="G725" s="265">
        <f>Data2025!H724</f>
        <v>0</v>
      </c>
      <c r="H725" s="265">
        <f t="shared" si="37"/>
        <v>0</v>
      </c>
      <c r="I725" s="641">
        <f>Data2025!J724</f>
        <v>0</v>
      </c>
      <c r="J725" s="381">
        <f>Data2025!L724</f>
        <v>0</v>
      </c>
      <c r="K725" s="381">
        <f>Data2025!M724</f>
        <v>0</v>
      </c>
      <c r="L725" s="642">
        <f>Data2025!N724</f>
        <v>0</v>
      </c>
      <c r="M725" s="642">
        <f>Data2025!O724</f>
        <v>0</v>
      </c>
      <c r="N725" s="643">
        <f>Data2025!P724</f>
        <v>0</v>
      </c>
      <c r="O725" s="644">
        <f>Data2025!Q724</f>
        <v>0</v>
      </c>
      <c r="P725" s="645" t="s">
        <v>710</v>
      </c>
      <c r="Q725" s="646" t="e">
        <f>VLOOKUP(K725,Sheet1!$C$1:$D$101,2,)</f>
        <v>#N/A</v>
      </c>
      <c r="R725" s="496">
        <v>48000</v>
      </c>
      <c r="S725" s="504">
        <v>50000</v>
      </c>
      <c r="T725" s="648">
        <f>Data2025!T724</f>
        <v>0</v>
      </c>
      <c r="U725" s="497" t="s">
        <v>538</v>
      </c>
      <c r="V725" s="648">
        <f>Data2025!V724</f>
        <v>0</v>
      </c>
      <c r="W725" s="648">
        <f>Data2025!X724</f>
        <v>0</v>
      </c>
      <c r="X725" s="497" t="s">
        <v>541</v>
      </c>
      <c r="Y725" s="268" t="str">
        <f t="shared" si="38"/>
        <v>Alat Tulis Kantor (ATK)</v>
      </c>
      <c r="Z725" s="649" t="str">
        <f t="shared" si="39"/>
        <v>Alat Tulis Kantor (ATK)</v>
      </c>
      <c r="AA725" s="498" t="s">
        <v>3362</v>
      </c>
      <c r="AB725" s="499">
        <v>48000</v>
      </c>
      <c r="AC725" s="499">
        <v>48000</v>
      </c>
      <c r="AD725" s="496">
        <v>48000</v>
      </c>
      <c r="AE725" s="500">
        <v>43243.243243243247</v>
      </c>
      <c r="AF725" s="500">
        <v>48000</v>
      </c>
      <c r="AG725" s="805" t="s">
        <v>3883</v>
      </c>
      <c r="AH725" s="651">
        <f>Data2025!W724</f>
        <v>0</v>
      </c>
      <c r="AI725" s="501">
        <v>227</v>
      </c>
    </row>
    <row r="726" spans="1:35" s="501" customFormat="1" ht="16.5" thickTop="1" thickBot="1">
      <c r="A726" s="636">
        <f>Data2025!G725</f>
        <v>0</v>
      </c>
      <c r="B726" s="637">
        <f>Data2025!K725</f>
        <v>0</v>
      </c>
      <c r="C726" s="638">
        <f>Data2025!D725</f>
        <v>0</v>
      </c>
      <c r="D726" s="639">
        <f>Data2025!C725</f>
        <v>0</v>
      </c>
      <c r="E726" s="265">
        <f>Data2025!E725</f>
        <v>0</v>
      </c>
      <c r="F726" s="640">
        <f>Data2025!F725</f>
        <v>0</v>
      </c>
      <c r="G726" s="265">
        <f>Data2025!H725</f>
        <v>0</v>
      </c>
      <c r="H726" s="265">
        <f t="shared" si="37"/>
        <v>0</v>
      </c>
      <c r="I726" s="641">
        <f>Data2025!J725</f>
        <v>0</v>
      </c>
      <c r="J726" s="381">
        <f>Data2025!L725</f>
        <v>0</v>
      </c>
      <c r="K726" s="381">
        <f>Data2025!M725</f>
        <v>0</v>
      </c>
      <c r="L726" s="642">
        <f>Data2025!N725</f>
        <v>0</v>
      </c>
      <c r="M726" s="642">
        <f>Data2025!O725</f>
        <v>0</v>
      </c>
      <c r="N726" s="643">
        <f>Data2025!P725</f>
        <v>0</v>
      </c>
      <c r="O726" s="644">
        <f>Data2025!Q725</f>
        <v>0</v>
      </c>
      <c r="P726" s="645" t="s">
        <v>710</v>
      </c>
      <c r="Q726" s="646" t="e">
        <f>VLOOKUP(K726,Sheet1!$C$1:$D$101,2,)</f>
        <v>#N/A</v>
      </c>
      <c r="R726" s="496">
        <v>114000</v>
      </c>
      <c r="S726" s="504">
        <v>124000</v>
      </c>
      <c r="T726" s="648">
        <f>Data2025!T725</f>
        <v>0</v>
      </c>
      <c r="U726" s="497" t="s">
        <v>538</v>
      </c>
      <c r="V726" s="648">
        <f>Data2025!V725</f>
        <v>0</v>
      </c>
      <c r="W726" s="648">
        <f>Data2025!X725</f>
        <v>0</v>
      </c>
      <c r="X726" s="497" t="s">
        <v>541</v>
      </c>
      <c r="Y726" s="268" t="str">
        <f t="shared" si="38"/>
        <v>Alat Tulis Kantor (ATK)</v>
      </c>
      <c r="Z726" s="649" t="str">
        <f t="shared" si="39"/>
        <v>Alat Tulis Kantor (ATK)</v>
      </c>
      <c r="AA726" s="498" t="s">
        <v>3363</v>
      </c>
      <c r="AB726" s="499">
        <v>22800</v>
      </c>
      <c r="AC726" s="499">
        <v>114000</v>
      </c>
      <c r="AD726" s="496">
        <v>114000</v>
      </c>
      <c r="AE726" s="500">
        <v>102702.70270270271</v>
      </c>
      <c r="AF726" s="500">
        <v>114000</v>
      </c>
      <c r="AG726" s="805" t="s">
        <v>3883</v>
      </c>
      <c r="AH726" s="651">
        <f>Data2025!W725</f>
        <v>0</v>
      </c>
      <c r="AI726" s="501">
        <v>227</v>
      </c>
    </row>
    <row r="727" spans="1:35" s="501" customFormat="1" ht="16.5" thickTop="1" thickBot="1">
      <c r="A727" s="636">
        <f>Data2025!G726</f>
        <v>0</v>
      </c>
      <c r="B727" s="637">
        <f>Data2025!K726</f>
        <v>0</v>
      </c>
      <c r="C727" s="638">
        <f>Data2025!D726</f>
        <v>0</v>
      </c>
      <c r="D727" s="639">
        <f>Data2025!C726</f>
        <v>0</v>
      </c>
      <c r="E727" s="265">
        <f>Data2025!E726</f>
        <v>0</v>
      </c>
      <c r="F727" s="640">
        <f>Data2025!F726</f>
        <v>0</v>
      </c>
      <c r="G727" s="265">
        <f>Data2025!H726</f>
        <v>0</v>
      </c>
      <c r="H727" s="265">
        <f t="shared" si="37"/>
        <v>0</v>
      </c>
      <c r="I727" s="641">
        <f>Data2025!J726</f>
        <v>0</v>
      </c>
      <c r="J727" s="381">
        <f>Data2025!L726</f>
        <v>0</v>
      </c>
      <c r="K727" s="381">
        <f>Data2025!M726</f>
        <v>0</v>
      </c>
      <c r="L727" s="642">
        <f>Data2025!N726</f>
        <v>0</v>
      </c>
      <c r="M727" s="642">
        <f>Data2025!O726</f>
        <v>0</v>
      </c>
      <c r="N727" s="643">
        <f>Data2025!P726</f>
        <v>0</v>
      </c>
      <c r="O727" s="644">
        <f>Data2025!Q726</f>
        <v>0</v>
      </c>
      <c r="P727" s="645" t="s">
        <v>710</v>
      </c>
      <c r="Q727" s="646" t="e">
        <f>VLOOKUP(K727,Sheet1!$C$1:$D$101,2,)</f>
        <v>#N/A</v>
      </c>
      <c r="R727" s="496">
        <v>50000</v>
      </c>
      <c r="S727" s="504">
        <v>60000</v>
      </c>
      <c r="T727" s="648">
        <f>Data2025!T726</f>
        <v>0</v>
      </c>
      <c r="U727" s="497" t="s">
        <v>538</v>
      </c>
      <c r="V727" s="648">
        <f>Data2025!V726</f>
        <v>0</v>
      </c>
      <c r="W727" s="648">
        <f>Data2025!X726</f>
        <v>0</v>
      </c>
      <c r="X727" s="497" t="s">
        <v>541</v>
      </c>
      <c r="Y727" s="268" t="str">
        <f t="shared" si="38"/>
        <v>Alat Tulis Kantor (ATK)</v>
      </c>
      <c r="Z727" s="649" t="str">
        <f t="shared" si="39"/>
        <v>Alat Tulis Kantor (ATK)</v>
      </c>
      <c r="AA727" s="498" t="s">
        <v>3363</v>
      </c>
      <c r="AB727" s="499">
        <v>10000</v>
      </c>
      <c r="AC727" s="499">
        <v>50000</v>
      </c>
      <c r="AD727" s="496">
        <v>50000</v>
      </c>
      <c r="AE727" s="500">
        <v>45045.045045045044</v>
      </c>
      <c r="AF727" s="500">
        <v>50000</v>
      </c>
      <c r="AG727" s="805" t="s">
        <v>3883</v>
      </c>
      <c r="AH727" s="651">
        <f>Data2025!W726</f>
        <v>0</v>
      </c>
      <c r="AI727" s="501">
        <v>227</v>
      </c>
    </row>
    <row r="728" spans="1:35" s="501" customFormat="1" ht="16.5" thickTop="1" thickBot="1">
      <c r="A728" s="636">
        <f>Data2025!G727</f>
        <v>0</v>
      </c>
      <c r="B728" s="637">
        <f>Data2025!K727</f>
        <v>0</v>
      </c>
      <c r="C728" s="638">
        <f>Data2025!D727</f>
        <v>0</v>
      </c>
      <c r="D728" s="639">
        <f>Data2025!C727</f>
        <v>0</v>
      </c>
      <c r="E728" s="265">
        <f>Data2025!E727</f>
        <v>0</v>
      </c>
      <c r="F728" s="640">
        <f>Data2025!F727</f>
        <v>0</v>
      </c>
      <c r="G728" s="265">
        <f>Data2025!H727</f>
        <v>0</v>
      </c>
      <c r="H728" s="265">
        <f t="shared" si="37"/>
        <v>0</v>
      </c>
      <c r="I728" s="641">
        <f>Data2025!J727</f>
        <v>0</v>
      </c>
      <c r="J728" s="381">
        <f>Data2025!L727</f>
        <v>0</v>
      </c>
      <c r="K728" s="381">
        <f>Data2025!M727</f>
        <v>0</v>
      </c>
      <c r="L728" s="642">
        <f>Data2025!N727</f>
        <v>0</v>
      </c>
      <c r="M728" s="642">
        <f>Data2025!O727</f>
        <v>0</v>
      </c>
      <c r="N728" s="643">
        <f>Data2025!P727</f>
        <v>0</v>
      </c>
      <c r="O728" s="644">
        <f>Data2025!Q727</f>
        <v>0</v>
      </c>
      <c r="P728" s="645" t="s">
        <v>710</v>
      </c>
      <c r="Q728" s="646" t="e">
        <f>VLOOKUP(K728,Sheet1!$C$1:$D$101,2,)</f>
        <v>#N/A</v>
      </c>
      <c r="R728" s="496">
        <v>165000</v>
      </c>
      <c r="S728" s="504">
        <v>185000</v>
      </c>
      <c r="T728" s="648">
        <f>Data2025!T727</f>
        <v>0</v>
      </c>
      <c r="U728" s="497" t="s">
        <v>538</v>
      </c>
      <c r="V728" s="648">
        <f>Data2025!V727</f>
        <v>0</v>
      </c>
      <c r="W728" s="648">
        <f>Data2025!X727</f>
        <v>0</v>
      </c>
      <c r="X728" s="497" t="s">
        <v>541</v>
      </c>
      <c r="Y728" s="268" t="str">
        <f t="shared" si="38"/>
        <v>Alat Tulis Kantor (ATK)</v>
      </c>
      <c r="Z728" s="649" t="str">
        <f t="shared" si="39"/>
        <v>Alat Tulis Kantor (ATK)</v>
      </c>
      <c r="AA728" s="498" t="s">
        <v>3362</v>
      </c>
      <c r="AB728" s="499">
        <v>16500</v>
      </c>
      <c r="AC728" s="499">
        <v>165000</v>
      </c>
      <c r="AD728" s="496">
        <v>165000</v>
      </c>
      <c r="AE728" s="500">
        <v>148648.64864864864</v>
      </c>
      <c r="AF728" s="500">
        <v>165000</v>
      </c>
      <c r="AG728" s="805" t="s">
        <v>3883</v>
      </c>
      <c r="AH728" s="651">
        <f>Data2025!W727</f>
        <v>0</v>
      </c>
      <c r="AI728" s="501">
        <v>227</v>
      </c>
    </row>
    <row r="729" spans="1:35" s="501" customFormat="1" ht="16.5" thickTop="1" thickBot="1">
      <c r="A729" s="636">
        <f>Data2025!G728</f>
        <v>0</v>
      </c>
      <c r="B729" s="637">
        <f>Data2025!K728</f>
        <v>0</v>
      </c>
      <c r="C729" s="638">
        <f>Data2025!D728</f>
        <v>0</v>
      </c>
      <c r="D729" s="639">
        <f>Data2025!C728</f>
        <v>0</v>
      </c>
      <c r="E729" s="265">
        <f>Data2025!E728</f>
        <v>0</v>
      </c>
      <c r="F729" s="640">
        <f>Data2025!F728</f>
        <v>0</v>
      </c>
      <c r="G729" s="265">
        <f>Data2025!H728</f>
        <v>0</v>
      </c>
      <c r="H729" s="265">
        <f t="shared" si="37"/>
        <v>0</v>
      </c>
      <c r="I729" s="641">
        <f>Data2025!J728</f>
        <v>0</v>
      </c>
      <c r="J729" s="381">
        <f>Data2025!L728</f>
        <v>0</v>
      </c>
      <c r="K729" s="381">
        <f>Data2025!M728</f>
        <v>0</v>
      </c>
      <c r="L729" s="642">
        <f>Data2025!N728</f>
        <v>0</v>
      </c>
      <c r="M729" s="642">
        <f>Data2025!O728</f>
        <v>0</v>
      </c>
      <c r="N729" s="643">
        <f>Data2025!P728</f>
        <v>0</v>
      </c>
      <c r="O729" s="644">
        <f>Data2025!Q728</f>
        <v>0</v>
      </c>
      <c r="P729" s="645" t="s">
        <v>710</v>
      </c>
      <c r="Q729" s="646" t="e">
        <f>VLOOKUP(K729,Sheet1!$C$1:$D$101,2,)</f>
        <v>#N/A</v>
      </c>
      <c r="R729" s="496">
        <v>510000</v>
      </c>
      <c r="S729" s="504">
        <v>522000</v>
      </c>
      <c r="T729" s="648">
        <f>Data2025!T728</f>
        <v>0</v>
      </c>
      <c r="U729" s="497" t="s">
        <v>538</v>
      </c>
      <c r="V729" s="648">
        <f>Data2025!V728</f>
        <v>0</v>
      </c>
      <c r="W729" s="648">
        <f>Data2025!X728</f>
        <v>0</v>
      </c>
      <c r="X729" s="497" t="s">
        <v>541</v>
      </c>
      <c r="Y729" s="268" t="str">
        <f t="shared" si="38"/>
        <v>Alat Tulis Kantor (ATK)</v>
      </c>
      <c r="Z729" s="649" t="str">
        <f t="shared" si="39"/>
        <v>Alat Tulis Kantor (ATK)</v>
      </c>
      <c r="AA729" s="498" t="s">
        <v>3367</v>
      </c>
      <c r="AB729" s="499">
        <v>85000</v>
      </c>
      <c r="AC729" s="499">
        <v>510000</v>
      </c>
      <c r="AD729" s="496">
        <v>510000</v>
      </c>
      <c r="AE729" s="500">
        <v>459459.45945945947</v>
      </c>
      <c r="AF729" s="500">
        <v>510000</v>
      </c>
      <c r="AG729" s="805" t="s">
        <v>3883</v>
      </c>
      <c r="AH729" s="651">
        <f>Data2025!W728</f>
        <v>0</v>
      </c>
      <c r="AI729" s="501">
        <v>227</v>
      </c>
    </row>
    <row r="730" spans="1:35" s="501" customFormat="1" ht="16.5" thickTop="1" thickBot="1">
      <c r="A730" s="636">
        <f>Data2025!G729</f>
        <v>0</v>
      </c>
      <c r="B730" s="637">
        <f>Data2025!K729</f>
        <v>0</v>
      </c>
      <c r="C730" s="638">
        <f>Data2025!D729</f>
        <v>0</v>
      </c>
      <c r="D730" s="639">
        <f>Data2025!C729</f>
        <v>0</v>
      </c>
      <c r="E730" s="265">
        <f>Data2025!E729</f>
        <v>0</v>
      </c>
      <c r="F730" s="640">
        <f>Data2025!F729</f>
        <v>0</v>
      </c>
      <c r="G730" s="265">
        <f>Data2025!H729</f>
        <v>0</v>
      </c>
      <c r="H730" s="265">
        <f t="shared" si="37"/>
        <v>0</v>
      </c>
      <c r="I730" s="641">
        <f>Data2025!J729</f>
        <v>0</v>
      </c>
      <c r="J730" s="381">
        <f>Data2025!L729</f>
        <v>0</v>
      </c>
      <c r="K730" s="381">
        <f>Data2025!M729</f>
        <v>0</v>
      </c>
      <c r="L730" s="642">
        <f>Data2025!N729</f>
        <v>0</v>
      </c>
      <c r="M730" s="642">
        <f>Data2025!O729</f>
        <v>0</v>
      </c>
      <c r="N730" s="643">
        <f>Data2025!P729</f>
        <v>0</v>
      </c>
      <c r="O730" s="644">
        <f>Data2025!Q729</f>
        <v>0</v>
      </c>
      <c r="P730" s="645" t="s">
        <v>710</v>
      </c>
      <c r="Q730" s="646" t="e">
        <f>VLOOKUP(K730,Sheet1!$C$1:$D$101,2,)</f>
        <v>#N/A</v>
      </c>
      <c r="R730" s="496">
        <v>80000</v>
      </c>
      <c r="S730" s="504">
        <v>84000</v>
      </c>
      <c r="T730" s="648">
        <f>Data2025!T729</f>
        <v>0</v>
      </c>
      <c r="U730" s="497" t="s">
        <v>538</v>
      </c>
      <c r="V730" s="648">
        <f>Data2025!V729</f>
        <v>0</v>
      </c>
      <c r="W730" s="648">
        <f>Data2025!X729</f>
        <v>0</v>
      </c>
      <c r="X730" s="497" t="s">
        <v>541</v>
      </c>
      <c r="Y730" s="268" t="str">
        <f t="shared" si="38"/>
        <v>Alat Tulis Kantor (ATK)</v>
      </c>
      <c r="Z730" s="649" t="str">
        <f t="shared" si="39"/>
        <v>Alat Tulis Kantor (ATK)</v>
      </c>
      <c r="AA730" s="498" t="s">
        <v>3362</v>
      </c>
      <c r="AB730" s="499">
        <v>40000</v>
      </c>
      <c r="AC730" s="499">
        <v>80000</v>
      </c>
      <c r="AD730" s="496">
        <v>80000</v>
      </c>
      <c r="AE730" s="500">
        <v>72072.072072072071</v>
      </c>
      <c r="AF730" s="500">
        <v>80000</v>
      </c>
      <c r="AG730" s="805" t="s">
        <v>3883</v>
      </c>
      <c r="AH730" s="651">
        <f>Data2025!W729</f>
        <v>0</v>
      </c>
      <c r="AI730" s="501">
        <v>227</v>
      </c>
    </row>
    <row r="731" spans="1:35" s="501" customFormat="1" ht="16.5" thickTop="1" thickBot="1">
      <c r="A731" s="636">
        <f>Data2025!G730</f>
        <v>0</v>
      </c>
      <c r="B731" s="637">
        <f>Data2025!K730</f>
        <v>0</v>
      </c>
      <c r="C731" s="638">
        <f>Data2025!D730</f>
        <v>0</v>
      </c>
      <c r="D731" s="639">
        <f>Data2025!C730</f>
        <v>0</v>
      </c>
      <c r="E731" s="265">
        <f>Data2025!E730</f>
        <v>0</v>
      </c>
      <c r="F731" s="640">
        <f>Data2025!F730</f>
        <v>0</v>
      </c>
      <c r="G731" s="265">
        <f>Data2025!H730</f>
        <v>0</v>
      </c>
      <c r="H731" s="265">
        <f t="shared" si="37"/>
        <v>0</v>
      </c>
      <c r="I731" s="641">
        <f>Data2025!J730</f>
        <v>0</v>
      </c>
      <c r="J731" s="381">
        <f>Data2025!L730</f>
        <v>0</v>
      </c>
      <c r="K731" s="381">
        <f>Data2025!M730</f>
        <v>0</v>
      </c>
      <c r="L731" s="642">
        <f>Data2025!N730</f>
        <v>0</v>
      </c>
      <c r="M731" s="642">
        <f>Data2025!O730</f>
        <v>0</v>
      </c>
      <c r="N731" s="643">
        <f>Data2025!P730</f>
        <v>0</v>
      </c>
      <c r="O731" s="644">
        <f>Data2025!Q730</f>
        <v>0</v>
      </c>
      <c r="P731" s="645" t="s">
        <v>710</v>
      </c>
      <c r="Q731" s="646" t="e">
        <f>VLOOKUP(K731,Sheet1!$C$1:$D$101,2,)</f>
        <v>#N/A</v>
      </c>
      <c r="R731" s="496">
        <v>180000</v>
      </c>
      <c r="S731" s="504">
        <v>184000</v>
      </c>
      <c r="T731" s="648">
        <f>Data2025!T730</f>
        <v>0</v>
      </c>
      <c r="U731" s="497" t="s">
        <v>538</v>
      </c>
      <c r="V731" s="648">
        <f>Data2025!V730</f>
        <v>0</v>
      </c>
      <c r="W731" s="648">
        <f>Data2025!X730</f>
        <v>0</v>
      </c>
      <c r="X731" s="497" t="s">
        <v>541</v>
      </c>
      <c r="Y731" s="268" t="str">
        <f t="shared" si="38"/>
        <v>Alat Tulis Kantor (ATK)</v>
      </c>
      <c r="Z731" s="649" t="str">
        <f t="shared" si="39"/>
        <v>Alat Tulis Kantor (ATK)</v>
      </c>
      <c r="AA731" s="498" t="s">
        <v>3369</v>
      </c>
      <c r="AB731" s="499">
        <v>90000</v>
      </c>
      <c r="AC731" s="499">
        <v>180000</v>
      </c>
      <c r="AD731" s="496">
        <v>180000</v>
      </c>
      <c r="AE731" s="500">
        <v>162162.16216216216</v>
      </c>
      <c r="AF731" s="500">
        <v>180000</v>
      </c>
      <c r="AG731" s="805" t="s">
        <v>3883</v>
      </c>
      <c r="AH731" s="651">
        <f>Data2025!W730</f>
        <v>0</v>
      </c>
      <c r="AI731" s="501">
        <v>227</v>
      </c>
    </row>
    <row r="732" spans="1:35" s="501" customFormat="1" ht="16.5" thickTop="1" thickBot="1">
      <c r="A732" s="636">
        <f>Data2025!G731</f>
        <v>0</v>
      </c>
      <c r="B732" s="637">
        <f>Data2025!K731</f>
        <v>0</v>
      </c>
      <c r="C732" s="638">
        <f>Data2025!D731</f>
        <v>0</v>
      </c>
      <c r="D732" s="639">
        <f>Data2025!C731</f>
        <v>0</v>
      </c>
      <c r="E732" s="265">
        <f>Data2025!E731</f>
        <v>0</v>
      </c>
      <c r="F732" s="640">
        <f>Data2025!F731</f>
        <v>0</v>
      </c>
      <c r="G732" s="265">
        <f>Data2025!H731</f>
        <v>0</v>
      </c>
      <c r="H732" s="265">
        <f t="shared" si="37"/>
        <v>0</v>
      </c>
      <c r="I732" s="641">
        <f>Data2025!J731</f>
        <v>0</v>
      </c>
      <c r="J732" s="381">
        <f>Data2025!L731</f>
        <v>0</v>
      </c>
      <c r="K732" s="381">
        <f>Data2025!M731</f>
        <v>0</v>
      </c>
      <c r="L732" s="642">
        <f>Data2025!N731</f>
        <v>0</v>
      </c>
      <c r="M732" s="642">
        <f>Data2025!O731</f>
        <v>0</v>
      </c>
      <c r="N732" s="643">
        <f>Data2025!P731</f>
        <v>0</v>
      </c>
      <c r="O732" s="644">
        <f>Data2025!Q731</f>
        <v>0</v>
      </c>
      <c r="P732" s="645" t="s">
        <v>710</v>
      </c>
      <c r="Q732" s="646" t="e">
        <f>VLOOKUP(K732,Sheet1!$C$1:$D$101,2,)</f>
        <v>#N/A</v>
      </c>
      <c r="R732" s="496">
        <v>325000</v>
      </c>
      <c r="S732" s="504">
        <v>335000</v>
      </c>
      <c r="T732" s="648">
        <f>Data2025!T731</f>
        <v>0</v>
      </c>
      <c r="U732" s="497" t="s">
        <v>538</v>
      </c>
      <c r="V732" s="648">
        <f>Data2025!V731</f>
        <v>0</v>
      </c>
      <c r="W732" s="648">
        <f>Data2025!X731</f>
        <v>0</v>
      </c>
      <c r="X732" s="497" t="s">
        <v>541</v>
      </c>
      <c r="Y732" s="268" t="str">
        <f t="shared" si="38"/>
        <v>Alat Tulis Kantor (ATK)</v>
      </c>
      <c r="Z732" s="649" t="str">
        <f t="shared" si="39"/>
        <v>Alat Tulis Kantor (ATK)</v>
      </c>
      <c r="AA732" s="498" t="s">
        <v>3365</v>
      </c>
      <c r="AB732" s="499">
        <v>65000</v>
      </c>
      <c r="AC732" s="499">
        <v>325000</v>
      </c>
      <c r="AD732" s="496">
        <v>325000</v>
      </c>
      <c r="AE732" s="500">
        <v>292792.79279279278</v>
      </c>
      <c r="AF732" s="500">
        <v>325000</v>
      </c>
      <c r="AG732" s="805" t="s">
        <v>3883</v>
      </c>
      <c r="AH732" s="651">
        <f>Data2025!W731</f>
        <v>0</v>
      </c>
      <c r="AI732" s="501">
        <v>227</v>
      </c>
    </row>
    <row r="733" spans="1:35" s="501" customFormat="1" ht="16.5" thickTop="1" thickBot="1">
      <c r="A733" s="636">
        <f>Data2025!G732</f>
        <v>0</v>
      </c>
      <c r="B733" s="637">
        <f>Data2025!K732</f>
        <v>0</v>
      </c>
      <c r="C733" s="638">
        <f>Data2025!D732</f>
        <v>0</v>
      </c>
      <c r="D733" s="639">
        <f>Data2025!C732</f>
        <v>0</v>
      </c>
      <c r="E733" s="265">
        <f>Data2025!E732</f>
        <v>0</v>
      </c>
      <c r="F733" s="640">
        <f>Data2025!F732</f>
        <v>0</v>
      </c>
      <c r="G733" s="265">
        <f>Data2025!H732</f>
        <v>0</v>
      </c>
      <c r="H733" s="265">
        <f t="shared" si="37"/>
        <v>0</v>
      </c>
      <c r="I733" s="641">
        <f>Data2025!J732</f>
        <v>0</v>
      </c>
      <c r="J733" s="381">
        <f>Data2025!L732</f>
        <v>0</v>
      </c>
      <c r="K733" s="381">
        <f>Data2025!M732</f>
        <v>0</v>
      </c>
      <c r="L733" s="642">
        <f>Data2025!N732</f>
        <v>0</v>
      </c>
      <c r="M733" s="642">
        <f>Data2025!O732</f>
        <v>0</v>
      </c>
      <c r="N733" s="643">
        <f>Data2025!P732</f>
        <v>0</v>
      </c>
      <c r="O733" s="644">
        <f>Data2025!Q732</f>
        <v>0</v>
      </c>
      <c r="P733" s="645" t="s">
        <v>710</v>
      </c>
      <c r="Q733" s="646" t="e">
        <f>VLOOKUP(K733,Sheet1!$C$1:$D$101,2,)</f>
        <v>#N/A</v>
      </c>
      <c r="R733" s="496">
        <v>239200</v>
      </c>
      <c r="S733" s="504">
        <v>247200</v>
      </c>
      <c r="T733" s="648">
        <f>Data2025!T732</f>
        <v>0</v>
      </c>
      <c r="U733" s="497" t="s">
        <v>538</v>
      </c>
      <c r="V733" s="648">
        <f>Data2025!V732</f>
        <v>0</v>
      </c>
      <c r="W733" s="648">
        <f>Data2025!X732</f>
        <v>0</v>
      </c>
      <c r="X733" s="497" t="s">
        <v>541</v>
      </c>
      <c r="Y733" s="268" t="str">
        <f t="shared" si="38"/>
        <v>Alat Tulis Kantor (ATK)</v>
      </c>
      <c r="Z733" s="649" t="str">
        <f t="shared" si="39"/>
        <v>Alat Tulis Kantor (ATK)</v>
      </c>
      <c r="AA733" s="498" t="s">
        <v>3363</v>
      </c>
      <c r="AB733" s="499">
        <v>59800</v>
      </c>
      <c r="AC733" s="499">
        <v>239200</v>
      </c>
      <c r="AD733" s="496">
        <v>239200</v>
      </c>
      <c r="AE733" s="500">
        <v>215495.4954954955</v>
      </c>
      <c r="AF733" s="500">
        <v>239200</v>
      </c>
      <c r="AG733" s="805" t="s">
        <v>3883</v>
      </c>
      <c r="AH733" s="651">
        <f>Data2025!W732</f>
        <v>0</v>
      </c>
      <c r="AI733" s="501">
        <v>227</v>
      </c>
    </row>
    <row r="734" spans="1:35" s="501" customFormat="1" ht="16.5" thickTop="1" thickBot="1">
      <c r="A734" s="636">
        <f>Data2025!G733</f>
        <v>0</v>
      </c>
      <c r="B734" s="637">
        <f>Data2025!K733</f>
        <v>0</v>
      </c>
      <c r="C734" s="638">
        <f>Data2025!D733</f>
        <v>0</v>
      </c>
      <c r="D734" s="639">
        <f>Data2025!C733</f>
        <v>0</v>
      </c>
      <c r="E734" s="265">
        <f>Data2025!E733</f>
        <v>0</v>
      </c>
      <c r="F734" s="640">
        <f>Data2025!F733</f>
        <v>0</v>
      </c>
      <c r="G734" s="265">
        <f>Data2025!H733</f>
        <v>0</v>
      </c>
      <c r="H734" s="265">
        <f t="shared" si="37"/>
        <v>0</v>
      </c>
      <c r="I734" s="641">
        <f>Data2025!J733</f>
        <v>0</v>
      </c>
      <c r="J734" s="381">
        <f>Data2025!L733</f>
        <v>0</v>
      </c>
      <c r="K734" s="381">
        <f>Data2025!M733</f>
        <v>0</v>
      </c>
      <c r="L734" s="642">
        <f>Data2025!N733</f>
        <v>0</v>
      </c>
      <c r="M734" s="642">
        <f>Data2025!O733</f>
        <v>0</v>
      </c>
      <c r="N734" s="643">
        <f>Data2025!P733</f>
        <v>0</v>
      </c>
      <c r="O734" s="644">
        <f>Data2025!Q733</f>
        <v>0</v>
      </c>
      <c r="P734" s="645" t="s">
        <v>710</v>
      </c>
      <c r="Q734" s="646" t="e">
        <f>VLOOKUP(K734,Sheet1!$C$1:$D$101,2,)</f>
        <v>#N/A</v>
      </c>
      <c r="R734" s="496">
        <v>60000</v>
      </c>
      <c r="S734" s="504">
        <v>66000</v>
      </c>
      <c r="T734" s="648">
        <f>Data2025!T733</f>
        <v>0</v>
      </c>
      <c r="U734" s="497" t="s">
        <v>538</v>
      </c>
      <c r="V734" s="648">
        <f>Data2025!V733</f>
        <v>0</v>
      </c>
      <c r="W734" s="648">
        <f>Data2025!X733</f>
        <v>0</v>
      </c>
      <c r="X734" s="497" t="s">
        <v>541</v>
      </c>
      <c r="Y734" s="268" t="str">
        <f t="shared" si="38"/>
        <v>Alat Tulis Kantor (ATK)</v>
      </c>
      <c r="Z734" s="649" t="str">
        <f t="shared" si="39"/>
        <v>Alat Tulis Kantor (ATK)</v>
      </c>
      <c r="AA734" s="498" t="s">
        <v>3363</v>
      </c>
      <c r="AB734" s="499">
        <v>20000</v>
      </c>
      <c r="AC734" s="499">
        <v>60000</v>
      </c>
      <c r="AD734" s="496">
        <v>60000</v>
      </c>
      <c r="AE734" s="500">
        <v>54054.054054054053</v>
      </c>
      <c r="AF734" s="500">
        <v>60000</v>
      </c>
      <c r="AG734" s="805" t="s">
        <v>3883</v>
      </c>
      <c r="AH734" s="651">
        <f>Data2025!W733</f>
        <v>0</v>
      </c>
      <c r="AI734" s="501">
        <v>227</v>
      </c>
    </row>
    <row r="735" spans="1:35" s="501" customFormat="1" ht="16.5" thickTop="1" thickBot="1">
      <c r="A735" s="636">
        <f>Data2025!G734</f>
        <v>0</v>
      </c>
      <c r="B735" s="637">
        <f>Data2025!K734</f>
        <v>0</v>
      </c>
      <c r="C735" s="638">
        <f>Data2025!D734</f>
        <v>0</v>
      </c>
      <c r="D735" s="639">
        <f>Data2025!C734</f>
        <v>0</v>
      </c>
      <c r="E735" s="265">
        <f>Data2025!E734</f>
        <v>0</v>
      </c>
      <c r="F735" s="640">
        <f>Data2025!F734</f>
        <v>0</v>
      </c>
      <c r="G735" s="265">
        <f>Data2025!H734</f>
        <v>0</v>
      </c>
      <c r="H735" s="265">
        <f t="shared" si="37"/>
        <v>0</v>
      </c>
      <c r="I735" s="641">
        <f>Data2025!J734</f>
        <v>0</v>
      </c>
      <c r="J735" s="381">
        <f>Data2025!L734</f>
        <v>0</v>
      </c>
      <c r="K735" s="381">
        <f>Data2025!M734</f>
        <v>0</v>
      </c>
      <c r="L735" s="642">
        <f>Data2025!N734</f>
        <v>0</v>
      </c>
      <c r="M735" s="642">
        <f>Data2025!O734</f>
        <v>0</v>
      </c>
      <c r="N735" s="643">
        <f>Data2025!P734</f>
        <v>0</v>
      </c>
      <c r="O735" s="644">
        <f>Data2025!Q734</f>
        <v>0</v>
      </c>
      <c r="P735" s="645" t="s">
        <v>710</v>
      </c>
      <c r="Q735" s="646" t="e">
        <f>VLOOKUP(K735,Sheet1!$C$1:$D$101,2,)</f>
        <v>#N/A</v>
      </c>
      <c r="R735" s="496">
        <v>40000</v>
      </c>
      <c r="S735" s="504">
        <v>44000</v>
      </c>
      <c r="T735" s="648">
        <f>Data2025!T734</f>
        <v>0</v>
      </c>
      <c r="U735" s="497" t="s">
        <v>538</v>
      </c>
      <c r="V735" s="648">
        <f>Data2025!V734</f>
        <v>0</v>
      </c>
      <c r="W735" s="648">
        <f>Data2025!X734</f>
        <v>0</v>
      </c>
      <c r="X735" s="497" t="s">
        <v>541</v>
      </c>
      <c r="Y735" s="268" t="str">
        <f t="shared" si="38"/>
        <v>Alat Tulis Kantor (ATK)</v>
      </c>
      <c r="Z735" s="649" t="str">
        <f t="shared" si="39"/>
        <v>Alat Tulis Kantor (ATK)</v>
      </c>
      <c r="AA735" s="498" t="s">
        <v>3363</v>
      </c>
      <c r="AB735" s="499">
        <v>20000</v>
      </c>
      <c r="AC735" s="499">
        <v>40000</v>
      </c>
      <c r="AD735" s="496">
        <v>40000</v>
      </c>
      <c r="AE735" s="500">
        <v>36036.036036036036</v>
      </c>
      <c r="AF735" s="500">
        <v>40000</v>
      </c>
      <c r="AG735" s="805" t="s">
        <v>3883</v>
      </c>
      <c r="AH735" s="651">
        <f>Data2025!W734</f>
        <v>0</v>
      </c>
      <c r="AI735" s="501">
        <v>227</v>
      </c>
    </row>
    <row r="736" spans="1:35" s="501" customFormat="1" ht="16.5" thickTop="1" thickBot="1">
      <c r="A736" s="636">
        <f>Data2025!G735</f>
        <v>0</v>
      </c>
      <c r="B736" s="637">
        <f>Data2025!K735</f>
        <v>0</v>
      </c>
      <c r="C736" s="638">
        <f>Data2025!D735</f>
        <v>0</v>
      </c>
      <c r="D736" s="639">
        <f>Data2025!C735</f>
        <v>0</v>
      </c>
      <c r="E736" s="265">
        <f>Data2025!E735</f>
        <v>0</v>
      </c>
      <c r="F736" s="640">
        <f>Data2025!F735</f>
        <v>0</v>
      </c>
      <c r="G736" s="265">
        <f>Data2025!H735</f>
        <v>0</v>
      </c>
      <c r="H736" s="265">
        <f t="shared" si="37"/>
        <v>0</v>
      </c>
      <c r="I736" s="641">
        <f>Data2025!J735</f>
        <v>0</v>
      </c>
      <c r="J736" s="381">
        <f>Data2025!L735</f>
        <v>0</v>
      </c>
      <c r="K736" s="381">
        <f>Data2025!M735</f>
        <v>0</v>
      </c>
      <c r="L736" s="642">
        <f>Data2025!N735</f>
        <v>0</v>
      </c>
      <c r="M736" s="642">
        <f>Data2025!O735</f>
        <v>0</v>
      </c>
      <c r="N736" s="643">
        <f>Data2025!P735</f>
        <v>0</v>
      </c>
      <c r="O736" s="644">
        <f>Data2025!Q735</f>
        <v>0</v>
      </c>
      <c r="P736" s="645" t="s">
        <v>710</v>
      </c>
      <c r="Q736" s="646" t="e">
        <f>VLOOKUP(K736,Sheet1!$C$1:$D$101,2,)</f>
        <v>#N/A</v>
      </c>
      <c r="R736" s="496">
        <v>40000</v>
      </c>
      <c r="S736" s="504">
        <v>44000</v>
      </c>
      <c r="T736" s="648">
        <f>Data2025!T735</f>
        <v>0</v>
      </c>
      <c r="U736" s="497" t="s">
        <v>538</v>
      </c>
      <c r="V736" s="648">
        <f>Data2025!V735</f>
        <v>0</v>
      </c>
      <c r="W736" s="648">
        <f>Data2025!X735</f>
        <v>0</v>
      </c>
      <c r="X736" s="497" t="s">
        <v>541</v>
      </c>
      <c r="Y736" s="268" t="str">
        <f t="shared" si="38"/>
        <v>Alat Tulis Kantor (ATK)</v>
      </c>
      <c r="Z736" s="649" t="str">
        <f t="shared" si="39"/>
        <v>Alat Tulis Kantor (ATK)</v>
      </c>
      <c r="AA736" s="498" t="s">
        <v>3364</v>
      </c>
      <c r="AB736" s="499">
        <v>20000</v>
      </c>
      <c r="AC736" s="499">
        <v>40000</v>
      </c>
      <c r="AD736" s="496">
        <v>40000</v>
      </c>
      <c r="AE736" s="500">
        <v>36036.036036036036</v>
      </c>
      <c r="AF736" s="500">
        <v>40000</v>
      </c>
      <c r="AG736" s="805" t="s">
        <v>3883</v>
      </c>
      <c r="AH736" s="651">
        <f>Data2025!W735</f>
        <v>0</v>
      </c>
      <c r="AI736" s="501">
        <v>227</v>
      </c>
    </row>
    <row r="737" spans="1:35" s="501" customFormat="1" ht="16.5" thickTop="1" thickBot="1">
      <c r="A737" s="636">
        <f>Data2025!G736</f>
        <v>0</v>
      </c>
      <c r="B737" s="637">
        <f>Data2025!K736</f>
        <v>0</v>
      </c>
      <c r="C737" s="638">
        <f>Data2025!D736</f>
        <v>0</v>
      </c>
      <c r="D737" s="639">
        <f>Data2025!C736</f>
        <v>0</v>
      </c>
      <c r="E737" s="265">
        <f>Data2025!E736</f>
        <v>0</v>
      </c>
      <c r="F737" s="640">
        <f>Data2025!F736</f>
        <v>0</v>
      </c>
      <c r="G737" s="265">
        <f>Data2025!H736</f>
        <v>0</v>
      </c>
      <c r="H737" s="265">
        <f t="shared" si="37"/>
        <v>0</v>
      </c>
      <c r="I737" s="641">
        <f>Data2025!J736</f>
        <v>0</v>
      </c>
      <c r="J737" s="381">
        <f>Data2025!L736</f>
        <v>0</v>
      </c>
      <c r="K737" s="381">
        <f>Data2025!M736</f>
        <v>0</v>
      </c>
      <c r="L737" s="642">
        <f>Data2025!N736</f>
        <v>0</v>
      </c>
      <c r="M737" s="642">
        <f>Data2025!O736</f>
        <v>0</v>
      </c>
      <c r="N737" s="643">
        <f>Data2025!P736</f>
        <v>0</v>
      </c>
      <c r="O737" s="644">
        <f>Data2025!Q736</f>
        <v>0</v>
      </c>
      <c r="P737" s="645" t="s">
        <v>710</v>
      </c>
      <c r="Q737" s="646" t="e">
        <f>VLOOKUP(K737,Sheet1!$C$1:$D$101,2,)</f>
        <v>#N/A</v>
      </c>
      <c r="R737" s="496">
        <v>440000</v>
      </c>
      <c r="S737" s="504">
        <v>448000</v>
      </c>
      <c r="T737" s="648">
        <f>Data2025!T736</f>
        <v>0</v>
      </c>
      <c r="U737" s="497" t="s">
        <v>538</v>
      </c>
      <c r="V737" s="648">
        <f>Data2025!V736</f>
        <v>0</v>
      </c>
      <c r="W737" s="648">
        <f>Data2025!X736</f>
        <v>0</v>
      </c>
      <c r="X737" s="497" t="s">
        <v>541</v>
      </c>
      <c r="Y737" s="268" t="str">
        <f t="shared" si="38"/>
        <v>Alat Tulis Kantor (ATK)</v>
      </c>
      <c r="Z737" s="649" t="str">
        <f t="shared" si="39"/>
        <v>Alat Tulis Kantor (ATK)</v>
      </c>
      <c r="AA737" s="498" t="s">
        <v>3367</v>
      </c>
      <c r="AB737" s="499">
        <v>110000</v>
      </c>
      <c r="AC737" s="499">
        <v>440000</v>
      </c>
      <c r="AD737" s="496">
        <v>440000</v>
      </c>
      <c r="AE737" s="500">
        <v>396396.39639639639</v>
      </c>
      <c r="AF737" s="500">
        <v>440000</v>
      </c>
      <c r="AG737" s="805" t="s">
        <v>3883</v>
      </c>
      <c r="AH737" s="651">
        <f>Data2025!W736</f>
        <v>0</v>
      </c>
      <c r="AI737" s="501">
        <v>227</v>
      </c>
    </row>
    <row r="738" spans="1:35" s="501" customFormat="1" ht="16.5" thickTop="1" thickBot="1">
      <c r="A738" s="636">
        <f>Data2025!G737</f>
        <v>0</v>
      </c>
      <c r="B738" s="637">
        <f>Data2025!K737</f>
        <v>0</v>
      </c>
      <c r="C738" s="638">
        <f>Data2025!D737</f>
        <v>0</v>
      </c>
      <c r="D738" s="639">
        <f>Data2025!C737</f>
        <v>0</v>
      </c>
      <c r="E738" s="265">
        <f>Data2025!E737</f>
        <v>0</v>
      </c>
      <c r="F738" s="640">
        <f>Data2025!F737</f>
        <v>0</v>
      </c>
      <c r="G738" s="265">
        <f>Data2025!H737</f>
        <v>0</v>
      </c>
      <c r="H738" s="265">
        <f t="shared" si="37"/>
        <v>0</v>
      </c>
      <c r="I738" s="641">
        <f>Data2025!J737</f>
        <v>0</v>
      </c>
      <c r="J738" s="381">
        <f>Data2025!L737</f>
        <v>0</v>
      </c>
      <c r="K738" s="381">
        <f>Data2025!M737</f>
        <v>0</v>
      </c>
      <c r="L738" s="642">
        <f>Data2025!N737</f>
        <v>0</v>
      </c>
      <c r="M738" s="642">
        <f>Data2025!O737</f>
        <v>0</v>
      </c>
      <c r="N738" s="643">
        <f>Data2025!P737</f>
        <v>0</v>
      </c>
      <c r="O738" s="644">
        <f>Data2025!Q737</f>
        <v>0</v>
      </c>
      <c r="P738" s="645" t="s">
        <v>710</v>
      </c>
      <c r="Q738" s="646" t="e">
        <f>VLOOKUP(K738,Sheet1!$C$1:$D$101,2,)</f>
        <v>#N/A</v>
      </c>
      <c r="R738" s="496">
        <v>87500</v>
      </c>
      <c r="S738" s="504">
        <v>89500</v>
      </c>
      <c r="T738" s="648">
        <f>Data2025!T737</f>
        <v>0</v>
      </c>
      <c r="U738" s="497" t="s">
        <v>538</v>
      </c>
      <c r="V738" s="648">
        <f>Data2025!V737</f>
        <v>0</v>
      </c>
      <c r="W738" s="648">
        <f>Data2025!X737</f>
        <v>0</v>
      </c>
      <c r="X738" s="497" t="s">
        <v>541</v>
      </c>
      <c r="Y738" s="268" t="str">
        <f t="shared" si="38"/>
        <v>Alat Tulis Kantor (ATK)</v>
      </c>
      <c r="Z738" s="649" t="str">
        <f t="shared" si="39"/>
        <v>Alat Tulis Kantor (ATK)</v>
      </c>
      <c r="AA738" s="498" t="s">
        <v>3370</v>
      </c>
      <c r="AB738" s="499">
        <v>87500</v>
      </c>
      <c r="AC738" s="499">
        <v>87500</v>
      </c>
      <c r="AD738" s="496">
        <v>87500</v>
      </c>
      <c r="AE738" s="500">
        <v>78828.828828828831</v>
      </c>
      <c r="AF738" s="500">
        <v>87500</v>
      </c>
      <c r="AG738" s="805" t="s">
        <v>3883</v>
      </c>
      <c r="AH738" s="651">
        <f>Data2025!W737</f>
        <v>0</v>
      </c>
      <c r="AI738" s="501">
        <v>227</v>
      </c>
    </row>
    <row r="739" spans="1:35" s="501" customFormat="1" ht="16.5" thickTop="1" thickBot="1">
      <c r="A739" s="636">
        <f>Data2025!G738</f>
        <v>0</v>
      </c>
      <c r="B739" s="637">
        <f>Data2025!K738</f>
        <v>0</v>
      </c>
      <c r="C739" s="638">
        <f>Data2025!D738</f>
        <v>0</v>
      </c>
      <c r="D739" s="639">
        <f>Data2025!C738</f>
        <v>0</v>
      </c>
      <c r="E739" s="265">
        <f>Data2025!E738</f>
        <v>0</v>
      </c>
      <c r="F739" s="640">
        <f>Data2025!F738</f>
        <v>0</v>
      </c>
      <c r="G739" s="265">
        <f>Data2025!H738</f>
        <v>0</v>
      </c>
      <c r="H739" s="265">
        <f t="shared" si="37"/>
        <v>0</v>
      </c>
      <c r="I739" s="641">
        <f>Data2025!J738</f>
        <v>0</v>
      </c>
      <c r="J739" s="381">
        <f>Data2025!L738</f>
        <v>0</v>
      </c>
      <c r="K739" s="381">
        <f>Data2025!M738</f>
        <v>0</v>
      </c>
      <c r="L739" s="642">
        <f>Data2025!N738</f>
        <v>0</v>
      </c>
      <c r="M739" s="642">
        <f>Data2025!O738</f>
        <v>0</v>
      </c>
      <c r="N739" s="643">
        <f>Data2025!P738</f>
        <v>0</v>
      </c>
      <c r="O739" s="644">
        <f>Data2025!Q738</f>
        <v>0</v>
      </c>
      <c r="P739" s="645" t="s">
        <v>710</v>
      </c>
      <c r="Q739" s="646" t="e">
        <f>VLOOKUP(K739,Sheet1!$C$1:$D$101,2,)</f>
        <v>#N/A</v>
      </c>
      <c r="R739" s="496">
        <v>50000</v>
      </c>
      <c r="S739" s="504">
        <v>58000</v>
      </c>
      <c r="T739" s="648">
        <f>Data2025!T738</f>
        <v>0</v>
      </c>
      <c r="U739" s="497" t="s">
        <v>538</v>
      </c>
      <c r="V739" s="648">
        <f>Data2025!V738</f>
        <v>0</v>
      </c>
      <c r="W739" s="648">
        <f>Data2025!X738</f>
        <v>0</v>
      </c>
      <c r="X739" s="497" t="s">
        <v>541</v>
      </c>
      <c r="Y739" s="268" t="str">
        <f t="shared" si="38"/>
        <v>Alat Tulis Kantor (ATK)</v>
      </c>
      <c r="Z739" s="649" t="str">
        <f t="shared" si="39"/>
        <v>Alat Tulis Kantor (ATK)</v>
      </c>
      <c r="AA739" s="498" t="s">
        <v>3363</v>
      </c>
      <c r="AB739" s="499">
        <v>12500</v>
      </c>
      <c r="AC739" s="499">
        <v>50000</v>
      </c>
      <c r="AD739" s="496">
        <v>50000</v>
      </c>
      <c r="AE739" s="500">
        <v>45045.045045045044</v>
      </c>
      <c r="AF739" s="500">
        <v>50000</v>
      </c>
      <c r="AG739" s="805" t="s">
        <v>3883</v>
      </c>
      <c r="AH739" s="651">
        <f>Data2025!W738</f>
        <v>0</v>
      </c>
      <c r="AI739" s="501">
        <v>227</v>
      </c>
    </row>
    <row r="740" spans="1:35" s="501" customFormat="1" ht="16.5" thickTop="1" thickBot="1">
      <c r="A740" s="636">
        <f>Data2025!G739</f>
        <v>0</v>
      </c>
      <c r="B740" s="637">
        <f>Data2025!K739</f>
        <v>0</v>
      </c>
      <c r="C740" s="638">
        <f>Data2025!D739</f>
        <v>0</v>
      </c>
      <c r="D740" s="639">
        <f>Data2025!C739</f>
        <v>0</v>
      </c>
      <c r="E740" s="265">
        <f>Data2025!E739</f>
        <v>0</v>
      </c>
      <c r="F740" s="640">
        <f>Data2025!F739</f>
        <v>0</v>
      </c>
      <c r="G740" s="265">
        <f>Data2025!H739</f>
        <v>0</v>
      </c>
      <c r="H740" s="265">
        <f t="shared" si="37"/>
        <v>0</v>
      </c>
      <c r="I740" s="641">
        <f>Data2025!J739</f>
        <v>0</v>
      </c>
      <c r="J740" s="381">
        <f>Data2025!L739</f>
        <v>0</v>
      </c>
      <c r="K740" s="381">
        <f>Data2025!M739</f>
        <v>0</v>
      </c>
      <c r="L740" s="642">
        <f>Data2025!N739</f>
        <v>0</v>
      </c>
      <c r="M740" s="642">
        <f>Data2025!O739</f>
        <v>0</v>
      </c>
      <c r="N740" s="643">
        <f>Data2025!P739</f>
        <v>0</v>
      </c>
      <c r="O740" s="644">
        <f>Data2025!Q739</f>
        <v>0</v>
      </c>
      <c r="P740" s="645" t="s">
        <v>710</v>
      </c>
      <c r="Q740" s="646" t="e">
        <f>VLOOKUP(K740,Sheet1!$C$1:$D$101,2,)</f>
        <v>#N/A</v>
      </c>
      <c r="R740" s="496">
        <v>125000</v>
      </c>
      <c r="S740" s="504">
        <v>135000</v>
      </c>
      <c r="T740" s="648">
        <f>Data2025!T739</f>
        <v>0</v>
      </c>
      <c r="U740" s="497" t="s">
        <v>538</v>
      </c>
      <c r="V740" s="648">
        <f>Data2025!V739</f>
        <v>0</v>
      </c>
      <c r="W740" s="648">
        <f>Data2025!X739</f>
        <v>0</v>
      </c>
      <c r="X740" s="497" t="s">
        <v>541</v>
      </c>
      <c r="Y740" s="268" t="str">
        <f t="shared" si="38"/>
        <v>Alat Tulis Kantor (ATK)</v>
      </c>
      <c r="Z740" s="649" t="str">
        <f t="shared" si="39"/>
        <v>Alat Tulis Kantor (ATK)</v>
      </c>
      <c r="AA740" s="498" t="s">
        <v>3363</v>
      </c>
      <c r="AB740" s="499">
        <v>25000</v>
      </c>
      <c r="AC740" s="499">
        <v>125000</v>
      </c>
      <c r="AD740" s="496">
        <v>125000</v>
      </c>
      <c r="AE740" s="500">
        <v>112612.61261261262</v>
      </c>
      <c r="AF740" s="500">
        <v>125000</v>
      </c>
      <c r="AG740" s="805" t="s">
        <v>3883</v>
      </c>
      <c r="AH740" s="651">
        <f>Data2025!W739</f>
        <v>0</v>
      </c>
      <c r="AI740" s="501">
        <v>227</v>
      </c>
    </row>
    <row r="741" spans="1:35" ht="16.5" thickTop="1" thickBot="1">
      <c r="A741" s="636">
        <f>Data2025!G740</f>
        <v>0</v>
      </c>
      <c r="B741" s="637">
        <f>Data2025!K740</f>
        <v>0</v>
      </c>
      <c r="C741" s="638">
        <f>Data2025!D740</f>
        <v>0</v>
      </c>
      <c r="D741" s="639">
        <f>Data2025!C740</f>
        <v>0</v>
      </c>
      <c r="E741" s="265">
        <f>Data2025!E740</f>
        <v>0</v>
      </c>
      <c r="F741" s="640">
        <f>Data2025!F740</f>
        <v>0</v>
      </c>
      <c r="G741" s="265">
        <f>Data2025!H740</f>
        <v>0</v>
      </c>
      <c r="H741" s="265">
        <f t="shared" si="37"/>
        <v>0</v>
      </c>
      <c r="I741" s="641">
        <f>Data2025!J740</f>
        <v>0</v>
      </c>
      <c r="J741" s="381">
        <f>Data2025!L740</f>
        <v>0</v>
      </c>
      <c r="K741" s="381">
        <f>Data2025!M740</f>
        <v>0</v>
      </c>
      <c r="L741" s="642">
        <f>Data2025!N740</f>
        <v>0</v>
      </c>
      <c r="M741" s="642">
        <f>Data2025!O740</f>
        <v>0</v>
      </c>
      <c r="N741" s="643">
        <f>Data2025!P740</f>
        <v>0</v>
      </c>
      <c r="O741" s="644">
        <f>Data2025!Q740</f>
        <v>0</v>
      </c>
      <c r="P741" s="645" t="s">
        <v>710</v>
      </c>
      <c r="Q741" s="646" t="e">
        <f>VLOOKUP(K741,Sheet1!$C$1:$D$101,2,)</f>
        <v>#N/A</v>
      </c>
      <c r="R741" s="496">
        <v>240000</v>
      </c>
      <c r="S741" s="504">
        <v>256000</v>
      </c>
      <c r="T741" s="648">
        <f>Data2025!T740</f>
        <v>0</v>
      </c>
      <c r="U741" s="497" t="s">
        <v>538</v>
      </c>
      <c r="V741" s="648">
        <f>Data2025!V740</f>
        <v>0</v>
      </c>
      <c r="W741" s="648">
        <f>Data2025!X740</f>
        <v>0</v>
      </c>
      <c r="X741" s="497" t="s">
        <v>541</v>
      </c>
      <c r="Y741" s="268" t="str">
        <f t="shared" si="38"/>
        <v>Alat Tulis Kantor (ATK)</v>
      </c>
      <c r="Z741" s="649" t="str">
        <f t="shared" si="39"/>
        <v>Alat Tulis Kantor (ATK)</v>
      </c>
      <c r="AA741" s="498" t="s">
        <v>3367</v>
      </c>
      <c r="AB741" s="269">
        <v>30000</v>
      </c>
      <c r="AC741" s="269">
        <v>240000</v>
      </c>
      <c r="AD741" s="267">
        <v>240000</v>
      </c>
      <c r="AE741" s="270">
        <v>216216.21621621621</v>
      </c>
      <c r="AF741" s="270">
        <v>240000</v>
      </c>
      <c r="AG741" s="805" t="s">
        <v>3883</v>
      </c>
      <c r="AH741" s="651">
        <f>Data2025!W740</f>
        <v>0</v>
      </c>
      <c r="AI741" s="61">
        <v>227</v>
      </c>
    </row>
    <row r="742" spans="1:35" ht="16.5" thickTop="1" thickBot="1">
      <c r="A742" s="636">
        <f>Data2025!G741</f>
        <v>0</v>
      </c>
      <c r="B742" s="637">
        <f>Data2025!K741</f>
        <v>0</v>
      </c>
      <c r="C742" s="638">
        <f>Data2025!D741</f>
        <v>0</v>
      </c>
      <c r="D742" s="639">
        <f>Data2025!C741</f>
        <v>0</v>
      </c>
      <c r="E742" s="265">
        <f>Data2025!E741</f>
        <v>0</v>
      </c>
      <c r="F742" s="640">
        <f>Data2025!F741</f>
        <v>0</v>
      </c>
      <c r="G742" s="265">
        <f>Data2025!H741</f>
        <v>0</v>
      </c>
      <c r="H742" s="265">
        <f t="shared" si="37"/>
        <v>0</v>
      </c>
      <c r="I742" s="641">
        <f>Data2025!J741</f>
        <v>0</v>
      </c>
      <c r="J742" s="381">
        <f>Data2025!L741</f>
        <v>0</v>
      </c>
      <c r="K742" s="381">
        <f>Data2025!M741</f>
        <v>0</v>
      </c>
      <c r="L742" s="642">
        <f>Data2025!N741</f>
        <v>0</v>
      </c>
      <c r="M742" s="642">
        <f>Data2025!O741</f>
        <v>0</v>
      </c>
      <c r="N742" s="643">
        <f>Data2025!P741</f>
        <v>0</v>
      </c>
      <c r="O742" s="644">
        <f>Data2025!Q741</f>
        <v>0</v>
      </c>
      <c r="P742" s="645" t="s">
        <v>710</v>
      </c>
      <c r="Q742" s="646" t="e">
        <f>VLOOKUP(K742,Sheet1!$C$1:$D$101,2,)</f>
        <v>#N/A</v>
      </c>
      <c r="R742" s="496">
        <v>485000</v>
      </c>
      <c r="S742" s="504">
        <v>505000</v>
      </c>
      <c r="T742" s="648">
        <f>Data2025!T741</f>
        <v>0</v>
      </c>
      <c r="U742" s="497" t="s">
        <v>538</v>
      </c>
      <c r="V742" s="648">
        <f>Data2025!V741</f>
        <v>0</v>
      </c>
      <c r="W742" s="648">
        <f>Data2025!X741</f>
        <v>0</v>
      </c>
      <c r="X742" s="497" t="s">
        <v>541</v>
      </c>
      <c r="Y742" s="268" t="str">
        <f t="shared" si="38"/>
        <v>Alat Tulis Kantor (ATK)</v>
      </c>
      <c r="Z742" s="649" t="str">
        <f t="shared" si="39"/>
        <v>Alat Tulis Kantor (ATK)</v>
      </c>
      <c r="AA742" s="498" t="s">
        <v>3369</v>
      </c>
      <c r="AB742" s="269">
        <v>48500</v>
      </c>
      <c r="AC742" s="269">
        <v>485000</v>
      </c>
      <c r="AD742" s="267">
        <v>485000</v>
      </c>
      <c r="AE742" s="270">
        <v>436936.93693693692</v>
      </c>
      <c r="AF742" s="270">
        <v>485000</v>
      </c>
      <c r="AG742" s="805" t="s">
        <v>3883</v>
      </c>
      <c r="AH742" s="651">
        <f>Data2025!W741</f>
        <v>0</v>
      </c>
      <c r="AI742" s="61">
        <v>227</v>
      </c>
    </row>
    <row r="743" spans="1:35" ht="16.5" thickTop="1" thickBot="1">
      <c r="A743" s="636">
        <f>Data2025!G742</f>
        <v>0</v>
      </c>
      <c r="B743" s="637">
        <f>Data2025!K742</f>
        <v>0</v>
      </c>
      <c r="C743" s="638">
        <f>Data2025!D742</f>
        <v>0</v>
      </c>
      <c r="D743" s="639">
        <f>Data2025!C742</f>
        <v>0</v>
      </c>
      <c r="E743" s="265">
        <f>Data2025!E742</f>
        <v>0</v>
      </c>
      <c r="F743" s="640">
        <f>Data2025!F742</f>
        <v>0</v>
      </c>
      <c r="G743" s="265">
        <f>Data2025!H742</f>
        <v>0</v>
      </c>
      <c r="H743" s="265">
        <f t="shared" si="37"/>
        <v>0</v>
      </c>
      <c r="I743" s="641">
        <f>Data2025!J742</f>
        <v>0</v>
      </c>
      <c r="J743" s="381">
        <f>Data2025!L742</f>
        <v>0</v>
      </c>
      <c r="K743" s="381">
        <f>Data2025!M742</f>
        <v>0</v>
      </c>
      <c r="L743" s="642">
        <f>Data2025!N742</f>
        <v>0</v>
      </c>
      <c r="M743" s="642">
        <f>Data2025!O742</f>
        <v>0</v>
      </c>
      <c r="N743" s="643">
        <f>Data2025!P742</f>
        <v>0</v>
      </c>
      <c r="O743" s="644">
        <f>Data2025!Q742</f>
        <v>0</v>
      </c>
      <c r="P743" s="645" t="s">
        <v>710</v>
      </c>
      <c r="Q743" s="646" t="e">
        <f>VLOOKUP(K743,Sheet1!$C$1:$D$101,2,)</f>
        <v>#N/A</v>
      </c>
      <c r="R743" s="496">
        <v>297000</v>
      </c>
      <c r="S743" s="504">
        <v>309000</v>
      </c>
      <c r="T743" s="648">
        <f>Data2025!T742</f>
        <v>0</v>
      </c>
      <c r="U743" s="497" t="s">
        <v>538</v>
      </c>
      <c r="V743" s="648">
        <f>Data2025!V742</f>
        <v>0</v>
      </c>
      <c r="W743" s="648">
        <f>Data2025!X742</f>
        <v>0</v>
      </c>
      <c r="X743" s="497" t="s">
        <v>541</v>
      </c>
      <c r="Y743" s="268" t="str">
        <f t="shared" si="38"/>
        <v>Alat Tulis Kantor (ATK)</v>
      </c>
      <c r="Z743" s="649" t="str">
        <f t="shared" si="39"/>
        <v>Alat Tulis Kantor (ATK)</v>
      </c>
      <c r="AA743" s="498" t="s">
        <v>3363</v>
      </c>
      <c r="AB743" s="269">
        <v>49500</v>
      </c>
      <c r="AC743" s="269">
        <v>297000</v>
      </c>
      <c r="AD743" s="267">
        <v>297000</v>
      </c>
      <c r="AE743" s="270">
        <v>267567.56756756757</v>
      </c>
      <c r="AF743" s="270">
        <v>297000</v>
      </c>
      <c r="AG743" s="805" t="s">
        <v>3883</v>
      </c>
      <c r="AH743" s="651">
        <f>Data2025!W742</f>
        <v>0</v>
      </c>
      <c r="AI743" s="61">
        <v>227</v>
      </c>
    </row>
    <row r="744" spans="1:35" ht="16.5" thickTop="1" thickBot="1">
      <c r="A744" s="636">
        <f>Data2025!G743</f>
        <v>0</v>
      </c>
      <c r="B744" s="637">
        <f>Data2025!K743</f>
        <v>0</v>
      </c>
      <c r="C744" s="638">
        <f>Data2025!D743</f>
        <v>0</v>
      </c>
      <c r="D744" s="639">
        <f>Data2025!C743</f>
        <v>0</v>
      </c>
      <c r="E744" s="265">
        <f>Data2025!E743</f>
        <v>0</v>
      </c>
      <c r="F744" s="640">
        <f>Data2025!F743</f>
        <v>0</v>
      </c>
      <c r="G744" s="265">
        <f>Data2025!H743</f>
        <v>0</v>
      </c>
      <c r="H744" s="265">
        <f t="shared" si="37"/>
        <v>0</v>
      </c>
      <c r="I744" s="641">
        <f>Data2025!J743</f>
        <v>0</v>
      </c>
      <c r="J744" s="381">
        <f>Data2025!L743</f>
        <v>0</v>
      </c>
      <c r="K744" s="381">
        <f>Data2025!M743</f>
        <v>0</v>
      </c>
      <c r="L744" s="642">
        <f>Data2025!N743</f>
        <v>0</v>
      </c>
      <c r="M744" s="642">
        <f>Data2025!O743</f>
        <v>0</v>
      </c>
      <c r="N744" s="643">
        <f>Data2025!P743</f>
        <v>0</v>
      </c>
      <c r="O744" s="644">
        <f>Data2025!Q743</f>
        <v>0</v>
      </c>
      <c r="P744" s="645" t="s">
        <v>710</v>
      </c>
      <c r="Q744" s="646" t="e">
        <f>VLOOKUP(K744,Sheet1!$C$1:$D$101,2,)</f>
        <v>#N/A</v>
      </c>
      <c r="R744" s="496">
        <v>160000</v>
      </c>
      <c r="S744" s="504">
        <v>164000</v>
      </c>
      <c r="T744" s="648">
        <f>Data2025!T743</f>
        <v>0</v>
      </c>
      <c r="U744" s="497" t="s">
        <v>538</v>
      </c>
      <c r="V744" s="648">
        <f>Data2025!V743</f>
        <v>0</v>
      </c>
      <c r="W744" s="648">
        <f>Data2025!X743</f>
        <v>0</v>
      </c>
      <c r="X744" s="497" t="s">
        <v>541</v>
      </c>
      <c r="Y744" s="268" t="str">
        <f t="shared" si="38"/>
        <v>Alat Tulis Kantor (ATK)</v>
      </c>
      <c r="Z744" s="649" t="str">
        <f t="shared" si="39"/>
        <v>Alat Tulis Kantor (ATK)</v>
      </c>
      <c r="AA744" s="498" t="s">
        <v>3362</v>
      </c>
      <c r="AB744" s="269">
        <v>80000</v>
      </c>
      <c r="AC744" s="269">
        <v>160000</v>
      </c>
      <c r="AD744" s="267">
        <v>160000</v>
      </c>
      <c r="AE744" s="270">
        <v>144144.14414414414</v>
      </c>
      <c r="AF744" s="270">
        <v>160000</v>
      </c>
      <c r="AG744" s="805" t="s">
        <v>3883</v>
      </c>
      <c r="AH744" s="651">
        <f>Data2025!W743</f>
        <v>0</v>
      </c>
      <c r="AI744" s="61">
        <v>227</v>
      </c>
    </row>
    <row r="745" spans="1:35" ht="16.5" thickTop="1" thickBot="1">
      <c r="A745" s="636">
        <f>Data2025!G744</f>
        <v>0</v>
      </c>
      <c r="B745" s="637">
        <f>Data2025!K744</f>
        <v>0</v>
      </c>
      <c r="C745" s="638">
        <f>Data2025!D744</f>
        <v>0</v>
      </c>
      <c r="D745" s="639">
        <f>Data2025!C744</f>
        <v>0</v>
      </c>
      <c r="E745" s="265">
        <f>Data2025!E744</f>
        <v>0</v>
      </c>
      <c r="F745" s="640">
        <f>Data2025!F744</f>
        <v>0</v>
      </c>
      <c r="G745" s="265">
        <f>Data2025!H744</f>
        <v>0</v>
      </c>
      <c r="H745" s="265">
        <f t="shared" si="37"/>
        <v>0</v>
      </c>
      <c r="I745" s="641">
        <f>Data2025!J744</f>
        <v>0</v>
      </c>
      <c r="J745" s="381">
        <f>Data2025!L744</f>
        <v>0</v>
      </c>
      <c r="K745" s="381">
        <f>Data2025!M744</f>
        <v>0</v>
      </c>
      <c r="L745" s="642">
        <f>Data2025!N744</f>
        <v>0</v>
      </c>
      <c r="M745" s="642">
        <f>Data2025!O744</f>
        <v>0</v>
      </c>
      <c r="N745" s="643">
        <f>Data2025!P744</f>
        <v>0</v>
      </c>
      <c r="O745" s="644">
        <f>Data2025!Q744</f>
        <v>0</v>
      </c>
      <c r="P745" s="645" t="s">
        <v>2609</v>
      </c>
      <c r="Q745" s="646" t="e">
        <f>VLOOKUP(K745,Sheet1!$C$1:$D$101,2,)</f>
        <v>#N/A</v>
      </c>
      <c r="R745" s="496">
        <v>335000</v>
      </c>
      <c r="S745" s="504">
        <v>345000</v>
      </c>
      <c r="T745" s="648">
        <f>Data2025!T744</f>
        <v>0</v>
      </c>
      <c r="U745" s="497" t="s">
        <v>538</v>
      </c>
      <c r="V745" s="648">
        <f>Data2025!V744</f>
        <v>0</v>
      </c>
      <c r="W745" s="648">
        <f>Data2025!X744</f>
        <v>0</v>
      </c>
      <c r="X745" s="497" t="s">
        <v>541</v>
      </c>
      <c r="Y745" s="268" t="str">
        <f t="shared" si="38"/>
        <v>Alat Kebersihan</v>
      </c>
      <c r="Z745" s="649" t="str">
        <f t="shared" si="39"/>
        <v>Alat Kebersihan</v>
      </c>
      <c r="AA745" s="498" t="s">
        <v>3367</v>
      </c>
      <c r="AB745" s="269">
        <v>67000</v>
      </c>
      <c r="AC745" s="269">
        <v>335000</v>
      </c>
      <c r="AD745" s="267">
        <v>335000</v>
      </c>
      <c r="AE745" s="270">
        <v>301801.80180180183</v>
      </c>
      <c r="AF745" s="270">
        <v>335000</v>
      </c>
      <c r="AG745" s="805" t="s">
        <v>3883</v>
      </c>
      <c r="AH745" s="651">
        <f>Data2025!W744</f>
        <v>0</v>
      </c>
      <c r="AI745" s="61">
        <v>228</v>
      </c>
    </row>
    <row r="746" spans="1:35" ht="16.5" thickTop="1" thickBot="1">
      <c r="A746" s="636">
        <f>Data2025!G745</f>
        <v>0</v>
      </c>
      <c r="B746" s="637">
        <f>Data2025!K745</f>
        <v>0</v>
      </c>
      <c r="C746" s="638">
        <f>Data2025!D745</f>
        <v>0</v>
      </c>
      <c r="D746" s="639">
        <f>Data2025!C745</f>
        <v>0</v>
      </c>
      <c r="E746" s="265">
        <f>Data2025!E745</f>
        <v>0</v>
      </c>
      <c r="F746" s="640">
        <f>Data2025!F745</f>
        <v>0</v>
      </c>
      <c r="G746" s="265">
        <f>Data2025!H745</f>
        <v>0</v>
      </c>
      <c r="H746" s="265">
        <f t="shared" si="37"/>
        <v>0</v>
      </c>
      <c r="I746" s="641">
        <f>Data2025!J745</f>
        <v>0</v>
      </c>
      <c r="J746" s="381">
        <f>Data2025!L745</f>
        <v>0</v>
      </c>
      <c r="K746" s="381">
        <f>Data2025!M745</f>
        <v>0</v>
      </c>
      <c r="L746" s="642">
        <f>Data2025!N745</f>
        <v>0</v>
      </c>
      <c r="M746" s="642">
        <f>Data2025!O745</f>
        <v>0</v>
      </c>
      <c r="N746" s="643">
        <f>Data2025!P745</f>
        <v>0</v>
      </c>
      <c r="O746" s="644">
        <f>Data2025!Q745</f>
        <v>0</v>
      </c>
      <c r="P746" s="645" t="s">
        <v>2609</v>
      </c>
      <c r="Q746" s="646" t="e">
        <f>VLOOKUP(K746,Sheet1!$C$1:$D$101,2,)</f>
        <v>#N/A</v>
      </c>
      <c r="R746" s="496">
        <v>205500</v>
      </c>
      <c r="S746" s="504">
        <v>235500</v>
      </c>
      <c r="T746" s="648">
        <f>Data2025!T745</f>
        <v>0</v>
      </c>
      <c r="U746" s="497" t="s">
        <v>538</v>
      </c>
      <c r="V746" s="648">
        <f>Data2025!V745</f>
        <v>0</v>
      </c>
      <c r="W746" s="648">
        <f>Data2025!X745</f>
        <v>0</v>
      </c>
      <c r="X746" s="497" t="s">
        <v>541</v>
      </c>
      <c r="Y746" s="268" t="str">
        <f t="shared" si="38"/>
        <v>Alat Kebersihan</v>
      </c>
      <c r="Z746" s="649" t="str">
        <f t="shared" si="39"/>
        <v>Alat Kebersihan</v>
      </c>
      <c r="AA746" s="498" t="s">
        <v>3363</v>
      </c>
      <c r="AB746" s="269">
        <v>13700</v>
      </c>
      <c r="AC746" s="269">
        <v>205500</v>
      </c>
      <c r="AD746" s="267">
        <v>205500</v>
      </c>
      <c r="AE746" s="270">
        <v>185135.13513513515</v>
      </c>
      <c r="AF746" s="270">
        <v>205500</v>
      </c>
      <c r="AG746" s="805" t="s">
        <v>3883</v>
      </c>
      <c r="AH746" s="651">
        <f>Data2025!W745</f>
        <v>0</v>
      </c>
      <c r="AI746" s="61">
        <v>228</v>
      </c>
    </row>
    <row r="747" spans="1:35" ht="16.5" thickTop="1" thickBot="1">
      <c r="A747" s="636">
        <f>Data2025!G746</f>
        <v>0</v>
      </c>
      <c r="B747" s="637">
        <f>Data2025!K746</f>
        <v>0</v>
      </c>
      <c r="C747" s="638">
        <f>Data2025!D746</f>
        <v>0</v>
      </c>
      <c r="D747" s="639">
        <f>Data2025!C746</f>
        <v>0</v>
      </c>
      <c r="E747" s="265">
        <f>Data2025!E746</f>
        <v>0</v>
      </c>
      <c r="F747" s="640">
        <f>Data2025!F746</f>
        <v>0</v>
      </c>
      <c r="G747" s="265">
        <f>Data2025!H746</f>
        <v>0</v>
      </c>
      <c r="H747" s="265">
        <f t="shared" si="37"/>
        <v>0</v>
      </c>
      <c r="I747" s="641">
        <f>Data2025!J746</f>
        <v>0</v>
      </c>
      <c r="J747" s="381">
        <f>Data2025!L746</f>
        <v>0</v>
      </c>
      <c r="K747" s="381">
        <f>Data2025!M746</f>
        <v>0</v>
      </c>
      <c r="L747" s="642">
        <f>Data2025!N746</f>
        <v>0</v>
      </c>
      <c r="M747" s="642">
        <f>Data2025!O746</f>
        <v>0</v>
      </c>
      <c r="N747" s="643">
        <f>Data2025!P746</f>
        <v>0</v>
      </c>
      <c r="O747" s="644">
        <f>Data2025!Q746</f>
        <v>0</v>
      </c>
      <c r="P747" s="645" t="s">
        <v>2609</v>
      </c>
      <c r="Q747" s="646" t="e">
        <f>VLOOKUP(K747,Sheet1!$C$1:$D$101,2,)</f>
        <v>#N/A</v>
      </c>
      <c r="R747" s="496">
        <v>121000</v>
      </c>
      <c r="S747" s="504">
        <v>141000</v>
      </c>
      <c r="T747" s="648">
        <f>Data2025!T746</f>
        <v>0</v>
      </c>
      <c r="U747" s="497" t="s">
        <v>538</v>
      </c>
      <c r="V747" s="648">
        <f>Data2025!V746</f>
        <v>0</v>
      </c>
      <c r="W747" s="648">
        <f>Data2025!X746</f>
        <v>0</v>
      </c>
      <c r="X747" s="497" t="s">
        <v>541</v>
      </c>
      <c r="Y747" s="268" t="str">
        <f t="shared" si="38"/>
        <v>Alat Kebersihan</v>
      </c>
      <c r="Z747" s="649" t="str">
        <f t="shared" si="39"/>
        <v>Alat Kebersihan</v>
      </c>
      <c r="AA747" s="498" t="s">
        <v>3363</v>
      </c>
      <c r="AB747" s="269">
        <v>12100</v>
      </c>
      <c r="AC747" s="269">
        <v>121000</v>
      </c>
      <c r="AD747" s="267">
        <v>121000</v>
      </c>
      <c r="AE747" s="270">
        <v>109009.00900900901</v>
      </c>
      <c r="AF747" s="270">
        <v>121000</v>
      </c>
      <c r="AG747" s="805" t="s">
        <v>3883</v>
      </c>
      <c r="AH747" s="651">
        <f>Data2025!W746</f>
        <v>0</v>
      </c>
      <c r="AI747" s="61">
        <v>228</v>
      </c>
    </row>
    <row r="748" spans="1:35" ht="16.5" thickTop="1" thickBot="1">
      <c r="A748" s="636">
        <f>Data2025!G747</f>
        <v>0</v>
      </c>
      <c r="B748" s="637">
        <f>Data2025!K747</f>
        <v>0</v>
      </c>
      <c r="C748" s="638">
        <f>Data2025!D747</f>
        <v>0</v>
      </c>
      <c r="D748" s="639">
        <f>Data2025!C747</f>
        <v>0</v>
      </c>
      <c r="E748" s="265">
        <f>Data2025!E747</f>
        <v>0</v>
      </c>
      <c r="F748" s="640">
        <f>Data2025!F747</f>
        <v>0</v>
      </c>
      <c r="G748" s="265">
        <f>Data2025!H747</f>
        <v>0</v>
      </c>
      <c r="H748" s="265">
        <f t="shared" si="37"/>
        <v>0</v>
      </c>
      <c r="I748" s="641">
        <f>Data2025!J747</f>
        <v>0</v>
      </c>
      <c r="J748" s="381">
        <f>Data2025!L747</f>
        <v>0</v>
      </c>
      <c r="K748" s="381">
        <f>Data2025!M747</f>
        <v>0</v>
      </c>
      <c r="L748" s="642">
        <f>Data2025!N747</f>
        <v>0</v>
      </c>
      <c r="M748" s="642">
        <f>Data2025!O747</f>
        <v>0</v>
      </c>
      <c r="N748" s="643">
        <f>Data2025!P747</f>
        <v>0</v>
      </c>
      <c r="O748" s="644">
        <f>Data2025!Q747</f>
        <v>0</v>
      </c>
      <c r="P748" s="645" t="s">
        <v>2609</v>
      </c>
      <c r="Q748" s="646" t="e">
        <f>VLOOKUP(K748,Sheet1!$C$1:$D$101,2,)</f>
        <v>#N/A</v>
      </c>
      <c r="R748" s="496">
        <v>45000</v>
      </c>
      <c r="S748" s="504">
        <v>51000</v>
      </c>
      <c r="T748" s="648">
        <f>Data2025!T747</f>
        <v>0</v>
      </c>
      <c r="U748" s="497" t="s">
        <v>538</v>
      </c>
      <c r="V748" s="648">
        <f>Data2025!V747</f>
        <v>0</v>
      </c>
      <c r="W748" s="648">
        <f>Data2025!X747</f>
        <v>0</v>
      </c>
      <c r="X748" s="497" t="s">
        <v>541</v>
      </c>
      <c r="Y748" s="268" t="str">
        <f t="shared" si="38"/>
        <v>Alat Kebersihan</v>
      </c>
      <c r="Z748" s="649" t="str">
        <f t="shared" si="39"/>
        <v>Alat Kebersihan</v>
      </c>
      <c r="AA748" s="498" t="s">
        <v>3363</v>
      </c>
      <c r="AB748" s="269">
        <v>15000</v>
      </c>
      <c r="AC748" s="269">
        <v>45000</v>
      </c>
      <c r="AD748" s="267">
        <v>45000</v>
      </c>
      <c r="AE748" s="270">
        <v>40540.54054054054</v>
      </c>
      <c r="AF748" s="270">
        <v>45000</v>
      </c>
      <c r="AG748" s="805" t="s">
        <v>3883</v>
      </c>
      <c r="AH748" s="651">
        <f>Data2025!W747</f>
        <v>0</v>
      </c>
      <c r="AI748" s="61">
        <v>228</v>
      </c>
    </row>
    <row r="749" spans="1:35" ht="16.5" thickTop="1" thickBot="1">
      <c r="A749" s="636">
        <f>Data2025!G748</f>
        <v>0</v>
      </c>
      <c r="B749" s="637">
        <f>Data2025!K748</f>
        <v>0</v>
      </c>
      <c r="C749" s="638">
        <f>Data2025!D748</f>
        <v>0</v>
      </c>
      <c r="D749" s="639">
        <f>Data2025!C748</f>
        <v>0</v>
      </c>
      <c r="E749" s="265">
        <f>Data2025!E748</f>
        <v>0</v>
      </c>
      <c r="F749" s="640">
        <f>Data2025!F748</f>
        <v>0</v>
      </c>
      <c r="G749" s="265">
        <f>Data2025!H748</f>
        <v>0</v>
      </c>
      <c r="H749" s="265">
        <f t="shared" si="37"/>
        <v>0</v>
      </c>
      <c r="I749" s="641">
        <f>Data2025!J748</f>
        <v>0</v>
      </c>
      <c r="J749" s="381">
        <f>Data2025!L748</f>
        <v>0</v>
      </c>
      <c r="K749" s="381">
        <f>Data2025!M748</f>
        <v>0</v>
      </c>
      <c r="L749" s="642">
        <f>Data2025!N748</f>
        <v>0</v>
      </c>
      <c r="M749" s="642">
        <f>Data2025!O748</f>
        <v>0</v>
      </c>
      <c r="N749" s="643">
        <f>Data2025!P748</f>
        <v>0</v>
      </c>
      <c r="O749" s="644">
        <f>Data2025!Q748</f>
        <v>0</v>
      </c>
      <c r="P749" s="645" t="s">
        <v>2609</v>
      </c>
      <c r="Q749" s="646" t="e">
        <f>VLOOKUP(K749,Sheet1!$C$1:$D$101,2,)</f>
        <v>#N/A</v>
      </c>
      <c r="R749" s="496">
        <v>300000</v>
      </c>
      <c r="S749" s="504">
        <v>320000</v>
      </c>
      <c r="T749" s="648">
        <f>Data2025!T748</f>
        <v>0</v>
      </c>
      <c r="U749" s="497" t="s">
        <v>538</v>
      </c>
      <c r="V749" s="648">
        <f>Data2025!V748</f>
        <v>0</v>
      </c>
      <c r="W749" s="648">
        <f>Data2025!X748</f>
        <v>0</v>
      </c>
      <c r="X749" s="497" t="s">
        <v>541</v>
      </c>
      <c r="Y749" s="268" t="str">
        <f t="shared" si="38"/>
        <v>Alat Kebersihan</v>
      </c>
      <c r="Z749" s="649" t="str">
        <f t="shared" si="39"/>
        <v>Alat Kebersihan</v>
      </c>
      <c r="AA749" s="498" t="s">
        <v>3367</v>
      </c>
      <c r="AB749" s="269">
        <v>30000</v>
      </c>
      <c r="AC749" s="269">
        <v>300000</v>
      </c>
      <c r="AD749" s="267">
        <v>300000</v>
      </c>
      <c r="AE749" s="270">
        <v>270270.2702702703</v>
      </c>
      <c r="AF749" s="270">
        <v>300000</v>
      </c>
      <c r="AG749" s="805" t="s">
        <v>3883</v>
      </c>
      <c r="AH749" s="651">
        <f>Data2025!W748</f>
        <v>0</v>
      </c>
      <c r="AI749" s="61">
        <v>228</v>
      </c>
    </row>
    <row r="750" spans="1:35" ht="16.5" thickTop="1" thickBot="1">
      <c r="A750" s="636">
        <f>Data2025!G749</f>
        <v>0</v>
      </c>
      <c r="B750" s="637">
        <f>Data2025!K749</f>
        <v>0</v>
      </c>
      <c r="C750" s="638">
        <f>Data2025!D749</f>
        <v>0</v>
      </c>
      <c r="D750" s="639">
        <f>Data2025!C749</f>
        <v>0</v>
      </c>
      <c r="E750" s="265">
        <f>Data2025!E749</f>
        <v>0</v>
      </c>
      <c r="F750" s="640">
        <f>Data2025!F749</f>
        <v>0</v>
      </c>
      <c r="G750" s="265">
        <f>Data2025!H749</f>
        <v>0</v>
      </c>
      <c r="H750" s="265">
        <f t="shared" si="37"/>
        <v>0</v>
      </c>
      <c r="I750" s="641">
        <f>Data2025!J749</f>
        <v>0</v>
      </c>
      <c r="J750" s="381">
        <f>Data2025!L749</f>
        <v>0</v>
      </c>
      <c r="K750" s="381">
        <f>Data2025!M749</f>
        <v>0</v>
      </c>
      <c r="L750" s="642">
        <f>Data2025!N749</f>
        <v>0</v>
      </c>
      <c r="M750" s="642">
        <f>Data2025!O749</f>
        <v>0</v>
      </c>
      <c r="N750" s="643">
        <f>Data2025!P749</f>
        <v>0</v>
      </c>
      <c r="O750" s="644">
        <f>Data2025!Q749</f>
        <v>0</v>
      </c>
      <c r="P750" s="645" t="s">
        <v>2609</v>
      </c>
      <c r="Q750" s="646" t="e">
        <f>VLOOKUP(K750,Sheet1!$C$1:$D$101,2,)</f>
        <v>#N/A</v>
      </c>
      <c r="R750" s="496">
        <v>60000</v>
      </c>
      <c r="S750" s="504">
        <v>70000</v>
      </c>
      <c r="T750" s="648">
        <f>Data2025!T749</f>
        <v>0</v>
      </c>
      <c r="U750" s="497" t="s">
        <v>538</v>
      </c>
      <c r="V750" s="648">
        <f>Data2025!V749</f>
        <v>0</v>
      </c>
      <c r="W750" s="648">
        <f>Data2025!X749</f>
        <v>0</v>
      </c>
      <c r="X750" s="497" t="s">
        <v>541</v>
      </c>
      <c r="Y750" s="268" t="str">
        <f t="shared" si="38"/>
        <v>Alat Kebersihan</v>
      </c>
      <c r="Z750" s="649" t="str">
        <f t="shared" si="39"/>
        <v>Alat Kebersihan</v>
      </c>
      <c r="AA750" s="498" t="s">
        <v>3363</v>
      </c>
      <c r="AB750" s="269">
        <v>12000</v>
      </c>
      <c r="AC750" s="269">
        <v>60000</v>
      </c>
      <c r="AD750" s="267">
        <v>60000</v>
      </c>
      <c r="AE750" s="270">
        <v>54054.054054054053</v>
      </c>
      <c r="AF750" s="270">
        <v>60000</v>
      </c>
      <c r="AG750" s="805" t="s">
        <v>3883</v>
      </c>
      <c r="AH750" s="651">
        <f>Data2025!W749</f>
        <v>0</v>
      </c>
      <c r="AI750" s="61">
        <v>228</v>
      </c>
    </row>
    <row r="751" spans="1:35" ht="16.5" thickTop="1" thickBot="1">
      <c r="A751" s="636">
        <f>Data2025!G750</f>
        <v>0</v>
      </c>
      <c r="B751" s="637">
        <f>Data2025!K750</f>
        <v>0</v>
      </c>
      <c r="C751" s="638">
        <f>Data2025!D750</f>
        <v>0</v>
      </c>
      <c r="D751" s="639">
        <f>Data2025!C750</f>
        <v>0</v>
      </c>
      <c r="E751" s="265">
        <f>Data2025!E750</f>
        <v>0</v>
      </c>
      <c r="F751" s="640">
        <f>Data2025!F750</f>
        <v>0</v>
      </c>
      <c r="G751" s="265">
        <f>Data2025!H750</f>
        <v>0</v>
      </c>
      <c r="H751" s="265">
        <f t="shared" si="37"/>
        <v>0</v>
      </c>
      <c r="I751" s="641">
        <f>Data2025!J750</f>
        <v>0</v>
      </c>
      <c r="J751" s="381">
        <f>Data2025!L750</f>
        <v>0</v>
      </c>
      <c r="K751" s="381">
        <f>Data2025!M750</f>
        <v>0</v>
      </c>
      <c r="L751" s="642">
        <f>Data2025!N750</f>
        <v>0</v>
      </c>
      <c r="M751" s="642">
        <f>Data2025!O750</f>
        <v>0</v>
      </c>
      <c r="N751" s="643">
        <f>Data2025!P750</f>
        <v>0</v>
      </c>
      <c r="O751" s="644">
        <f>Data2025!Q750</f>
        <v>0</v>
      </c>
      <c r="P751" s="645" t="s">
        <v>2609</v>
      </c>
      <c r="Q751" s="646" t="e">
        <f>VLOOKUP(K751,Sheet1!$C$1:$D$101,2,)</f>
        <v>#N/A</v>
      </c>
      <c r="R751" s="496">
        <v>150000</v>
      </c>
      <c r="S751" s="504">
        <v>174000</v>
      </c>
      <c r="T751" s="648">
        <f>Data2025!T750</f>
        <v>0</v>
      </c>
      <c r="U751" s="497" t="s">
        <v>538</v>
      </c>
      <c r="V751" s="648">
        <f>Data2025!V750</f>
        <v>0</v>
      </c>
      <c r="W751" s="648">
        <f>Data2025!X750</f>
        <v>0</v>
      </c>
      <c r="X751" s="497" t="s">
        <v>541</v>
      </c>
      <c r="Y751" s="268" t="str">
        <f t="shared" si="38"/>
        <v>Alat Kebersihan</v>
      </c>
      <c r="Z751" s="649" t="str">
        <f t="shared" si="39"/>
        <v>Alat Kebersihan</v>
      </c>
      <c r="AA751" s="498" t="s">
        <v>3363</v>
      </c>
      <c r="AB751" s="269">
        <v>12500</v>
      </c>
      <c r="AC751" s="269">
        <v>150000</v>
      </c>
      <c r="AD751" s="267">
        <v>150000</v>
      </c>
      <c r="AE751" s="270">
        <v>135135.13513513515</v>
      </c>
      <c r="AF751" s="270">
        <v>150000</v>
      </c>
      <c r="AG751" s="805" t="s">
        <v>3883</v>
      </c>
      <c r="AH751" s="651">
        <f>Data2025!W750</f>
        <v>0</v>
      </c>
      <c r="AI751" s="61">
        <v>228</v>
      </c>
    </row>
    <row r="752" spans="1:35" s="501" customFormat="1" ht="16.5" thickTop="1" thickBot="1">
      <c r="A752" s="636">
        <f>Data2025!G751</f>
        <v>0</v>
      </c>
      <c r="B752" s="637">
        <f>Data2025!K751</f>
        <v>0</v>
      </c>
      <c r="C752" s="638">
        <f>Data2025!D751</f>
        <v>0</v>
      </c>
      <c r="D752" s="639">
        <f>Data2025!C751</f>
        <v>0</v>
      </c>
      <c r="E752" s="265">
        <f>Data2025!E751</f>
        <v>0</v>
      </c>
      <c r="F752" s="640">
        <f>Data2025!F751</f>
        <v>0</v>
      </c>
      <c r="G752" s="265">
        <f>Data2025!H751</f>
        <v>0</v>
      </c>
      <c r="H752" s="265">
        <f t="shared" si="37"/>
        <v>0</v>
      </c>
      <c r="I752" s="641">
        <f>Data2025!J751</f>
        <v>0</v>
      </c>
      <c r="J752" s="381">
        <f>Data2025!L751</f>
        <v>0</v>
      </c>
      <c r="K752" s="381">
        <f>Data2025!M751</f>
        <v>0</v>
      </c>
      <c r="L752" s="642">
        <f>Data2025!N751</f>
        <v>0</v>
      </c>
      <c r="M752" s="642">
        <f>Data2025!O751</f>
        <v>0</v>
      </c>
      <c r="N752" s="643">
        <f>Data2025!P751</f>
        <v>0</v>
      </c>
      <c r="O752" s="644">
        <f>Data2025!Q751</f>
        <v>0</v>
      </c>
      <c r="P752" s="645" t="s">
        <v>2609</v>
      </c>
      <c r="Q752" s="646" t="e">
        <f>VLOOKUP(K752,Sheet1!$C$1:$D$101,2,)</f>
        <v>#N/A</v>
      </c>
      <c r="R752" s="496">
        <v>60000</v>
      </c>
      <c r="S752" s="504">
        <v>70000</v>
      </c>
      <c r="T752" s="648">
        <f>Data2025!T751</f>
        <v>0</v>
      </c>
      <c r="U752" s="497" t="s">
        <v>538</v>
      </c>
      <c r="V752" s="648">
        <f>Data2025!V751</f>
        <v>0</v>
      </c>
      <c r="W752" s="648">
        <f>Data2025!X751</f>
        <v>0</v>
      </c>
      <c r="X752" s="497" t="s">
        <v>541</v>
      </c>
      <c r="Y752" s="268" t="str">
        <f t="shared" si="38"/>
        <v>Alat Kebersihan</v>
      </c>
      <c r="Z752" s="649" t="str">
        <f t="shared" si="39"/>
        <v>Alat Kebersihan</v>
      </c>
      <c r="AA752" s="498" t="s">
        <v>3363</v>
      </c>
      <c r="AB752" s="499">
        <v>12000</v>
      </c>
      <c r="AC752" s="499">
        <v>60000</v>
      </c>
      <c r="AD752" s="496">
        <v>60000</v>
      </c>
      <c r="AE752" s="500">
        <v>54054.054054054053</v>
      </c>
      <c r="AF752" s="500">
        <v>60000</v>
      </c>
      <c r="AG752" s="805" t="s">
        <v>3883</v>
      </c>
      <c r="AH752" s="651">
        <f>Data2025!W751</f>
        <v>0</v>
      </c>
      <c r="AI752" s="501">
        <v>228</v>
      </c>
    </row>
    <row r="753" spans="1:35" s="501" customFormat="1" ht="16.5" thickTop="1" thickBot="1">
      <c r="A753" s="636">
        <f>Data2025!G752</f>
        <v>0</v>
      </c>
      <c r="B753" s="637">
        <f>Data2025!K752</f>
        <v>0</v>
      </c>
      <c r="C753" s="638">
        <f>Data2025!D752</f>
        <v>0</v>
      </c>
      <c r="D753" s="639">
        <f>Data2025!C752</f>
        <v>0</v>
      </c>
      <c r="E753" s="265">
        <f>Data2025!E752</f>
        <v>0</v>
      </c>
      <c r="F753" s="640">
        <f>Data2025!F752</f>
        <v>0</v>
      </c>
      <c r="G753" s="265">
        <f>Data2025!H752</f>
        <v>0</v>
      </c>
      <c r="H753" s="265">
        <f t="shared" si="37"/>
        <v>0</v>
      </c>
      <c r="I753" s="641">
        <f>Data2025!J752</f>
        <v>0</v>
      </c>
      <c r="J753" s="381">
        <f>Data2025!L752</f>
        <v>0</v>
      </c>
      <c r="K753" s="381">
        <f>Data2025!M752</f>
        <v>0</v>
      </c>
      <c r="L753" s="642">
        <f>Data2025!N752</f>
        <v>0</v>
      </c>
      <c r="M753" s="642">
        <f>Data2025!O752</f>
        <v>0</v>
      </c>
      <c r="N753" s="643">
        <f>Data2025!P752</f>
        <v>0</v>
      </c>
      <c r="O753" s="644">
        <f>Data2025!Q752</f>
        <v>0</v>
      </c>
      <c r="P753" s="645" t="s">
        <v>2609</v>
      </c>
      <c r="Q753" s="646" t="e">
        <f>VLOOKUP(K753,Sheet1!$C$1:$D$101,2,)</f>
        <v>#N/A</v>
      </c>
      <c r="R753" s="496">
        <v>350000</v>
      </c>
      <c r="S753" s="504">
        <v>360000</v>
      </c>
      <c r="T753" s="648">
        <f>Data2025!T752</f>
        <v>0</v>
      </c>
      <c r="U753" s="497" t="s">
        <v>538</v>
      </c>
      <c r="V753" s="648">
        <f>Data2025!V752</f>
        <v>0</v>
      </c>
      <c r="W753" s="648">
        <f>Data2025!X752</f>
        <v>0</v>
      </c>
      <c r="X753" s="497" t="s">
        <v>541</v>
      </c>
      <c r="Y753" s="268" t="str">
        <f t="shared" si="38"/>
        <v>Alat Kebersihan</v>
      </c>
      <c r="Z753" s="649" t="str">
        <f t="shared" si="39"/>
        <v>Alat Kebersihan</v>
      </c>
      <c r="AA753" s="498" t="s">
        <v>3371</v>
      </c>
      <c r="AB753" s="499">
        <v>70000</v>
      </c>
      <c r="AC753" s="499">
        <v>350000</v>
      </c>
      <c r="AD753" s="496">
        <v>350000</v>
      </c>
      <c r="AE753" s="500">
        <v>315315.31531531533</v>
      </c>
      <c r="AF753" s="500">
        <v>350000</v>
      </c>
      <c r="AG753" s="805" t="s">
        <v>3883</v>
      </c>
      <c r="AH753" s="651">
        <f>Data2025!W752</f>
        <v>0</v>
      </c>
      <c r="AI753" s="501">
        <v>228</v>
      </c>
    </row>
    <row r="754" spans="1:35" ht="16.5" thickTop="1" thickBot="1">
      <c r="A754" s="636">
        <f>Data2025!G753</f>
        <v>0</v>
      </c>
      <c r="B754" s="637">
        <f>Data2025!K753</f>
        <v>0</v>
      </c>
      <c r="C754" s="638">
        <f>Data2025!D753</f>
        <v>0</v>
      </c>
      <c r="D754" s="639">
        <f>Data2025!C753</f>
        <v>0</v>
      </c>
      <c r="E754" s="265">
        <f>Data2025!E753</f>
        <v>0</v>
      </c>
      <c r="F754" s="640">
        <f>Data2025!F753</f>
        <v>0</v>
      </c>
      <c r="G754" s="265">
        <f>Data2025!H753</f>
        <v>0</v>
      </c>
      <c r="H754" s="265">
        <f t="shared" si="37"/>
        <v>0</v>
      </c>
      <c r="I754" s="641">
        <f>Data2025!J753</f>
        <v>0</v>
      </c>
      <c r="J754" s="381">
        <f>Data2025!L753</f>
        <v>0</v>
      </c>
      <c r="K754" s="381">
        <f>Data2025!M753</f>
        <v>0</v>
      </c>
      <c r="L754" s="642">
        <f>Data2025!N753</f>
        <v>0</v>
      </c>
      <c r="M754" s="642">
        <f>Data2025!O753</f>
        <v>0</v>
      </c>
      <c r="N754" s="643">
        <f>Data2025!P753</f>
        <v>0</v>
      </c>
      <c r="O754" s="644">
        <f>Data2025!Q753</f>
        <v>0</v>
      </c>
      <c r="P754" s="645" t="s">
        <v>2675</v>
      </c>
      <c r="Q754" s="646" t="e">
        <f>VLOOKUP(K754,Sheet1!$C$1:$D$101,2,)</f>
        <v>#N/A</v>
      </c>
      <c r="R754" s="267">
        <v>1575000</v>
      </c>
      <c r="S754" s="647">
        <v>11136650</v>
      </c>
      <c r="T754" s="648">
        <f>Data2025!T753</f>
        <v>0</v>
      </c>
      <c r="U754" s="268" t="s">
        <v>538</v>
      </c>
      <c r="V754" s="648">
        <f>Data2025!V753</f>
        <v>0</v>
      </c>
      <c r="W754" s="648">
        <f>Data2025!X753</f>
        <v>0</v>
      </c>
      <c r="X754" s="268" t="s">
        <v>541</v>
      </c>
      <c r="Y754" s="268" t="str">
        <f t="shared" si="38"/>
        <v>Penggandaan</v>
      </c>
      <c r="Z754" s="649" t="str">
        <f t="shared" si="39"/>
        <v>Penggandaan</v>
      </c>
      <c r="AA754" s="650" t="s">
        <v>3368</v>
      </c>
      <c r="AB754" s="269">
        <v>350</v>
      </c>
      <c r="AC754" s="269">
        <v>1658650</v>
      </c>
      <c r="AD754" s="267">
        <v>1575000</v>
      </c>
      <c r="AE754" s="270">
        <v>1418918.9189189191</v>
      </c>
      <c r="AF754" s="270">
        <v>1575000</v>
      </c>
      <c r="AG754" s="805" t="s">
        <v>3883</v>
      </c>
      <c r="AH754" s="651">
        <f>Data2025!W753</f>
        <v>0</v>
      </c>
      <c r="AI754" s="61">
        <v>229</v>
      </c>
    </row>
    <row r="755" spans="1:35" ht="16.5" thickTop="1" thickBot="1">
      <c r="A755" s="636">
        <f>Data2025!G754</f>
        <v>0</v>
      </c>
      <c r="B755" s="637">
        <f>Data2025!K754</f>
        <v>0</v>
      </c>
      <c r="C755" s="638">
        <f>Data2025!D754</f>
        <v>0</v>
      </c>
      <c r="D755" s="639">
        <f>Data2025!C754</f>
        <v>0</v>
      </c>
      <c r="E755" s="265">
        <f>Data2025!E754</f>
        <v>0</v>
      </c>
      <c r="F755" s="640">
        <f>Data2025!F754</f>
        <v>0</v>
      </c>
      <c r="G755" s="265">
        <f>Data2025!H754</f>
        <v>0</v>
      </c>
      <c r="H755" s="265">
        <f t="shared" si="37"/>
        <v>0</v>
      </c>
      <c r="I755" s="641">
        <f>Data2025!J754</f>
        <v>0</v>
      </c>
      <c r="J755" s="381">
        <f>Data2025!L754</f>
        <v>0</v>
      </c>
      <c r="K755" s="381">
        <f>Data2025!M754</f>
        <v>0</v>
      </c>
      <c r="L755" s="642">
        <f>Data2025!N754</f>
        <v>0</v>
      </c>
      <c r="M755" s="642">
        <f>Data2025!O754</f>
        <v>0</v>
      </c>
      <c r="N755" s="643">
        <f>Data2025!P754</f>
        <v>0</v>
      </c>
      <c r="O755" s="644">
        <f>Data2025!Q754</f>
        <v>0</v>
      </c>
      <c r="P755" s="645" t="s">
        <v>280</v>
      </c>
      <c r="Q755" s="646" t="e">
        <f>VLOOKUP(K755,Sheet1!$C$1:$D$101,2,)</f>
        <v>#N/A</v>
      </c>
      <c r="R755" s="267">
        <v>1500000</v>
      </c>
      <c r="S755" s="647">
        <v>1700000</v>
      </c>
      <c r="T755" s="648">
        <f>Data2025!T754</f>
        <v>0</v>
      </c>
      <c r="U755" s="268" t="s">
        <v>2531</v>
      </c>
      <c r="V755" s="648">
        <f>Data2025!V754</f>
        <v>0</v>
      </c>
      <c r="W755" s="648">
        <f>Data2025!X754</f>
        <v>0</v>
      </c>
      <c r="X755" s="268" t="s">
        <v>2529</v>
      </c>
      <c r="Y755" s="268" t="str">
        <f t="shared" si="38"/>
        <v>Kudapan</v>
      </c>
      <c r="Z755" s="649" t="str">
        <f t="shared" si="39"/>
        <v>Kudapan</v>
      </c>
      <c r="AA755" s="650" t="s">
        <v>3362</v>
      </c>
      <c r="AB755" s="269">
        <v>15000</v>
      </c>
      <c r="AC755" s="269">
        <v>1500000</v>
      </c>
      <c r="AD755" s="267">
        <v>1500000</v>
      </c>
      <c r="AE755" s="270">
        <v>1351351.3513513515</v>
      </c>
      <c r="AF755" s="270">
        <v>1500000</v>
      </c>
      <c r="AG755" s="805" t="s">
        <v>3883</v>
      </c>
      <c r="AH755" s="651">
        <f>Data2025!W754</f>
        <v>0</v>
      </c>
      <c r="AI755" s="61">
        <v>230</v>
      </c>
    </row>
    <row r="756" spans="1:35" ht="16.5" thickTop="1" thickBot="1">
      <c r="A756" s="636">
        <f>Data2025!G755</f>
        <v>0</v>
      </c>
      <c r="B756" s="637">
        <f>Data2025!K755</f>
        <v>0</v>
      </c>
      <c r="C756" s="638">
        <f>Data2025!D755</f>
        <v>0</v>
      </c>
      <c r="D756" s="639">
        <f>Data2025!C755</f>
        <v>0</v>
      </c>
      <c r="E756" s="265">
        <f>Data2025!E755</f>
        <v>0</v>
      </c>
      <c r="F756" s="640">
        <f>Data2025!F755</f>
        <v>0</v>
      </c>
      <c r="G756" s="265">
        <f>Data2025!H755</f>
        <v>0</v>
      </c>
      <c r="H756" s="265">
        <f t="shared" si="37"/>
        <v>0</v>
      </c>
      <c r="I756" s="641">
        <f>Data2025!J755</f>
        <v>0</v>
      </c>
      <c r="J756" s="381">
        <f>Data2025!L755</f>
        <v>0</v>
      </c>
      <c r="K756" s="381">
        <f>Data2025!M755</f>
        <v>0</v>
      </c>
      <c r="L756" s="642">
        <f>Data2025!N755</f>
        <v>0</v>
      </c>
      <c r="M756" s="642">
        <f>Data2025!O755</f>
        <v>0</v>
      </c>
      <c r="N756" s="643">
        <f>Data2025!P755</f>
        <v>0</v>
      </c>
      <c r="O756" s="644">
        <f>Data2025!Q755</f>
        <v>0</v>
      </c>
      <c r="P756" s="645" t="s">
        <v>280</v>
      </c>
      <c r="Q756" s="646" t="e">
        <f>VLOOKUP(K756,Sheet1!$C$1:$D$101,2,)</f>
        <v>#N/A</v>
      </c>
      <c r="R756" s="267">
        <v>4800000</v>
      </c>
      <c r="S756" s="647">
        <v>5440000</v>
      </c>
      <c r="T756" s="648">
        <f>Data2025!T755</f>
        <v>0</v>
      </c>
      <c r="U756" s="268" t="s">
        <v>2531</v>
      </c>
      <c r="V756" s="648">
        <f>Data2025!V755</f>
        <v>0</v>
      </c>
      <c r="W756" s="648">
        <f>Data2025!X755</f>
        <v>0</v>
      </c>
      <c r="X756" s="268" t="s">
        <v>2529</v>
      </c>
      <c r="Y756" s="268" t="str">
        <f t="shared" si="38"/>
        <v>Kudapan</v>
      </c>
      <c r="Z756" s="649" t="str">
        <f t="shared" si="39"/>
        <v>Kudapan</v>
      </c>
      <c r="AA756" s="650" t="s">
        <v>3362</v>
      </c>
      <c r="AB756" s="269">
        <v>15000</v>
      </c>
      <c r="AC756" s="269">
        <v>4800000</v>
      </c>
      <c r="AD756" s="267">
        <v>4800000</v>
      </c>
      <c r="AE756" s="270">
        <v>4324324.3243243247</v>
      </c>
      <c r="AF756" s="270">
        <v>4800000</v>
      </c>
      <c r="AG756" s="805" t="s">
        <v>3883</v>
      </c>
      <c r="AH756" s="651">
        <f>Data2025!W755</f>
        <v>0</v>
      </c>
      <c r="AI756" s="61">
        <v>231</v>
      </c>
    </row>
    <row r="757" spans="1:35" ht="16.5" thickTop="1" thickBot="1">
      <c r="A757" s="636">
        <f>Data2025!G756</f>
        <v>0</v>
      </c>
      <c r="B757" s="637">
        <f>Data2025!K756</f>
        <v>0</v>
      </c>
      <c r="C757" s="638">
        <f>Data2025!D756</f>
        <v>0</v>
      </c>
      <c r="D757" s="639">
        <f>Data2025!C756</f>
        <v>0</v>
      </c>
      <c r="E757" s="265">
        <f>Data2025!E756</f>
        <v>0</v>
      </c>
      <c r="F757" s="640">
        <f>Data2025!F756</f>
        <v>0</v>
      </c>
      <c r="G757" s="265">
        <f>Data2025!H756</f>
        <v>0</v>
      </c>
      <c r="H757" s="265">
        <f t="shared" si="37"/>
        <v>0</v>
      </c>
      <c r="I757" s="641">
        <f>Data2025!J756</f>
        <v>0</v>
      </c>
      <c r="J757" s="381">
        <f>Data2025!L756</f>
        <v>0</v>
      </c>
      <c r="K757" s="381">
        <f>Data2025!M756</f>
        <v>0</v>
      </c>
      <c r="L757" s="642">
        <f>Data2025!N756</f>
        <v>0</v>
      </c>
      <c r="M757" s="642">
        <f>Data2025!O756</f>
        <v>0</v>
      </c>
      <c r="N757" s="643">
        <f>Data2025!P756</f>
        <v>0</v>
      </c>
      <c r="O757" s="644">
        <f>Data2025!Q756</f>
        <v>0</v>
      </c>
      <c r="P757" s="645" t="s">
        <v>8</v>
      </c>
      <c r="Q757" s="646" t="e">
        <f>VLOOKUP(K757,Sheet1!$C$1:$D$101,2,)</f>
        <v>#N/A</v>
      </c>
      <c r="R757" s="267">
        <v>2400000</v>
      </c>
      <c r="S757" s="647">
        <v>2520000</v>
      </c>
      <c r="T757" s="648">
        <f>Data2025!T756</f>
        <v>0</v>
      </c>
      <c r="U757" s="268" t="s">
        <v>2520</v>
      </c>
      <c r="V757" s="648">
        <f>Data2025!V756</f>
        <v>0</v>
      </c>
      <c r="W757" s="648">
        <f>Data2025!X756</f>
        <v>0</v>
      </c>
      <c r="X757" s="268" t="s">
        <v>3391</v>
      </c>
      <c r="Y757" s="268" t="str">
        <f t="shared" si="38"/>
        <v>Konsumsi</v>
      </c>
      <c r="Z757" s="649" t="str">
        <f t="shared" si="39"/>
        <v>Konsumsi</v>
      </c>
      <c r="AA757" s="650" t="s">
        <v>3362</v>
      </c>
      <c r="AB757" s="269">
        <v>40000</v>
      </c>
      <c r="AC757" s="269">
        <v>2400000</v>
      </c>
      <c r="AD757" s="267">
        <v>2400000</v>
      </c>
      <c r="AE757" s="270">
        <v>2162162.1621621624</v>
      </c>
      <c r="AF757" s="270">
        <v>2400000</v>
      </c>
      <c r="AG757" s="805" t="s">
        <v>3883</v>
      </c>
      <c r="AH757" s="651">
        <f>Data2025!W756</f>
        <v>0</v>
      </c>
      <c r="AI757" s="61">
        <v>232</v>
      </c>
    </row>
    <row r="758" spans="1:35" ht="16.5" thickTop="1" thickBot="1">
      <c r="A758" s="636">
        <f>Data2025!G757</f>
        <v>0</v>
      </c>
      <c r="B758" s="637">
        <f>Data2025!K757</f>
        <v>0</v>
      </c>
      <c r="C758" s="638">
        <f>Data2025!D757</f>
        <v>0</v>
      </c>
      <c r="D758" s="639">
        <f>Data2025!C757</f>
        <v>0</v>
      </c>
      <c r="E758" s="265">
        <f>Data2025!E757</f>
        <v>0</v>
      </c>
      <c r="F758" s="640">
        <f>Data2025!F757</f>
        <v>0</v>
      </c>
      <c r="G758" s="265">
        <f>Data2025!H757</f>
        <v>0</v>
      </c>
      <c r="H758" s="265">
        <f t="shared" si="37"/>
        <v>0</v>
      </c>
      <c r="I758" s="641">
        <f>Data2025!J757</f>
        <v>0</v>
      </c>
      <c r="J758" s="381">
        <f>Data2025!L757</f>
        <v>0</v>
      </c>
      <c r="K758" s="381">
        <f>Data2025!M757</f>
        <v>0</v>
      </c>
      <c r="L758" s="642">
        <f>Data2025!N757</f>
        <v>0</v>
      </c>
      <c r="M758" s="642">
        <f>Data2025!O757</f>
        <v>0</v>
      </c>
      <c r="N758" s="643">
        <f>Data2025!P757</f>
        <v>0</v>
      </c>
      <c r="O758" s="644">
        <f>Data2025!Q757</f>
        <v>0</v>
      </c>
      <c r="P758" s="645" t="s">
        <v>1545</v>
      </c>
      <c r="Q758" s="646" t="e">
        <f>VLOOKUP(K758,Sheet1!$C$1:$D$101,2,)</f>
        <v>#N/A</v>
      </c>
      <c r="R758" s="267">
        <v>1250000</v>
      </c>
      <c r="S758" s="647">
        <v>1300000</v>
      </c>
      <c r="T758" s="648">
        <f>Data2025!T757</f>
        <v>0</v>
      </c>
      <c r="U758" s="268" t="s">
        <v>2531</v>
      </c>
      <c r="V758" s="648">
        <f>Data2025!V757</f>
        <v>0</v>
      </c>
      <c r="W758" s="648">
        <f>Data2025!X757</f>
        <v>0</v>
      </c>
      <c r="X758" s="268" t="s">
        <v>2529</v>
      </c>
      <c r="Y758" s="268" t="str">
        <f t="shared" si="38"/>
        <v>Air Mineral</v>
      </c>
      <c r="Z758" s="649" t="str">
        <f t="shared" si="39"/>
        <v>Air Mineral</v>
      </c>
      <c r="AA758" s="650" t="s">
        <v>3372</v>
      </c>
      <c r="AB758" s="269">
        <v>50000</v>
      </c>
      <c r="AC758" s="269">
        <v>1250000</v>
      </c>
      <c r="AD758" s="267">
        <v>1250000</v>
      </c>
      <c r="AE758" s="270">
        <v>1126126.1261261262</v>
      </c>
      <c r="AF758" s="270">
        <v>1250000</v>
      </c>
      <c r="AG758" s="805" t="s">
        <v>3883</v>
      </c>
      <c r="AH758" s="651">
        <f>Data2025!W757</f>
        <v>0</v>
      </c>
      <c r="AI758" s="61">
        <v>233</v>
      </c>
    </row>
    <row r="759" spans="1:35" ht="30" thickTop="1" thickBot="1">
      <c r="A759" s="636">
        <f>Data2025!G758</f>
        <v>0</v>
      </c>
      <c r="B759" s="637">
        <f>Data2025!K758</f>
        <v>0</v>
      </c>
      <c r="C759" s="638">
        <f>Data2025!D758</f>
        <v>0</v>
      </c>
      <c r="D759" s="639">
        <f>Data2025!C758</f>
        <v>0</v>
      </c>
      <c r="E759" s="265">
        <f>Data2025!E758</f>
        <v>0</v>
      </c>
      <c r="F759" s="640">
        <f>Data2025!F758</f>
        <v>0</v>
      </c>
      <c r="G759" s="265">
        <f>Data2025!H758</f>
        <v>0</v>
      </c>
      <c r="H759" s="265">
        <f t="shared" si="37"/>
        <v>0</v>
      </c>
      <c r="I759" s="641">
        <f>Data2025!J758</f>
        <v>0</v>
      </c>
      <c r="J759" s="381">
        <f>Data2025!L758</f>
        <v>0</v>
      </c>
      <c r="K759" s="381">
        <f>Data2025!M758</f>
        <v>0</v>
      </c>
      <c r="L759" s="642">
        <f>Data2025!N758</f>
        <v>0</v>
      </c>
      <c r="M759" s="642">
        <f>Data2025!O758</f>
        <v>0</v>
      </c>
      <c r="N759" s="643">
        <f>Data2025!P758</f>
        <v>0</v>
      </c>
      <c r="O759" s="644">
        <f>Data2025!Q758</f>
        <v>0</v>
      </c>
      <c r="P759" s="645" t="s">
        <v>2650</v>
      </c>
      <c r="Q759" s="646" t="e">
        <f>VLOOKUP(K759,Sheet1!$C$1:$D$101,2,)</f>
        <v>#N/A</v>
      </c>
      <c r="R759" s="267">
        <v>600000</v>
      </c>
      <c r="S759" s="647">
        <v>604000</v>
      </c>
      <c r="T759" s="648">
        <f>Data2025!T758</f>
        <v>0</v>
      </c>
      <c r="U759" s="268" t="s">
        <v>1040</v>
      </c>
      <c r="V759" s="648">
        <f>Data2025!V758</f>
        <v>0</v>
      </c>
      <c r="W759" s="648">
        <f>Data2025!X758</f>
        <v>0</v>
      </c>
      <c r="X759" s="523" t="s">
        <v>541</v>
      </c>
      <c r="Y759" s="268" t="str">
        <f t="shared" si="38"/>
        <v>Percetakan</v>
      </c>
      <c r="Z759" s="649" t="str">
        <f t="shared" si="39"/>
        <v>Percetakan</v>
      </c>
      <c r="AA759" s="650" t="s">
        <v>3363</v>
      </c>
      <c r="AB759" s="269">
        <v>300000</v>
      </c>
      <c r="AC759" s="269">
        <v>600000</v>
      </c>
      <c r="AD759" s="267">
        <v>600000</v>
      </c>
      <c r="AE759" s="270">
        <v>540540.54054054059</v>
      </c>
      <c r="AF759" s="270">
        <v>600000</v>
      </c>
      <c r="AG759" s="805" t="s">
        <v>3883</v>
      </c>
      <c r="AH759" s="651">
        <f>Data2025!W758</f>
        <v>0</v>
      </c>
      <c r="AI759" s="61">
        <v>234</v>
      </c>
    </row>
    <row r="760" spans="1:35" ht="16.5" thickTop="1" thickBot="1">
      <c r="A760" s="636">
        <f>Data2025!G759</f>
        <v>0</v>
      </c>
      <c r="B760" s="637">
        <f>Data2025!K759</f>
        <v>0</v>
      </c>
      <c r="C760" s="638">
        <f>Data2025!D759</f>
        <v>0</v>
      </c>
      <c r="D760" s="639">
        <f>Data2025!C759</f>
        <v>0</v>
      </c>
      <c r="E760" s="265">
        <f>Data2025!E759</f>
        <v>0</v>
      </c>
      <c r="F760" s="640">
        <f>Data2025!F759</f>
        <v>0</v>
      </c>
      <c r="G760" s="265">
        <f>Data2025!H759</f>
        <v>0</v>
      </c>
      <c r="H760" s="265">
        <f t="shared" si="37"/>
        <v>0</v>
      </c>
      <c r="I760" s="641">
        <f>Data2025!J759</f>
        <v>0</v>
      </c>
      <c r="J760" s="381">
        <f>Data2025!L759</f>
        <v>0</v>
      </c>
      <c r="K760" s="381">
        <f>Data2025!M759</f>
        <v>0</v>
      </c>
      <c r="L760" s="642">
        <f>Data2025!N759</f>
        <v>0</v>
      </c>
      <c r="M760" s="642">
        <f>Data2025!O759</f>
        <v>0</v>
      </c>
      <c r="N760" s="643">
        <f>Data2025!P759</f>
        <v>0</v>
      </c>
      <c r="O760" s="644">
        <f>Data2025!Q759</f>
        <v>0</v>
      </c>
      <c r="P760" s="645" t="s">
        <v>280</v>
      </c>
      <c r="Q760" s="646" t="e">
        <f>VLOOKUP(K760,Sheet1!$C$1:$D$101,2,)</f>
        <v>#N/A</v>
      </c>
      <c r="R760" s="267">
        <v>2250000</v>
      </c>
      <c r="S760" s="647">
        <v>2550000</v>
      </c>
      <c r="T760" s="648">
        <f>Data2025!T759</f>
        <v>0</v>
      </c>
      <c r="U760" s="268" t="s">
        <v>2531</v>
      </c>
      <c r="V760" s="648">
        <f>Data2025!V759</f>
        <v>0</v>
      </c>
      <c r="W760" s="648">
        <f>Data2025!X759</f>
        <v>0</v>
      </c>
      <c r="X760" s="268" t="s">
        <v>2529</v>
      </c>
      <c r="Y760" s="268" t="str">
        <f t="shared" si="38"/>
        <v>Kudapan</v>
      </c>
      <c r="Z760" s="649" t="str">
        <f t="shared" si="39"/>
        <v>Kudapan</v>
      </c>
      <c r="AA760" s="650" t="s">
        <v>3362</v>
      </c>
      <c r="AB760" s="269">
        <v>15000</v>
      </c>
      <c r="AC760" s="269">
        <v>2250000</v>
      </c>
      <c r="AD760" s="267">
        <v>2250000</v>
      </c>
      <c r="AE760" s="270">
        <v>2027027.027027027</v>
      </c>
      <c r="AF760" s="270">
        <v>2250000</v>
      </c>
      <c r="AG760" s="805" t="s">
        <v>3883</v>
      </c>
      <c r="AH760" s="651">
        <f>Data2025!W759</f>
        <v>0</v>
      </c>
      <c r="AI760" s="61">
        <v>235</v>
      </c>
    </row>
    <row r="761" spans="1:35" ht="16.5" thickTop="1" thickBot="1">
      <c r="A761" s="636">
        <f>Data2025!G760</f>
        <v>0</v>
      </c>
      <c r="B761" s="637">
        <f>Data2025!K760</f>
        <v>0</v>
      </c>
      <c r="C761" s="638">
        <f>Data2025!D760</f>
        <v>0</v>
      </c>
      <c r="D761" s="639">
        <f>Data2025!C760</f>
        <v>0</v>
      </c>
      <c r="E761" s="265">
        <f>Data2025!E760</f>
        <v>0</v>
      </c>
      <c r="F761" s="640">
        <f>Data2025!F760</f>
        <v>0</v>
      </c>
      <c r="G761" s="265">
        <f>Data2025!H760</f>
        <v>0</v>
      </c>
      <c r="H761" s="265">
        <f t="shared" si="37"/>
        <v>0</v>
      </c>
      <c r="I761" s="641">
        <f>Data2025!J760</f>
        <v>0</v>
      </c>
      <c r="J761" s="381">
        <f>Data2025!L760</f>
        <v>0</v>
      </c>
      <c r="K761" s="381">
        <f>Data2025!M760</f>
        <v>0</v>
      </c>
      <c r="L761" s="642">
        <f>Data2025!N760</f>
        <v>0</v>
      </c>
      <c r="M761" s="642">
        <f>Data2025!O760</f>
        <v>0</v>
      </c>
      <c r="N761" s="643">
        <f>Data2025!P760</f>
        <v>0</v>
      </c>
      <c r="O761" s="644">
        <f>Data2025!Q760</f>
        <v>0</v>
      </c>
      <c r="P761" s="645" t="s">
        <v>8</v>
      </c>
      <c r="Q761" s="646" t="e">
        <f>VLOOKUP(K761,Sheet1!$C$1:$D$101,2,)</f>
        <v>#N/A</v>
      </c>
      <c r="R761" s="267">
        <v>2400000</v>
      </c>
      <c r="S761" s="647">
        <v>2520000</v>
      </c>
      <c r="T761" s="648">
        <f>Data2025!T760</f>
        <v>0</v>
      </c>
      <c r="U761" s="268" t="s">
        <v>2520</v>
      </c>
      <c r="V761" s="648">
        <f>Data2025!V760</f>
        <v>0</v>
      </c>
      <c r="W761" s="648">
        <f>Data2025!X760</f>
        <v>0</v>
      </c>
      <c r="X761" s="268" t="s">
        <v>3391</v>
      </c>
      <c r="Y761" s="268" t="str">
        <f t="shared" si="38"/>
        <v>Konsumsi</v>
      </c>
      <c r="Z761" s="649" t="str">
        <f t="shared" si="39"/>
        <v>Konsumsi</v>
      </c>
      <c r="AA761" s="650" t="s">
        <v>3362</v>
      </c>
      <c r="AB761" s="269">
        <v>40000</v>
      </c>
      <c r="AC761" s="269">
        <v>2400000</v>
      </c>
      <c r="AD761" s="267">
        <v>2400000</v>
      </c>
      <c r="AE761" s="270">
        <v>2162162.1621621624</v>
      </c>
      <c r="AF761" s="270">
        <v>2400000</v>
      </c>
      <c r="AG761" s="805" t="s">
        <v>3883</v>
      </c>
      <c r="AH761" s="651">
        <f>Data2025!W760</f>
        <v>0</v>
      </c>
      <c r="AI761" s="61">
        <v>236</v>
      </c>
    </row>
    <row r="762" spans="1:35" ht="16.5" thickTop="1" thickBot="1">
      <c r="A762" s="636">
        <f>Data2025!G761</f>
        <v>0</v>
      </c>
      <c r="B762" s="637">
        <f>Data2025!K761</f>
        <v>0</v>
      </c>
      <c r="C762" s="638">
        <f>Data2025!D761</f>
        <v>0</v>
      </c>
      <c r="D762" s="639">
        <f>Data2025!C761</f>
        <v>0</v>
      </c>
      <c r="E762" s="265">
        <f>Data2025!E761</f>
        <v>0</v>
      </c>
      <c r="F762" s="640">
        <f>Data2025!F761</f>
        <v>0</v>
      </c>
      <c r="G762" s="265">
        <f>Data2025!H761</f>
        <v>0</v>
      </c>
      <c r="H762" s="265">
        <f t="shared" si="37"/>
        <v>0</v>
      </c>
      <c r="I762" s="641">
        <f>Data2025!J761</f>
        <v>0</v>
      </c>
      <c r="J762" s="381">
        <f>Data2025!L761</f>
        <v>0</v>
      </c>
      <c r="K762" s="381">
        <f>Data2025!M761</f>
        <v>0</v>
      </c>
      <c r="L762" s="642">
        <f>Data2025!N761</f>
        <v>0</v>
      </c>
      <c r="M762" s="642">
        <f>Data2025!O761</f>
        <v>0</v>
      </c>
      <c r="N762" s="643">
        <f>Data2025!P761</f>
        <v>0</v>
      </c>
      <c r="O762" s="644">
        <f>Data2025!Q761</f>
        <v>0</v>
      </c>
      <c r="P762" s="645" t="s">
        <v>2664</v>
      </c>
      <c r="Q762" s="646" t="e">
        <f>VLOOKUP(K762,Sheet1!$C$1:$D$101,2,)</f>
        <v>#N/A</v>
      </c>
      <c r="R762" s="267">
        <v>1461200</v>
      </c>
      <c r="S762" s="647">
        <v>2002000</v>
      </c>
      <c r="T762" s="648">
        <f>Data2025!T761</f>
        <v>0</v>
      </c>
      <c r="U762" s="268" t="s">
        <v>2533</v>
      </c>
      <c r="V762" s="648">
        <f>Data2025!V761</f>
        <v>0</v>
      </c>
      <c r="W762" s="648">
        <f>Data2025!X761</f>
        <v>0</v>
      </c>
      <c r="X762" s="268">
        <v>0</v>
      </c>
      <c r="Y762" s="268" t="str">
        <f t="shared" si="38"/>
        <v>Jasa PLN</v>
      </c>
      <c r="Z762" s="649" t="str">
        <f t="shared" si="39"/>
        <v>Jasa PLN</v>
      </c>
      <c r="AA762" s="650" t="s">
        <v>3373</v>
      </c>
      <c r="AB762" s="269">
        <v>2000000</v>
      </c>
      <c r="AC762" s="269">
        <v>2000000</v>
      </c>
      <c r="AD762" s="267">
        <v>1461200</v>
      </c>
      <c r="AE762" s="270">
        <v>1316396.3963963964</v>
      </c>
      <c r="AF762" s="270">
        <v>1461200</v>
      </c>
      <c r="AG762" s="805" t="s">
        <v>3883</v>
      </c>
      <c r="AH762" s="651">
        <f>Data2025!W761</f>
        <v>0</v>
      </c>
      <c r="AI762" s="61">
        <v>237</v>
      </c>
    </row>
    <row r="763" spans="1:35" ht="16.5" thickTop="1" thickBot="1">
      <c r="A763" s="636">
        <f>Data2025!G762</f>
        <v>0</v>
      </c>
      <c r="B763" s="637">
        <f>Data2025!K762</f>
        <v>0</v>
      </c>
      <c r="C763" s="638">
        <f>Data2025!D762</f>
        <v>0</v>
      </c>
      <c r="D763" s="639">
        <f>Data2025!C762</f>
        <v>0</v>
      </c>
      <c r="E763" s="265">
        <f>Data2025!E762</f>
        <v>0</v>
      </c>
      <c r="F763" s="640">
        <f>Data2025!F762</f>
        <v>0</v>
      </c>
      <c r="G763" s="265">
        <f>Data2025!H762</f>
        <v>0</v>
      </c>
      <c r="H763" s="265">
        <f t="shared" si="37"/>
        <v>0</v>
      </c>
      <c r="I763" s="641">
        <f>Data2025!J762</f>
        <v>0</v>
      </c>
      <c r="J763" s="381">
        <f>Data2025!L762</f>
        <v>0</v>
      </c>
      <c r="K763" s="381">
        <f>Data2025!M762</f>
        <v>0</v>
      </c>
      <c r="L763" s="642">
        <f>Data2025!N762</f>
        <v>0</v>
      </c>
      <c r="M763" s="642">
        <f>Data2025!O762</f>
        <v>0</v>
      </c>
      <c r="N763" s="643">
        <f>Data2025!P762</f>
        <v>0</v>
      </c>
      <c r="O763" s="644">
        <f>Data2025!Q762</f>
        <v>0</v>
      </c>
      <c r="P763" s="645" t="s">
        <v>2668</v>
      </c>
      <c r="Q763" s="646" t="e">
        <f>VLOOKUP(K763,Sheet1!$C$1:$D$101,2,)</f>
        <v>#N/A</v>
      </c>
      <c r="R763" s="267">
        <v>1179400</v>
      </c>
      <c r="S763" s="647">
        <v>1502000</v>
      </c>
      <c r="T763" s="648">
        <f>Data2025!T762</f>
        <v>0</v>
      </c>
      <c r="U763" s="268" t="s">
        <v>2533</v>
      </c>
      <c r="V763" s="648">
        <f>Data2025!V762</f>
        <v>0</v>
      </c>
      <c r="W763" s="648">
        <f>Data2025!X762</f>
        <v>0</v>
      </c>
      <c r="X763" s="268">
        <v>0</v>
      </c>
      <c r="Y763" s="268" t="str">
        <f t="shared" si="38"/>
        <v>Jasa Internet</v>
      </c>
      <c r="Z763" s="649" t="str">
        <f t="shared" si="39"/>
        <v>Jasa Internet</v>
      </c>
      <c r="AA763" s="650" t="s">
        <v>3373</v>
      </c>
      <c r="AB763" s="269">
        <v>1500000</v>
      </c>
      <c r="AC763" s="269">
        <v>1500000</v>
      </c>
      <c r="AD763" s="267">
        <v>1179400</v>
      </c>
      <c r="AE763" s="270">
        <v>1062522.5225225226</v>
      </c>
      <c r="AF763" s="270">
        <v>1179400</v>
      </c>
      <c r="AG763" s="805" t="s">
        <v>3883</v>
      </c>
      <c r="AH763" s="651">
        <f>Data2025!W762</f>
        <v>0</v>
      </c>
      <c r="AI763" s="61">
        <v>238</v>
      </c>
    </row>
    <row r="764" spans="1:35" ht="16.5" thickTop="1" thickBot="1">
      <c r="A764" s="636">
        <f>Data2025!G763</f>
        <v>0</v>
      </c>
      <c r="B764" s="637">
        <f>Data2025!K763</f>
        <v>0</v>
      </c>
      <c r="C764" s="638">
        <f>Data2025!D763</f>
        <v>0</v>
      </c>
      <c r="D764" s="639">
        <f>Data2025!C763</f>
        <v>0</v>
      </c>
      <c r="E764" s="265">
        <f>Data2025!E763</f>
        <v>0</v>
      </c>
      <c r="F764" s="640">
        <f>Data2025!F763</f>
        <v>0</v>
      </c>
      <c r="G764" s="265">
        <f>Data2025!H763</f>
        <v>0</v>
      </c>
      <c r="H764" s="265">
        <f t="shared" si="37"/>
        <v>0</v>
      </c>
      <c r="I764" s="641">
        <f>Data2025!J763</f>
        <v>0</v>
      </c>
      <c r="J764" s="381">
        <f>Data2025!L763</f>
        <v>0</v>
      </c>
      <c r="K764" s="381">
        <f>Data2025!M763</f>
        <v>0</v>
      </c>
      <c r="L764" s="642">
        <f>Data2025!N763</f>
        <v>0</v>
      </c>
      <c r="M764" s="642">
        <f>Data2025!O763</f>
        <v>0</v>
      </c>
      <c r="N764" s="643">
        <f>Data2025!P763</f>
        <v>0</v>
      </c>
      <c r="O764" s="644">
        <f>Data2025!Q763</f>
        <v>0</v>
      </c>
      <c r="P764" s="645" t="s">
        <v>2672</v>
      </c>
      <c r="Q764" s="646" t="e">
        <f>VLOOKUP(K764,Sheet1!$C$1:$D$101,2,)</f>
        <v>#N/A</v>
      </c>
      <c r="R764" s="267">
        <v>1000000</v>
      </c>
      <c r="S764" s="647">
        <v>1002000</v>
      </c>
      <c r="T764" s="648">
        <f>Data2025!T763</f>
        <v>0</v>
      </c>
      <c r="U764" s="268" t="s">
        <v>2532</v>
      </c>
      <c r="V764" s="648">
        <f>Data2025!V763</f>
        <v>0</v>
      </c>
      <c r="W764" s="648">
        <f>Data2025!X763</f>
        <v>0</v>
      </c>
      <c r="X764" s="268">
        <v>0</v>
      </c>
      <c r="Y764" s="268" t="str">
        <f t="shared" si="38"/>
        <v>Jasa Tenaga Operator</v>
      </c>
      <c r="Z764" s="649" t="str">
        <f t="shared" si="39"/>
        <v>Jasa Tenaga Operator</v>
      </c>
      <c r="AA764" s="650" t="s">
        <v>3373</v>
      </c>
      <c r="AB764" s="269">
        <v>1000000</v>
      </c>
      <c r="AC764" s="269">
        <v>1000000</v>
      </c>
      <c r="AD764" s="267">
        <v>1000000</v>
      </c>
      <c r="AE764" s="270">
        <v>900900.90090090095</v>
      </c>
      <c r="AF764" s="270">
        <v>1000000</v>
      </c>
      <c r="AG764" s="805" t="s">
        <v>3883</v>
      </c>
      <c r="AH764" s="651">
        <f>Data2025!W763</f>
        <v>0</v>
      </c>
      <c r="AI764" s="61">
        <v>239</v>
      </c>
    </row>
    <row r="765" spans="1:35" ht="16.5" thickTop="1" thickBot="1">
      <c r="A765" s="636">
        <f>Data2025!G764</f>
        <v>0</v>
      </c>
      <c r="B765" s="637">
        <f>Data2025!K764</f>
        <v>0</v>
      </c>
      <c r="C765" s="638">
        <f>Data2025!D764</f>
        <v>0</v>
      </c>
      <c r="D765" s="639">
        <f>Data2025!C764</f>
        <v>0</v>
      </c>
      <c r="E765" s="265">
        <f>Data2025!E764</f>
        <v>0</v>
      </c>
      <c r="F765" s="640">
        <f>Data2025!F764</f>
        <v>0</v>
      </c>
      <c r="G765" s="265">
        <f>Data2025!H764</f>
        <v>0</v>
      </c>
      <c r="H765" s="265">
        <f t="shared" si="37"/>
        <v>0</v>
      </c>
      <c r="I765" s="641">
        <f>Data2025!J764</f>
        <v>0</v>
      </c>
      <c r="J765" s="381">
        <f>Data2025!L764</f>
        <v>0</v>
      </c>
      <c r="K765" s="381">
        <f>Data2025!M764</f>
        <v>0</v>
      </c>
      <c r="L765" s="642">
        <f>Data2025!N764</f>
        <v>0</v>
      </c>
      <c r="M765" s="642">
        <f>Data2025!O764</f>
        <v>0</v>
      </c>
      <c r="N765" s="643">
        <f>Data2025!P764</f>
        <v>0</v>
      </c>
      <c r="O765" s="644">
        <f>Data2025!Q764</f>
        <v>0</v>
      </c>
      <c r="P765" s="645" t="s">
        <v>280</v>
      </c>
      <c r="Q765" s="646" t="e">
        <f>VLOOKUP(K765,Sheet1!$C$1:$D$101,2,)</f>
        <v>#N/A</v>
      </c>
      <c r="R765" s="267">
        <v>900000</v>
      </c>
      <c r="S765" s="647">
        <v>1020000</v>
      </c>
      <c r="T765" s="648">
        <f>Data2025!T764</f>
        <v>0</v>
      </c>
      <c r="U765" s="268" t="s">
        <v>2531</v>
      </c>
      <c r="V765" s="648">
        <f>Data2025!V764</f>
        <v>0</v>
      </c>
      <c r="W765" s="648">
        <f>Data2025!X764</f>
        <v>0</v>
      </c>
      <c r="X765" s="268" t="s">
        <v>2529</v>
      </c>
      <c r="Y765" s="268" t="str">
        <f t="shared" si="38"/>
        <v>Kudapan</v>
      </c>
      <c r="Z765" s="649" t="str">
        <f t="shared" si="39"/>
        <v>Kudapan</v>
      </c>
      <c r="AA765" s="650" t="s">
        <v>3363</v>
      </c>
      <c r="AB765" s="269">
        <v>15000</v>
      </c>
      <c r="AC765" s="269">
        <v>900000</v>
      </c>
      <c r="AD765" s="267">
        <v>900000</v>
      </c>
      <c r="AE765" s="270">
        <v>810810.81081081077</v>
      </c>
      <c r="AF765" s="270">
        <v>900000</v>
      </c>
      <c r="AG765" s="805" t="s">
        <v>3883</v>
      </c>
      <c r="AH765" s="651">
        <f>Data2025!W764</f>
        <v>0</v>
      </c>
      <c r="AI765" s="61">
        <v>240</v>
      </c>
    </row>
    <row r="766" spans="1:35" ht="16.5" thickTop="1" thickBot="1">
      <c r="A766" s="636">
        <f>Data2025!G765</f>
        <v>0</v>
      </c>
      <c r="B766" s="637">
        <f>Data2025!K765</f>
        <v>0</v>
      </c>
      <c r="C766" s="638">
        <f>Data2025!D765</f>
        <v>0</v>
      </c>
      <c r="D766" s="639">
        <f>Data2025!C765</f>
        <v>0</v>
      </c>
      <c r="E766" s="265">
        <f>Data2025!E765</f>
        <v>0</v>
      </c>
      <c r="F766" s="640">
        <f>Data2025!F765</f>
        <v>0</v>
      </c>
      <c r="G766" s="265">
        <f>Data2025!H765</f>
        <v>0</v>
      </c>
      <c r="H766" s="265">
        <f t="shared" si="37"/>
        <v>0</v>
      </c>
      <c r="I766" s="641">
        <f>Data2025!J765</f>
        <v>0</v>
      </c>
      <c r="J766" s="381">
        <f>Data2025!L765</f>
        <v>0</v>
      </c>
      <c r="K766" s="381">
        <f>Data2025!M765</f>
        <v>0</v>
      </c>
      <c r="L766" s="642">
        <f>Data2025!N765</f>
        <v>0</v>
      </c>
      <c r="M766" s="642">
        <f>Data2025!O765</f>
        <v>0</v>
      </c>
      <c r="N766" s="643">
        <f>Data2025!P765</f>
        <v>0</v>
      </c>
      <c r="O766" s="644">
        <f>Data2025!Q765</f>
        <v>0</v>
      </c>
      <c r="P766" s="645" t="s">
        <v>3021</v>
      </c>
      <c r="Q766" s="646" t="e">
        <f>VLOOKUP(K766,Sheet1!$C$1:$D$101,2,)</f>
        <v>#N/A</v>
      </c>
      <c r="R766" s="267">
        <v>1140000</v>
      </c>
      <c r="S766" s="647">
        <v>1148000</v>
      </c>
      <c r="T766" s="648">
        <f>Data2025!T765</f>
        <v>0</v>
      </c>
      <c r="U766" s="268" t="s">
        <v>3392</v>
      </c>
      <c r="V766" s="648">
        <f>Data2025!V765</f>
        <v>0</v>
      </c>
      <c r="W766" s="648">
        <f>Data2025!X765</f>
        <v>0</v>
      </c>
      <c r="X766" s="268" t="s">
        <v>2723</v>
      </c>
      <c r="Y766" s="268" t="str">
        <f t="shared" si="38"/>
        <v>Alat Olahraga</v>
      </c>
      <c r="Z766" s="649" t="str">
        <f t="shared" si="39"/>
        <v>Alat Olahraga</v>
      </c>
      <c r="AA766" s="650" t="s">
        <v>3363</v>
      </c>
      <c r="AB766" s="269">
        <v>285000</v>
      </c>
      <c r="AC766" s="269">
        <v>1140000</v>
      </c>
      <c r="AD766" s="267">
        <v>1140000</v>
      </c>
      <c r="AE766" s="270">
        <v>1027027.0270270271</v>
      </c>
      <c r="AF766" s="270">
        <v>1140000</v>
      </c>
      <c r="AG766" s="805" t="s">
        <v>3883</v>
      </c>
      <c r="AH766" s="651">
        <f>Data2025!W765</f>
        <v>0</v>
      </c>
      <c r="AI766" s="61">
        <v>241</v>
      </c>
    </row>
    <row r="767" spans="1:35" ht="16.5" thickTop="1" thickBot="1">
      <c r="A767" s="636">
        <f>Data2025!G766</f>
        <v>0</v>
      </c>
      <c r="B767" s="637">
        <f>Data2025!K766</f>
        <v>0</v>
      </c>
      <c r="C767" s="638">
        <f>Data2025!D766</f>
        <v>0</v>
      </c>
      <c r="D767" s="639">
        <f>Data2025!C766</f>
        <v>0</v>
      </c>
      <c r="E767" s="265">
        <f>Data2025!E766</f>
        <v>0</v>
      </c>
      <c r="F767" s="640">
        <f>Data2025!F766</f>
        <v>0</v>
      </c>
      <c r="G767" s="265">
        <f>Data2025!H766</f>
        <v>0</v>
      </c>
      <c r="H767" s="265">
        <f t="shared" si="37"/>
        <v>0</v>
      </c>
      <c r="I767" s="641">
        <f>Data2025!J766</f>
        <v>0</v>
      </c>
      <c r="J767" s="381">
        <f>Data2025!L766</f>
        <v>0</v>
      </c>
      <c r="K767" s="381">
        <f>Data2025!M766</f>
        <v>0</v>
      </c>
      <c r="L767" s="642">
        <f>Data2025!N766</f>
        <v>0</v>
      </c>
      <c r="M767" s="642">
        <f>Data2025!O766</f>
        <v>0</v>
      </c>
      <c r="N767" s="643">
        <f>Data2025!P766</f>
        <v>0</v>
      </c>
      <c r="O767" s="644">
        <f>Data2025!Q766</f>
        <v>0</v>
      </c>
      <c r="P767" s="645" t="s">
        <v>3021</v>
      </c>
      <c r="Q767" s="646" t="e">
        <f>VLOOKUP(K767,Sheet1!$C$1:$D$101,2,)</f>
        <v>#N/A</v>
      </c>
      <c r="R767" s="267">
        <v>2300000</v>
      </c>
      <c r="S767" s="647">
        <v>2304000</v>
      </c>
      <c r="T767" s="648">
        <f>Data2025!T766</f>
        <v>0</v>
      </c>
      <c r="U767" s="268" t="s">
        <v>3392</v>
      </c>
      <c r="V767" s="648">
        <f>Data2025!V766</f>
        <v>0</v>
      </c>
      <c r="W767" s="648">
        <f>Data2025!X766</f>
        <v>0</v>
      </c>
      <c r="X767" s="268" t="s">
        <v>2723</v>
      </c>
      <c r="Y767" s="268" t="str">
        <f t="shared" si="38"/>
        <v>Alat Olahraga</v>
      </c>
      <c r="Z767" s="649" t="str">
        <f t="shared" si="39"/>
        <v>Alat Olahraga</v>
      </c>
      <c r="AA767" s="650" t="s">
        <v>3363</v>
      </c>
      <c r="AB767" s="269">
        <v>1150000</v>
      </c>
      <c r="AC767" s="269">
        <v>2300000</v>
      </c>
      <c r="AD767" s="267">
        <v>2300000</v>
      </c>
      <c r="AE767" s="270">
        <v>2072072.0720720722</v>
      </c>
      <c r="AF767" s="270">
        <v>2300000</v>
      </c>
      <c r="AG767" s="805" t="s">
        <v>3883</v>
      </c>
      <c r="AH767" s="651">
        <f>Data2025!W766</f>
        <v>0</v>
      </c>
      <c r="AI767" s="61">
        <v>241</v>
      </c>
    </row>
    <row r="768" spans="1:35" ht="16.5" thickTop="1" thickBot="1">
      <c r="A768" s="636">
        <f>Data2025!G767</f>
        <v>0</v>
      </c>
      <c r="B768" s="637">
        <f>Data2025!K767</f>
        <v>0</v>
      </c>
      <c r="C768" s="638">
        <f>Data2025!D767</f>
        <v>0</v>
      </c>
      <c r="D768" s="639">
        <f>Data2025!C767</f>
        <v>0</v>
      </c>
      <c r="E768" s="265">
        <f>Data2025!E767</f>
        <v>0</v>
      </c>
      <c r="F768" s="640">
        <f>Data2025!F767</f>
        <v>0</v>
      </c>
      <c r="G768" s="265">
        <f>Data2025!H767</f>
        <v>0</v>
      </c>
      <c r="H768" s="265">
        <f t="shared" si="37"/>
        <v>0</v>
      </c>
      <c r="I768" s="641">
        <f>Data2025!J767</f>
        <v>0</v>
      </c>
      <c r="J768" s="381">
        <f>Data2025!L767</f>
        <v>0</v>
      </c>
      <c r="K768" s="381">
        <f>Data2025!M767</f>
        <v>0</v>
      </c>
      <c r="L768" s="642">
        <f>Data2025!N767</f>
        <v>0</v>
      </c>
      <c r="M768" s="642">
        <f>Data2025!O767</f>
        <v>0</v>
      </c>
      <c r="N768" s="643">
        <f>Data2025!P767</f>
        <v>0</v>
      </c>
      <c r="O768" s="644">
        <f>Data2025!Q767</f>
        <v>0</v>
      </c>
      <c r="P768" s="645" t="s">
        <v>3021</v>
      </c>
      <c r="Q768" s="646" t="e">
        <f>VLOOKUP(K768,Sheet1!$C$1:$D$101,2,)</f>
        <v>#N/A</v>
      </c>
      <c r="R768" s="267">
        <v>1000000</v>
      </c>
      <c r="S768" s="647">
        <v>1008000</v>
      </c>
      <c r="T768" s="648">
        <f>Data2025!T767</f>
        <v>0</v>
      </c>
      <c r="U768" s="268" t="s">
        <v>3392</v>
      </c>
      <c r="V768" s="648">
        <f>Data2025!V767</f>
        <v>0</v>
      </c>
      <c r="W768" s="648">
        <f>Data2025!X767</f>
        <v>0</v>
      </c>
      <c r="X768" s="268" t="s">
        <v>2723</v>
      </c>
      <c r="Y768" s="268" t="str">
        <f t="shared" si="38"/>
        <v>Alat Olahraga</v>
      </c>
      <c r="Z768" s="649" t="str">
        <f t="shared" si="39"/>
        <v>Alat Olahraga</v>
      </c>
      <c r="AA768" s="650" t="s">
        <v>3363</v>
      </c>
      <c r="AB768" s="269">
        <v>250000</v>
      </c>
      <c r="AC768" s="269">
        <v>1000000</v>
      </c>
      <c r="AD768" s="267">
        <v>1000000</v>
      </c>
      <c r="AE768" s="270">
        <v>900900.90090090095</v>
      </c>
      <c r="AF768" s="270">
        <v>1000000</v>
      </c>
      <c r="AG768" s="805" t="s">
        <v>3883</v>
      </c>
      <c r="AH768" s="651">
        <f>Data2025!W767</f>
        <v>0</v>
      </c>
      <c r="AI768" s="61">
        <v>241</v>
      </c>
    </row>
    <row r="769" spans="1:35" ht="16.5" thickTop="1" thickBot="1">
      <c r="A769" s="636">
        <f>Data2025!G768</f>
        <v>0</v>
      </c>
      <c r="B769" s="637">
        <f>Data2025!K768</f>
        <v>0</v>
      </c>
      <c r="C769" s="638">
        <f>Data2025!D768</f>
        <v>0</v>
      </c>
      <c r="D769" s="639">
        <f>Data2025!C768</f>
        <v>0</v>
      </c>
      <c r="E769" s="265">
        <f>Data2025!E768</f>
        <v>0</v>
      </c>
      <c r="F769" s="640">
        <f>Data2025!F768</f>
        <v>0</v>
      </c>
      <c r="G769" s="265">
        <f>Data2025!H768</f>
        <v>0</v>
      </c>
      <c r="H769" s="265">
        <f t="shared" si="37"/>
        <v>0</v>
      </c>
      <c r="I769" s="641">
        <f>Data2025!J768</f>
        <v>0</v>
      </c>
      <c r="J769" s="381">
        <f>Data2025!L768</f>
        <v>0</v>
      </c>
      <c r="K769" s="381">
        <f>Data2025!M768</f>
        <v>0</v>
      </c>
      <c r="L769" s="642">
        <f>Data2025!N768</f>
        <v>0</v>
      </c>
      <c r="M769" s="642">
        <f>Data2025!O768</f>
        <v>0</v>
      </c>
      <c r="N769" s="643">
        <f>Data2025!P768</f>
        <v>0</v>
      </c>
      <c r="O769" s="644">
        <f>Data2025!Q768</f>
        <v>0</v>
      </c>
      <c r="P769" s="645" t="s">
        <v>3030</v>
      </c>
      <c r="Q769" s="646" t="e">
        <f>VLOOKUP(K769,Sheet1!$C$1:$D$101,2,)</f>
        <v>#N/A</v>
      </c>
      <c r="R769" s="267">
        <v>13500000</v>
      </c>
      <c r="S769" s="647">
        <v>13560000</v>
      </c>
      <c r="T769" s="648">
        <f>Data2025!T768</f>
        <v>0</v>
      </c>
      <c r="U769" s="268" t="s">
        <v>3392</v>
      </c>
      <c r="V769" s="648">
        <f>Data2025!V768</f>
        <v>0</v>
      </c>
      <c r="W769" s="648">
        <f>Data2025!X768</f>
        <v>0</v>
      </c>
      <c r="X769" s="268" t="s">
        <v>2723</v>
      </c>
      <c r="Y769" s="268" t="str">
        <f t="shared" si="38"/>
        <v>Sarana dan Prsasrana</v>
      </c>
      <c r="Z769" s="649" t="str">
        <f t="shared" si="39"/>
        <v>Sarana dan Prsasrana</v>
      </c>
      <c r="AA769" s="650" t="s">
        <v>3363</v>
      </c>
      <c r="AB769" s="269">
        <v>450000</v>
      </c>
      <c r="AC769" s="269">
        <v>13500000</v>
      </c>
      <c r="AD769" s="267">
        <v>13500000</v>
      </c>
      <c r="AE769" s="270">
        <v>12162162.162162162</v>
      </c>
      <c r="AF769" s="270">
        <v>13500000</v>
      </c>
      <c r="AG769" s="805" t="s">
        <v>3883</v>
      </c>
      <c r="AH769" s="651">
        <f>Data2025!W768</f>
        <v>0</v>
      </c>
      <c r="AI769" s="61">
        <v>242</v>
      </c>
    </row>
    <row r="770" spans="1:35" ht="16.5" thickTop="1" thickBot="1">
      <c r="A770" s="636">
        <f>Data2025!G769</f>
        <v>0</v>
      </c>
      <c r="B770" s="637">
        <f>Data2025!K769</f>
        <v>0</v>
      </c>
      <c r="C770" s="638">
        <f>Data2025!D769</f>
        <v>0</v>
      </c>
      <c r="D770" s="639">
        <f>Data2025!C769</f>
        <v>0</v>
      </c>
      <c r="E770" s="265">
        <f>Data2025!E769</f>
        <v>0</v>
      </c>
      <c r="F770" s="640">
        <f>Data2025!F769</f>
        <v>0</v>
      </c>
      <c r="G770" s="265">
        <f>Data2025!H769</f>
        <v>0</v>
      </c>
      <c r="H770" s="265">
        <f t="shared" si="37"/>
        <v>0</v>
      </c>
      <c r="I770" s="641">
        <f>Data2025!J769</f>
        <v>0</v>
      </c>
      <c r="J770" s="381">
        <f>Data2025!L769</f>
        <v>0</v>
      </c>
      <c r="K770" s="381">
        <f>Data2025!M769</f>
        <v>0</v>
      </c>
      <c r="L770" s="642">
        <f>Data2025!N769</f>
        <v>0</v>
      </c>
      <c r="M770" s="642">
        <f>Data2025!O769</f>
        <v>0</v>
      </c>
      <c r="N770" s="643">
        <f>Data2025!P769</f>
        <v>0</v>
      </c>
      <c r="O770" s="644">
        <f>Data2025!Q769</f>
        <v>0</v>
      </c>
      <c r="P770" s="645" t="s">
        <v>3037</v>
      </c>
      <c r="Q770" s="646" t="e">
        <f>VLOOKUP(K770,Sheet1!$C$1:$D$101,2,)</f>
        <v>#N/A</v>
      </c>
      <c r="R770" s="496">
        <v>5688000</v>
      </c>
      <c r="S770" s="504">
        <v>487800</v>
      </c>
      <c r="T770" s="648">
        <f>Data2025!T769</f>
        <v>0</v>
      </c>
      <c r="U770" s="268" t="s">
        <v>538</v>
      </c>
      <c r="V770" s="648">
        <f>Data2025!V769</f>
        <v>0</v>
      </c>
      <c r="W770" s="648">
        <f>Data2025!X769</f>
        <v>0</v>
      </c>
      <c r="X770" s="268" t="s">
        <v>540</v>
      </c>
      <c r="Y770" s="268" t="str">
        <f t="shared" si="38"/>
        <v>Buku</v>
      </c>
      <c r="Z770" s="649" t="str">
        <f t="shared" si="39"/>
        <v>Buku</v>
      </c>
      <c r="AA770" s="498" t="s">
        <v>3363</v>
      </c>
      <c r="AB770" s="269">
        <v>160600</v>
      </c>
      <c r="AC770" s="269">
        <v>481800</v>
      </c>
      <c r="AD770" s="267">
        <v>5688000</v>
      </c>
      <c r="AE770" s="270">
        <v>5124324.3243243247</v>
      </c>
      <c r="AF770" s="270">
        <v>5688000</v>
      </c>
      <c r="AG770" s="805" t="s">
        <v>3883</v>
      </c>
      <c r="AH770" s="651">
        <f>Data2025!W769</f>
        <v>0</v>
      </c>
      <c r="AI770" s="61">
        <v>243</v>
      </c>
    </row>
    <row r="771" spans="1:35" ht="16.5" thickTop="1" thickBot="1">
      <c r="A771" s="636">
        <f>Data2025!G770</f>
        <v>0</v>
      </c>
      <c r="B771" s="637">
        <f>Data2025!K770</f>
        <v>0</v>
      </c>
      <c r="C771" s="638">
        <f>Data2025!D770</f>
        <v>0</v>
      </c>
      <c r="D771" s="639">
        <f>Data2025!C770</f>
        <v>0</v>
      </c>
      <c r="E771" s="265">
        <f>Data2025!E770</f>
        <v>0</v>
      </c>
      <c r="F771" s="640">
        <f>Data2025!F770</f>
        <v>0</v>
      </c>
      <c r="G771" s="265">
        <f>Data2025!H770</f>
        <v>0</v>
      </c>
      <c r="H771" s="265">
        <f t="shared" si="37"/>
        <v>0</v>
      </c>
      <c r="I771" s="641">
        <f>Data2025!J770</f>
        <v>0</v>
      </c>
      <c r="J771" s="381">
        <f>Data2025!L770</f>
        <v>0</v>
      </c>
      <c r="K771" s="381">
        <f>Data2025!M770</f>
        <v>0</v>
      </c>
      <c r="L771" s="642">
        <f>Data2025!N770</f>
        <v>0</v>
      </c>
      <c r="M771" s="642">
        <f>Data2025!O770</f>
        <v>0</v>
      </c>
      <c r="N771" s="643">
        <f>Data2025!P770</f>
        <v>0</v>
      </c>
      <c r="O771" s="644">
        <f>Data2025!Q770</f>
        <v>0</v>
      </c>
      <c r="P771" s="645" t="s">
        <v>3037</v>
      </c>
      <c r="Q771" s="646" t="e">
        <f>VLOOKUP(K771,Sheet1!$C$1:$D$101,2,)</f>
        <v>#N/A</v>
      </c>
      <c r="R771" s="496">
        <v>1206400</v>
      </c>
      <c r="S771" s="504">
        <v>487800</v>
      </c>
      <c r="T771" s="648">
        <f>Data2025!T770</f>
        <v>0</v>
      </c>
      <c r="U771" s="268" t="s">
        <v>538</v>
      </c>
      <c r="V771" s="648">
        <f>Data2025!V770</f>
        <v>0</v>
      </c>
      <c r="W771" s="648">
        <f>Data2025!X770</f>
        <v>0</v>
      </c>
      <c r="X771" s="268" t="s">
        <v>540</v>
      </c>
      <c r="Y771" s="268" t="str">
        <f t="shared" si="38"/>
        <v>Buku</v>
      </c>
      <c r="Z771" s="649" t="str">
        <f t="shared" si="39"/>
        <v>Buku</v>
      </c>
      <c r="AA771" s="498" t="s">
        <v>3363</v>
      </c>
      <c r="AB771" s="269">
        <v>160600</v>
      </c>
      <c r="AC771" s="269">
        <v>481800</v>
      </c>
      <c r="AD771" s="267">
        <v>1206400</v>
      </c>
      <c r="AE771" s="270">
        <v>1086846.8468468469</v>
      </c>
      <c r="AF771" s="270">
        <v>1206400</v>
      </c>
      <c r="AG771" s="805" t="s">
        <v>3883</v>
      </c>
      <c r="AH771" s="651">
        <f>Data2025!W770</f>
        <v>0</v>
      </c>
      <c r="AI771" s="61">
        <v>243</v>
      </c>
    </row>
    <row r="772" spans="1:35" ht="16.5" thickTop="1" thickBot="1">
      <c r="A772" s="636">
        <f>Data2025!G771</f>
        <v>0</v>
      </c>
      <c r="B772" s="637">
        <f>Data2025!K771</f>
        <v>0</v>
      </c>
      <c r="C772" s="638">
        <f>Data2025!D771</f>
        <v>0</v>
      </c>
      <c r="D772" s="639">
        <f>Data2025!C771</f>
        <v>0</v>
      </c>
      <c r="E772" s="265">
        <f>Data2025!E771</f>
        <v>0</v>
      </c>
      <c r="F772" s="640">
        <f>Data2025!F771</f>
        <v>0</v>
      </c>
      <c r="G772" s="265">
        <f>Data2025!H771</f>
        <v>0</v>
      </c>
      <c r="H772" s="265">
        <f t="shared" si="37"/>
        <v>0</v>
      </c>
      <c r="I772" s="641">
        <f>Data2025!J771</f>
        <v>0</v>
      </c>
      <c r="J772" s="381">
        <f>Data2025!L771</f>
        <v>0</v>
      </c>
      <c r="K772" s="381">
        <f>Data2025!M771</f>
        <v>0</v>
      </c>
      <c r="L772" s="642">
        <f>Data2025!N771</f>
        <v>0</v>
      </c>
      <c r="M772" s="642">
        <f>Data2025!O771</f>
        <v>0</v>
      </c>
      <c r="N772" s="643">
        <f>Data2025!P771</f>
        <v>0</v>
      </c>
      <c r="O772" s="644">
        <f>Data2025!Q771</f>
        <v>0</v>
      </c>
      <c r="P772" s="645" t="s">
        <v>3037</v>
      </c>
      <c r="Q772" s="646" t="e">
        <f>VLOOKUP(K772,Sheet1!$C$1:$D$101,2,)</f>
        <v>#N/A</v>
      </c>
      <c r="R772" s="496">
        <v>7663600</v>
      </c>
      <c r="S772" s="504">
        <v>747000</v>
      </c>
      <c r="T772" s="648">
        <f>Data2025!T771</f>
        <v>0</v>
      </c>
      <c r="U772" s="268" t="s">
        <v>538</v>
      </c>
      <c r="V772" s="648">
        <f>Data2025!V771</f>
        <v>0</v>
      </c>
      <c r="W772" s="648">
        <f>Data2025!X771</f>
        <v>0</v>
      </c>
      <c r="X772" s="268" t="s">
        <v>540</v>
      </c>
      <c r="Y772" s="268" t="str">
        <f t="shared" si="38"/>
        <v>Buku</v>
      </c>
      <c r="Z772" s="649" t="str">
        <f t="shared" si="39"/>
        <v>Buku</v>
      </c>
      <c r="AA772" s="498" t="s">
        <v>3363</v>
      </c>
      <c r="AB772" s="269">
        <v>247000</v>
      </c>
      <c r="AC772" s="269">
        <v>741000</v>
      </c>
      <c r="AD772" s="267">
        <v>7663600</v>
      </c>
      <c r="AE772" s="270">
        <v>6904144.1441441439</v>
      </c>
      <c r="AF772" s="270">
        <v>7663600</v>
      </c>
      <c r="AG772" s="805" t="s">
        <v>3883</v>
      </c>
      <c r="AH772" s="651">
        <f>Data2025!W771</f>
        <v>0</v>
      </c>
      <c r="AI772" s="61">
        <v>243</v>
      </c>
    </row>
    <row r="773" spans="1:35" ht="16.5" thickTop="1" thickBot="1">
      <c r="A773" s="636">
        <f>Data2025!G772</f>
        <v>0</v>
      </c>
      <c r="B773" s="637">
        <f>Data2025!K772</f>
        <v>0</v>
      </c>
      <c r="C773" s="638">
        <f>Data2025!D772</f>
        <v>0</v>
      </c>
      <c r="D773" s="639">
        <f>Data2025!C772</f>
        <v>0</v>
      </c>
      <c r="E773" s="265">
        <f>Data2025!E772</f>
        <v>0</v>
      </c>
      <c r="F773" s="640">
        <f>Data2025!F772</f>
        <v>0</v>
      </c>
      <c r="G773" s="265">
        <f>Data2025!H772</f>
        <v>0</v>
      </c>
      <c r="H773" s="265">
        <f t="shared" ref="H773:H836" si="40">G773</f>
        <v>0</v>
      </c>
      <c r="I773" s="641">
        <f>Data2025!J772</f>
        <v>0</v>
      </c>
      <c r="J773" s="381">
        <f>Data2025!L772</f>
        <v>0</v>
      </c>
      <c r="K773" s="381">
        <f>Data2025!M772</f>
        <v>0</v>
      </c>
      <c r="L773" s="642">
        <f>Data2025!N772</f>
        <v>0</v>
      </c>
      <c r="M773" s="642">
        <f>Data2025!O772</f>
        <v>0</v>
      </c>
      <c r="N773" s="643">
        <f>Data2025!P772</f>
        <v>0</v>
      </c>
      <c r="O773" s="644">
        <f>Data2025!Q772</f>
        <v>0</v>
      </c>
      <c r="P773" s="645" t="s">
        <v>3037</v>
      </c>
      <c r="Q773" s="646" t="e">
        <f>VLOOKUP(K773,Sheet1!$C$1:$D$101,2,)</f>
        <v>#N/A</v>
      </c>
      <c r="R773" s="496">
        <v>20486400</v>
      </c>
      <c r="S773" s="504">
        <v>747000</v>
      </c>
      <c r="T773" s="648">
        <f>Data2025!T772</f>
        <v>0</v>
      </c>
      <c r="U773" s="268" t="s">
        <v>538</v>
      </c>
      <c r="V773" s="648">
        <f>Data2025!V772</f>
        <v>0</v>
      </c>
      <c r="W773" s="648">
        <f>Data2025!X772</f>
        <v>0</v>
      </c>
      <c r="X773" s="268" t="s">
        <v>540</v>
      </c>
      <c r="Y773" s="268" t="str">
        <f t="shared" ref="Y773:Y836" si="41">P773</f>
        <v>Buku</v>
      </c>
      <c r="Z773" s="649" t="str">
        <f t="shared" ref="Z773:Z836" si="42">Y773</f>
        <v>Buku</v>
      </c>
      <c r="AA773" s="498" t="s">
        <v>3363</v>
      </c>
      <c r="AB773" s="269">
        <v>247000</v>
      </c>
      <c r="AC773" s="269">
        <v>741000</v>
      </c>
      <c r="AD773" s="267">
        <v>20486400</v>
      </c>
      <c r="AE773" s="270">
        <v>18456216.216216218</v>
      </c>
      <c r="AF773" s="270">
        <v>20486400</v>
      </c>
      <c r="AG773" s="805" t="s">
        <v>3883</v>
      </c>
      <c r="AH773" s="651">
        <f>Data2025!W772</f>
        <v>0</v>
      </c>
      <c r="AI773" s="61">
        <v>243</v>
      </c>
    </row>
    <row r="774" spans="1:35" ht="16.5" thickTop="1" thickBot="1">
      <c r="A774" s="636">
        <f>Data2025!G773</f>
        <v>0</v>
      </c>
      <c r="B774" s="637">
        <f>Data2025!K773</f>
        <v>0</v>
      </c>
      <c r="C774" s="638">
        <f>Data2025!D773</f>
        <v>0</v>
      </c>
      <c r="D774" s="639">
        <f>Data2025!C773</f>
        <v>0</v>
      </c>
      <c r="E774" s="265">
        <f>Data2025!E773</f>
        <v>0</v>
      </c>
      <c r="F774" s="640">
        <f>Data2025!F773</f>
        <v>0</v>
      </c>
      <c r="G774" s="265">
        <f>Data2025!H773</f>
        <v>0</v>
      </c>
      <c r="H774" s="265">
        <f t="shared" si="40"/>
        <v>0</v>
      </c>
      <c r="I774" s="641">
        <f>Data2025!J773</f>
        <v>0</v>
      </c>
      <c r="J774" s="381">
        <f>Data2025!L773</f>
        <v>0</v>
      </c>
      <c r="K774" s="381">
        <f>Data2025!M773</f>
        <v>0</v>
      </c>
      <c r="L774" s="642">
        <f>Data2025!N773</f>
        <v>0</v>
      </c>
      <c r="M774" s="642">
        <f>Data2025!O773</f>
        <v>0</v>
      </c>
      <c r="N774" s="643">
        <f>Data2025!P773</f>
        <v>0</v>
      </c>
      <c r="O774" s="644">
        <f>Data2025!Q773</f>
        <v>0</v>
      </c>
      <c r="P774" s="645" t="s">
        <v>3037</v>
      </c>
      <c r="Q774" s="646" t="e">
        <f>VLOOKUP(K774,Sheet1!$C$1:$D$101,2,)</f>
        <v>#N/A</v>
      </c>
      <c r="R774" s="496">
        <v>2857600</v>
      </c>
      <c r="S774" s="504">
        <v>369900</v>
      </c>
      <c r="T774" s="648">
        <f>Data2025!T773</f>
        <v>0</v>
      </c>
      <c r="U774" s="268" t="s">
        <v>538</v>
      </c>
      <c r="V774" s="648">
        <f>Data2025!V773</f>
        <v>0</v>
      </c>
      <c r="W774" s="648">
        <f>Data2025!X773</f>
        <v>0</v>
      </c>
      <c r="X774" s="268" t="s">
        <v>540</v>
      </c>
      <c r="Y774" s="268" t="str">
        <f t="shared" si="41"/>
        <v>Buku</v>
      </c>
      <c r="Z774" s="649" t="str">
        <f t="shared" si="42"/>
        <v>Buku</v>
      </c>
      <c r="AA774" s="498" t="s">
        <v>3363</v>
      </c>
      <c r="AB774" s="269">
        <v>121300</v>
      </c>
      <c r="AC774" s="269">
        <v>363900</v>
      </c>
      <c r="AD774" s="267">
        <v>2857600</v>
      </c>
      <c r="AE774" s="270">
        <v>2574414.4144144147</v>
      </c>
      <c r="AF774" s="270">
        <v>2857600</v>
      </c>
      <c r="AG774" s="805" t="s">
        <v>3883</v>
      </c>
      <c r="AH774" s="651">
        <f>Data2025!W773</f>
        <v>0</v>
      </c>
      <c r="AI774" s="61">
        <v>243</v>
      </c>
    </row>
    <row r="775" spans="1:35" ht="16.5" thickTop="1" thickBot="1">
      <c r="A775" s="636">
        <f>Data2025!G774</f>
        <v>0</v>
      </c>
      <c r="B775" s="637">
        <f>Data2025!K774</f>
        <v>0</v>
      </c>
      <c r="C775" s="638">
        <f>Data2025!D774</f>
        <v>0</v>
      </c>
      <c r="D775" s="639">
        <f>Data2025!C774</f>
        <v>0</v>
      </c>
      <c r="E775" s="265">
        <f>Data2025!E774</f>
        <v>0</v>
      </c>
      <c r="F775" s="640">
        <f>Data2025!F774</f>
        <v>0</v>
      </c>
      <c r="G775" s="265">
        <f>Data2025!H774</f>
        <v>0</v>
      </c>
      <c r="H775" s="265">
        <f t="shared" si="40"/>
        <v>0</v>
      </c>
      <c r="I775" s="641">
        <f>Data2025!J774</f>
        <v>0</v>
      </c>
      <c r="J775" s="381">
        <f>Data2025!L774</f>
        <v>0</v>
      </c>
      <c r="K775" s="381">
        <f>Data2025!M774</f>
        <v>0</v>
      </c>
      <c r="L775" s="642">
        <f>Data2025!N774</f>
        <v>0</v>
      </c>
      <c r="M775" s="642">
        <f>Data2025!O774</f>
        <v>0</v>
      </c>
      <c r="N775" s="643">
        <f>Data2025!P774</f>
        <v>0</v>
      </c>
      <c r="O775" s="644">
        <f>Data2025!Q774</f>
        <v>0</v>
      </c>
      <c r="P775" s="645" t="s">
        <v>3037</v>
      </c>
      <c r="Q775" s="646" t="e">
        <f>VLOOKUP(K775,Sheet1!$C$1:$D$101,2,)</f>
        <v>#N/A</v>
      </c>
      <c r="R775" s="496">
        <v>3026800</v>
      </c>
      <c r="S775" s="504">
        <v>464100</v>
      </c>
      <c r="T775" s="648">
        <f>Data2025!T774</f>
        <v>0</v>
      </c>
      <c r="U775" s="268" t="s">
        <v>538</v>
      </c>
      <c r="V775" s="648">
        <f>Data2025!V774</f>
        <v>0</v>
      </c>
      <c r="W775" s="648">
        <f>Data2025!X774</f>
        <v>0</v>
      </c>
      <c r="X775" s="268" t="s">
        <v>540</v>
      </c>
      <c r="Y775" s="268" t="str">
        <f t="shared" si="41"/>
        <v>Buku</v>
      </c>
      <c r="Z775" s="649" t="str">
        <f t="shared" si="42"/>
        <v>Buku</v>
      </c>
      <c r="AA775" s="498" t="s">
        <v>3363</v>
      </c>
      <c r="AB775" s="269">
        <v>152700</v>
      </c>
      <c r="AC775" s="269">
        <v>458100</v>
      </c>
      <c r="AD775" s="267">
        <v>3026800</v>
      </c>
      <c r="AE775" s="270">
        <v>2726846.8468468469</v>
      </c>
      <c r="AF775" s="270">
        <v>3026800</v>
      </c>
      <c r="AG775" s="805" t="s">
        <v>3883</v>
      </c>
      <c r="AH775" s="651">
        <f>Data2025!W774</f>
        <v>0</v>
      </c>
      <c r="AI775" s="61">
        <v>243</v>
      </c>
    </row>
    <row r="776" spans="1:35" ht="16.5" thickTop="1" thickBot="1">
      <c r="A776" s="636">
        <f>Data2025!G775</f>
        <v>0</v>
      </c>
      <c r="B776" s="637">
        <f>Data2025!K775</f>
        <v>0</v>
      </c>
      <c r="C776" s="638">
        <f>Data2025!D775</f>
        <v>0</v>
      </c>
      <c r="D776" s="639">
        <f>Data2025!C775</f>
        <v>0</v>
      </c>
      <c r="E776" s="265">
        <f>Data2025!E775</f>
        <v>0</v>
      </c>
      <c r="F776" s="640">
        <f>Data2025!F775</f>
        <v>0</v>
      </c>
      <c r="G776" s="265">
        <f>Data2025!H775</f>
        <v>0</v>
      </c>
      <c r="H776" s="265">
        <f t="shared" si="40"/>
        <v>0</v>
      </c>
      <c r="I776" s="641">
        <f>Data2025!J775</f>
        <v>0</v>
      </c>
      <c r="J776" s="381">
        <f>Data2025!L775</f>
        <v>0</v>
      </c>
      <c r="K776" s="381">
        <f>Data2025!M775</f>
        <v>0</v>
      </c>
      <c r="L776" s="642">
        <f>Data2025!N775</f>
        <v>0</v>
      </c>
      <c r="M776" s="642">
        <f>Data2025!O775</f>
        <v>0</v>
      </c>
      <c r="N776" s="643">
        <f>Data2025!P775</f>
        <v>0</v>
      </c>
      <c r="O776" s="644">
        <f>Data2025!Q775</f>
        <v>0</v>
      </c>
      <c r="P776" s="645" t="s">
        <v>3037</v>
      </c>
      <c r="Q776" s="646" t="e">
        <f>VLOOKUP(K776,Sheet1!$C$1:$D$101,2,)</f>
        <v>#N/A</v>
      </c>
      <c r="R776" s="496">
        <v>2801200</v>
      </c>
      <c r="S776" s="504">
        <v>391200</v>
      </c>
      <c r="T776" s="648">
        <f>Data2025!T775</f>
        <v>0</v>
      </c>
      <c r="U776" s="268" t="s">
        <v>12</v>
      </c>
      <c r="V776" s="648">
        <f>Data2025!V775</f>
        <v>0</v>
      </c>
      <c r="W776" s="648">
        <f>Data2025!X775</f>
        <v>0</v>
      </c>
      <c r="X776" s="268" t="s">
        <v>804</v>
      </c>
      <c r="Y776" s="268" t="str">
        <f t="shared" si="41"/>
        <v>Buku</v>
      </c>
      <c r="Z776" s="649" t="str">
        <f t="shared" si="42"/>
        <v>Buku</v>
      </c>
      <c r="AA776" s="498" t="s">
        <v>3363</v>
      </c>
      <c r="AB776" s="269">
        <v>128400</v>
      </c>
      <c r="AC776" s="269">
        <v>385200</v>
      </c>
      <c r="AD776" s="267">
        <v>2801200</v>
      </c>
      <c r="AE776" s="270">
        <v>2523603.6036036038</v>
      </c>
      <c r="AF776" s="270">
        <v>2801200</v>
      </c>
      <c r="AG776" s="805" t="s">
        <v>3883</v>
      </c>
      <c r="AH776" s="651">
        <f>Data2025!W775</f>
        <v>0</v>
      </c>
      <c r="AI776" s="61">
        <v>243</v>
      </c>
    </row>
    <row r="777" spans="1:35" s="501" customFormat="1" ht="16.5" thickTop="1" thickBot="1">
      <c r="A777" s="636">
        <f>Data2025!G776</f>
        <v>0</v>
      </c>
      <c r="B777" s="637">
        <f>Data2025!K776</f>
        <v>0</v>
      </c>
      <c r="C777" s="638">
        <f>Data2025!D776</f>
        <v>0</v>
      </c>
      <c r="D777" s="639">
        <f>Data2025!C776</f>
        <v>0</v>
      </c>
      <c r="E777" s="265">
        <f>Data2025!E776</f>
        <v>0</v>
      </c>
      <c r="F777" s="640">
        <f>Data2025!F776</f>
        <v>0</v>
      </c>
      <c r="G777" s="265">
        <f>Data2025!H776</f>
        <v>0</v>
      </c>
      <c r="H777" s="265">
        <f t="shared" si="40"/>
        <v>0</v>
      </c>
      <c r="I777" s="641">
        <f>Data2025!J776</f>
        <v>0</v>
      </c>
      <c r="J777" s="381">
        <f>Data2025!L776</f>
        <v>0</v>
      </c>
      <c r="K777" s="381">
        <f>Data2025!M776</f>
        <v>0</v>
      </c>
      <c r="L777" s="642">
        <f>Data2025!N776</f>
        <v>0</v>
      </c>
      <c r="M777" s="642">
        <f>Data2025!O776</f>
        <v>0</v>
      </c>
      <c r="N777" s="643">
        <f>Data2025!P776</f>
        <v>0</v>
      </c>
      <c r="O777" s="644">
        <f>Data2025!Q776</f>
        <v>0</v>
      </c>
      <c r="P777" s="645" t="s">
        <v>3037</v>
      </c>
      <c r="Q777" s="646" t="e">
        <f>VLOOKUP(K777,Sheet1!$C$1:$D$101,2,)</f>
        <v>#N/A</v>
      </c>
      <c r="R777" s="496">
        <v>3374600</v>
      </c>
      <c r="S777" s="504">
        <v>320700</v>
      </c>
      <c r="T777" s="648">
        <f>Data2025!T776</f>
        <v>0</v>
      </c>
      <c r="U777" s="497" t="s">
        <v>538</v>
      </c>
      <c r="V777" s="648">
        <f>Data2025!V776</f>
        <v>0</v>
      </c>
      <c r="W777" s="648">
        <f>Data2025!X776</f>
        <v>0</v>
      </c>
      <c r="X777" s="497" t="s">
        <v>540</v>
      </c>
      <c r="Y777" s="268" t="str">
        <f t="shared" si="41"/>
        <v>Buku</v>
      </c>
      <c r="Z777" s="649" t="str">
        <f t="shared" si="42"/>
        <v>Buku</v>
      </c>
      <c r="AA777" s="498" t="s">
        <v>3363</v>
      </c>
      <c r="AB777" s="499">
        <v>104900</v>
      </c>
      <c r="AC777" s="499">
        <v>314700</v>
      </c>
      <c r="AD777" s="496">
        <v>3374600</v>
      </c>
      <c r="AE777" s="500">
        <v>3040180.1801801804</v>
      </c>
      <c r="AF777" s="500">
        <v>3374600</v>
      </c>
      <c r="AG777" s="805" t="s">
        <v>3883</v>
      </c>
      <c r="AH777" s="651">
        <f>Data2025!W776</f>
        <v>0</v>
      </c>
      <c r="AI777" s="501">
        <v>243</v>
      </c>
    </row>
    <row r="778" spans="1:35" s="501" customFormat="1" ht="16.5" thickTop="1" thickBot="1">
      <c r="A778" s="636">
        <f>Data2025!G777</f>
        <v>0</v>
      </c>
      <c r="B778" s="637">
        <f>Data2025!K777</f>
        <v>0</v>
      </c>
      <c r="C778" s="638">
        <f>Data2025!D777</f>
        <v>0</v>
      </c>
      <c r="D778" s="639">
        <f>Data2025!C777</f>
        <v>0</v>
      </c>
      <c r="E778" s="265">
        <f>Data2025!E777</f>
        <v>0</v>
      </c>
      <c r="F778" s="640">
        <f>Data2025!F777</f>
        <v>0</v>
      </c>
      <c r="G778" s="265">
        <f>Data2025!H777</f>
        <v>0</v>
      </c>
      <c r="H778" s="265">
        <f t="shared" si="40"/>
        <v>0</v>
      </c>
      <c r="I778" s="641">
        <f>Data2025!J777</f>
        <v>0</v>
      </c>
      <c r="J778" s="381">
        <f>Data2025!L777</f>
        <v>0</v>
      </c>
      <c r="K778" s="381">
        <f>Data2025!M777</f>
        <v>0</v>
      </c>
      <c r="L778" s="642">
        <f>Data2025!N777</f>
        <v>0</v>
      </c>
      <c r="M778" s="642">
        <f>Data2025!O777</f>
        <v>0</v>
      </c>
      <c r="N778" s="643">
        <f>Data2025!P777</f>
        <v>0</v>
      </c>
      <c r="O778" s="644">
        <f>Data2025!Q777</f>
        <v>0</v>
      </c>
      <c r="P778" s="645" t="s">
        <v>3037</v>
      </c>
      <c r="Q778" s="646" t="e">
        <f>VLOOKUP(K778,Sheet1!$C$1:$D$101,2,)</f>
        <v>#N/A</v>
      </c>
      <c r="R778" s="496">
        <v>6499000</v>
      </c>
      <c r="S778" s="504">
        <v>344100</v>
      </c>
      <c r="T778" s="648">
        <f>Data2025!T777</f>
        <v>0</v>
      </c>
      <c r="U778" s="497" t="s">
        <v>538</v>
      </c>
      <c r="V778" s="648">
        <f>Data2025!V777</f>
        <v>0</v>
      </c>
      <c r="W778" s="648">
        <f>Data2025!X777</f>
        <v>0</v>
      </c>
      <c r="X778" s="497" t="s">
        <v>540</v>
      </c>
      <c r="Y778" s="268" t="str">
        <f t="shared" si="41"/>
        <v>Buku</v>
      </c>
      <c r="Z778" s="649" t="str">
        <f t="shared" si="42"/>
        <v>Buku</v>
      </c>
      <c r="AA778" s="498" t="s">
        <v>3363</v>
      </c>
      <c r="AB778" s="499">
        <v>112700</v>
      </c>
      <c r="AC778" s="499">
        <v>338100</v>
      </c>
      <c r="AD778" s="496">
        <v>6499000</v>
      </c>
      <c r="AE778" s="500">
        <v>5854954.9549549548</v>
      </c>
      <c r="AF778" s="500">
        <v>6499000</v>
      </c>
      <c r="AG778" s="805" t="s">
        <v>3883</v>
      </c>
      <c r="AH778" s="651">
        <f>Data2025!W777</f>
        <v>0</v>
      </c>
      <c r="AI778" s="501">
        <v>244</v>
      </c>
    </row>
    <row r="779" spans="1:35" s="501" customFormat="1" ht="16.5" thickTop="1" thickBot="1">
      <c r="A779" s="636">
        <f>Data2025!G778</f>
        <v>0</v>
      </c>
      <c r="B779" s="637">
        <f>Data2025!K778</f>
        <v>0</v>
      </c>
      <c r="C779" s="638">
        <f>Data2025!D778</f>
        <v>0</v>
      </c>
      <c r="D779" s="639">
        <f>Data2025!C778</f>
        <v>0</v>
      </c>
      <c r="E779" s="265">
        <f>Data2025!E778</f>
        <v>0</v>
      </c>
      <c r="F779" s="640">
        <f>Data2025!F778</f>
        <v>0</v>
      </c>
      <c r="G779" s="265">
        <f>Data2025!H778</f>
        <v>0</v>
      </c>
      <c r="H779" s="265">
        <f t="shared" si="40"/>
        <v>0</v>
      </c>
      <c r="I779" s="641">
        <f>Data2025!J778</f>
        <v>0</v>
      </c>
      <c r="J779" s="381">
        <f>Data2025!L778</f>
        <v>0</v>
      </c>
      <c r="K779" s="381">
        <f>Data2025!M778</f>
        <v>0</v>
      </c>
      <c r="L779" s="642">
        <f>Data2025!N778</f>
        <v>0</v>
      </c>
      <c r="M779" s="642">
        <f>Data2025!O778</f>
        <v>0</v>
      </c>
      <c r="N779" s="643">
        <f>Data2025!P778</f>
        <v>0</v>
      </c>
      <c r="O779" s="644">
        <f>Data2025!Q778</f>
        <v>0</v>
      </c>
      <c r="P779" s="645" t="s">
        <v>3037</v>
      </c>
      <c r="Q779" s="646" t="e">
        <f>VLOOKUP(K779,Sheet1!$C$1:$D$101,2,)</f>
        <v>#N/A</v>
      </c>
      <c r="R779" s="496">
        <v>6130400</v>
      </c>
      <c r="S779" s="504">
        <v>393300</v>
      </c>
      <c r="T779" s="648">
        <f>Data2025!T778</f>
        <v>0</v>
      </c>
      <c r="U779" s="497" t="s">
        <v>538</v>
      </c>
      <c r="V779" s="648">
        <f>Data2025!V778</f>
        <v>0</v>
      </c>
      <c r="W779" s="648">
        <f>Data2025!X778</f>
        <v>0</v>
      </c>
      <c r="X779" s="497" t="s">
        <v>540</v>
      </c>
      <c r="Y779" s="268" t="str">
        <f t="shared" si="41"/>
        <v>Buku</v>
      </c>
      <c r="Z779" s="649" t="str">
        <f t="shared" si="42"/>
        <v>Buku</v>
      </c>
      <c r="AA779" s="498" t="s">
        <v>3363</v>
      </c>
      <c r="AB779" s="499">
        <v>129100</v>
      </c>
      <c r="AC779" s="499">
        <v>387300</v>
      </c>
      <c r="AD779" s="496">
        <v>6130400</v>
      </c>
      <c r="AE779" s="500">
        <v>5522882.8828828828</v>
      </c>
      <c r="AF779" s="500">
        <v>6130400</v>
      </c>
      <c r="AG779" s="805" t="s">
        <v>3883</v>
      </c>
      <c r="AH779" s="651">
        <f>Data2025!W778</f>
        <v>0</v>
      </c>
      <c r="AI779" s="501">
        <v>244</v>
      </c>
    </row>
    <row r="780" spans="1:35" s="501" customFormat="1" ht="16.5" thickTop="1" thickBot="1">
      <c r="A780" s="636">
        <f>Data2025!G779</f>
        <v>0</v>
      </c>
      <c r="B780" s="637">
        <f>Data2025!K779</f>
        <v>0</v>
      </c>
      <c r="C780" s="638">
        <f>Data2025!D779</f>
        <v>0</v>
      </c>
      <c r="D780" s="639">
        <f>Data2025!C779</f>
        <v>0</v>
      </c>
      <c r="E780" s="265">
        <f>Data2025!E779</f>
        <v>0</v>
      </c>
      <c r="F780" s="640">
        <f>Data2025!F779</f>
        <v>0</v>
      </c>
      <c r="G780" s="265">
        <f>Data2025!H779</f>
        <v>0</v>
      </c>
      <c r="H780" s="265">
        <f t="shared" si="40"/>
        <v>0</v>
      </c>
      <c r="I780" s="641">
        <f>Data2025!J779</f>
        <v>0</v>
      </c>
      <c r="J780" s="381">
        <f>Data2025!L779</f>
        <v>0</v>
      </c>
      <c r="K780" s="381">
        <f>Data2025!M779</f>
        <v>0</v>
      </c>
      <c r="L780" s="642">
        <f>Data2025!N779</f>
        <v>0</v>
      </c>
      <c r="M780" s="642">
        <f>Data2025!O779</f>
        <v>0</v>
      </c>
      <c r="N780" s="643">
        <f>Data2025!P779</f>
        <v>0</v>
      </c>
      <c r="O780" s="644">
        <f>Data2025!Q779</f>
        <v>0</v>
      </c>
      <c r="P780" s="645" t="s">
        <v>3037</v>
      </c>
      <c r="Q780" s="646" t="e">
        <f>VLOOKUP(K780,Sheet1!$C$1:$D$101,2,)</f>
        <v>#N/A</v>
      </c>
      <c r="R780" s="496">
        <v>5529000</v>
      </c>
      <c r="S780" s="504">
        <v>414900</v>
      </c>
      <c r="T780" s="648">
        <f>Data2025!T779</f>
        <v>0</v>
      </c>
      <c r="U780" s="497" t="s">
        <v>538</v>
      </c>
      <c r="V780" s="648">
        <f>Data2025!V779</f>
        <v>0</v>
      </c>
      <c r="W780" s="648">
        <f>Data2025!X779</f>
        <v>0</v>
      </c>
      <c r="X780" s="497" t="s">
        <v>540</v>
      </c>
      <c r="Y780" s="268" t="str">
        <f t="shared" si="41"/>
        <v>Buku</v>
      </c>
      <c r="Z780" s="649" t="str">
        <f t="shared" si="42"/>
        <v>Buku</v>
      </c>
      <c r="AA780" s="498" t="s">
        <v>3363</v>
      </c>
      <c r="AB780" s="499">
        <v>136300</v>
      </c>
      <c r="AC780" s="499">
        <v>408900</v>
      </c>
      <c r="AD780" s="496">
        <v>5529000</v>
      </c>
      <c r="AE780" s="500">
        <v>4981081.0810810812</v>
      </c>
      <c r="AF780" s="500">
        <v>5529000</v>
      </c>
      <c r="AG780" s="805" t="s">
        <v>3883</v>
      </c>
      <c r="AH780" s="651">
        <f>Data2025!W779</f>
        <v>0</v>
      </c>
      <c r="AI780" s="501">
        <v>244</v>
      </c>
    </row>
    <row r="781" spans="1:35" s="501" customFormat="1" ht="16.5" thickTop="1" thickBot="1">
      <c r="A781" s="636">
        <f>Data2025!G780</f>
        <v>0</v>
      </c>
      <c r="B781" s="637">
        <f>Data2025!K780</f>
        <v>0</v>
      </c>
      <c r="C781" s="638">
        <f>Data2025!D780</f>
        <v>0</v>
      </c>
      <c r="D781" s="639">
        <f>Data2025!C780</f>
        <v>0</v>
      </c>
      <c r="E781" s="265">
        <f>Data2025!E780</f>
        <v>0</v>
      </c>
      <c r="F781" s="640">
        <f>Data2025!F780</f>
        <v>0</v>
      </c>
      <c r="G781" s="265">
        <f>Data2025!H780</f>
        <v>0</v>
      </c>
      <c r="H781" s="265">
        <f t="shared" si="40"/>
        <v>0</v>
      </c>
      <c r="I781" s="641">
        <f>Data2025!J780</f>
        <v>0</v>
      </c>
      <c r="J781" s="381">
        <f>Data2025!L780</f>
        <v>0</v>
      </c>
      <c r="K781" s="381">
        <f>Data2025!M780</f>
        <v>0</v>
      </c>
      <c r="L781" s="642">
        <f>Data2025!N780</f>
        <v>0</v>
      </c>
      <c r="M781" s="642">
        <f>Data2025!O780</f>
        <v>0</v>
      </c>
      <c r="N781" s="643">
        <f>Data2025!P780</f>
        <v>0</v>
      </c>
      <c r="O781" s="644">
        <f>Data2025!Q780</f>
        <v>0</v>
      </c>
      <c r="P781" s="645" t="s">
        <v>3037</v>
      </c>
      <c r="Q781" s="646" t="e">
        <f>VLOOKUP(K781,Sheet1!$C$1:$D$101,2,)</f>
        <v>#N/A</v>
      </c>
      <c r="R781" s="496">
        <v>10886400</v>
      </c>
      <c r="S781" s="504">
        <v>440700</v>
      </c>
      <c r="T781" s="648">
        <f>Data2025!T780</f>
        <v>0</v>
      </c>
      <c r="U781" s="497" t="s">
        <v>538</v>
      </c>
      <c r="V781" s="648">
        <f>Data2025!V780</f>
        <v>0</v>
      </c>
      <c r="W781" s="648">
        <f>Data2025!X780</f>
        <v>0</v>
      </c>
      <c r="X781" s="497" t="s">
        <v>540</v>
      </c>
      <c r="Y781" s="268" t="str">
        <f t="shared" si="41"/>
        <v>Buku</v>
      </c>
      <c r="Z781" s="649" t="str">
        <f t="shared" si="42"/>
        <v>Buku</v>
      </c>
      <c r="AA781" s="498" t="s">
        <v>3363</v>
      </c>
      <c r="AB781" s="499">
        <v>144900</v>
      </c>
      <c r="AC781" s="499">
        <v>434700</v>
      </c>
      <c r="AD781" s="496">
        <v>10886400</v>
      </c>
      <c r="AE781" s="500">
        <v>9807567.5675675683</v>
      </c>
      <c r="AF781" s="500">
        <v>10886400</v>
      </c>
      <c r="AG781" s="805" t="s">
        <v>3883</v>
      </c>
      <c r="AH781" s="651">
        <f>Data2025!W780</f>
        <v>0</v>
      </c>
      <c r="AI781" s="501">
        <v>244</v>
      </c>
    </row>
    <row r="782" spans="1:35" s="501" customFormat="1" ht="16.5" thickTop="1" thickBot="1">
      <c r="A782" s="636">
        <f>Data2025!G781</f>
        <v>0</v>
      </c>
      <c r="B782" s="637">
        <f>Data2025!K781</f>
        <v>0</v>
      </c>
      <c r="C782" s="638">
        <f>Data2025!D781</f>
        <v>0</v>
      </c>
      <c r="D782" s="639">
        <f>Data2025!C781</f>
        <v>0</v>
      </c>
      <c r="E782" s="265">
        <f>Data2025!E781</f>
        <v>0</v>
      </c>
      <c r="F782" s="640">
        <f>Data2025!F781</f>
        <v>0</v>
      </c>
      <c r="G782" s="265">
        <f>Data2025!H781</f>
        <v>0</v>
      </c>
      <c r="H782" s="265">
        <f t="shared" si="40"/>
        <v>0</v>
      </c>
      <c r="I782" s="641">
        <f>Data2025!J781</f>
        <v>0</v>
      </c>
      <c r="J782" s="381">
        <f>Data2025!L781</f>
        <v>0</v>
      </c>
      <c r="K782" s="381">
        <f>Data2025!M781</f>
        <v>0</v>
      </c>
      <c r="L782" s="642">
        <f>Data2025!N781</f>
        <v>0</v>
      </c>
      <c r="M782" s="642">
        <f>Data2025!O781</f>
        <v>0</v>
      </c>
      <c r="N782" s="643">
        <f>Data2025!P781</f>
        <v>0</v>
      </c>
      <c r="O782" s="644">
        <f>Data2025!Q781</f>
        <v>0</v>
      </c>
      <c r="P782" s="645" t="s">
        <v>3037</v>
      </c>
      <c r="Q782" s="646" t="e">
        <f>VLOOKUP(K782,Sheet1!$C$1:$D$101,2,)</f>
        <v>#N/A</v>
      </c>
      <c r="R782" s="496">
        <v>9648000</v>
      </c>
      <c r="S782" s="504">
        <v>414900</v>
      </c>
      <c r="T782" s="648">
        <f>Data2025!T781</f>
        <v>0</v>
      </c>
      <c r="U782" s="497" t="s">
        <v>538</v>
      </c>
      <c r="V782" s="648">
        <f>Data2025!V781</f>
        <v>0</v>
      </c>
      <c r="W782" s="648">
        <f>Data2025!X781</f>
        <v>0</v>
      </c>
      <c r="X782" s="497" t="s">
        <v>540</v>
      </c>
      <c r="Y782" s="268" t="str">
        <f t="shared" si="41"/>
        <v>Buku</v>
      </c>
      <c r="Z782" s="649" t="str">
        <f t="shared" si="42"/>
        <v>Buku</v>
      </c>
      <c r="AA782" s="498" t="s">
        <v>3363</v>
      </c>
      <c r="AB782" s="499">
        <v>136300</v>
      </c>
      <c r="AC782" s="499">
        <v>408900</v>
      </c>
      <c r="AD782" s="496">
        <v>9648000</v>
      </c>
      <c r="AE782" s="500">
        <v>8691891.8918918911</v>
      </c>
      <c r="AF782" s="500">
        <v>9648000</v>
      </c>
      <c r="AG782" s="805" t="s">
        <v>3883</v>
      </c>
      <c r="AH782" s="651">
        <f>Data2025!W781</f>
        <v>0</v>
      </c>
      <c r="AI782" s="501">
        <v>244</v>
      </c>
    </row>
    <row r="783" spans="1:35" s="501" customFormat="1" ht="16.5" thickTop="1" thickBot="1">
      <c r="A783" s="636">
        <f>Data2025!G782</f>
        <v>0</v>
      </c>
      <c r="B783" s="637">
        <f>Data2025!K782</f>
        <v>0</v>
      </c>
      <c r="C783" s="638">
        <f>Data2025!D782</f>
        <v>0</v>
      </c>
      <c r="D783" s="639">
        <f>Data2025!C782</f>
        <v>0</v>
      </c>
      <c r="E783" s="265">
        <f>Data2025!E782</f>
        <v>0</v>
      </c>
      <c r="F783" s="640">
        <f>Data2025!F782</f>
        <v>0</v>
      </c>
      <c r="G783" s="265">
        <f>Data2025!H782</f>
        <v>0</v>
      </c>
      <c r="H783" s="265">
        <f t="shared" si="40"/>
        <v>0</v>
      </c>
      <c r="I783" s="641">
        <f>Data2025!J782</f>
        <v>0</v>
      </c>
      <c r="J783" s="381">
        <f>Data2025!L782</f>
        <v>0</v>
      </c>
      <c r="K783" s="381">
        <f>Data2025!M782</f>
        <v>0</v>
      </c>
      <c r="L783" s="642">
        <f>Data2025!N782</f>
        <v>0</v>
      </c>
      <c r="M783" s="642">
        <f>Data2025!O782</f>
        <v>0</v>
      </c>
      <c r="N783" s="643">
        <f>Data2025!P782</f>
        <v>0</v>
      </c>
      <c r="O783" s="644">
        <f>Data2025!Q782</f>
        <v>0</v>
      </c>
      <c r="P783" s="645" t="s">
        <v>3037</v>
      </c>
      <c r="Q783" s="646" t="e">
        <f>VLOOKUP(K783,Sheet1!$C$1:$D$101,2,)</f>
        <v>#N/A</v>
      </c>
      <c r="R783" s="496">
        <v>7516800</v>
      </c>
      <c r="S783" s="504">
        <v>417000</v>
      </c>
      <c r="T783" s="648">
        <f>Data2025!T782</f>
        <v>0</v>
      </c>
      <c r="U783" s="497" t="s">
        <v>538</v>
      </c>
      <c r="V783" s="648">
        <f>Data2025!V782</f>
        <v>0</v>
      </c>
      <c r="W783" s="648">
        <f>Data2025!X782</f>
        <v>0</v>
      </c>
      <c r="X783" s="497" t="s">
        <v>540</v>
      </c>
      <c r="Y783" s="268" t="str">
        <f t="shared" si="41"/>
        <v>Buku</v>
      </c>
      <c r="Z783" s="649" t="str">
        <f t="shared" si="42"/>
        <v>Buku</v>
      </c>
      <c r="AA783" s="498" t="s">
        <v>3363</v>
      </c>
      <c r="AB783" s="499">
        <v>137000</v>
      </c>
      <c r="AC783" s="499">
        <v>411000</v>
      </c>
      <c r="AD783" s="496">
        <v>7516800</v>
      </c>
      <c r="AE783" s="500">
        <v>6771891.8918918921</v>
      </c>
      <c r="AF783" s="500">
        <v>7516800</v>
      </c>
      <c r="AG783" s="805" t="s">
        <v>3883</v>
      </c>
      <c r="AH783" s="651">
        <f>Data2025!W782</f>
        <v>0</v>
      </c>
      <c r="AI783" s="501">
        <v>244</v>
      </c>
    </row>
    <row r="784" spans="1:35" s="501" customFormat="1" ht="16.5" thickTop="1" thickBot="1">
      <c r="A784" s="636">
        <f>Data2025!G783</f>
        <v>0</v>
      </c>
      <c r="B784" s="637">
        <f>Data2025!K783</f>
        <v>0</v>
      </c>
      <c r="C784" s="638">
        <f>Data2025!D783</f>
        <v>0</v>
      </c>
      <c r="D784" s="639">
        <f>Data2025!C783</f>
        <v>0</v>
      </c>
      <c r="E784" s="265">
        <f>Data2025!E783</f>
        <v>0</v>
      </c>
      <c r="F784" s="640">
        <f>Data2025!F783</f>
        <v>0</v>
      </c>
      <c r="G784" s="265">
        <f>Data2025!H783</f>
        <v>0</v>
      </c>
      <c r="H784" s="265">
        <f t="shared" si="40"/>
        <v>0</v>
      </c>
      <c r="I784" s="641">
        <f>Data2025!J783</f>
        <v>0</v>
      </c>
      <c r="J784" s="381">
        <f>Data2025!L783</f>
        <v>0</v>
      </c>
      <c r="K784" s="381">
        <f>Data2025!M783</f>
        <v>0</v>
      </c>
      <c r="L784" s="642">
        <f>Data2025!N783</f>
        <v>0</v>
      </c>
      <c r="M784" s="642">
        <f>Data2025!O783</f>
        <v>0</v>
      </c>
      <c r="N784" s="643">
        <f>Data2025!P783</f>
        <v>0</v>
      </c>
      <c r="O784" s="644">
        <f>Data2025!Q783</f>
        <v>0</v>
      </c>
      <c r="P784" s="645" t="s">
        <v>3037</v>
      </c>
      <c r="Q784" s="646" t="e">
        <f>VLOOKUP(K784,Sheet1!$C$1:$D$101,2,)</f>
        <v>#N/A</v>
      </c>
      <c r="R784" s="496">
        <v>3205400</v>
      </c>
      <c r="S784" s="504">
        <v>464100</v>
      </c>
      <c r="T784" s="648">
        <f>Data2025!T783</f>
        <v>0</v>
      </c>
      <c r="U784" s="497" t="s">
        <v>538</v>
      </c>
      <c r="V784" s="648">
        <f>Data2025!V783</f>
        <v>0</v>
      </c>
      <c r="W784" s="648">
        <f>Data2025!X783</f>
        <v>0</v>
      </c>
      <c r="X784" s="497" t="s">
        <v>540</v>
      </c>
      <c r="Y784" s="268" t="str">
        <f t="shared" si="41"/>
        <v>Buku</v>
      </c>
      <c r="Z784" s="649" t="str">
        <f t="shared" si="42"/>
        <v>Buku</v>
      </c>
      <c r="AA784" s="498" t="s">
        <v>3363</v>
      </c>
      <c r="AB784" s="499">
        <v>152700</v>
      </c>
      <c r="AC784" s="499">
        <v>458100</v>
      </c>
      <c r="AD784" s="496">
        <v>3205400</v>
      </c>
      <c r="AE784" s="500">
        <v>2887747.7477477477</v>
      </c>
      <c r="AF784" s="500">
        <v>3205400</v>
      </c>
      <c r="AG784" s="805" t="s">
        <v>3883</v>
      </c>
      <c r="AH784" s="651">
        <f>Data2025!W783</f>
        <v>0</v>
      </c>
      <c r="AI784" s="501">
        <v>244</v>
      </c>
    </row>
    <row r="785" spans="1:35" s="501" customFormat="1" ht="16.5" thickTop="1" thickBot="1">
      <c r="A785" s="636">
        <f>Data2025!G784</f>
        <v>0</v>
      </c>
      <c r="B785" s="637">
        <f>Data2025!K784</f>
        <v>0</v>
      </c>
      <c r="C785" s="638">
        <f>Data2025!D784</f>
        <v>0</v>
      </c>
      <c r="D785" s="639">
        <f>Data2025!C784</f>
        <v>0</v>
      </c>
      <c r="E785" s="265">
        <f>Data2025!E784</f>
        <v>0</v>
      </c>
      <c r="F785" s="640">
        <f>Data2025!F784</f>
        <v>0</v>
      </c>
      <c r="G785" s="265">
        <f>Data2025!H784</f>
        <v>0</v>
      </c>
      <c r="H785" s="265">
        <f t="shared" si="40"/>
        <v>0</v>
      </c>
      <c r="I785" s="641">
        <f>Data2025!J784</f>
        <v>0</v>
      </c>
      <c r="J785" s="381">
        <f>Data2025!L784</f>
        <v>0</v>
      </c>
      <c r="K785" s="381">
        <f>Data2025!M784</f>
        <v>0</v>
      </c>
      <c r="L785" s="642">
        <f>Data2025!N784</f>
        <v>0</v>
      </c>
      <c r="M785" s="642">
        <f>Data2025!O784</f>
        <v>0</v>
      </c>
      <c r="N785" s="643">
        <f>Data2025!P784</f>
        <v>0</v>
      </c>
      <c r="O785" s="644">
        <f>Data2025!Q784</f>
        <v>0</v>
      </c>
      <c r="P785" s="645" t="s">
        <v>3037</v>
      </c>
      <c r="Q785" s="646" t="e">
        <f>VLOOKUP(K785,Sheet1!$C$1:$D$101,2,)</f>
        <v>#N/A</v>
      </c>
      <c r="R785" s="496">
        <v>1260000</v>
      </c>
      <c r="S785" s="504">
        <v>1332000</v>
      </c>
      <c r="T785" s="648">
        <f>Data2025!T784</f>
        <v>0</v>
      </c>
      <c r="U785" s="497" t="s">
        <v>538</v>
      </c>
      <c r="V785" s="648">
        <f>Data2025!V784</f>
        <v>0</v>
      </c>
      <c r="W785" s="648">
        <f>Data2025!X784</f>
        <v>0</v>
      </c>
      <c r="X785" s="497" t="s">
        <v>540</v>
      </c>
      <c r="Y785" s="268" t="str">
        <f t="shared" si="41"/>
        <v>Buku</v>
      </c>
      <c r="Z785" s="649" t="str">
        <f t="shared" si="42"/>
        <v>Buku</v>
      </c>
      <c r="AA785" s="498" t="s">
        <v>3363</v>
      </c>
      <c r="AB785" s="499">
        <v>35000</v>
      </c>
      <c r="AC785" s="499">
        <v>1260000</v>
      </c>
      <c r="AD785" s="496">
        <v>1260000</v>
      </c>
      <c r="AE785" s="500">
        <v>1135135.1351351351</v>
      </c>
      <c r="AF785" s="500">
        <v>1260000</v>
      </c>
      <c r="AG785" s="805" t="s">
        <v>3883</v>
      </c>
      <c r="AH785" s="651">
        <f>Data2025!W784</f>
        <v>0</v>
      </c>
      <c r="AI785" s="501">
        <v>245</v>
      </c>
    </row>
    <row r="786" spans="1:35" s="501" customFormat="1" ht="16.5" thickTop="1" thickBot="1">
      <c r="A786" s="636">
        <f>Data2025!G785</f>
        <v>0</v>
      </c>
      <c r="B786" s="637">
        <f>Data2025!K785</f>
        <v>0</v>
      </c>
      <c r="C786" s="638">
        <f>Data2025!D785</f>
        <v>0</v>
      </c>
      <c r="D786" s="639">
        <f>Data2025!C785</f>
        <v>0</v>
      </c>
      <c r="E786" s="265">
        <f>Data2025!E785</f>
        <v>0</v>
      </c>
      <c r="F786" s="640">
        <f>Data2025!F785</f>
        <v>0</v>
      </c>
      <c r="G786" s="265">
        <f>Data2025!H785</f>
        <v>0</v>
      </c>
      <c r="H786" s="265">
        <f t="shared" si="40"/>
        <v>0</v>
      </c>
      <c r="I786" s="641">
        <f>Data2025!J785</f>
        <v>0</v>
      </c>
      <c r="J786" s="381">
        <f>Data2025!L785</f>
        <v>0</v>
      </c>
      <c r="K786" s="381">
        <f>Data2025!M785</f>
        <v>0</v>
      </c>
      <c r="L786" s="642">
        <f>Data2025!N785</f>
        <v>0</v>
      </c>
      <c r="M786" s="642">
        <f>Data2025!O785</f>
        <v>0</v>
      </c>
      <c r="N786" s="643">
        <f>Data2025!P785</f>
        <v>0</v>
      </c>
      <c r="O786" s="644">
        <f>Data2025!Q785</f>
        <v>0</v>
      </c>
      <c r="P786" s="645" t="s">
        <v>3037</v>
      </c>
      <c r="Q786" s="646" t="e">
        <f>VLOOKUP(K786,Sheet1!$C$1:$D$101,2,)</f>
        <v>#N/A</v>
      </c>
      <c r="R786" s="496">
        <v>8208000</v>
      </c>
      <c r="S786" s="504">
        <v>393300</v>
      </c>
      <c r="T786" s="648">
        <f>Data2025!T785</f>
        <v>0</v>
      </c>
      <c r="U786" s="497" t="s">
        <v>538</v>
      </c>
      <c r="V786" s="648">
        <f>Data2025!V785</f>
        <v>0</v>
      </c>
      <c r="W786" s="648">
        <f>Data2025!X785</f>
        <v>0</v>
      </c>
      <c r="X786" s="497" t="s">
        <v>540</v>
      </c>
      <c r="Y786" s="268" t="str">
        <f t="shared" si="41"/>
        <v>Buku</v>
      </c>
      <c r="Z786" s="649" t="str">
        <f t="shared" si="42"/>
        <v>Buku</v>
      </c>
      <c r="AA786" s="498" t="s">
        <v>3363</v>
      </c>
      <c r="AB786" s="499">
        <v>129100</v>
      </c>
      <c r="AC786" s="499">
        <v>387300</v>
      </c>
      <c r="AD786" s="496">
        <v>8208000</v>
      </c>
      <c r="AE786" s="500">
        <v>7394594.594594595</v>
      </c>
      <c r="AF786" s="500">
        <v>8208000</v>
      </c>
      <c r="AG786" s="805" t="s">
        <v>3883</v>
      </c>
      <c r="AH786" s="651">
        <f>Data2025!W785</f>
        <v>0</v>
      </c>
      <c r="AI786" s="501">
        <v>245</v>
      </c>
    </row>
    <row r="787" spans="1:35" s="501" customFormat="1" ht="16.5" thickTop="1" thickBot="1">
      <c r="A787" s="636">
        <f>Data2025!G786</f>
        <v>0</v>
      </c>
      <c r="B787" s="637">
        <f>Data2025!K786</f>
        <v>0</v>
      </c>
      <c r="C787" s="638">
        <f>Data2025!D786</f>
        <v>0</v>
      </c>
      <c r="D787" s="639">
        <f>Data2025!C786</f>
        <v>0</v>
      </c>
      <c r="E787" s="265">
        <f>Data2025!E786</f>
        <v>0</v>
      </c>
      <c r="F787" s="640">
        <f>Data2025!F786</f>
        <v>0</v>
      </c>
      <c r="G787" s="265">
        <f>Data2025!H786</f>
        <v>0</v>
      </c>
      <c r="H787" s="265">
        <f t="shared" si="40"/>
        <v>0</v>
      </c>
      <c r="I787" s="641">
        <f>Data2025!J786</f>
        <v>0</v>
      </c>
      <c r="J787" s="381">
        <f>Data2025!L786</f>
        <v>0</v>
      </c>
      <c r="K787" s="381">
        <f>Data2025!M786</f>
        <v>0</v>
      </c>
      <c r="L787" s="642">
        <f>Data2025!N786</f>
        <v>0</v>
      </c>
      <c r="M787" s="642">
        <f>Data2025!O786</f>
        <v>0</v>
      </c>
      <c r="N787" s="643">
        <f>Data2025!P786</f>
        <v>0</v>
      </c>
      <c r="O787" s="644">
        <f>Data2025!Q786</f>
        <v>0</v>
      </c>
      <c r="P787" s="645" t="s">
        <v>3037</v>
      </c>
      <c r="Q787" s="646" t="e">
        <f>VLOOKUP(K787,Sheet1!$C$1:$D$101,2,)</f>
        <v>#N/A</v>
      </c>
      <c r="R787" s="496">
        <v>8648000</v>
      </c>
      <c r="S787" s="504">
        <v>367800</v>
      </c>
      <c r="T787" s="648">
        <f>Data2025!T786</f>
        <v>0</v>
      </c>
      <c r="U787" s="497" t="s">
        <v>538</v>
      </c>
      <c r="V787" s="648">
        <f>Data2025!V786</f>
        <v>0</v>
      </c>
      <c r="W787" s="648">
        <f>Data2025!X786</f>
        <v>0</v>
      </c>
      <c r="X787" s="497" t="s">
        <v>540</v>
      </c>
      <c r="Y787" s="268" t="str">
        <f t="shared" si="41"/>
        <v>Buku</v>
      </c>
      <c r="Z787" s="649" t="str">
        <f t="shared" si="42"/>
        <v>Buku</v>
      </c>
      <c r="AA787" s="498" t="s">
        <v>3363</v>
      </c>
      <c r="AB787" s="499">
        <v>120600</v>
      </c>
      <c r="AC787" s="499">
        <v>361800</v>
      </c>
      <c r="AD787" s="496">
        <v>8648000</v>
      </c>
      <c r="AE787" s="500">
        <v>7790990.9909909908</v>
      </c>
      <c r="AF787" s="500">
        <v>8648000</v>
      </c>
      <c r="AG787" s="805" t="s">
        <v>3883</v>
      </c>
      <c r="AH787" s="651">
        <f>Data2025!W786</f>
        <v>0</v>
      </c>
      <c r="AI787" s="501">
        <v>245</v>
      </c>
    </row>
    <row r="788" spans="1:35" s="501" customFormat="1" ht="16.5" thickTop="1" thickBot="1">
      <c r="A788" s="636">
        <f>Data2025!G787</f>
        <v>0</v>
      </c>
      <c r="B788" s="637">
        <f>Data2025!K787</f>
        <v>0</v>
      </c>
      <c r="C788" s="638">
        <f>Data2025!D787</f>
        <v>0</v>
      </c>
      <c r="D788" s="639">
        <f>Data2025!C787</f>
        <v>0</v>
      </c>
      <c r="E788" s="265">
        <f>Data2025!E787</f>
        <v>0</v>
      </c>
      <c r="F788" s="640">
        <f>Data2025!F787</f>
        <v>0</v>
      </c>
      <c r="G788" s="265">
        <f>Data2025!H787</f>
        <v>0</v>
      </c>
      <c r="H788" s="265">
        <f t="shared" si="40"/>
        <v>0</v>
      </c>
      <c r="I788" s="641">
        <f>Data2025!J787</f>
        <v>0</v>
      </c>
      <c r="J788" s="381">
        <f>Data2025!L787</f>
        <v>0</v>
      </c>
      <c r="K788" s="381">
        <f>Data2025!M787</f>
        <v>0</v>
      </c>
      <c r="L788" s="642">
        <f>Data2025!N787</f>
        <v>0</v>
      </c>
      <c r="M788" s="642">
        <f>Data2025!O787</f>
        <v>0</v>
      </c>
      <c r="N788" s="643">
        <f>Data2025!P787</f>
        <v>0</v>
      </c>
      <c r="O788" s="644">
        <f>Data2025!Q787</f>
        <v>0</v>
      </c>
      <c r="P788" s="645" t="s">
        <v>3037</v>
      </c>
      <c r="Q788" s="646" t="e">
        <f>VLOOKUP(K788,Sheet1!$C$1:$D$101,2,)</f>
        <v>#N/A</v>
      </c>
      <c r="R788" s="496">
        <v>387300</v>
      </c>
      <c r="S788" s="504">
        <v>393300</v>
      </c>
      <c r="T788" s="648">
        <f>Data2025!T787</f>
        <v>0</v>
      </c>
      <c r="U788" s="497" t="s">
        <v>538</v>
      </c>
      <c r="V788" s="648">
        <f>Data2025!V787</f>
        <v>0</v>
      </c>
      <c r="W788" s="648">
        <f>Data2025!X787</f>
        <v>0</v>
      </c>
      <c r="X788" s="497" t="s">
        <v>540</v>
      </c>
      <c r="Y788" s="268" t="str">
        <f t="shared" si="41"/>
        <v>Buku</v>
      </c>
      <c r="Z788" s="649" t="str">
        <f t="shared" si="42"/>
        <v>Buku</v>
      </c>
      <c r="AA788" s="498" t="s">
        <v>3363</v>
      </c>
      <c r="AB788" s="499">
        <v>129100</v>
      </c>
      <c r="AC788" s="499">
        <v>387300</v>
      </c>
      <c r="AD788" s="496">
        <v>387300</v>
      </c>
      <c r="AE788" s="500">
        <v>348918.91891891893</v>
      </c>
      <c r="AF788" s="500">
        <v>387300</v>
      </c>
      <c r="AG788" s="805" t="s">
        <v>3883</v>
      </c>
      <c r="AH788" s="651">
        <f>Data2025!W787</f>
        <v>0</v>
      </c>
      <c r="AI788" s="501">
        <v>245</v>
      </c>
    </row>
    <row r="789" spans="1:35" s="501" customFormat="1" ht="16.5" thickTop="1" thickBot="1">
      <c r="A789" s="636">
        <f>Data2025!G788</f>
        <v>0</v>
      </c>
      <c r="B789" s="637">
        <f>Data2025!K788</f>
        <v>0</v>
      </c>
      <c r="C789" s="638">
        <f>Data2025!D788</f>
        <v>0</v>
      </c>
      <c r="D789" s="639">
        <f>Data2025!C788</f>
        <v>0</v>
      </c>
      <c r="E789" s="265">
        <f>Data2025!E788</f>
        <v>0</v>
      </c>
      <c r="F789" s="640">
        <f>Data2025!F788</f>
        <v>0</v>
      </c>
      <c r="G789" s="265">
        <f>Data2025!H788</f>
        <v>0</v>
      </c>
      <c r="H789" s="265">
        <f t="shared" si="40"/>
        <v>0</v>
      </c>
      <c r="I789" s="641">
        <f>Data2025!J788</f>
        <v>0</v>
      </c>
      <c r="J789" s="381">
        <f>Data2025!L788</f>
        <v>0</v>
      </c>
      <c r="K789" s="381">
        <f>Data2025!M788</f>
        <v>0</v>
      </c>
      <c r="L789" s="642">
        <f>Data2025!N788</f>
        <v>0</v>
      </c>
      <c r="M789" s="642">
        <f>Data2025!O788</f>
        <v>0</v>
      </c>
      <c r="N789" s="643">
        <f>Data2025!P788</f>
        <v>0</v>
      </c>
      <c r="O789" s="644">
        <f>Data2025!Q788</f>
        <v>0</v>
      </c>
      <c r="P789" s="645" t="s">
        <v>3037</v>
      </c>
      <c r="Q789" s="646" t="e">
        <f>VLOOKUP(K789,Sheet1!$C$1:$D$101,2,)</f>
        <v>#N/A</v>
      </c>
      <c r="R789" s="496">
        <v>434700</v>
      </c>
      <c r="S789" s="504">
        <v>440700</v>
      </c>
      <c r="T789" s="648">
        <f>Data2025!T788</f>
        <v>0</v>
      </c>
      <c r="U789" s="497" t="s">
        <v>538</v>
      </c>
      <c r="V789" s="648">
        <f>Data2025!V788</f>
        <v>0</v>
      </c>
      <c r="W789" s="648">
        <f>Data2025!X788</f>
        <v>0</v>
      </c>
      <c r="X789" s="497" t="s">
        <v>540</v>
      </c>
      <c r="Y789" s="268" t="str">
        <f t="shared" si="41"/>
        <v>Buku</v>
      </c>
      <c r="Z789" s="649" t="str">
        <f t="shared" si="42"/>
        <v>Buku</v>
      </c>
      <c r="AA789" s="498" t="s">
        <v>3363</v>
      </c>
      <c r="AB789" s="499">
        <v>144900</v>
      </c>
      <c r="AC789" s="499">
        <v>434700</v>
      </c>
      <c r="AD789" s="496">
        <v>434700</v>
      </c>
      <c r="AE789" s="500">
        <v>391621.62162162166</v>
      </c>
      <c r="AF789" s="500">
        <v>434700</v>
      </c>
      <c r="AG789" s="805" t="s">
        <v>3883</v>
      </c>
      <c r="AH789" s="651">
        <f>Data2025!W788</f>
        <v>0</v>
      </c>
      <c r="AI789" s="501">
        <v>245</v>
      </c>
    </row>
    <row r="790" spans="1:35" s="501" customFormat="1" ht="16.5" thickTop="1" thickBot="1">
      <c r="A790" s="636">
        <f>Data2025!G789</f>
        <v>0</v>
      </c>
      <c r="B790" s="637">
        <f>Data2025!K789</f>
        <v>0</v>
      </c>
      <c r="C790" s="638">
        <f>Data2025!D789</f>
        <v>0</v>
      </c>
      <c r="D790" s="639">
        <f>Data2025!C789</f>
        <v>0</v>
      </c>
      <c r="E790" s="265">
        <f>Data2025!E789</f>
        <v>0</v>
      </c>
      <c r="F790" s="640">
        <f>Data2025!F789</f>
        <v>0</v>
      </c>
      <c r="G790" s="265">
        <f>Data2025!H789</f>
        <v>0</v>
      </c>
      <c r="H790" s="265">
        <f t="shared" si="40"/>
        <v>0</v>
      </c>
      <c r="I790" s="641">
        <f>Data2025!J789</f>
        <v>0</v>
      </c>
      <c r="J790" s="381">
        <f>Data2025!L789</f>
        <v>0</v>
      </c>
      <c r="K790" s="381">
        <f>Data2025!M789</f>
        <v>0</v>
      </c>
      <c r="L790" s="642">
        <f>Data2025!N789</f>
        <v>0</v>
      </c>
      <c r="M790" s="642">
        <f>Data2025!O789</f>
        <v>0</v>
      </c>
      <c r="N790" s="643">
        <f>Data2025!P789</f>
        <v>0</v>
      </c>
      <c r="O790" s="644">
        <f>Data2025!Q789</f>
        <v>0</v>
      </c>
      <c r="P790" s="645" t="s">
        <v>3037</v>
      </c>
      <c r="Q790" s="646" t="e">
        <f>VLOOKUP(K790,Sheet1!$C$1:$D$101,2,)</f>
        <v>#N/A</v>
      </c>
      <c r="R790" s="496">
        <v>481800</v>
      </c>
      <c r="S790" s="504">
        <v>487800</v>
      </c>
      <c r="T790" s="648">
        <f>Data2025!T789</f>
        <v>0</v>
      </c>
      <c r="U790" s="497" t="s">
        <v>538</v>
      </c>
      <c r="V790" s="648">
        <f>Data2025!V789</f>
        <v>0</v>
      </c>
      <c r="W790" s="648">
        <f>Data2025!X789</f>
        <v>0</v>
      </c>
      <c r="X790" s="497" t="s">
        <v>540</v>
      </c>
      <c r="Y790" s="268" t="str">
        <f t="shared" si="41"/>
        <v>Buku</v>
      </c>
      <c r="Z790" s="649" t="str">
        <f t="shared" si="42"/>
        <v>Buku</v>
      </c>
      <c r="AA790" s="498" t="s">
        <v>3363</v>
      </c>
      <c r="AB790" s="499">
        <v>160600</v>
      </c>
      <c r="AC790" s="499">
        <v>481800</v>
      </c>
      <c r="AD790" s="496">
        <v>481800</v>
      </c>
      <c r="AE790" s="500">
        <v>434054.05405405408</v>
      </c>
      <c r="AF790" s="500">
        <v>481800</v>
      </c>
      <c r="AG790" s="805" t="s">
        <v>3883</v>
      </c>
      <c r="AH790" s="651">
        <f>Data2025!W789</f>
        <v>0</v>
      </c>
      <c r="AI790" s="501">
        <v>245</v>
      </c>
    </row>
    <row r="791" spans="1:35" s="501" customFormat="1" ht="16.5" thickTop="1" thickBot="1">
      <c r="A791" s="636">
        <f>Data2025!G790</f>
        <v>0</v>
      </c>
      <c r="B791" s="637">
        <f>Data2025!K790</f>
        <v>0</v>
      </c>
      <c r="C791" s="638">
        <f>Data2025!D790</f>
        <v>0</v>
      </c>
      <c r="D791" s="639">
        <f>Data2025!C790</f>
        <v>0</v>
      </c>
      <c r="E791" s="265">
        <f>Data2025!E790</f>
        <v>0</v>
      </c>
      <c r="F791" s="640">
        <f>Data2025!F790</f>
        <v>0</v>
      </c>
      <c r="G791" s="265">
        <f>Data2025!H790</f>
        <v>0</v>
      </c>
      <c r="H791" s="265">
        <f t="shared" si="40"/>
        <v>0</v>
      </c>
      <c r="I791" s="641">
        <f>Data2025!J790</f>
        <v>0</v>
      </c>
      <c r="J791" s="381">
        <f>Data2025!L790</f>
        <v>0</v>
      </c>
      <c r="K791" s="381">
        <f>Data2025!M790</f>
        <v>0</v>
      </c>
      <c r="L791" s="642">
        <f>Data2025!N790</f>
        <v>0</v>
      </c>
      <c r="M791" s="642">
        <f>Data2025!O790</f>
        <v>0</v>
      </c>
      <c r="N791" s="643">
        <f>Data2025!P790</f>
        <v>0</v>
      </c>
      <c r="O791" s="644">
        <f>Data2025!Q790</f>
        <v>0</v>
      </c>
      <c r="P791" s="645" t="s">
        <v>3037</v>
      </c>
      <c r="Q791" s="646" t="e">
        <f>VLOOKUP(K791,Sheet1!$C$1:$D$101,2,)</f>
        <v>#N/A</v>
      </c>
      <c r="R791" s="496">
        <v>361800</v>
      </c>
      <c r="S791" s="504">
        <v>367800</v>
      </c>
      <c r="T791" s="648">
        <f>Data2025!T790</f>
        <v>0</v>
      </c>
      <c r="U791" s="497" t="s">
        <v>538</v>
      </c>
      <c r="V791" s="648">
        <f>Data2025!V790</f>
        <v>0</v>
      </c>
      <c r="W791" s="648">
        <f>Data2025!X790</f>
        <v>0</v>
      </c>
      <c r="X791" s="497" t="s">
        <v>540</v>
      </c>
      <c r="Y791" s="268" t="str">
        <f t="shared" si="41"/>
        <v>Buku</v>
      </c>
      <c r="Z791" s="649" t="str">
        <f t="shared" si="42"/>
        <v>Buku</v>
      </c>
      <c r="AA791" s="498" t="s">
        <v>3363</v>
      </c>
      <c r="AB791" s="499">
        <v>120600</v>
      </c>
      <c r="AC791" s="499">
        <v>361800</v>
      </c>
      <c r="AD791" s="496">
        <v>361800</v>
      </c>
      <c r="AE791" s="500">
        <v>325945.94594594598</v>
      </c>
      <c r="AF791" s="500">
        <v>361800</v>
      </c>
      <c r="AG791" s="805" t="s">
        <v>3883</v>
      </c>
      <c r="AH791" s="651">
        <f>Data2025!W790</f>
        <v>0</v>
      </c>
      <c r="AI791" s="501">
        <v>245</v>
      </c>
    </row>
    <row r="792" spans="1:35" s="501" customFormat="1" ht="16.5" thickTop="1" thickBot="1">
      <c r="A792" s="636">
        <f>Data2025!G791</f>
        <v>0</v>
      </c>
      <c r="B792" s="637">
        <f>Data2025!K791</f>
        <v>0</v>
      </c>
      <c r="C792" s="638">
        <f>Data2025!D791</f>
        <v>0</v>
      </c>
      <c r="D792" s="639">
        <f>Data2025!C791</f>
        <v>0</v>
      </c>
      <c r="E792" s="265">
        <f>Data2025!E791</f>
        <v>0</v>
      </c>
      <c r="F792" s="640">
        <f>Data2025!F791</f>
        <v>0</v>
      </c>
      <c r="G792" s="265">
        <f>Data2025!H791</f>
        <v>0</v>
      </c>
      <c r="H792" s="265">
        <f t="shared" si="40"/>
        <v>0</v>
      </c>
      <c r="I792" s="641">
        <f>Data2025!J791</f>
        <v>0</v>
      </c>
      <c r="J792" s="381">
        <f>Data2025!L791</f>
        <v>0</v>
      </c>
      <c r="K792" s="381">
        <f>Data2025!M791</f>
        <v>0</v>
      </c>
      <c r="L792" s="642">
        <f>Data2025!N791</f>
        <v>0</v>
      </c>
      <c r="M792" s="642">
        <f>Data2025!O791</f>
        <v>0</v>
      </c>
      <c r="N792" s="643">
        <f>Data2025!P791</f>
        <v>0</v>
      </c>
      <c r="O792" s="644">
        <f>Data2025!Q791</f>
        <v>0</v>
      </c>
      <c r="P792" s="645" t="s">
        <v>3037</v>
      </c>
      <c r="Q792" s="646" t="e">
        <f>VLOOKUP(K792,Sheet1!$C$1:$D$101,2,)</f>
        <v>#N/A</v>
      </c>
      <c r="R792" s="496">
        <v>503100</v>
      </c>
      <c r="S792" s="504">
        <v>509100</v>
      </c>
      <c r="T792" s="648">
        <f>Data2025!T791</f>
        <v>0</v>
      </c>
      <c r="U792" s="497" t="s">
        <v>538</v>
      </c>
      <c r="V792" s="648">
        <f>Data2025!V791</f>
        <v>0</v>
      </c>
      <c r="W792" s="648">
        <f>Data2025!X791</f>
        <v>0</v>
      </c>
      <c r="X792" s="497" t="s">
        <v>540</v>
      </c>
      <c r="Y792" s="268" t="str">
        <f t="shared" si="41"/>
        <v>Buku</v>
      </c>
      <c r="Z792" s="649" t="str">
        <f t="shared" si="42"/>
        <v>Buku</v>
      </c>
      <c r="AA792" s="498" t="s">
        <v>3363</v>
      </c>
      <c r="AB792" s="499">
        <v>167700</v>
      </c>
      <c r="AC792" s="499">
        <v>503100</v>
      </c>
      <c r="AD792" s="496">
        <v>503100</v>
      </c>
      <c r="AE792" s="500">
        <v>453243.24324324325</v>
      </c>
      <c r="AF792" s="500">
        <v>503100</v>
      </c>
      <c r="AG792" s="805" t="s">
        <v>3883</v>
      </c>
      <c r="AH792" s="651">
        <f>Data2025!W791</f>
        <v>0</v>
      </c>
      <c r="AI792" s="501">
        <v>245</v>
      </c>
    </row>
    <row r="793" spans="1:35" s="501" customFormat="1" ht="16.5" thickTop="1" thickBot="1">
      <c r="A793" s="636">
        <f>Data2025!G792</f>
        <v>0</v>
      </c>
      <c r="B793" s="637">
        <f>Data2025!K792</f>
        <v>0</v>
      </c>
      <c r="C793" s="638">
        <f>Data2025!D792</f>
        <v>0</v>
      </c>
      <c r="D793" s="639">
        <f>Data2025!C792</f>
        <v>0</v>
      </c>
      <c r="E793" s="265">
        <f>Data2025!E792</f>
        <v>0</v>
      </c>
      <c r="F793" s="640">
        <f>Data2025!F792</f>
        <v>0</v>
      </c>
      <c r="G793" s="265">
        <f>Data2025!H792</f>
        <v>0</v>
      </c>
      <c r="H793" s="265">
        <f t="shared" si="40"/>
        <v>0</v>
      </c>
      <c r="I793" s="641">
        <f>Data2025!J792</f>
        <v>0</v>
      </c>
      <c r="J793" s="381">
        <f>Data2025!L792</f>
        <v>0</v>
      </c>
      <c r="K793" s="381">
        <f>Data2025!M792</f>
        <v>0</v>
      </c>
      <c r="L793" s="642">
        <f>Data2025!N792</f>
        <v>0</v>
      </c>
      <c r="M793" s="642">
        <f>Data2025!O792</f>
        <v>0</v>
      </c>
      <c r="N793" s="643">
        <f>Data2025!P792</f>
        <v>0</v>
      </c>
      <c r="O793" s="644">
        <f>Data2025!Q792</f>
        <v>0</v>
      </c>
      <c r="P793" s="645" t="s">
        <v>3037</v>
      </c>
      <c r="Q793" s="646" t="e">
        <f>VLOOKUP(K793,Sheet1!$C$1:$D$101,2,)</f>
        <v>#N/A</v>
      </c>
      <c r="R793" s="496">
        <v>411000</v>
      </c>
      <c r="S793" s="504">
        <v>417000</v>
      </c>
      <c r="T793" s="648">
        <f>Data2025!T792</f>
        <v>0</v>
      </c>
      <c r="U793" s="497" t="s">
        <v>538</v>
      </c>
      <c r="V793" s="648">
        <f>Data2025!V792</f>
        <v>0</v>
      </c>
      <c r="W793" s="648">
        <f>Data2025!X792</f>
        <v>0</v>
      </c>
      <c r="X793" s="497" t="s">
        <v>540</v>
      </c>
      <c r="Y793" s="268" t="str">
        <f t="shared" si="41"/>
        <v>Buku</v>
      </c>
      <c r="Z793" s="649" t="str">
        <f t="shared" si="42"/>
        <v>Buku</v>
      </c>
      <c r="AA793" s="498" t="s">
        <v>3363</v>
      </c>
      <c r="AB793" s="499">
        <v>137000</v>
      </c>
      <c r="AC793" s="499">
        <v>411000</v>
      </c>
      <c r="AD793" s="496">
        <v>411000</v>
      </c>
      <c r="AE793" s="500">
        <v>370270.2702702703</v>
      </c>
      <c r="AF793" s="500">
        <v>411000</v>
      </c>
      <c r="AG793" s="805" t="s">
        <v>3883</v>
      </c>
      <c r="AH793" s="651">
        <f>Data2025!W792</f>
        <v>0</v>
      </c>
      <c r="AI793" s="501">
        <v>245</v>
      </c>
    </row>
    <row r="794" spans="1:35" s="501" customFormat="1" ht="16.5" thickTop="1" thickBot="1">
      <c r="A794" s="636">
        <f>Data2025!G793</f>
        <v>0</v>
      </c>
      <c r="B794" s="637">
        <f>Data2025!K793</f>
        <v>0</v>
      </c>
      <c r="C794" s="638">
        <f>Data2025!D793</f>
        <v>0</v>
      </c>
      <c r="D794" s="639">
        <f>Data2025!C793</f>
        <v>0</v>
      </c>
      <c r="E794" s="265">
        <f>Data2025!E793</f>
        <v>0</v>
      </c>
      <c r="F794" s="640">
        <f>Data2025!F793</f>
        <v>0</v>
      </c>
      <c r="G794" s="265">
        <f>Data2025!H793</f>
        <v>0</v>
      </c>
      <c r="H794" s="265">
        <f t="shared" si="40"/>
        <v>0</v>
      </c>
      <c r="I794" s="641">
        <f>Data2025!J793</f>
        <v>0</v>
      </c>
      <c r="J794" s="381">
        <f>Data2025!L793</f>
        <v>0</v>
      </c>
      <c r="K794" s="381">
        <f>Data2025!M793</f>
        <v>0</v>
      </c>
      <c r="L794" s="642">
        <f>Data2025!N793</f>
        <v>0</v>
      </c>
      <c r="M794" s="642">
        <f>Data2025!O793</f>
        <v>0</v>
      </c>
      <c r="N794" s="643">
        <f>Data2025!P793</f>
        <v>0</v>
      </c>
      <c r="O794" s="644">
        <f>Data2025!Q793</f>
        <v>0</v>
      </c>
      <c r="P794" s="645" t="s">
        <v>3037</v>
      </c>
      <c r="Q794" s="646" t="e">
        <f>VLOOKUP(K794,Sheet1!$C$1:$D$101,2,)</f>
        <v>#N/A</v>
      </c>
      <c r="R794" s="496">
        <v>741000</v>
      </c>
      <c r="S794" s="504">
        <v>747000</v>
      </c>
      <c r="T794" s="648">
        <f>Data2025!T793</f>
        <v>0</v>
      </c>
      <c r="U794" s="497" t="s">
        <v>538</v>
      </c>
      <c r="V794" s="648">
        <f>Data2025!V793</f>
        <v>0</v>
      </c>
      <c r="W794" s="648">
        <f>Data2025!X793</f>
        <v>0</v>
      </c>
      <c r="X794" s="497" t="s">
        <v>540</v>
      </c>
      <c r="Y794" s="268" t="str">
        <f t="shared" si="41"/>
        <v>Buku</v>
      </c>
      <c r="Z794" s="649" t="str">
        <f t="shared" si="42"/>
        <v>Buku</v>
      </c>
      <c r="AA794" s="498" t="s">
        <v>3363</v>
      </c>
      <c r="AB794" s="499">
        <v>247000</v>
      </c>
      <c r="AC794" s="499">
        <v>741000</v>
      </c>
      <c r="AD794" s="496">
        <v>741000</v>
      </c>
      <c r="AE794" s="500">
        <v>667567.56756756757</v>
      </c>
      <c r="AF794" s="500">
        <v>741000</v>
      </c>
      <c r="AG794" s="805" t="s">
        <v>3883</v>
      </c>
      <c r="AH794" s="651">
        <f>Data2025!W793</f>
        <v>0</v>
      </c>
      <c r="AI794" s="501">
        <v>245</v>
      </c>
    </row>
    <row r="795" spans="1:35" s="501" customFormat="1" ht="16.5" thickTop="1" thickBot="1">
      <c r="A795" s="636">
        <f>Data2025!G794</f>
        <v>0</v>
      </c>
      <c r="B795" s="637">
        <f>Data2025!K794</f>
        <v>0</v>
      </c>
      <c r="C795" s="638">
        <f>Data2025!D794</f>
        <v>0</v>
      </c>
      <c r="D795" s="639">
        <f>Data2025!C794</f>
        <v>0</v>
      </c>
      <c r="E795" s="265">
        <f>Data2025!E794</f>
        <v>0</v>
      </c>
      <c r="F795" s="640">
        <f>Data2025!F794</f>
        <v>0</v>
      </c>
      <c r="G795" s="265">
        <f>Data2025!H794</f>
        <v>0</v>
      </c>
      <c r="H795" s="265">
        <f t="shared" si="40"/>
        <v>0</v>
      </c>
      <c r="I795" s="641">
        <f>Data2025!J794</f>
        <v>0</v>
      </c>
      <c r="J795" s="381">
        <f>Data2025!L794</f>
        <v>0</v>
      </c>
      <c r="K795" s="381">
        <f>Data2025!M794</f>
        <v>0</v>
      </c>
      <c r="L795" s="642">
        <f>Data2025!N794</f>
        <v>0</v>
      </c>
      <c r="M795" s="642">
        <f>Data2025!O794</f>
        <v>0</v>
      </c>
      <c r="N795" s="643">
        <f>Data2025!P794</f>
        <v>0</v>
      </c>
      <c r="O795" s="644">
        <f>Data2025!Q794</f>
        <v>0</v>
      </c>
      <c r="P795" s="645" t="s">
        <v>3037</v>
      </c>
      <c r="Q795" s="646" t="e">
        <f>VLOOKUP(K795,Sheet1!$C$1:$D$101,2,)</f>
        <v>#N/A</v>
      </c>
      <c r="R795" s="496">
        <v>738900</v>
      </c>
      <c r="S795" s="504">
        <v>744900</v>
      </c>
      <c r="T795" s="648">
        <f>Data2025!T794</f>
        <v>0</v>
      </c>
      <c r="U795" s="497" t="s">
        <v>538</v>
      </c>
      <c r="V795" s="648">
        <f>Data2025!V794</f>
        <v>0</v>
      </c>
      <c r="W795" s="648">
        <f>Data2025!X794</f>
        <v>0</v>
      </c>
      <c r="X795" s="497" t="s">
        <v>540</v>
      </c>
      <c r="Y795" s="268" t="str">
        <f t="shared" si="41"/>
        <v>Buku</v>
      </c>
      <c r="Z795" s="649" t="str">
        <f t="shared" si="42"/>
        <v>Buku</v>
      </c>
      <c r="AA795" s="498" t="s">
        <v>3363</v>
      </c>
      <c r="AB795" s="499">
        <v>246300</v>
      </c>
      <c r="AC795" s="499">
        <v>738900</v>
      </c>
      <c r="AD795" s="496">
        <v>738900</v>
      </c>
      <c r="AE795" s="500">
        <v>665675.67567567574</v>
      </c>
      <c r="AF795" s="500">
        <v>738900</v>
      </c>
      <c r="AG795" s="805" t="s">
        <v>3883</v>
      </c>
      <c r="AH795" s="651">
        <f>Data2025!W794</f>
        <v>0</v>
      </c>
      <c r="AI795" s="501">
        <v>245</v>
      </c>
    </row>
    <row r="796" spans="1:35" s="501" customFormat="1" ht="16.5" thickTop="1" thickBot="1">
      <c r="A796" s="636">
        <f>Data2025!G795</f>
        <v>0</v>
      </c>
      <c r="B796" s="637">
        <f>Data2025!K795</f>
        <v>0</v>
      </c>
      <c r="C796" s="638">
        <f>Data2025!D795</f>
        <v>0</v>
      </c>
      <c r="D796" s="639">
        <f>Data2025!C795</f>
        <v>0</v>
      </c>
      <c r="E796" s="265">
        <f>Data2025!E795</f>
        <v>0</v>
      </c>
      <c r="F796" s="640">
        <f>Data2025!F795</f>
        <v>0</v>
      </c>
      <c r="G796" s="265">
        <f>Data2025!H795</f>
        <v>0</v>
      </c>
      <c r="H796" s="265">
        <f t="shared" si="40"/>
        <v>0</v>
      </c>
      <c r="I796" s="641">
        <f>Data2025!J795</f>
        <v>0</v>
      </c>
      <c r="J796" s="381">
        <f>Data2025!L795</f>
        <v>0</v>
      </c>
      <c r="K796" s="381">
        <f>Data2025!M795</f>
        <v>0</v>
      </c>
      <c r="L796" s="642">
        <f>Data2025!N795</f>
        <v>0</v>
      </c>
      <c r="M796" s="642">
        <f>Data2025!O795</f>
        <v>0</v>
      </c>
      <c r="N796" s="643">
        <f>Data2025!P795</f>
        <v>0</v>
      </c>
      <c r="O796" s="644">
        <f>Data2025!Q795</f>
        <v>0</v>
      </c>
      <c r="P796" s="645" t="s">
        <v>3037</v>
      </c>
      <c r="Q796" s="646" t="e">
        <f>VLOOKUP(K796,Sheet1!$C$1:$D$101,2,)</f>
        <v>#N/A</v>
      </c>
      <c r="R796" s="496">
        <v>481800</v>
      </c>
      <c r="S796" s="504">
        <v>487800</v>
      </c>
      <c r="T796" s="648">
        <f>Data2025!T795</f>
        <v>0</v>
      </c>
      <c r="U796" s="497" t="s">
        <v>538</v>
      </c>
      <c r="V796" s="648">
        <f>Data2025!V795</f>
        <v>0</v>
      </c>
      <c r="W796" s="648">
        <f>Data2025!X795</f>
        <v>0</v>
      </c>
      <c r="X796" s="497" t="s">
        <v>540</v>
      </c>
      <c r="Y796" s="268" t="str">
        <f t="shared" si="41"/>
        <v>Buku</v>
      </c>
      <c r="Z796" s="649" t="str">
        <f t="shared" si="42"/>
        <v>Buku</v>
      </c>
      <c r="AA796" s="498" t="s">
        <v>3363</v>
      </c>
      <c r="AB796" s="499">
        <v>160600</v>
      </c>
      <c r="AC796" s="499">
        <v>481800</v>
      </c>
      <c r="AD796" s="496">
        <v>481800</v>
      </c>
      <c r="AE796" s="500">
        <v>434054.05405405408</v>
      </c>
      <c r="AF796" s="500">
        <v>481800</v>
      </c>
      <c r="AG796" s="805" t="s">
        <v>3883</v>
      </c>
      <c r="AH796" s="651">
        <f>Data2025!W795</f>
        <v>0</v>
      </c>
      <c r="AI796" s="501">
        <v>245</v>
      </c>
    </row>
    <row r="797" spans="1:35" s="501" customFormat="1" ht="16.5" thickTop="1" thickBot="1">
      <c r="A797" s="636">
        <f>Data2025!G796</f>
        <v>0</v>
      </c>
      <c r="B797" s="637">
        <f>Data2025!K796</f>
        <v>0</v>
      </c>
      <c r="C797" s="638">
        <f>Data2025!D796</f>
        <v>0</v>
      </c>
      <c r="D797" s="639">
        <f>Data2025!C796</f>
        <v>0</v>
      </c>
      <c r="E797" s="265">
        <f>Data2025!E796</f>
        <v>0</v>
      </c>
      <c r="F797" s="640">
        <f>Data2025!F796</f>
        <v>0</v>
      </c>
      <c r="G797" s="265">
        <f>Data2025!H796</f>
        <v>0</v>
      </c>
      <c r="H797" s="265">
        <f t="shared" si="40"/>
        <v>0</v>
      </c>
      <c r="I797" s="641">
        <f>Data2025!J796</f>
        <v>0</v>
      </c>
      <c r="J797" s="381">
        <f>Data2025!L796</f>
        <v>0</v>
      </c>
      <c r="K797" s="381">
        <f>Data2025!M796</f>
        <v>0</v>
      </c>
      <c r="L797" s="642">
        <f>Data2025!N796</f>
        <v>0</v>
      </c>
      <c r="M797" s="642">
        <f>Data2025!O796</f>
        <v>0</v>
      </c>
      <c r="N797" s="643">
        <f>Data2025!P796</f>
        <v>0</v>
      </c>
      <c r="O797" s="644">
        <f>Data2025!Q796</f>
        <v>0</v>
      </c>
      <c r="P797" s="645" t="s">
        <v>3037</v>
      </c>
      <c r="Q797" s="646" t="e">
        <f>VLOOKUP(K797,Sheet1!$C$1:$D$101,2,)</f>
        <v>#N/A</v>
      </c>
      <c r="R797" s="496">
        <v>385200</v>
      </c>
      <c r="S797" s="504">
        <v>391200</v>
      </c>
      <c r="T797" s="648">
        <f>Data2025!T796</f>
        <v>0</v>
      </c>
      <c r="U797" s="497" t="s">
        <v>538</v>
      </c>
      <c r="V797" s="648">
        <f>Data2025!V796</f>
        <v>0</v>
      </c>
      <c r="W797" s="648">
        <f>Data2025!X796</f>
        <v>0</v>
      </c>
      <c r="X797" s="497" t="s">
        <v>540</v>
      </c>
      <c r="Y797" s="268" t="str">
        <f t="shared" si="41"/>
        <v>Buku</v>
      </c>
      <c r="Z797" s="649" t="str">
        <f t="shared" si="42"/>
        <v>Buku</v>
      </c>
      <c r="AA797" s="498" t="s">
        <v>3363</v>
      </c>
      <c r="AB797" s="499">
        <v>128400</v>
      </c>
      <c r="AC797" s="499">
        <v>385200</v>
      </c>
      <c r="AD797" s="496">
        <v>385200</v>
      </c>
      <c r="AE797" s="500">
        <v>347027.02702702704</v>
      </c>
      <c r="AF797" s="500">
        <v>385200</v>
      </c>
      <c r="AG797" s="805" t="s">
        <v>3883</v>
      </c>
      <c r="AH797" s="651">
        <f>Data2025!W796</f>
        <v>0</v>
      </c>
      <c r="AI797" s="501">
        <v>245</v>
      </c>
    </row>
    <row r="798" spans="1:35" s="501" customFormat="1" ht="16.5" thickTop="1" thickBot="1">
      <c r="A798" s="636">
        <f>Data2025!G797</f>
        <v>0</v>
      </c>
      <c r="B798" s="637">
        <f>Data2025!K797</f>
        <v>0</v>
      </c>
      <c r="C798" s="638">
        <f>Data2025!D797</f>
        <v>0</v>
      </c>
      <c r="D798" s="639">
        <f>Data2025!C797</f>
        <v>0</v>
      </c>
      <c r="E798" s="265">
        <f>Data2025!E797</f>
        <v>0</v>
      </c>
      <c r="F798" s="640">
        <f>Data2025!F797</f>
        <v>0</v>
      </c>
      <c r="G798" s="265">
        <f>Data2025!H797</f>
        <v>0</v>
      </c>
      <c r="H798" s="265">
        <f t="shared" si="40"/>
        <v>0</v>
      </c>
      <c r="I798" s="641">
        <f>Data2025!J797</f>
        <v>0</v>
      </c>
      <c r="J798" s="381">
        <f>Data2025!L797</f>
        <v>0</v>
      </c>
      <c r="K798" s="381">
        <f>Data2025!M797</f>
        <v>0</v>
      </c>
      <c r="L798" s="642">
        <f>Data2025!N797</f>
        <v>0</v>
      </c>
      <c r="M798" s="642">
        <f>Data2025!O797</f>
        <v>0</v>
      </c>
      <c r="N798" s="643">
        <f>Data2025!P797</f>
        <v>0</v>
      </c>
      <c r="O798" s="644">
        <f>Data2025!Q797</f>
        <v>0</v>
      </c>
      <c r="P798" s="645" t="s">
        <v>3037</v>
      </c>
      <c r="Q798" s="646" t="e">
        <f>VLOOKUP(K798,Sheet1!$C$1:$D$101,2,)</f>
        <v>#N/A</v>
      </c>
      <c r="R798" s="496">
        <v>363900</v>
      </c>
      <c r="S798" s="504">
        <v>369900</v>
      </c>
      <c r="T798" s="648">
        <f>Data2025!T797</f>
        <v>0</v>
      </c>
      <c r="U798" s="497" t="s">
        <v>538</v>
      </c>
      <c r="V798" s="648">
        <f>Data2025!V797</f>
        <v>0</v>
      </c>
      <c r="W798" s="648">
        <f>Data2025!X797</f>
        <v>0</v>
      </c>
      <c r="X798" s="497" t="s">
        <v>540</v>
      </c>
      <c r="Y798" s="268" t="str">
        <f t="shared" si="41"/>
        <v>Buku</v>
      </c>
      <c r="Z798" s="649" t="str">
        <f t="shared" si="42"/>
        <v>Buku</v>
      </c>
      <c r="AA798" s="498" t="s">
        <v>3363</v>
      </c>
      <c r="AB798" s="499">
        <v>121300</v>
      </c>
      <c r="AC798" s="499">
        <v>363900</v>
      </c>
      <c r="AD798" s="496">
        <v>363900</v>
      </c>
      <c r="AE798" s="500">
        <v>327837.83783783787</v>
      </c>
      <c r="AF798" s="500">
        <v>363900</v>
      </c>
      <c r="AG798" s="805" t="s">
        <v>3883</v>
      </c>
      <c r="AH798" s="651">
        <f>Data2025!W797</f>
        <v>0</v>
      </c>
      <c r="AI798" s="501">
        <v>245</v>
      </c>
    </row>
    <row r="799" spans="1:35" s="501" customFormat="1" ht="16.5" thickTop="1" thickBot="1">
      <c r="A799" s="636">
        <f>Data2025!G798</f>
        <v>0</v>
      </c>
      <c r="B799" s="637">
        <f>Data2025!K798</f>
        <v>0</v>
      </c>
      <c r="C799" s="638">
        <f>Data2025!D798</f>
        <v>0</v>
      </c>
      <c r="D799" s="639">
        <f>Data2025!C798</f>
        <v>0</v>
      </c>
      <c r="E799" s="265">
        <f>Data2025!E798</f>
        <v>0</v>
      </c>
      <c r="F799" s="640">
        <f>Data2025!F798</f>
        <v>0</v>
      </c>
      <c r="G799" s="265">
        <f>Data2025!H798</f>
        <v>0</v>
      </c>
      <c r="H799" s="265">
        <f t="shared" si="40"/>
        <v>0</v>
      </c>
      <c r="I799" s="641">
        <f>Data2025!J798</f>
        <v>0</v>
      </c>
      <c r="J799" s="381">
        <f>Data2025!L798</f>
        <v>0</v>
      </c>
      <c r="K799" s="381">
        <f>Data2025!M798</f>
        <v>0</v>
      </c>
      <c r="L799" s="642">
        <f>Data2025!N798</f>
        <v>0</v>
      </c>
      <c r="M799" s="642">
        <f>Data2025!O798</f>
        <v>0</v>
      </c>
      <c r="N799" s="643">
        <f>Data2025!P798</f>
        <v>0</v>
      </c>
      <c r="O799" s="644">
        <f>Data2025!Q798</f>
        <v>0</v>
      </c>
      <c r="P799" s="645" t="s">
        <v>3037</v>
      </c>
      <c r="Q799" s="646" t="e">
        <f>VLOOKUP(K799,Sheet1!$C$1:$D$101,2,)</f>
        <v>#N/A</v>
      </c>
      <c r="R799" s="496">
        <v>458100</v>
      </c>
      <c r="S799" s="504">
        <v>464100</v>
      </c>
      <c r="T799" s="648">
        <f>Data2025!T798</f>
        <v>0</v>
      </c>
      <c r="U799" s="497" t="s">
        <v>538</v>
      </c>
      <c r="V799" s="648">
        <f>Data2025!V798</f>
        <v>0</v>
      </c>
      <c r="W799" s="648">
        <f>Data2025!X798</f>
        <v>0</v>
      </c>
      <c r="X799" s="497" t="s">
        <v>540</v>
      </c>
      <c r="Y799" s="268" t="str">
        <f t="shared" si="41"/>
        <v>Buku</v>
      </c>
      <c r="Z799" s="649" t="str">
        <f t="shared" si="42"/>
        <v>Buku</v>
      </c>
      <c r="AA799" s="498" t="s">
        <v>3363</v>
      </c>
      <c r="AB799" s="499">
        <v>152700</v>
      </c>
      <c r="AC799" s="499">
        <v>458100</v>
      </c>
      <c r="AD799" s="496">
        <v>458100</v>
      </c>
      <c r="AE799" s="500">
        <v>412702.70270270272</v>
      </c>
      <c r="AF799" s="500">
        <v>458100</v>
      </c>
      <c r="AG799" s="805" t="s">
        <v>3883</v>
      </c>
      <c r="AH799" s="651">
        <f>Data2025!W798</f>
        <v>0</v>
      </c>
      <c r="AI799" s="501">
        <v>245</v>
      </c>
    </row>
    <row r="800" spans="1:35" s="501" customFormat="1" ht="16.5" thickTop="1" thickBot="1">
      <c r="A800" s="636">
        <f>Data2025!G799</f>
        <v>0</v>
      </c>
      <c r="B800" s="637">
        <f>Data2025!K799</f>
        <v>0</v>
      </c>
      <c r="C800" s="638">
        <f>Data2025!D799</f>
        <v>0</v>
      </c>
      <c r="D800" s="639">
        <f>Data2025!C799</f>
        <v>0</v>
      </c>
      <c r="E800" s="265">
        <f>Data2025!E799</f>
        <v>0</v>
      </c>
      <c r="F800" s="640">
        <f>Data2025!F799</f>
        <v>0</v>
      </c>
      <c r="G800" s="265">
        <f>Data2025!H799</f>
        <v>0</v>
      </c>
      <c r="H800" s="265">
        <f t="shared" si="40"/>
        <v>0</v>
      </c>
      <c r="I800" s="641">
        <f>Data2025!J799</f>
        <v>0</v>
      </c>
      <c r="J800" s="381">
        <f>Data2025!L799</f>
        <v>0</v>
      </c>
      <c r="K800" s="381">
        <f>Data2025!M799</f>
        <v>0</v>
      </c>
      <c r="L800" s="642">
        <f>Data2025!N799</f>
        <v>0</v>
      </c>
      <c r="M800" s="642">
        <f>Data2025!O799</f>
        <v>0</v>
      </c>
      <c r="N800" s="643">
        <f>Data2025!P799</f>
        <v>0</v>
      </c>
      <c r="O800" s="644">
        <f>Data2025!Q799</f>
        <v>0</v>
      </c>
      <c r="P800" s="645" t="s">
        <v>3037</v>
      </c>
      <c r="Q800" s="646" t="e">
        <f>VLOOKUP(K800,Sheet1!$C$1:$D$101,2,)</f>
        <v>#N/A</v>
      </c>
      <c r="R800" s="496">
        <v>314700</v>
      </c>
      <c r="S800" s="504">
        <v>320700</v>
      </c>
      <c r="T800" s="648">
        <f>Data2025!T799</f>
        <v>0</v>
      </c>
      <c r="U800" s="497" t="s">
        <v>538</v>
      </c>
      <c r="V800" s="648">
        <f>Data2025!V799</f>
        <v>0</v>
      </c>
      <c r="W800" s="648">
        <f>Data2025!X799</f>
        <v>0</v>
      </c>
      <c r="X800" s="497" t="s">
        <v>540</v>
      </c>
      <c r="Y800" s="268" t="str">
        <f t="shared" si="41"/>
        <v>Buku</v>
      </c>
      <c r="Z800" s="649" t="str">
        <f t="shared" si="42"/>
        <v>Buku</v>
      </c>
      <c r="AA800" s="498" t="s">
        <v>3363</v>
      </c>
      <c r="AB800" s="499">
        <v>104900</v>
      </c>
      <c r="AC800" s="499">
        <v>314700</v>
      </c>
      <c r="AD800" s="496">
        <v>314700</v>
      </c>
      <c r="AE800" s="500">
        <v>283513.51351351349</v>
      </c>
      <c r="AF800" s="500">
        <v>314700</v>
      </c>
      <c r="AG800" s="805" t="s">
        <v>3883</v>
      </c>
      <c r="AH800" s="651">
        <f>Data2025!W799</f>
        <v>0</v>
      </c>
      <c r="AI800" s="501">
        <v>245</v>
      </c>
    </row>
    <row r="801" spans="1:35" s="501" customFormat="1" ht="16.5" thickTop="1" thickBot="1">
      <c r="A801" s="636">
        <f>Data2025!G800</f>
        <v>0</v>
      </c>
      <c r="B801" s="637">
        <f>Data2025!K800</f>
        <v>0</v>
      </c>
      <c r="C801" s="638">
        <f>Data2025!D800</f>
        <v>0</v>
      </c>
      <c r="D801" s="639">
        <f>Data2025!C800</f>
        <v>0</v>
      </c>
      <c r="E801" s="265">
        <f>Data2025!E800</f>
        <v>0</v>
      </c>
      <c r="F801" s="640">
        <f>Data2025!F800</f>
        <v>0</v>
      </c>
      <c r="G801" s="265">
        <f>Data2025!H800</f>
        <v>0</v>
      </c>
      <c r="H801" s="265">
        <f t="shared" si="40"/>
        <v>0</v>
      </c>
      <c r="I801" s="641">
        <f>Data2025!J800</f>
        <v>0</v>
      </c>
      <c r="J801" s="381">
        <f>Data2025!L800</f>
        <v>0</v>
      </c>
      <c r="K801" s="381">
        <f>Data2025!M800</f>
        <v>0</v>
      </c>
      <c r="L801" s="642">
        <f>Data2025!N800</f>
        <v>0</v>
      </c>
      <c r="M801" s="642">
        <f>Data2025!O800</f>
        <v>0</v>
      </c>
      <c r="N801" s="643">
        <f>Data2025!P800</f>
        <v>0</v>
      </c>
      <c r="O801" s="644">
        <f>Data2025!Q800</f>
        <v>0</v>
      </c>
      <c r="P801" s="645" t="s">
        <v>3037</v>
      </c>
      <c r="Q801" s="646" t="e">
        <f>VLOOKUP(K801,Sheet1!$C$1:$D$101,2,)</f>
        <v>#N/A</v>
      </c>
      <c r="R801" s="496">
        <v>458100</v>
      </c>
      <c r="S801" s="504">
        <v>464100</v>
      </c>
      <c r="T801" s="648">
        <f>Data2025!T800</f>
        <v>0</v>
      </c>
      <c r="U801" s="497" t="s">
        <v>538</v>
      </c>
      <c r="V801" s="648">
        <f>Data2025!V800</f>
        <v>0</v>
      </c>
      <c r="W801" s="648">
        <f>Data2025!X800</f>
        <v>0</v>
      </c>
      <c r="X801" s="497" t="s">
        <v>540</v>
      </c>
      <c r="Y801" s="268" t="str">
        <f t="shared" si="41"/>
        <v>Buku</v>
      </c>
      <c r="Z801" s="649" t="str">
        <f t="shared" si="42"/>
        <v>Buku</v>
      </c>
      <c r="AA801" s="498" t="s">
        <v>3363</v>
      </c>
      <c r="AB801" s="499">
        <v>152700</v>
      </c>
      <c r="AC801" s="499">
        <v>458100</v>
      </c>
      <c r="AD801" s="496">
        <v>458100</v>
      </c>
      <c r="AE801" s="500">
        <v>412702.70270270272</v>
      </c>
      <c r="AF801" s="500">
        <v>458100</v>
      </c>
      <c r="AG801" s="805" t="s">
        <v>3883</v>
      </c>
      <c r="AH801" s="651">
        <f>Data2025!W800</f>
        <v>0</v>
      </c>
      <c r="AI801" s="501">
        <v>245</v>
      </c>
    </row>
    <row r="802" spans="1:35" s="501" customFormat="1" ht="16.5" thickTop="1" thickBot="1">
      <c r="A802" s="636">
        <f>Data2025!G801</f>
        <v>0</v>
      </c>
      <c r="B802" s="637">
        <f>Data2025!K801</f>
        <v>0</v>
      </c>
      <c r="C802" s="638">
        <f>Data2025!D801</f>
        <v>0</v>
      </c>
      <c r="D802" s="639">
        <f>Data2025!C801</f>
        <v>0</v>
      </c>
      <c r="E802" s="265">
        <f>Data2025!E801</f>
        <v>0</v>
      </c>
      <c r="F802" s="640">
        <f>Data2025!F801</f>
        <v>0</v>
      </c>
      <c r="G802" s="265">
        <f>Data2025!H801</f>
        <v>0</v>
      </c>
      <c r="H802" s="265">
        <f t="shared" si="40"/>
        <v>0</v>
      </c>
      <c r="I802" s="641">
        <f>Data2025!J801</f>
        <v>0</v>
      </c>
      <c r="J802" s="381">
        <f>Data2025!L801</f>
        <v>0</v>
      </c>
      <c r="K802" s="381">
        <f>Data2025!M801</f>
        <v>0</v>
      </c>
      <c r="L802" s="642">
        <f>Data2025!N801</f>
        <v>0</v>
      </c>
      <c r="M802" s="642">
        <f>Data2025!O801</f>
        <v>0</v>
      </c>
      <c r="N802" s="643">
        <f>Data2025!P801</f>
        <v>0</v>
      </c>
      <c r="O802" s="644">
        <f>Data2025!Q801</f>
        <v>0</v>
      </c>
      <c r="P802" s="645" t="s">
        <v>3037</v>
      </c>
      <c r="Q802" s="646" t="e">
        <f>VLOOKUP(K802,Sheet1!$C$1:$D$101,2,)</f>
        <v>#N/A</v>
      </c>
      <c r="R802" s="496">
        <v>408900</v>
      </c>
      <c r="S802" s="504">
        <v>414900</v>
      </c>
      <c r="T802" s="648">
        <f>Data2025!T801</f>
        <v>0</v>
      </c>
      <c r="U802" s="497" t="s">
        <v>538</v>
      </c>
      <c r="V802" s="648">
        <f>Data2025!V801</f>
        <v>0</v>
      </c>
      <c r="W802" s="648">
        <f>Data2025!X801</f>
        <v>0</v>
      </c>
      <c r="X802" s="497" t="s">
        <v>540</v>
      </c>
      <c r="Y802" s="268" t="str">
        <f t="shared" si="41"/>
        <v>Buku</v>
      </c>
      <c r="Z802" s="649" t="str">
        <f t="shared" si="42"/>
        <v>Buku</v>
      </c>
      <c r="AA802" s="498" t="s">
        <v>3363</v>
      </c>
      <c r="AB802" s="499">
        <v>136300</v>
      </c>
      <c r="AC802" s="499">
        <v>408900</v>
      </c>
      <c r="AD802" s="496">
        <v>408900</v>
      </c>
      <c r="AE802" s="500">
        <v>368378.3783783784</v>
      </c>
      <c r="AF802" s="500">
        <v>408900</v>
      </c>
      <c r="AG802" s="805" t="s">
        <v>3883</v>
      </c>
      <c r="AH802" s="651">
        <f>Data2025!W801</f>
        <v>0</v>
      </c>
      <c r="AI802" s="501">
        <v>245</v>
      </c>
    </row>
    <row r="803" spans="1:35" s="501" customFormat="1" ht="16.5" thickTop="1" thickBot="1">
      <c r="A803" s="636">
        <f>Data2025!G802</f>
        <v>0</v>
      </c>
      <c r="B803" s="637">
        <f>Data2025!K802</f>
        <v>0</v>
      </c>
      <c r="C803" s="638">
        <f>Data2025!D802</f>
        <v>0</v>
      </c>
      <c r="D803" s="639">
        <f>Data2025!C802</f>
        <v>0</v>
      </c>
      <c r="E803" s="265">
        <f>Data2025!E802</f>
        <v>0</v>
      </c>
      <c r="F803" s="640">
        <f>Data2025!F802</f>
        <v>0</v>
      </c>
      <c r="G803" s="265">
        <f>Data2025!H802</f>
        <v>0</v>
      </c>
      <c r="H803" s="265">
        <f t="shared" si="40"/>
        <v>0</v>
      </c>
      <c r="I803" s="641">
        <f>Data2025!J802</f>
        <v>0</v>
      </c>
      <c r="J803" s="381">
        <f>Data2025!L802</f>
        <v>0</v>
      </c>
      <c r="K803" s="381">
        <f>Data2025!M802</f>
        <v>0</v>
      </c>
      <c r="L803" s="642">
        <f>Data2025!N802</f>
        <v>0</v>
      </c>
      <c r="M803" s="642">
        <f>Data2025!O802</f>
        <v>0</v>
      </c>
      <c r="N803" s="643">
        <f>Data2025!P802</f>
        <v>0</v>
      </c>
      <c r="O803" s="644">
        <f>Data2025!Q802</f>
        <v>0</v>
      </c>
      <c r="P803" s="645" t="s">
        <v>3037</v>
      </c>
      <c r="Q803" s="646" t="e">
        <f>VLOOKUP(K803,Sheet1!$C$1:$D$101,2,)</f>
        <v>#N/A</v>
      </c>
      <c r="R803" s="496">
        <v>408900</v>
      </c>
      <c r="S803" s="504">
        <v>414900</v>
      </c>
      <c r="T803" s="648">
        <f>Data2025!T802</f>
        <v>0</v>
      </c>
      <c r="U803" s="497" t="s">
        <v>538</v>
      </c>
      <c r="V803" s="648">
        <f>Data2025!V802</f>
        <v>0</v>
      </c>
      <c r="W803" s="648">
        <f>Data2025!X802</f>
        <v>0</v>
      </c>
      <c r="X803" s="497" t="s">
        <v>540</v>
      </c>
      <c r="Y803" s="268" t="str">
        <f t="shared" si="41"/>
        <v>Buku</v>
      </c>
      <c r="Z803" s="649" t="str">
        <f t="shared" si="42"/>
        <v>Buku</v>
      </c>
      <c r="AA803" s="498" t="s">
        <v>3363</v>
      </c>
      <c r="AB803" s="499">
        <v>136300</v>
      </c>
      <c r="AC803" s="499">
        <v>408900</v>
      </c>
      <c r="AD803" s="496">
        <v>408900</v>
      </c>
      <c r="AE803" s="500">
        <v>368378.3783783784</v>
      </c>
      <c r="AF803" s="500">
        <v>408900</v>
      </c>
      <c r="AG803" s="805" t="s">
        <v>3883</v>
      </c>
      <c r="AH803" s="651">
        <f>Data2025!W802</f>
        <v>0</v>
      </c>
      <c r="AI803" s="501">
        <v>245</v>
      </c>
    </row>
    <row r="804" spans="1:35" s="501" customFormat="1" ht="16.5" thickTop="1" thickBot="1">
      <c r="A804" s="636">
        <f>Data2025!G803</f>
        <v>0</v>
      </c>
      <c r="B804" s="637">
        <f>Data2025!K803</f>
        <v>0</v>
      </c>
      <c r="C804" s="638">
        <f>Data2025!D803</f>
        <v>0</v>
      </c>
      <c r="D804" s="639">
        <f>Data2025!C803</f>
        <v>0</v>
      </c>
      <c r="E804" s="265">
        <f>Data2025!E803</f>
        <v>0</v>
      </c>
      <c r="F804" s="640">
        <f>Data2025!F803</f>
        <v>0</v>
      </c>
      <c r="G804" s="265">
        <f>Data2025!H803</f>
        <v>0</v>
      </c>
      <c r="H804" s="265">
        <f t="shared" si="40"/>
        <v>0</v>
      </c>
      <c r="I804" s="641">
        <f>Data2025!J803</f>
        <v>0</v>
      </c>
      <c r="J804" s="381">
        <f>Data2025!L803</f>
        <v>0</v>
      </c>
      <c r="K804" s="381">
        <f>Data2025!M803</f>
        <v>0</v>
      </c>
      <c r="L804" s="642">
        <f>Data2025!N803</f>
        <v>0</v>
      </c>
      <c r="M804" s="642">
        <f>Data2025!O803</f>
        <v>0</v>
      </c>
      <c r="N804" s="643">
        <f>Data2025!P803</f>
        <v>0</v>
      </c>
      <c r="O804" s="644">
        <f>Data2025!Q803</f>
        <v>0</v>
      </c>
      <c r="P804" s="645" t="s">
        <v>3037</v>
      </c>
      <c r="Q804" s="646" t="e">
        <f>VLOOKUP(K804,Sheet1!$C$1:$D$101,2,)</f>
        <v>#N/A</v>
      </c>
      <c r="R804" s="496">
        <v>338100</v>
      </c>
      <c r="S804" s="504">
        <v>344100</v>
      </c>
      <c r="T804" s="648">
        <f>Data2025!T803</f>
        <v>0</v>
      </c>
      <c r="U804" s="497" t="s">
        <v>538</v>
      </c>
      <c r="V804" s="648">
        <f>Data2025!V803</f>
        <v>0</v>
      </c>
      <c r="W804" s="648">
        <f>Data2025!X803</f>
        <v>0</v>
      </c>
      <c r="X804" s="497" t="s">
        <v>540</v>
      </c>
      <c r="Y804" s="268" t="str">
        <f t="shared" si="41"/>
        <v>Buku</v>
      </c>
      <c r="Z804" s="649" t="str">
        <f t="shared" si="42"/>
        <v>Buku</v>
      </c>
      <c r="AA804" s="498" t="s">
        <v>3363</v>
      </c>
      <c r="AB804" s="499">
        <v>112700</v>
      </c>
      <c r="AC804" s="499">
        <v>338100</v>
      </c>
      <c r="AD804" s="496">
        <v>338100</v>
      </c>
      <c r="AE804" s="500">
        <v>304594.59459459462</v>
      </c>
      <c r="AF804" s="500">
        <v>338100</v>
      </c>
      <c r="AG804" s="805" t="s">
        <v>3883</v>
      </c>
      <c r="AH804" s="651">
        <f>Data2025!W803</f>
        <v>0</v>
      </c>
      <c r="AI804" s="501">
        <v>245</v>
      </c>
    </row>
    <row r="805" spans="1:35" s="501" customFormat="1" ht="16.5" thickTop="1" thickBot="1">
      <c r="A805" s="636">
        <f>Data2025!G804</f>
        <v>0</v>
      </c>
      <c r="B805" s="637">
        <f>Data2025!K804</f>
        <v>0</v>
      </c>
      <c r="C805" s="638">
        <f>Data2025!D804</f>
        <v>0</v>
      </c>
      <c r="D805" s="639">
        <f>Data2025!C804</f>
        <v>0</v>
      </c>
      <c r="E805" s="265">
        <f>Data2025!E804</f>
        <v>0</v>
      </c>
      <c r="F805" s="640">
        <f>Data2025!F804</f>
        <v>0</v>
      </c>
      <c r="G805" s="265">
        <f>Data2025!H804</f>
        <v>0</v>
      </c>
      <c r="H805" s="265">
        <f t="shared" si="40"/>
        <v>0</v>
      </c>
      <c r="I805" s="641">
        <f>Data2025!J804</f>
        <v>0</v>
      </c>
      <c r="J805" s="381">
        <f>Data2025!L804</f>
        <v>0</v>
      </c>
      <c r="K805" s="381">
        <f>Data2025!M804</f>
        <v>0</v>
      </c>
      <c r="L805" s="642">
        <f>Data2025!N804</f>
        <v>0</v>
      </c>
      <c r="M805" s="642">
        <f>Data2025!O804</f>
        <v>0</v>
      </c>
      <c r="N805" s="643">
        <f>Data2025!P804</f>
        <v>0</v>
      </c>
      <c r="O805" s="644">
        <f>Data2025!Q804</f>
        <v>0</v>
      </c>
      <c r="P805" s="645" t="s">
        <v>3037</v>
      </c>
      <c r="Q805" s="646" t="e">
        <f>VLOOKUP(K805,Sheet1!$C$1:$D$101,2,)</f>
        <v>#N/A</v>
      </c>
      <c r="R805" s="496">
        <v>387300</v>
      </c>
      <c r="S805" s="504">
        <v>393300</v>
      </c>
      <c r="T805" s="648">
        <f>Data2025!T804</f>
        <v>0</v>
      </c>
      <c r="U805" s="497" t="s">
        <v>538</v>
      </c>
      <c r="V805" s="648">
        <f>Data2025!V804</f>
        <v>0</v>
      </c>
      <c r="W805" s="648">
        <f>Data2025!X804</f>
        <v>0</v>
      </c>
      <c r="X805" s="497" t="s">
        <v>540</v>
      </c>
      <c r="Y805" s="268" t="str">
        <f t="shared" si="41"/>
        <v>Buku</v>
      </c>
      <c r="Z805" s="649" t="str">
        <f t="shared" si="42"/>
        <v>Buku</v>
      </c>
      <c r="AA805" s="498" t="s">
        <v>3363</v>
      </c>
      <c r="AB805" s="499">
        <v>129100</v>
      </c>
      <c r="AC805" s="499">
        <v>387300</v>
      </c>
      <c r="AD805" s="496">
        <v>387300</v>
      </c>
      <c r="AE805" s="500">
        <v>348918.91891891893</v>
      </c>
      <c r="AF805" s="500">
        <v>387300</v>
      </c>
      <c r="AG805" s="805" t="s">
        <v>3883</v>
      </c>
      <c r="AH805" s="651">
        <f>Data2025!W804</f>
        <v>0</v>
      </c>
      <c r="AI805" s="501">
        <v>245</v>
      </c>
    </row>
    <row r="806" spans="1:35" s="501" customFormat="1" ht="16.5" thickTop="1" thickBot="1">
      <c r="A806" s="636">
        <f>Data2025!G805</f>
        <v>0</v>
      </c>
      <c r="B806" s="637">
        <f>Data2025!K805</f>
        <v>0</v>
      </c>
      <c r="C806" s="638">
        <f>Data2025!D805</f>
        <v>0</v>
      </c>
      <c r="D806" s="639">
        <f>Data2025!C805</f>
        <v>0</v>
      </c>
      <c r="E806" s="265">
        <f>Data2025!E805</f>
        <v>0</v>
      </c>
      <c r="F806" s="640">
        <f>Data2025!F805</f>
        <v>0</v>
      </c>
      <c r="G806" s="265">
        <f>Data2025!H805</f>
        <v>0</v>
      </c>
      <c r="H806" s="265">
        <f t="shared" si="40"/>
        <v>0</v>
      </c>
      <c r="I806" s="641">
        <f>Data2025!J805</f>
        <v>0</v>
      </c>
      <c r="J806" s="381">
        <f>Data2025!L805</f>
        <v>0</v>
      </c>
      <c r="K806" s="381">
        <f>Data2025!M805</f>
        <v>0</v>
      </c>
      <c r="L806" s="642">
        <f>Data2025!N805</f>
        <v>0</v>
      </c>
      <c r="M806" s="642">
        <f>Data2025!O805</f>
        <v>0</v>
      </c>
      <c r="N806" s="643">
        <f>Data2025!P805</f>
        <v>0</v>
      </c>
      <c r="O806" s="644">
        <f>Data2025!Q805</f>
        <v>0</v>
      </c>
      <c r="P806" s="645" t="s">
        <v>3037</v>
      </c>
      <c r="Q806" s="646" t="e">
        <f>VLOOKUP(K806,Sheet1!$C$1:$D$101,2,)</f>
        <v>#N/A</v>
      </c>
      <c r="R806" s="496">
        <v>314700</v>
      </c>
      <c r="S806" s="504">
        <v>320700</v>
      </c>
      <c r="T806" s="648">
        <f>Data2025!T805</f>
        <v>0</v>
      </c>
      <c r="U806" s="497" t="s">
        <v>538</v>
      </c>
      <c r="V806" s="648">
        <f>Data2025!V805</f>
        <v>0</v>
      </c>
      <c r="W806" s="648">
        <f>Data2025!X805</f>
        <v>0</v>
      </c>
      <c r="X806" s="497" t="s">
        <v>540</v>
      </c>
      <c r="Y806" s="268" t="str">
        <f t="shared" si="41"/>
        <v>Buku</v>
      </c>
      <c r="Z806" s="649" t="str">
        <f t="shared" si="42"/>
        <v>Buku</v>
      </c>
      <c r="AA806" s="498" t="s">
        <v>3363</v>
      </c>
      <c r="AB806" s="499">
        <v>104900</v>
      </c>
      <c r="AC806" s="499">
        <v>314700</v>
      </c>
      <c r="AD806" s="496">
        <v>314700</v>
      </c>
      <c r="AE806" s="500">
        <v>283513.51351351349</v>
      </c>
      <c r="AF806" s="500">
        <v>314700</v>
      </c>
      <c r="AG806" s="805" t="s">
        <v>3883</v>
      </c>
      <c r="AH806" s="651">
        <f>Data2025!W805</f>
        <v>0</v>
      </c>
      <c r="AI806" s="501">
        <v>245</v>
      </c>
    </row>
    <row r="807" spans="1:35" s="501" customFormat="1" ht="16.5" thickTop="1" thickBot="1">
      <c r="A807" s="636">
        <f>Data2025!G806</f>
        <v>0</v>
      </c>
      <c r="B807" s="637">
        <f>Data2025!K806</f>
        <v>0</v>
      </c>
      <c r="C807" s="638">
        <f>Data2025!D806</f>
        <v>0</v>
      </c>
      <c r="D807" s="639">
        <f>Data2025!C806</f>
        <v>0</v>
      </c>
      <c r="E807" s="265">
        <f>Data2025!E806</f>
        <v>0</v>
      </c>
      <c r="F807" s="640">
        <f>Data2025!F806</f>
        <v>0</v>
      </c>
      <c r="G807" s="265">
        <f>Data2025!H806</f>
        <v>0</v>
      </c>
      <c r="H807" s="265">
        <f t="shared" si="40"/>
        <v>0</v>
      </c>
      <c r="I807" s="641">
        <f>Data2025!J806</f>
        <v>0</v>
      </c>
      <c r="J807" s="381">
        <f>Data2025!L806</f>
        <v>0</v>
      </c>
      <c r="K807" s="381">
        <f>Data2025!M806</f>
        <v>0</v>
      </c>
      <c r="L807" s="642">
        <f>Data2025!N806</f>
        <v>0</v>
      </c>
      <c r="M807" s="642">
        <f>Data2025!O806</f>
        <v>0</v>
      </c>
      <c r="N807" s="643">
        <f>Data2025!P806</f>
        <v>0</v>
      </c>
      <c r="O807" s="644">
        <f>Data2025!Q806</f>
        <v>0</v>
      </c>
      <c r="P807" s="645" t="s">
        <v>3030</v>
      </c>
      <c r="Q807" s="646" t="e">
        <f>VLOOKUP(K807,Sheet1!$C$1:$D$101,2,)</f>
        <v>#N/A</v>
      </c>
      <c r="R807" s="496">
        <v>39000000</v>
      </c>
      <c r="S807" s="504">
        <v>39020000</v>
      </c>
      <c r="T807" s="648">
        <f>Data2025!T806</f>
        <v>0</v>
      </c>
      <c r="U807" s="497" t="s">
        <v>538</v>
      </c>
      <c r="V807" s="648">
        <f>Data2025!V806</f>
        <v>0</v>
      </c>
      <c r="W807" s="648">
        <f>Data2025!X806</f>
        <v>0</v>
      </c>
      <c r="X807" s="497" t="s">
        <v>540</v>
      </c>
      <c r="Y807" s="268" t="str">
        <f t="shared" si="41"/>
        <v>Sarana dan Prsasrana</v>
      </c>
      <c r="Z807" s="649" t="str">
        <f t="shared" si="42"/>
        <v>Sarana dan Prsasrana</v>
      </c>
      <c r="AA807" s="498" t="s">
        <v>3371</v>
      </c>
      <c r="AB807" s="499">
        <v>3900000</v>
      </c>
      <c r="AC807" s="499">
        <v>39000000</v>
      </c>
      <c r="AD807" s="496">
        <v>39000000</v>
      </c>
      <c r="AE807" s="500">
        <v>35135135.135135137</v>
      </c>
      <c r="AF807" s="500">
        <v>39000000</v>
      </c>
      <c r="AG807" s="805" t="s">
        <v>3883</v>
      </c>
      <c r="AH807" s="651">
        <f>Data2025!W806</f>
        <v>0</v>
      </c>
      <c r="AI807" s="501">
        <v>246</v>
      </c>
    </row>
    <row r="808" spans="1:35" ht="30" thickTop="1" thickBot="1">
      <c r="A808" s="636">
        <f>Data2025!G807</f>
        <v>0</v>
      </c>
      <c r="B808" s="637">
        <f>Data2025!K807</f>
        <v>0</v>
      </c>
      <c r="C808" s="638">
        <f>Data2025!D807</f>
        <v>0</v>
      </c>
      <c r="D808" s="639">
        <f>Data2025!C807</f>
        <v>0</v>
      </c>
      <c r="E808" s="265">
        <f>Data2025!E807</f>
        <v>0</v>
      </c>
      <c r="F808" s="640">
        <f>Data2025!F807</f>
        <v>0</v>
      </c>
      <c r="G808" s="265">
        <f>Data2025!H807</f>
        <v>0</v>
      </c>
      <c r="H808" s="265">
        <f t="shared" si="40"/>
        <v>0</v>
      </c>
      <c r="I808" s="641">
        <f>Data2025!J807</f>
        <v>0</v>
      </c>
      <c r="J808" s="381">
        <f>Data2025!L807</f>
        <v>0</v>
      </c>
      <c r="K808" s="381">
        <f>Data2025!M807</f>
        <v>0</v>
      </c>
      <c r="L808" s="642">
        <f>Data2025!N807</f>
        <v>0</v>
      </c>
      <c r="M808" s="642">
        <f>Data2025!O807</f>
        <v>0</v>
      </c>
      <c r="N808" s="643">
        <f>Data2025!P807</f>
        <v>0</v>
      </c>
      <c r="O808" s="644">
        <f>Data2025!Q807</f>
        <v>0</v>
      </c>
      <c r="P808" s="645" t="s">
        <v>2650</v>
      </c>
      <c r="Q808" s="646" t="e">
        <f>VLOOKUP(K808,Sheet1!$C$1:$D$101,2,)</f>
        <v>#N/A</v>
      </c>
      <c r="R808" s="267">
        <v>300000</v>
      </c>
      <c r="S808" s="647">
        <v>604000</v>
      </c>
      <c r="T808" s="648">
        <f>Data2025!T807</f>
        <v>0</v>
      </c>
      <c r="U808" s="268" t="s">
        <v>1040</v>
      </c>
      <c r="V808" s="648">
        <f>Data2025!V807</f>
        <v>0</v>
      </c>
      <c r="W808" s="648">
        <f>Data2025!X807</f>
        <v>0</v>
      </c>
      <c r="X808" s="523" t="s">
        <v>541</v>
      </c>
      <c r="Y808" s="268" t="str">
        <f t="shared" si="41"/>
        <v>Percetakan</v>
      </c>
      <c r="Z808" s="649" t="str">
        <f t="shared" si="42"/>
        <v>Percetakan</v>
      </c>
      <c r="AA808" s="650" t="s">
        <v>3363</v>
      </c>
      <c r="AB808" s="269">
        <v>300000</v>
      </c>
      <c r="AC808" s="269">
        <v>600000</v>
      </c>
      <c r="AD808" s="267">
        <v>300000</v>
      </c>
      <c r="AE808" s="270">
        <v>270270.2702702703</v>
      </c>
      <c r="AF808" s="270">
        <v>300000</v>
      </c>
      <c r="AG808" s="805" t="s">
        <v>3883</v>
      </c>
      <c r="AH808" s="651">
        <f>Data2025!W807</f>
        <v>0</v>
      </c>
      <c r="AI808" s="61">
        <v>247</v>
      </c>
    </row>
    <row r="809" spans="1:35" ht="16.5" thickTop="1" thickBot="1">
      <c r="A809" s="636">
        <f>Data2025!G808</f>
        <v>0</v>
      </c>
      <c r="B809" s="637">
        <f>Data2025!K808</f>
        <v>0</v>
      </c>
      <c r="C809" s="638">
        <f>Data2025!D808</f>
        <v>0</v>
      </c>
      <c r="D809" s="639">
        <f>Data2025!C808</f>
        <v>0</v>
      </c>
      <c r="E809" s="265">
        <f>Data2025!E808</f>
        <v>0</v>
      </c>
      <c r="F809" s="640">
        <f>Data2025!F808</f>
        <v>0</v>
      </c>
      <c r="G809" s="265">
        <f>Data2025!H808</f>
        <v>0</v>
      </c>
      <c r="H809" s="265">
        <f t="shared" si="40"/>
        <v>0</v>
      </c>
      <c r="I809" s="641">
        <f>Data2025!J808</f>
        <v>0</v>
      </c>
      <c r="J809" s="381">
        <f>Data2025!L808</f>
        <v>0</v>
      </c>
      <c r="K809" s="381">
        <f>Data2025!M808</f>
        <v>0</v>
      </c>
      <c r="L809" s="642">
        <f>Data2025!N808</f>
        <v>0</v>
      </c>
      <c r="M809" s="642">
        <f>Data2025!O808</f>
        <v>0</v>
      </c>
      <c r="N809" s="643">
        <f>Data2025!P808</f>
        <v>0</v>
      </c>
      <c r="O809" s="644">
        <f>Data2025!Q808</f>
        <v>0</v>
      </c>
      <c r="P809" s="645" t="s">
        <v>280</v>
      </c>
      <c r="Q809" s="646" t="e">
        <f>VLOOKUP(K809,Sheet1!$C$1:$D$101,2,)</f>
        <v>#N/A</v>
      </c>
      <c r="R809" s="267">
        <v>900000</v>
      </c>
      <c r="S809" s="647">
        <v>1020000</v>
      </c>
      <c r="T809" s="648">
        <f>Data2025!T808</f>
        <v>0</v>
      </c>
      <c r="U809" s="268" t="s">
        <v>2531</v>
      </c>
      <c r="V809" s="648">
        <f>Data2025!V808</f>
        <v>0</v>
      </c>
      <c r="W809" s="648">
        <f>Data2025!X808</f>
        <v>0</v>
      </c>
      <c r="X809" s="268" t="s">
        <v>2529</v>
      </c>
      <c r="Y809" s="268" t="str">
        <f t="shared" si="41"/>
        <v>Kudapan</v>
      </c>
      <c r="Z809" s="649" t="str">
        <f t="shared" si="42"/>
        <v>Kudapan</v>
      </c>
      <c r="AA809" s="650" t="s">
        <v>3362</v>
      </c>
      <c r="AB809" s="269">
        <v>15000</v>
      </c>
      <c r="AC809" s="269">
        <v>900000</v>
      </c>
      <c r="AD809" s="267">
        <v>900000</v>
      </c>
      <c r="AE809" s="270">
        <v>810810.81081081077</v>
      </c>
      <c r="AF809" s="270">
        <v>900000</v>
      </c>
      <c r="AG809" s="805" t="s">
        <v>3883</v>
      </c>
      <c r="AH809" s="651">
        <f>Data2025!W808</f>
        <v>0</v>
      </c>
      <c r="AI809" s="61">
        <v>248</v>
      </c>
    </row>
    <row r="810" spans="1:35" ht="16.5" thickTop="1" thickBot="1">
      <c r="A810" s="636">
        <f>Data2025!G809</f>
        <v>0</v>
      </c>
      <c r="B810" s="637">
        <f>Data2025!K809</f>
        <v>0</v>
      </c>
      <c r="C810" s="638">
        <f>Data2025!D809</f>
        <v>0</v>
      </c>
      <c r="D810" s="639">
        <f>Data2025!C809</f>
        <v>0</v>
      </c>
      <c r="E810" s="265">
        <f>Data2025!E809</f>
        <v>0</v>
      </c>
      <c r="F810" s="640">
        <f>Data2025!F809</f>
        <v>0</v>
      </c>
      <c r="G810" s="265">
        <f>Data2025!H809</f>
        <v>0</v>
      </c>
      <c r="H810" s="265">
        <f t="shared" si="40"/>
        <v>0</v>
      </c>
      <c r="I810" s="641">
        <f>Data2025!J809</f>
        <v>0</v>
      </c>
      <c r="J810" s="381">
        <f>Data2025!L809</f>
        <v>0</v>
      </c>
      <c r="K810" s="381">
        <f>Data2025!M809</f>
        <v>0</v>
      </c>
      <c r="L810" s="642">
        <f>Data2025!N809</f>
        <v>0</v>
      </c>
      <c r="M810" s="642">
        <f>Data2025!O809</f>
        <v>0</v>
      </c>
      <c r="N810" s="643">
        <f>Data2025!P809</f>
        <v>0</v>
      </c>
      <c r="O810" s="644">
        <f>Data2025!Q809</f>
        <v>0</v>
      </c>
      <c r="P810" s="645" t="s">
        <v>8</v>
      </c>
      <c r="Q810" s="646" t="e">
        <f>VLOOKUP(K810,Sheet1!$C$1:$D$101,2,)</f>
        <v>#N/A</v>
      </c>
      <c r="R810" s="267">
        <v>2400000</v>
      </c>
      <c r="S810" s="647">
        <v>2520000</v>
      </c>
      <c r="T810" s="648">
        <f>Data2025!T809</f>
        <v>0</v>
      </c>
      <c r="U810" s="268" t="s">
        <v>2520</v>
      </c>
      <c r="V810" s="648">
        <f>Data2025!V809</f>
        <v>0</v>
      </c>
      <c r="W810" s="648">
        <f>Data2025!X809</f>
        <v>0</v>
      </c>
      <c r="X810" s="268" t="s">
        <v>3391</v>
      </c>
      <c r="Y810" s="268" t="str">
        <f t="shared" si="41"/>
        <v>Konsumsi</v>
      </c>
      <c r="Z810" s="649" t="str">
        <f t="shared" si="42"/>
        <v>Konsumsi</v>
      </c>
      <c r="AA810" s="650" t="s">
        <v>3362</v>
      </c>
      <c r="AB810" s="269">
        <v>40000</v>
      </c>
      <c r="AC810" s="269">
        <v>2400000</v>
      </c>
      <c r="AD810" s="267">
        <v>2400000</v>
      </c>
      <c r="AE810" s="270">
        <v>2162162.1621621624</v>
      </c>
      <c r="AF810" s="270">
        <v>2400000</v>
      </c>
      <c r="AG810" s="805" t="s">
        <v>3883</v>
      </c>
      <c r="AH810" s="651">
        <f>Data2025!W809</f>
        <v>0</v>
      </c>
      <c r="AI810" s="61">
        <v>249</v>
      </c>
    </row>
    <row r="811" spans="1:35" s="501" customFormat="1" ht="16.5" thickTop="1" thickBot="1">
      <c r="A811" s="636">
        <f>Data2025!G810</f>
        <v>0</v>
      </c>
      <c r="B811" s="637">
        <f>Data2025!K810</f>
        <v>0</v>
      </c>
      <c r="C811" s="638">
        <f>Data2025!D810</f>
        <v>0</v>
      </c>
      <c r="D811" s="639">
        <f>Data2025!C810</f>
        <v>0</v>
      </c>
      <c r="E811" s="265">
        <f>Data2025!E810</f>
        <v>0</v>
      </c>
      <c r="F811" s="640">
        <f>Data2025!F810</f>
        <v>0</v>
      </c>
      <c r="G811" s="265">
        <f>Data2025!H810</f>
        <v>0</v>
      </c>
      <c r="H811" s="265">
        <f t="shared" si="40"/>
        <v>0</v>
      </c>
      <c r="I811" s="641">
        <f>Data2025!J810</f>
        <v>0</v>
      </c>
      <c r="J811" s="381">
        <f>Data2025!L810</f>
        <v>0</v>
      </c>
      <c r="K811" s="381">
        <f>Data2025!M810</f>
        <v>0</v>
      </c>
      <c r="L811" s="642">
        <f>Data2025!N810</f>
        <v>0</v>
      </c>
      <c r="M811" s="642">
        <f>Data2025!O810</f>
        <v>0</v>
      </c>
      <c r="N811" s="643">
        <f>Data2025!P810</f>
        <v>0</v>
      </c>
      <c r="O811" s="644">
        <f>Data2025!Q810</f>
        <v>0</v>
      </c>
      <c r="P811" s="645" t="s">
        <v>710</v>
      </c>
      <c r="Q811" s="646" t="e">
        <f>VLOOKUP(K811,Sheet1!$C$1:$D$101,2,)</f>
        <v>#N/A</v>
      </c>
      <c r="R811" s="496">
        <v>25000</v>
      </c>
      <c r="S811" s="504">
        <v>35000</v>
      </c>
      <c r="T811" s="648">
        <f>Data2025!T810</f>
        <v>0</v>
      </c>
      <c r="U811" s="497" t="s">
        <v>538</v>
      </c>
      <c r="V811" s="648">
        <f>Data2025!V810</f>
        <v>0</v>
      </c>
      <c r="W811" s="648">
        <f>Data2025!X810</f>
        <v>0</v>
      </c>
      <c r="X811" s="497" t="s">
        <v>541</v>
      </c>
      <c r="Y811" s="268" t="str">
        <f t="shared" si="41"/>
        <v>Alat Tulis Kantor (ATK)</v>
      </c>
      <c r="Z811" s="649" t="str">
        <f t="shared" si="42"/>
        <v>Alat Tulis Kantor (ATK)</v>
      </c>
      <c r="AA811" s="498" t="s">
        <v>3362</v>
      </c>
      <c r="AB811" s="499">
        <v>5000</v>
      </c>
      <c r="AC811" s="499">
        <v>25000</v>
      </c>
      <c r="AD811" s="496">
        <v>25000</v>
      </c>
      <c r="AE811" s="500">
        <v>22522.522522522522</v>
      </c>
      <c r="AF811" s="500">
        <v>25000</v>
      </c>
      <c r="AG811" s="805" t="s">
        <v>3883</v>
      </c>
      <c r="AH811" s="651">
        <f>Data2025!W810</f>
        <v>0</v>
      </c>
      <c r="AI811" s="501">
        <v>250</v>
      </c>
    </row>
    <row r="812" spans="1:35" s="501" customFormat="1" ht="16.5" thickTop="1" thickBot="1">
      <c r="A812" s="636">
        <f>Data2025!G811</f>
        <v>0</v>
      </c>
      <c r="B812" s="637">
        <f>Data2025!K811</f>
        <v>0</v>
      </c>
      <c r="C812" s="638">
        <f>Data2025!D811</f>
        <v>0</v>
      </c>
      <c r="D812" s="639">
        <f>Data2025!C811</f>
        <v>0</v>
      </c>
      <c r="E812" s="265">
        <f>Data2025!E811</f>
        <v>0</v>
      </c>
      <c r="F812" s="640">
        <f>Data2025!F811</f>
        <v>0</v>
      </c>
      <c r="G812" s="265">
        <f>Data2025!H811</f>
        <v>0</v>
      </c>
      <c r="H812" s="265">
        <f t="shared" si="40"/>
        <v>0</v>
      </c>
      <c r="I812" s="641">
        <f>Data2025!J811</f>
        <v>0</v>
      </c>
      <c r="J812" s="381">
        <f>Data2025!L811</f>
        <v>0</v>
      </c>
      <c r="K812" s="381">
        <f>Data2025!M811</f>
        <v>0</v>
      </c>
      <c r="L812" s="642">
        <f>Data2025!N811</f>
        <v>0</v>
      </c>
      <c r="M812" s="642">
        <f>Data2025!O811</f>
        <v>0</v>
      </c>
      <c r="N812" s="643">
        <f>Data2025!P811</f>
        <v>0</v>
      </c>
      <c r="O812" s="644">
        <f>Data2025!Q811</f>
        <v>0</v>
      </c>
      <c r="P812" s="645" t="s">
        <v>710</v>
      </c>
      <c r="Q812" s="646" t="e">
        <f>VLOOKUP(K812,Sheet1!$C$1:$D$101,2,)</f>
        <v>#N/A</v>
      </c>
      <c r="R812" s="496">
        <v>240000</v>
      </c>
      <c r="S812" s="504">
        <v>256000</v>
      </c>
      <c r="T812" s="648">
        <f>Data2025!T811</f>
        <v>0</v>
      </c>
      <c r="U812" s="497" t="s">
        <v>538</v>
      </c>
      <c r="V812" s="648">
        <f>Data2025!V811</f>
        <v>0</v>
      </c>
      <c r="W812" s="648">
        <f>Data2025!X811</f>
        <v>0</v>
      </c>
      <c r="X812" s="497" t="s">
        <v>541</v>
      </c>
      <c r="Y812" s="268" t="str">
        <f t="shared" si="41"/>
        <v>Alat Tulis Kantor (ATK)</v>
      </c>
      <c r="Z812" s="649" t="str">
        <f t="shared" si="42"/>
        <v>Alat Tulis Kantor (ATK)</v>
      </c>
      <c r="AA812" s="498" t="s">
        <v>3367</v>
      </c>
      <c r="AB812" s="499">
        <v>30000</v>
      </c>
      <c r="AC812" s="499">
        <v>240000</v>
      </c>
      <c r="AD812" s="496">
        <v>240000</v>
      </c>
      <c r="AE812" s="500">
        <v>216216.21621621621</v>
      </c>
      <c r="AF812" s="500">
        <v>240000</v>
      </c>
      <c r="AG812" s="805" t="s">
        <v>3883</v>
      </c>
      <c r="AH812" s="651">
        <f>Data2025!W811</f>
        <v>0</v>
      </c>
      <c r="AI812" s="501">
        <v>250</v>
      </c>
    </row>
    <row r="813" spans="1:35" s="501" customFormat="1" ht="16.5" thickTop="1" thickBot="1">
      <c r="A813" s="636">
        <f>Data2025!G812</f>
        <v>0</v>
      </c>
      <c r="B813" s="637">
        <f>Data2025!K812</f>
        <v>0</v>
      </c>
      <c r="C813" s="638">
        <f>Data2025!D812</f>
        <v>0</v>
      </c>
      <c r="D813" s="639">
        <f>Data2025!C812</f>
        <v>0</v>
      </c>
      <c r="E813" s="265">
        <f>Data2025!E812</f>
        <v>0</v>
      </c>
      <c r="F813" s="640">
        <f>Data2025!F812</f>
        <v>0</v>
      </c>
      <c r="G813" s="265">
        <f>Data2025!H812</f>
        <v>0</v>
      </c>
      <c r="H813" s="265">
        <f t="shared" si="40"/>
        <v>0</v>
      </c>
      <c r="I813" s="641">
        <f>Data2025!J812</f>
        <v>0</v>
      </c>
      <c r="J813" s="381">
        <f>Data2025!L812</f>
        <v>0</v>
      </c>
      <c r="K813" s="381">
        <f>Data2025!M812</f>
        <v>0</v>
      </c>
      <c r="L813" s="642">
        <f>Data2025!N812</f>
        <v>0</v>
      </c>
      <c r="M813" s="642">
        <f>Data2025!O812</f>
        <v>0</v>
      </c>
      <c r="N813" s="643">
        <f>Data2025!P812</f>
        <v>0</v>
      </c>
      <c r="O813" s="644">
        <f>Data2025!Q812</f>
        <v>0</v>
      </c>
      <c r="P813" s="645" t="s">
        <v>710</v>
      </c>
      <c r="Q813" s="646" t="e">
        <f>VLOOKUP(K813,Sheet1!$C$1:$D$101,2,)</f>
        <v>#N/A</v>
      </c>
      <c r="R813" s="496">
        <v>55000</v>
      </c>
      <c r="S813" s="504">
        <v>65000</v>
      </c>
      <c r="T813" s="648">
        <f>Data2025!T812</f>
        <v>0</v>
      </c>
      <c r="U813" s="497" t="s">
        <v>538</v>
      </c>
      <c r="V813" s="648">
        <f>Data2025!V812</f>
        <v>0</v>
      </c>
      <c r="W813" s="648">
        <f>Data2025!X812</f>
        <v>0</v>
      </c>
      <c r="X813" s="497" t="s">
        <v>541</v>
      </c>
      <c r="Y813" s="268" t="str">
        <f t="shared" si="41"/>
        <v>Alat Tulis Kantor (ATK)</v>
      </c>
      <c r="Z813" s="649" t="str">
        <f t="shared" si="42"/>
        <v>Alat Tulis Kantor (ATK)</v>
      </c>
      <c r="AA813" s="498" t="s">
        <v>3362</v>
      </c>
      <c r="AB813" s="499">
        <v>11000</v>
      </c>
      <c r="AC813" s="499">
        <v>55000</v>
      </c>
      <c r="AD813" s="496">
        <v>55000</v>
      </c>
      <c r="AE813" s="500">
        <v>49549.549549549549</v>
      </c>
      <c r="AF813" s="500">
        <v>55000</v>
      </c>
      <c r="AG813" s="805" t="s">
        <v>3883</v>
      </c>
      <c r="AH813" s="651">
        <f>Data2025!W812</f>
        <v>0</v>
      </c>
      <c r="AI813" s="501">
        <v>250</v>
      </c>
    </row>
    <row r="814" spans="1:35" s="501" customFormat="1" ht="16.5" thickTop="1" thickBot="1">
      <c r="A814" s="636">
        <f>Data2025!G813</f>
        <v>0</v>
      </c>
      <c r="B814" s="637">
        <f>Data2025!K813</f>
        <v>0</v>
      </c>
      <c r="C814" s="638">
        <f>Data2025!D813</f>
        <v>0</v>
      </c>
      <c r="D814" s="639">
        <f>Data2025!C813</f>
        <v>0</v>
      </c>
      <c r="E814" s="265">
        <f>Data2025!E813</f>
        <v>0</v>
      </c>
      <c r="F814" s="640">
        <f>Data2025!F813</f>
        <v>0</v>
      </c>
      <c r="G814" s="265">
        <f>Data2025!H813</f>
        <v>0</v>
      </c>
      <c r="H814" s="265">
        <f t="shared" si="40"/>
        <v>0</v>
      </c>
      <c r="I814" s="641">
        <f>Data2025!J813</f>
        <v>0</v>
      </c>
      <c r="J814" s="381">
        <f>Data2025!L813</f>
        <v>0</v>
      </c>
      <c r="K814" s="381">
        <f>Data2025!M813</f>
        <v>0</v>
      </c>
      <c r="L814" s="642">
        <f>Data2025!N813</f>
        <v>0</v>
      </c>
      <c r="M814" s="642">
        <f>Data2025!O813</f>
        <v>0</v>
      </c>
      <c r="N814" s="643">
        <f>Data2025!P813</f>
        <v>0</v>
      </c>
      <c r="O814" s="644">
        <f>Data2025!Q813</f>
        <v>0</v>
      </c>
      <c r="P814" s="645" t="s">
        <v>710</v>
      </c>
      <c r="Q814" s="646" t="e">
        <f>VLOOKUP(K814,Sheet1!$C$1:$D$101,2,)</f>
        <v>#N/A</v>
      </c>
      <c r="R814" s="496">
        <v>240000</v>
      </c>
      <c r="S814" s="504">
        <v>244000</v>
      </c>
      <c r="T814" s="648">
        <f>Data2025!T813</f>
        <v>0</v>
      </c>
      <c r="U814" s="497" t="s">
        <v>538</v>
      </c>
      <c r="V814" s="648">
        <f>Data2025!V813</f>
        <v>0</v>
      </c>
      <c r="W814" s="648">
        <f>Data2025!X813</f>
        <v>0</v>
      </c>
      <c r="X814" s="497" t="s">
        <v>541</v>
      </c>
      <c r="Y814" s="268" t="str">
        <f t="shared" si="41"/>
        <v>Alat Tulis Kantor (ATK)</v>
      </c>
      <c r="Z814" s="649" t="str">
        <f t="shared" si="42"/>
        <v>Alat Tulis Kantor (ATK)</v>
      </c>
      <c r="AA814" s="498" t="s">
        <v>3364</v>
      </c>
      <c r="AB814" s="499">
        <v>120000</v>
      </c>
      <c r="AC814" s="499">
        <v>240000</v>
      </c>
      <c r="AD814" s="496">
        <v>240000</v>
      </c>
      <c r="AE814" s="500">
        <v>216216.21621621621</v>
      </c>
      <c r="AF814" s="500">
        <v>240000</v>
      </c>
      <c r="AG814" s="805" t="s">
        <v>3883</v>
      </c>
      <c r="AH814" s="651">
        <f>Data2025!W813</f>
        <v>0</v>
      </c>
      <c r="AI814" s="501">
        <v>250</v>
      </c>
    </row>
    <row r="815" spans="1:35" s="501" customFormat="1" ht="16.5" thickTop="1" thickBot="1">
      <c r="A815" s="636">
        <f>Data2025!G814</f>
        <v>0</v>
      </c>
      <c r="B815" s="637">
        <f>Data2025!K814</f>
        <v>0</v>
      </c>
      <c r="C815" s="638">
        <f>Data2025!D814</f>
        <v>0</v>
      </c>
      <c r="D815" s="639">
        <f>Data2025!C814</f>
        <v>0</v>
      </c>
      <c r="E815" s="265">
        <f>Data2025!E814</f>
        <v>0</v>
      </c>
      <c r="F815" s="640">
        <f>Data2025!F814</f>
        <v>0</v>
      </c>
      <c r="G815" s="265">
        <f>Data2025!H814</f>
        <v>0</v>
      </c>
      <c r="H815" s="265">
        <f t="shared" si="40"/>
        <v>0</v>
      </c>
      <c r="I815" s="641">
        <f>Data2025!J814</f>
        <v>0</v>
      </c>
      <c r="J815" s="381">
        <f>Data2025!L814</f>
        <v>0</v>
      </c>
      <c r="K815" s="381">
        <f>Data2025!M814</f>
        <v>0</v>
      </c>
      <c r="L815" s="642">
        <f>Data2025!N814</f>
        <v>0</v>
      </c>
      <c r="M815" s="642">
        <f>Data2025!O814</f>
        <v>0</v>
      </c>
      <c r="N815" s="643">
        <f>Data2025!P814</f>
        <v>0</v>
      </c>
      <c r="O815" s="644">
        <f>Data2025!Q814</f>
        <v>0</v>
      </c>
      <c r="P815" s="645" t="s">
        <v>710</v>
      </c>
      <c r="Q815" s="646" t="e">
        <f>VLOOKUP(K815,Sheet1!$C$1:$D$101,2,)</f>
        <v>#N/A</v>
      </c>
      <c r="R815" s="496">
        <v>75000</v>
      </c>
      <c r="S815" s="504">
        <v>85000</v>
      </c>
      <c r="T815" s="648">
        <f>Data2025!T814</f>
        <v>0</v>
      </c>
      <c r="U815" s="497" t="s">
        <v>538</v>
      </c>
      <c r="V815" s="648">
        <f>Data2025!V814</f>
        <v>0</v>
      </c>
      <c r="W815" s="648">
        <f>Data2025!X814</f>
        <v>0</v>
      </c>
      <c r="X815" s="497" t="s">
        <v>541</v>
      </c>
      <c r="Y815" s="268" t="str">
        <f t="shared" si="41"/>
        <v>Alat Tulis Kantor (ATK)</v>
      </c>
      <c r="Z815" s="649" t="str">
        <f t="shared" si="42"/>
        <v>Alat Tulis Kantor (ATK)</v>
      </c>
      <c r="AA815" s="498" t="s">
        <v>3363</v>
      </c>
      <c r="AB815" s="499">
        <v>15000</v>
      </c>
      <c r="AC815" s="499">
        <v>75000</v>
      </c>
      <c r="AD815" s="496">
        <v>75000</v>
      </c>
      <c r="AE815" s="500">
        <v>67567.567567567574</v>
      </c>
      <c r="AF815" s="500">
        <v>75000</v>
      </c>
      <c r="AG815" s="805" t="s">
        <v>3883</v>
      </c>
      <c r="AH815" s="651">
        <f>Data2025!W814</f>
        <v>0</v>
      </c>
      <c r="AI815" s="501">
        <v>250</v>
      </c>
    </row>
    <row r="816" spans="1:35" s="501" customFormat="1" ht="16.5" thickTop="1" thickBot="1">
      <c r="A816" s="636">
        <f>Data2025!G815</f>
        <v>0</v>
      </c>
      <c r="B816" s="637">
        <f>Data2025!K815</f>
        <v>0</v>
      </c>
      <c r="C816" s="638">
        <f>Data2025!D815</f>
        <v>0</v>
      </c>
      <c r="D816" s="639">
        <f>Data2025!C815</f>
        <v>0</v>
      </c>
      <c r="E816" s="265">
        <f>Data2025!E815</f>
        <v>0</v>
      </c>
      <c r="F816" s="640">
        <f>Data2025!F815</f>
        <v>0</v>
      </c>
      <c r="G816" s="265">
        <f>Data2025!H815</f>
        <v>0</v>
      </c>
      <c r="H816" s="265">
        <f t="shared" si="40"/>
        <v>0</v>
      </c>
      <c r="I816" s="641">
        <f>Data2025!J815</f>
        <v>0</v>
      </c>
      <c r="J816" s="381">
        <f>Data2025!L815</f>
        <v>0</v>
      </c>
      <c r="K816" s="381">
        <f>Data2025!M815</f>
        <v>0</v>
      </c>
      <c r="L816" s="642">
        <f>Data2025!N815</f>
        <v>0</v>
      </c>
      <c r="M816" s="642">
        <f>Data2025!O815</f>
        <v>0</v>
      </c>
      <c r="N816" s="643">
        <f>Data2025!P815</f>
        <v>0</v>
      </c>
      <c r="O816" s="644">
        <f>Data2025!Q815</f>
        <v>0</v>
      </c>
      <c r="P816" s="645" t="s">
        <v>710</v>
      </c>
      <c r="Q816" s="646" t="e">
        <f>VLOOKUP(K816,Sheet1!$C$1:$D$101,2,)</f>
        <v>#N/A</v>
      </c>
      <c r="R816" s="496">
        <v>87500</v>
      </c>
      <c r="S816" s="504">
        <v>89500</v>
      </c>
      <c r="T816" s="648">
        <f>Data2025!T815</f>
        <v>0</v>
      </c>
      <c r="U816" s="497" t="s">
        <v>538</v>
      </c>
      <c r="V816" s="648">
        <f>Data2025!V815</f>
        <v>0</v>
      </c>
      <c r="W816" s="648">
        <f>Data2025!X815</f>
        <v>0</v>
      </c>
      <c r="X816" s="497" t="s">
        <v>541</v>
      </c>
      <c r="Y816" s="268" t="str">
        <f t="shared" si="41"/>
        <v>Alat Tulis Kantor (ATK)</v>
      </c>
      <c r="Z816" s="649" t="str">
        <f t="shared" si="42"/>
        <v>Alat Tulis Kantor (ATK)</v>
      </c>
      <c r="AA816" s="498" t="s">
        <v>3370</v>
      </c>
      <c r="AB816" s="499">
        <v>87500</v>
      </c>
      <c r="AC816" s="499">
        <v>87500</v>
      </c>
      <c r="AD816" s="496">
        <v>87500</v>
      </c>
      <c r="AE816" s="500">
        <v>78828.828828828831</v>
      </c>
      <c r="AF816" s="500">
        <v>87500</v>
      </c>
      <c r="AG816" s="805" t="s">
        <v>3883</v>
      </c>
      <c r="AH816" s="651">
        <f>Data2025!W815</f>
        <v>0</v>
      </c>
      <c r="AI816" s="501">
        <v>250</v>
      </c>
    </row>
    <row r="817" spans="1:35" s="501" customFormat="1" ht="16.5" thickTop="1" thickBot="1">
      <c r="A817" s="636">
        <f>Data2025!G816</f>
        <v>0</v>
      </c>
      <c r="B817" s="637">
        <f>Data2025!K816</f>
        <v>0</v>
      </c>
      <c r="C817" s="638">
        <f>Data2025!D816</f>
        <v>0</v>
      </c>
      <c r="D817" s="639">
        <f>Data2025!C816</f>
        <v>0</v>
      </c>
      <c r="E817" s="265">
        <f>Data2025!E816</f>
        <v>0</v>
      </c>
      <c r="F817" s="640">
        <f>Data2025!F816</f>
        <v>0</v>
      </c>
      <c r="G817" s="265">
        <f>Data2025!H816</f>
        <v>0</v>
      </c>
      <c r="H817" s="265">
        <f t="shared" si="40"/>
        <v>0</v>
      </c>
      <c r="I817" s="641">
        <f>Data2025!J816</f>
        <v>0</v>
      </c>
      <c r="J817" s="381">
        <f>Data2025!L816</f>
        <v>0</v>
      </c>
      <c r="K817" s="381">
        <f>Data2025!M816</f>
        <v>0</v>
      </c>
      <c r="L817" s="642">
        <f>Data2025!N816</f>
        <v>0</v>
      </c>
      <c r="M817" s="642">
        <f>Data2025!O816</f>
        <v>0</v>
      </c>
      <c r="N817" s="643">
        <f>Data2025!P816</f>
        <v>0</v>
      </c>
      <c r="O817" s="644">
        <f>Data2025!Q816</f>
        <v>0</v>
      </c>
      <c r="P817" s="645" t="s">
        <v>710</v>
      </c>
      <c r="Q817" s="646" t="e">
        <f>VLOOKUP(K817,Sheet1!$C$1:$D$101,2,)</f>
        <v>#N/A</v>
      </c>
      <c r="R817" s="496">
        <v>80000</v>
      </c>
      <c r="S817" s="504">
        <v>82000</v>
      </c>
      <c r="T817" s="648">
        <f>Data2025!T816</f>
        <v>0</v>
      </c>
      <c r="U817" s="497" t="s">
        <v>538</v>
      </c>
      <c r="V817" s="648">
        <f>Data2025!V816</f>
        <v>0</v>
      </c>
      <c r="W817" s="648">
        <f>Data2025!X816</f>
        <v>0</v>
      </c>
      <c r="X817" s="497" t="s">
        <v>541</v>
      </c>
      <c r="Y817" s="268" t="str">
        <f t="shared" si="41"/>
        <v>Alat Tulis Kantor (ATK)</v>
      </c>
      <c r="Z817" s="649" t="str">
        <f t="shared" si="42"/>
        <v>Alat Tulis Kantor (ATK)</v>
      </c>
      <c r="AA817" s="498" t="s">
        <v>3363</v>
      </c>
      <c r="AB817" s="499">
        <v>80000</v>
      </c>
      <c r="AC817" s="499">
        <v>80000</v>
      </c>
      <c r="AD817" s="496">
        <v>80000</v>
      </c>
      <c r="AE817" s="500">
        <v>72072.072072072071</v>
      </c>
      <c r="AF817" s="500">
        <v>80000</v>
      </c>
      <c r="AG817" s="805" t="s">
        <v>3883</v>
      </c>
      <c r="AH817" s="651">
        <f>Data2025!W816</f>
        <v>0</v>
      </c>
      <c r="AI817" s="501">
        <v>250</v>
      </c>
    </row>
    <row r="818" spans="1:35" s="501" customFormat="1" ht="16.5" thickTop="1" thickBot="1">
      <c r="A818" s="636">
        <f>Data2025!G817</f>
        <v>0</v>
      </c>
      <c r="B818" s="637">
        <f>Data2025!K817</f>
        <v>0</v>
      </c>
      <c r="C818" s="638">
        <f>Data2025!D817</f>
        <v>0</v>
      </c>
      <c r="D818" s="639">
        <f>Data2025!C817</f>
        <v>0</v>
      </c>
      <c r="E818" s="265">
        <f>Data2025!E817</f>
        <v>0</v>
      </c>
      <c r="F818" s="640">
        <f>Data2025!F817</f>
        <v>0</v>
      </c>
      <c r="G818" s="265">
        <f>Data2025!H817</f>
        <v>0</v>
      </c>
      <c r="H818" s="265">
        <f t="shared" si="40"/>
        <v>0</v>
      </c>
      <c r="I818" s="641">
        <f>Data2025!J817</f>
        <v>0</v>
      </c>
      <c r="J818" s="381">
        <f>Data2025!L817</f>
        <v>0</v>
      </c>
      <c r="K818" s="381">
        <f>Data2025!M817</f>
        <v>0</v>
      </c>
      <c r="L818" s="642">
        <f>Data2025!N817</f>
        <v>0</v>
      </c>
      <c r="M818" s="642">
        <f>Data2025!O817</f>
        <v>0</v>
      </c>
      <c r="N818" s="643">
        <f>Data2025!P817</f>
        <v>0</v>
      </c>
      <c r="O818" s="644">
        <f>Data2025!Q817</f>
        <v>0</v>
      </c>
      <c r="P818" s="645" t="s">
        <v>710</v>
      </c>
      <c r="Q818" s="646" t="e">
        <f>VLOOKUP(K818,Sheet1!$C$1:$D$101,2,)</f>
        <v>#N/A</v>
      </c>
      <c r="R818" s="496">
        <v>1080000</v>
      </c>
      <c r="S818" s="504">
        <v>1400000</v>
      </c>
      <c r="T818" s="648">
        <f>Data2025!T817</f>
        <v>0</v>
      </c>
      <c r="U818" s="497" t="s">
        <v>538</v>
      </c>
      <c r="V818" s="648">
        <f>Data2025!V817</f>
        <v>0</v>
      </c>
      <c r="W818" s="648">
        <f>Data2025!X817</f>
        <v>0</v>
      </c>
      <c r="X818" s="497" t="s">
        <v>541</v>
      </c>
      <c r="Y818" s="268" t="str">
        <f t="shared" si="41"/>
        <v>Alat Tulis Kantor (ATK)</v>
      </c>
      <c r="Z818" s="649" t="str">
        <f t="shared" si="42"/>
        <v>Alat Tulis Kantor (ATK)</v>
      </c>
      <c r="AA818" s="498" t="s">
        <v>3363</v>
      </c>
      <c r="AB818" s="499">
        <v>12000</v>
      </c>
      <c r="AC818" s="499">
        <v>1200000</v>
      </c>
      <c r="AD818" s="496">
        <v>1080000</v>
      </c>
      <c r="AE818" s="500">
        <v>972972.97297297302</v>
      </c>
      <c r="AF818" s="500">
        <v>1080000</v>
      </c>
      <c r="AG818" s="805" t="s">
        <v>3883</v>
      </c>
      <c r="AH818" s="651">
        <f>Data2025!W817</f>
        <v>0</v>
      </c>
      <c r="AI818" s="501">
        <v>250</v>
      </c>
    </row>
    <row r="819" spans="1:35" s="501" customFormat="1" ht="16.5" thickTop="1" thickBot="1">
      <c r="A819" s="636">
        <f>Data2025!G818</f>
        <v>0</v>
      </c>
      <c r="B819" s="637">
        <f>Data2025!K818</f>
        <v>0</v>
      </c>
      <c r="C819" s="638">
        <f>Data2025!D818</f>
        <v>0</v>
      </c>
      <c r="D819" s="639">
        <f>Data2025!C818</f>
        <v>0</v>
      </c>
      <c r="E819" s="265">
        <f>Data2025!E818</f>
        <v>0</v>
      </c>
      <c r="F819" s="640">
        <f>Data2025!F818</f>
        <v>0</v>
      </c>
      <c r="G819" s="265">
        <f>Data2025!H818</f>
        <v>0</v>
      </c>
      <c r="H819" s="265">
        <f t="shared" si="40"/>
        <v>0</v>
      </c>
      <c r="I819" s="641">
        <f>Data2025!J818</f>
        <v>0</v>
      </c>
      <c r="J819" s="381">
        <f>Data2025!L818</f>
        <v>0</v>
      </c>
      <c r="K819" s="381">
        <f>Data2025!M818</f>
        <v>0</v>
      </c>
      <c r="L819" s="642">
        <f>Data2025!N818</f>
        <v>0</v>
      </c>
      <c r="M819" s="642">
        <f>Data2025!O818</f>
        <v>0</v>
      </c>
      <c r="N819" s="643">
        <f>Data2025!P818</f>
        <v>0</v>
      </c>
      <c r="O819" s="644">
        <f>Data2025!Q818</f>
        <v>0</v>
      </c>
      <c r="P819" s="645" t="s">
        <v>710</v>
      </c>
      <c r="Q819" s="646" t="e">
        <f>VLOOKUP(K819,Sheet1!$C$1:$D$101,2,)</f>
        <v>#N/A</v>
      </c>
      <c r="R819" s="496">
        <v>440000</v>
      </c>
      <c r="S819" s="504">
        <v>448000</v>
      </c>
      <c r="T819" s="648">
        <f>Data2025!T818</f>
        <v>0</v>
      </c>
      <c r="U819" s="497" t="s">
        <v>538</v>
      </c>
      <c r="V819" s="648">
        <f>Data2025!V818</f>
        <v>0</v>
      </c>
      <c r="W819" s="648">
        <f>Data2025!X818</f>
        <v>0</v>
      </c>
      <c r="X819" s="497" t="s">
        <v>541</v>
      </c>
      <c r="Y819" s="268" t="str">
        <f t="shared" si="41"/>
        <v>Alat Tulis Kantor (ATK)</v>
      </c>
      <c r="Z819" s="649" t="str">
        <f t="shared" si="42"/>
        <v>Alat Tulis Kantor (ATK)</v>
      </c>
      <c r="AA819" s="498" t="s">
        <v>3367</v>
      </c>
      <c r="AB819" s="499">
        <v>110000</v>
      </c>
      <c r="AC819" s="499">
        <v>440000</v>
      </c>
      <c r="AD819" s="496">
        <v>440000</v>
      </c>
      <c r="AE819" s="500">
        <v>396396.39639639639</v>
      </c>
      <c r="AF819" s="500">
        <v>440000</v>
      </c>
      <c r="AG819" s="805" t="s">
        <v>3883</v>
      </c>
      <c r="AH819" s="651">
        <f>Data2025!W818</f>
        <v>0</v>
      </c>
      <c r="AI819" s="501">
        <v>250</v>
      </c>
    </row>
    <row r="820" spans="1:35" s="501" customFormat="1" ht="16.5" thickTop="1" thickBot="1">
      <c r="A820" s="636">
        <f>Data2025!G819</f>
        <v>0</v>
      </c>
      <c r="B820" s="637">
        <f>Data2025!K819</f>
        <v>0</v>
      </c>
      <c r="C820" s="638">
        <f>Data2025!D819</f>
        <v>0</v>
      </c>
      <c r="D820" s="639">
        <f>Data2025!C819</f>
        <v>0</v>
      </c>
      <c r="E820" s="265">
        <f>Data2025!E819</f>
        <v>0</v>
      </c>
      <c r="F820" s="640">
        <f>Data2025!F819</f>
        <v>0</v>
      </c>
      <c r="G820" s="265">
        <f>Data2025!H819</f>
        <v>0</v>
      </c>
      <c r="H820" s="265">
        <f t="shared" si="40"/>
        <v>0</v>
      </c>
      <c r="I820" s="641">
        <f>Data2025!J819</f>
        <v>0</v>
      </c>
      <c r="J820" s="381">
        <f>Data2025!L819</f>
        <v>0</v>
      </c>
      <c r="K820" s="381">
        <f>Data2025!M819</f>
        <v>0</v>
      </c>
      <c r="L820" s="642">
        <f>Data2025!N819</f>
        <v>0</v>
      </c>
      <c r="M820" s="642">
        <f>Data2025!O819</f>
        <v>0</v>
      </c>
      <c r="N820" s="643">
        <f>Data2025!P819</f>
        <v>0</v>
      </c>
      <c r="O820" s="644">
        <f>Data2025!Q819</f>
        <v>0</v>
      </c>
      <c r="P820" s="645" t="s">
        <v>710</v>
      </c>
      <c r="Q820" s="646" t="e">
        <f>VLOOKUP(K820,Sheet1!$C$1:$D$101,2,)</f>
        <v>#N/A</v>
      </c>
      <c r="R820" s="496">
        <v>396000</v>
      </c>
      <c r="S820" s="504">
        <v>420000</v>
      </c>
      <c r="T820" s="648">
        <f>Data2025!T819</f>
        <v>0</v>
      </c>
      <c r="U820" s="497" t="s">
        <v>538</v>
      </c>
      <c r="V820" s="648">
        <f>Data2025!V819</f>
        <v>0</v>
      </c>
      <c r="W820" s="648">
        <f>Data2025!X819</f>
        <v>0</v>
      </c>
      <c r="X820" s="497" t="s">
        <v>541</v>
      </c>
      <c r="Y820" s="268" t="str">
        <f t="shared" si="41"/>
        <v>Alat Tulis Kantor (ATK)</v>
      </c>
      <c r="Z820" s="649" t="str">
        <f t="shared" si="42"/>
        <v>Alat Tulis Kantor (ATK)</v>
      </c>
      <c r="AA820" s="498" t="s">
        <v>3367</v>
      </c>
      <c r="AB820" s="499">
        <v>33000</v>
      </c>
      <c r="AC820" s="499">
        <v>396000</v>
      </c>
      <c r="AD820" s="496">
        <v>396000</v>
      </c>
      <c r="AE820" s="500">
        <v>356756.75675675675</v>
      </c>
      <c r="AF820" s="500">
        <v>396000</v>
      </c>
      <c r="AG820" s="805" t="s">
        <v>3883</v>
      </c>
      <c r="AH820" s="651">
        <f>Data2025!W819</f>
        <v>0</v>
      </c>
      <c r="AI820" s="501">
        <v>250</v>
      </c>
    </row>
    <row r="821" spans="1:35" s="501" customFormat="1" ht="16.5" thickTop="1" thickBot="1">
      <c r="A821" s="636">
        <f>Data2025!G820</f>
        <v>0</v>
      </c>
      <c r="B821" s="637">
        <f>Data2025!K820</f>
        <v>0</v>
      </c>
      <c r="C821" s="638">
        <f>Data2025!D820</f>
        <v>0</v>
      </c>
      <c r="D821" s="639">
        <f>Data2025!C820</f>
        <v>0</v>
      </c>
      <c r="E821" s="265">
        <f>Data2025!E820</f>
        <v>0</v>
      </c>
      <c r="F821" s="640">
        <f>Data2025!F820</f>
        <v>0</v>
      </c>
      <c r="G821" s="265">
        <f>Data2025!H820</f>
        <v>0</v>
      </c>
      <c r="H821" s="265">
        <f t="shared" si="40"/>
        <v>0</v>
      </c>
      <c r="I821" s="641">
        <f>Data2025!J820</f>
        <v>0</v>
      </c>
      <c r="J821" s="381">
        <f>Data2025!L820</f>
        <v>0</v>
      </c>
      <c r="K821" s="381">
        <f>Data2025!M820</f>
        <v>0</v>
      </c>
      <c r="L821" s="642">
        <f>Data2025!N820</f>
        <v>0</v>
      </c>
      <c r="M821" s="642">
        <f>Data2025!O820</f>
        <v>0</v>
      </c>
      <c r="N821" s="643">
        <f>Data2025!P820</f>
        <v>0</v>
      </c>
      <c r="O821" s="644">
        <f>Data2025!Q820</f>
        <v>0</v>
      </c>
      <c r="P821" s="645" t="s">
        <v>710</v>
      </c>
      <c r="Q821" s="646" t="e">
        <f>VLOOKUP(K821,Sheet1!$C$1:$D$101,2,)</f>
        <v>#N/A</v>
      </c>
      <c r="R821" s="496">
        <v>125000</v>
      </c>
      <c r="S821" s="504">
        <v>135000</v>
      </c>
      <c r="T821" s="648">
        <f>Data2025!T820</f>
        <v>0</v>
      </c>
      <c r="U821" s="497" t="s">
        <v>538</v>
      </c>
      <c r="V821" s="648">
        <f>Data2025!V820</f>
        <v>0</v>
      </c>
      <c r="W821" s="648">
        <f>Data2025!X820</f>
        <v>0</v>
      </c>
      <c r="X821" s="497" t="s">
        <v>541</v>
      </c>
      <c r="Y821" s="268" t="str">
        <f t="shared" si="41"/>
        <v>Alat Tulis Kantor (ATK)</v>
      </c>
      <c r="Z821" s="649" t="str">
        <f t="shared" si="42"/>
        <v>Alat Tulis Kantor (ATK)</v>
      </c>
      <c r="AA821" s="498" t="s">
        <v>3368</v>
      </c>
      <c r="AB821" s="499">
        <v>25000</v>
      </c>
      <c r="AC821" s="499">
        <v>125000</v>
      </c>
      <c r="AD821" s="496">
        <v>125000</v>
      </c>
      <c r="AE821" s="500">
        <v>112612.61261261262</v>
      </c>
      <c r="AF821" s="500">
        <v>125000</v>
      </c>
      <c r="AG821" s="805" t="s">
        <v>3883</v>
      </c>
      <c r="AH821" s="651">
        <f>Data2025!W820</f>
        <v>0</v>
      </c>
      <c r="AI821" s="501">
        <v>250</v>
      </c>
    </row>
    <row r="822" spans="1:35" s="501" customFormat="1" ht="16.5" thickTop="1" thickBot="1">
      <c r="A822" s="636">
        <f>Data2025!G821</f>
        <v>0</v>
      </c>
      <c r="B822" s="637">
        <f>Data2025!K821</f>
        <v>0</v>
      </c>
      <c r="C822" s="638">
        <f>Data2025!D821</f>
        <v>0</v>
      </c>
      <c r="D822" s="639">
        <f>Data2025!C821</f>
        <v>0</v>
      </c>
      <c r="E822" s="265">
        <f>Data2025!E821</f>
        <v>0</v>
      </c>
      <c r="F822" s="640">
        <f>Data2025!F821</f>
        <v>0</v>
      </c>
      <c r="G822" s="265">
        <f>Data2025!H821</f>
        <v>0</v>
      </c>
      <c r="H822" s="265">
        <f t="shared" si="40"/>
        <v>0</v>
      </c>
      <c r="I822" s="641">
        <f>Data2025!J821</f>
        <v>0</v>
      </c>
      <c r="J822" s="381">
        <f>Data2025!L821</f>
        <v>0</v>
      </c>
      <c r="K822" s="381">
        <f>Data2025!M821</f>
        <v>0</v>
      </c>
      <c r="L822" s="642">
        <f>Data2025!N821</f>
        <v>0</v>
      </c>
      <c r="M822" s="642">
        <f>Data2025!O821</f>
        <v>0</v>
      </c>
      <c r="N822" s="643">
        <f>Data2025!P821</f>
        <v>0</v>
      </c>
      <c r="O822" s="644">
        <f>Data2025!Q821</f>
        <v>0</v>
      </c>
      <c r="P822" s="645" t="s">
        <v>710</v>
      </c>
      <c r="Q822" s="646" t="e">
        <f>VLOOKUP(K822,Sheet1!$C$1:$D$101,2,)</f>
        <v>#N/A</v>
      </c>
      <c r="R822" s="496">
        <v>209000</v>
      </c>
      <c r="S822" s="504">
        <v>229000</v>
      </c>
      <c r="T822" s="648">
        <f>Data2025!T821</f>
        <v>0</v>
      </c>
      <c r="U822" s="497" t="s">
        <v>538</v>
      </c>
      <c r="V822" s="648">
        <f>Data2025!V821</f>
        <v>0</v>
      </c>
      <c r="W822" s="648">
        <f>Data2025!X821</f>
        <v>0</v>
      </c>
      <c r="X822" s="497" t="s">
        <v>541</v>
      </c>
      <c r="Y822" s="268" t="str">
        <f t="shared" si="41"/>
        <v>Alat Tulis Kantor (ATK)</v>
      </c>
      <c r="Z822" s="649" t="str">
        <f t="shared" si="42"/>
        <v>Alat Tulis Kantor (ATK)</v>
      </c>
      <c r="AA822" s="498" t="s">
        <v>3363</v>
      </c>
      <c r="AB822" s="499">
        <v>20900</v>
      </c>
      <c r="AC822" s="499">
        <v>209000</v>
      </c>
      <c r="AD822" s="496">
        <v>209000</v>
      </c>
      <c r="AE822" s="500">
        <v>188288.28828828828</v>
      </c>
      <c r="AF822" s="500">
        <v>209000</v>
      </c>
      <c r="AG822" s="805" t="s">
        <v>3883</v>
      </c>
      <c r="AH822" s="651">
        <f>Data2025!W821</f>
        <v>0</v>
      </c>
      <c r="AI822" s="501">
        <v>250</v>
      </c>
    </row>
    <row r="823" spans="1:35" s="501" customFormat="1" ht="16.5" thickTop="1" thickBot="1">
      <c r="A823" s="636">
        <f>Data2025!G822</f>
        <v>0</v>
      </c>
      <c r="B823" s="637">
        <f>Data2025!K822</f>
        <v>0</v>
      </c>
      <c r="C823" s="638">
        <f>Data2025!D822</f>
        <v>0</v>
      </c>
      <c r="D823" s="639">
        <f>Data2025!C822</f>
        <v>0</v>
      </c>
      <c r="E823" s="265">
        <f>Data2025!E822</f>
        <v>0</v>
      </c>
      <c r="F823" s="640">
        <f>Data2025!F822</f>
        <v>0</v>
      </c>
      <c r="G823" s="265">
        <f>Data2025!H822</f>
        <v>0</v>
      </c>
      <c r="H823" s="265">
        <f t="shared" si="40"/>
        <v>0</v>
      </c>
      <c r="I823" s="641">
        <f>Data2025!J822</f>
        <v>0</v>
      </c>
      <c r="J823" s="381">
        <f>Data2025!L822</f>
        <v>0</v>
      </c>
      <c r="K823" s="381">
        <f>Data2025!M822</f>
        <v>0</v>
      </c>
      <c r="L823" s="642">
        <f>Data2025!N822</f>
        <v>0</v>
      </c>
      <c r="M823" s="642">
        <f>Data2025!O822</f>
        <v>0</v>
      </c>
      <c r="N823" s="643">
        <f>Data2025!P822</f>
        <v>0</v>
      </c>
      <c r="O823" s="644">
        <f>Data2025!Q822</f>
        <v>0</v>
      </c>
      <c r="P823" s="645" t="s">
        <v>710</v>
      </c>
      <c r="Q823" s="646" t="e">
        <f>VLOOKUP(K823,Sheet1!$C$1:$D$101,2,)</f>
        <v>#N/A</v>
      </c>
      <c r="R823" s="496">
        <v>440000</v>
      </c>
      <c r="S823" s="504">
        <v>448000</v>
      </c>
      <c r="T823" s="648">
        <f>Data2025!T822</f>
        <v>0</v>
      </c>
      <c r="U823" s="497" t="s">
        <v>538</v>
      </c>
      <c r="V823" s="648">
        <f>Data2025!V822</f>
        <v>0</v>
      </c>
      <c r="W823" s="648">
        <f>Data2025!X822</f>
        <v>0</v>
      </c>
      <c r="X823" s="497" t="s">
        <v>541</v>
      </c>
      <c r="Y823" s="268" t="str">
        <f t="shared" si="41"/>
        <v>Alat Tulis Kantor (ATK)</v>
      </c>
      <c r="Z823" s="649" t="str">
        <f t="shared" si="42"/>
        <v>Alat Tulis Kantor (ATK)</v>
      </c>
      <c r="AA823" s="498" t="s">
        <v>3367</v>
      </c>
      <c r="AB823" s="499">
        <v>110000</v>
      </c>
      <c r="AC823" s="499">
        <v>440000</v>
      </c>
      <c r="AD823" s="496">
        <v>440000</v>
      </c>
      <c r="AE823" s="500">
        <v>396396.39639639639</v>
      </c>
      <c r="AF823" s="500">
        <v>440000</v>
      </c>
      <c r="AG823" s="805" t="s">
        <v>3883</v>
      </c>
      <c r="AH823" s="651">
        <f>Data2025!W822</f>
        <v>0</v>
      </c>
      <c r="AI823" s="501">
        <v>250</v>
      </c>
    </row>
    <row r="824" spans="1:35" s="501" customFormat="1" ht="16.5" thickTop="1" thickBot="1">
      <c r="A824" s="636">
        <f>Data2025!G823</f>
        <v>0</v>
      </c>
      <c r="B824" s="637">
        <f>Data2025!K823</f>
        <v>0</v>
      </c>
      <c r="C824" s="638">
        <f>Data2025!D823</f>
        <v>0</v>
      </c>
      <c r="D824" s="639">
        <f>Data2025!C823</f>
        <v>0</v>
      </c>
      <c r="E824" s="265">
        <f>Data2025!E823</f>
        <v>0</v>
      </c>
      <c r="F824" s="640">
        <f>Data2025!F823</f>
        <v>0</v>
      </c>
      <c r="G824" s="265">
        <f>Data2025!H823</f>
        <v>0</v>
      </c>
      <c r="H824" s="265">
        <f t="shared" si="40"/>
        <v>0</v>
      </c>
      <c r="I824" s="641">
        <f>Data2025!J823</f>
        <v>0</v>
      </c>
      <c r="J824" s="381">
        <f>Data2025!L823</f>
        <v>0</v>
      </c>
      <c r="K824" s="381">
        <f>Data2025!M823</f>
        <v>0</v>
      </c>
      <c r="L824" s="642">
        <f>Data2025!N823</f>
        <v>0</v>
      </c>
      <c r="M824" s="642">
        <f>Data2025!O823</f>
        <v>0</v>
      </c>
      <c r="N824" s="643">
        <f>Data2025!P823</f>
        <v>0</v>
      </c>
      <c r="O824" s="644">
        <f>Data2025!Q823</f>
        <v>0</v>
      </c>
      <c r="P824" s="645" t="s">
        <v>710</v>
      </c>
      <c r="Q824" s="646" t="e">
        <f>VLOOKUP(K824,Sheet1!$C$1:$D$101,2,)</f>
        <v>#N/A</v>
      </c>
      <c r="R824" s="496">
        <v>485000</v>
      </c>
      <c r="S824" s="504">
        <v>505000</v>
      </c>
      <c r="T824" s="648">
        <f>Data2025!T823</f>
        <v>0</v>
      </c>
      <c r="U824" s="497" t="s">
        <v>538</v>
      </c>
      <c r="V824" s="648">
        <f>Data2025!V823</f>
        <v>0</v>
      </c>
      <c r="W824" s="648">
        <f>Data2025!X823</f>
        <v>0</v>
      </c>
      <c r="X824" s="497" t="s">
        <v>541</v>
      </c>
      <c r="Y824" s="268" t="str">
        <f t="shared" si="41"/>
        <v>Alat Tulis Kantor (ATK)</v>
      </c>
      <c r="Z824" s="649" t="str">
        <f t="shared" si="42"/>
        <v>Alat Tulis Kantor (ATK)</v>
      </c>
      <c r="AA824" s="498" t="s">
        <v>3369</v>
      </c>
      <c r="AB824" s="499">
        <v>48500</v>
      </c>
      <c r="AC824" s="499">
        <v>485000</v>
      </c>
      <c r="AD824" s="496">
        <v>485000</v>
      </c>
      <c r="AE824" s="500">
        <v>436936.93693693692</v>
      </c>
      <c r="AF824" s="500">
        <v>485000</v>
      </c>
      <c r="AG824" s="805" t="s">
        <v>3883</v>
      </c>
      <c r="AH824" s="651">
        <f>Data2025!W823</f>
        <v>0</v>
      </c>
      <c r="AI824" s="501">
        <v>250</v>
      </c>
    </row>
    <row r="825" spans="1:35" s="501" customFormat="1" ht="16.5" thickTop="1" thickBot="1">
      <c r="A825" s="636">
        <f>Data2025!G824</f>
        <v>0</v>
      </c>
      <c r="B825" s="637">
        <f>Data2025!K824</f>
        <v>0</v>
      </c>
      <c r="C825" s="638">
        <f>Data2025!D824</f>
        <v>0</v>
      </c>
      <c r="D825" s="639">
        <f>Data2025!C824</f>
        <v>0</v>
      </c>
      <c r="E825" s="265">
        <f>Data2025!E824</f>
        <v>0</v>
      </c>
      <c r="F825" s="640">
        <f>Data2025!F824</f>
        <v>0</v>
      </c>
      <c r="G825" s="265">
        <f>Data2025!H824</f>
        <v>0</v>
      </c>
      <c r="H825" s="265">
        <f t="shared" si="40"/>
        <v>0</v>
      </c>
      <c r="I825" s="641">
        <f>Data2025!J824</f>
        <v>0</v>
      </c>
      <c r="J825" s="381">
        <f>Data2025!L824</f>
        <v>0</v>
      </c>
      <c r="K825" s="381">
        <f>Data2025!M824</f>
        <v>0</v>
      </c>
      <c r="L825" s="642">
        <f>Data2025!N824</f>
        <v>0</v>
      </c>
      <c r="M825" s="642">
        <f>Data2025!O824</f>
        <v>0</v>
      </c>
      <c r="N825" s="643">
        <f>Data2025!P824</f>
        <v>0</v>
      </c>
      <c r="O825" s="644">
        <f>Data2025!Q824</f>
        <v>0</v>
      </c>
      <c r="P825" s="645" t="s">
        <v>710</v>
      </c>
      <c r="Q825" s="646" t="e">
        <f>VLOOKUP(K825,Sheet1!$C$1:$D$101,2,)</f>
        <v>#N/A</v>
      </c>
      <c r="R825" s="496">
        <v>325000</v>
      </c>
      <c r="S825" s="504">
        <v>335000</v>
      </c>
      <c r="T825" s="648">
        <f>Data2025!T824</f>
        <v>0</v>
      </c>
      <c r="U825" s="497" t="s">
        <v>538</v>
      </c>
      <c r="V825" s="648">
        <f>Data2025!V824</f>
        <v>0</v>
      </c>
      <c r="W825" s="648">
        <f>Data2025!X824</f>
        <v>0</v>
      </c>
      <c r="X825" s="497" t="s">
        <v>541</v>
      </c>
      <c r="Y825" s="268" t="str">
        <f t="shared" si="41"/>
        <v>Alat Tulis Kantor (ATK)</v>
      </c>
      <c r="Z825" s="649" t="str">
        <f t="shared" si="42"/>
        <v>Alat Tulis Kantor (ATK)</v>
      </c>
      <c r="AA825" s="498" t="s">
        <v>3365</v>
      </c>
      <c r="AB825" s="499">
        <v>65000</v>
      </c>
      <c r="AC825" s="499">
        <v>325000</v>
      </c>
      <c r="AD825" s="496">
        <v>325000</v>
      </c>
      <c r="AE825" s="500">
        <v>292792.79279279278</v>
      </c>
      <c r="AF825" s="500">
        <v>325000</v>
      </c>
      <c r="AG825" s="805" t="s">
        <v>3883</v>
      </c>
      <c r="AH825" s="651">
        <f>Data2025!W824</f>
        <v>0</v>
      </c>
      <c r="AI825" s="501">
        <v>250</v>
      </c>
    </row>
    <row r="826" spans="1:35" s="501" customFormat="1" ht="16.5" thickTop="1" thickBot="1">
      <c r="A826" s="636">
        <f>Data2025!G825</f>
        <v>0</v>
      </c>
      <c r="B826" s="637">
        <f>Data2025!K825</f>
        <v>0</v>
      </c>
      <c r="C826" s="638">
        <f>Data2025!D825</f>
        <v>0</v>
      </c>
      <c r="D826" s="639">
        <f>Data2025!C825</f>
        <v>0</v>
      </c>
      <c r="E826" s="265">
        <f>Data2025!E825</f>
        <v>0</v>
      </c>
      <c r="F826" s="640">
        <f>Data2025!F825</f>
        <v>0</v>
      </c>
      <c r="G826" s="265">
        <f>Data2025!H825</f>
        <v>0</v>
      </c>
      <c r="H826" s="265">
        <f t="shared" si="40"/>
        <v>0</v>
      </c>
      <c r="I826" s="641">
        <f>Data2025!J825</f>
        <v>0</v>
      </c>
      <c r="J826" s="381">
        <f>Data2025!L825</f>
        <v>0</v>
      </c>
      <c r="K826" s="381">
        <f>Data2025!M825</f>
        <v>0</v>
      </c>
      <c r="L826" s="642">
        <f>Data2025!N825</f>
        <v>0</v>
      </c>
      <c r="M826" s="642">
        <f>Data2025!O825</f>
        <v>0</v>
      </c>
      <c r="N826" s="643">
        <f>Data2025!P825</f>
        <v>0</v>
      </c>
      <c r="O826" s="644">
        <f>Data2025!Q825</f>
        <v>0</v>
      </c>
      <c r="P826" s="645" t="s">
        <v>710</v>
      </c>
      <c r="Q826" s="646" t="e">
        <f>VLOOKUP(K826,Sheet1!$C$1:$D$101,2,)</f>
        <v>#N/A</v>
      </c>
      <c r="R826" s="496">
        <v>48000</v>
      </c>
      <c r="S826" s="504">
        <v>50000</v>
      </c>
      <c r="T826" s="648">
        <f>Data2025!T825</f>
        <v>0</v>
      </c>
      <c r="U826" s="497" t="s">
        <v>538</v>
      </c>
      <c r="V826" s="648">
        <f>Data2025!V825</f>
        <v>0</v>
      </c>
      <c r="W826" s="648">
        <f>Data2025!X825</f>
        <v>0</v>
      </c>
      <c r="X826" s="497" t="s">
        <v>541</v>
      </c>
      <c r="Y826" s="268" t="str">
        <f t="shared" si="41"/>
        <v>Alat Tulis Kantor (ATK)</v>
      </c>
      <c r="Z826" s="649" t="str">
        <f t="shared" si="42"/>
        <v>Alat Tulis Kantor (ATK)</v>
      </c>
      <c r="AA826" s="498" t="s">
        <v>3362</v>
      </c>
      <c r="AB826" s="499">
        <v>48000</v>
      </c>
      <c r="AC826" s="499">
        <v>48000</v>
      </c>
      <c r="AD826" s="496">
        <v>48000</v>
      </c>
      <c r="AE826" s="500">
        <v>43243.243243243247</v>
      </c>
      <c r="AF826" s="500">
        <v>48000</v>
      </c>
      <c r="AG826" s="805" t="s">
        <v>3883</v>
      </c>
      <c r="AH826" s="651">
        <f>Data2025!W825</f>
        <v>0</v>
      </c>
      <c r="AI826" s="501">
        <v>250</v>
      </c>
    </row>
    <row r="827" spans="1:35" s="501" customFormat="1" ht="16.5" thickTop="1" thickBot="1">
      <c r="A827" s="636">
        <f>Data2025!G826</f>
        <v>0</v>
      </c>
      <c r="B827" s="637">
        <f>Data2025!K826</f>
        <v>0</v>
      </c>
      <c r="C827" s="638">
        <f>Data2025!D826</f>
        <v>0</v>
      </c>
      <c r="D827" s="639">
        <f>Data2025!C826</f>
        <v>0</v>
      </c>
      <c r="E827" s="265">
        <f>Data2025!E826</f>
        <v>0</v>
      </c>
      <c r="F827" s="640">
        <f>Data2025!F826</f>
        <v>0</v>
      </c>
      <c r="G827" s="265">
        <f>Data2025!H826</f>
        <v>0</v>
      </c>
      <c r="H827" s="265">
        <f t="shared" si="40"/>
        <v>0</v>
      </c>
      <c r="I827" s="641">
        <f>Data2025!J826</f>
        <v>0</v>
      </c>
      <c r="J827" s="381">
        <f>Data2025!L826</f>
        <v>0</v>
      </c>
      <c r="K827" s="381">
        <f>Data2025!M826</f>
        <v>0</v>
      </c>
      <c r="L827" s="642">
        <f>Data2025!N826</f>
        <v>0</v>
      </c>
      <c r="M827" s="642">
        <f>Data2025!O826</f>
        <v>0</v>
      </c>
      <c r="N827" s="643">
        <f>Data2025!P826</f>
        <v>0</v>
      </c>
      <c r="O827" s="644">
        <f>Data2025!Q826</f>
        <v>0</v>
      </c>
      <c r="P827" s="645" t="s">
        <v>710</v>
      </c>
      <c r="Q827" s="646" t="e">
        <f>VLOOKUP(K827,Sheet1!$C$1:$D$101,2,)</f>
        <v>#N/A</v>
      </c>
      <c r="R827" s="496">
        <v>300000</v>
      </c>
      <c r="S827" s="504">
        <v>310000</v>
      </c>
      <c r="T827" s="648">
        <f>Data2025!T826</f>
        <v>0</v>
      </c>
      <c r="U827" s="497" t="s">
        <v>538</v>
      </c>
      <c r="V827" s="648">
        <f>Data2025!V826</f>
        <v>0</v>
      </c>
      <c r="W827" s="648">
        <f>Data2025!X826</f>
        <v>0</v>
      </c>
      <c r="X827" s="497" t="s">
        <v>541</v>
      </c>
      <c r="Y827" s="268" t="str">
        <f t="shared" si="41"/>
        <v>Alat Tulis Kantor (ATK)</v>
      </c>
      <c r="Z827" s="649" t="str">
        <f t="shared" si="42"/>
        <v>Alat Tulis Kantor (ATK)</v>
      </c>
      <c r="AA827" s="498" t="s">
        <v>3365</v>
      </c>
      <c r="AB827" s="499">
        <v>60000</v>
      </c>
      <c r="AC827" s="499">
        <v>300000</v>
      </c>
      <c r="AD827" s="496">
        <v>300000</v>
      </c>
      <c r="AE827" s="500">
        <v>270270.2702702703</v>
      </c>
      <c r="AF827" s="500">
        <v>300000</v>
      </c>
      <c r="AG827" s="805" t="s">
        <v>3883</v>
      </c>
      <c r="AH827" s="651">
        <f>Data2025!W826</f>
        <v>0</v>
      </c>
      <c r="AI827" s="501">
        <v>250</v>
      </c>
    </row>
    <row r="828" spans="1:35" s="501" customFormat="1" ht="16.5" thickTop="1" thickBot="1">
      <c r="A828" s="636">
        <f>Data2025!G827</f>
        <v>0</v>
      </c>
      <c r="B828" s="637">
        <f>Data2025!K827</f>
        <v>0</v>
      </c>
      <c r="C828" s="638">
        <f>Data2025!D827</f>
        <v>0</v>
      </c>
      <c r="D828" s="639">
        <f>Data2025!C827</f>
        <v>0</v>
      </c>
      <c r="E828" s="265">
        <f>Data2025!E827</f>
        <v>0</v>
      </c>
      <c r="F828" s="640">
        <f>Data2025!F827</f>
        <v>0</v>
      </c>
      <c r="G828" s="265">
        <f>Data2025!H827</f>
        <v>0</v>
      </c>
      <c r="H828" s="265">
        <f t="shared" si="40"/>
        <v>0</v>
      </c>
      <c r="I828" s="641">
        <f>Data2025!J827</f>
        <v>0</v>
      </c>
      <c r="J828" s="381">
        <f>Data2025!L827</f>
        <v>0</v>
      </c>
      <c r="K828" s="381">
        <f>Data2025!M827</f>
        <v>0</v>
      </c>
      <c r="L828" s="642">
        <f>Data2025!N827</f>
        <v>0</v>
      </c>
      <c r="M828" s="642">
        <f>Data2025!O827</f>
        <v>0</v>
      </c>
      <c r="N828" s="643">
        <f>Data2025!P827</f>
        <v>0</v>
      </c>
      <c r="O828" s="644">
        <f>Data2025!Q827</f>
        <v>0</v>
      </c>
      <c r="P828" s="645" t="s">
        <v>710</v>
      </c>
      <c r="Q828" s="646" t="e">
        <f>VLOOKUP(K828,Sheet1!$C$1:$D$101,2,)</f>
        <v>#N/A</v>
      </c>
      <c r="R828" s="496">
        <v>50000</v>
      </c>
      <c r="S828" s="504">
        <v>54000</v>
      </c>
      <c r="T828" s="648">
        <f>Data2025!T827</f>
        <v>0</v>
      </c>
      <c r="U828" s="497" t="s">
        <v>538</v>
      </c>
      <c r="V828" s="648">
        <f>Data2025!V827</f>
        <v>0</v>
      </c>
      <c r="W828" s="648">
        <f>Data2025!X827</f>
        <v>0</v>
      </c>
      <c r="X828" s="497" t="s">
        <v>541</v>
      </c>
      <c r="Y828" s="268" t="str">
        <f t="shared" si="41"/>
        <v>Alat Tulis Kantor (ATK)</v>
      </c>
      <c r="Z828" s="649" t="str">
        <f t="shared" si="42"/>
        <v>Alat Tulis Kantor (ATK)</v>
      </c>
      <c r="AA828" s="498" t="s">
        <v>3363</v>
      </c>
      <c r="AB828" s="499">
        <v>25000</v>
      </c>
      <c r="AC828" s="499">
        <v>50000</v>
      </c>
      <c r="AD828" s="496">
        <v>50000</v>
      </c>
      <c r="AE828" s="500">
        <v>45045.045045045044</v>
      </c>
      <c r="AF828" s="500">
        <v>50000</v>
      </c>
      <c r="AG828" s="805" t="s">
        <v>3883</v>
      </c>
      <c r="AH828" s="651">
        <f>Data2025!W827</f>
        <v>0</v>
      </c>
      <c r="AI828" s="501">
        <v>250</v>
      </c>
    </row>
    <row r="829" spans="1:35" s="501" customFormat="1" ht="16.5" thickTop="1" thickBot="1">
      <c r="A829" s="636">
        <f>Data2025!G828</f>
        <v>0</v>
      </c>
      <c r="B829" s="637">
        <f>Data2025!K828</f>
        <v>0</v>
      </c>
      <c r="C829" s="638">
        <f>Data2025!D828</f>
        <v>0</v>
      </c>
      <c r="D829" s="639">
        <f>Data2025!C828</f>
        <v>0</v>
      </c>
      <c r="E829" s="265">
        <f>Data2025!E828</f>
        <v>0</v>
      </c>
      <c r="F829" s="640">
        <f>Data2025!F828</f>
        <v>0</v>
      </c>
      <c r="G829" s="265">
        <f>Data2025!H828</f>
        <v>0</v>
      </c>
      <c r="H829" s="265">
        <f t="shared" si="40"/>
        <v>0</v>
      </c>
      <c r="I829" s="641">
        <f>Data2025!J828</f>
        <v>0</v>
      </c>
      <c r="J829" s="381">
        <f>Data2025!L828</f>
        <v>0</v>
      </c>
      <c r="K829" s="381">
        <f>Data2025!M828</f>
        <v>0</v>
      </c>
      <c r="L829" s="642">
        <f>Data2025!N828</f>
        <v>0</v>
      </c>
      <c r="M829" s="642">
        <f>Data2025!O828</f>
        <v>0</v>
      </c>
      <c r="N829" s="643">
        <f>Data2025!P828</f>
        <v>0</v>
      </c>
      <c r="O829" s="644">
        <f>Data2025!Q828</f>
        <v>0</v>
      </c>
      <c r="P829" s="645" t="s">
        <v>710</v>
      </c>
      <c r="Q829" s="646" t="e">
        <f>VLOOKUP(K829,Sheet1!$C$1:$D$101,2,)</f>
        <v>#N/A</v>
      </c>
      <c r="R829" s="496">
        <v>550000</v>
      </c>
      <c r="S829" s="504">
        <v>750000</v>
      </c>
      <c r="T829" s="648">
        <f>Data2025!T828</f>
        <v>0</v>
      </c>
      <c r="U829" s="497" t="s">
        <v>538</v>
      </c>
      <c r="V829" s="648">
        <f>Data2025!V828</f>
        <v>0</v>
      </c>
      <c r="W829" s="648">
        <f>Data2025!X828</f>
        <v>0</v>
      </c>
      <c r="X829" s="497" t="s">
        <v>541</v>
      </c>
      <c r="Y829" s="268" t="str">
        <f t="shared" si="41"/>
        <v>Alat Tulis Kantor (ATK)</v>
      </c>
      <c r="Z829" s="649" t="str">
        <f t="shared" si="42"/>
        <v>Alat Tulis Kantor (ATK)</v>
      </c>
      <c r="AA829" s="498" t="s">
        <v>3363</v>
      </c>
      <c r="AB829" s="499">
        <v>5500</v>
      </c>
      <c r="AC829" s="499">
        <v>550000</v>
      </c>
      <c r="AD829" s="496">
        <v>550000</v>
      </c>
      <c r="AE829" s="500">
        <v>495495.4954954955</v>
      </c>
      <c r="AF829" s="500">
        <v>550000</v>
      </c>
      <c r="AG829" s="805" t="s">
        <v>3883</v>
      </c>
      <c r="AH829" s="651">
        <f>Data2025!W828</f>
        <v>0</v>
      </c>
      <c r="AI829" s="501">
        <v>250</v>
      </c>
    </row>
    <row r="830" spans="1:35" s="501" customFormat="1" ht="16.5" thickTop="1" thickBot="1">
      <c r="A830" s="636">
        <f>Data2025!G829</f>
        <v>0</v>
      </c>
      <c r="B830" s="637">
        <f>Data2025!K829</f>
        <v>0</v>
      </c>
      <c r="C830" s="638">
        <f>Data2025!D829</f>
        <v>0</v>
      </c>
      <c r="D830" s="639">
        <f>Data2025!C829</f>
        <v>0</v>
      </c>
      <c r="E830" s="265">
        <f>Data2025!E829</f>
        <v>0</v>
      </c>
      <c r="F830" s="640">
        <f>Data2025!F829</f>
        <v>0</v>
      </c>
      <c r="G830" s="265">
        <f>Data2025!H829</f>
        <v>0</v>
      </c>
      <c r="H830" s="265">
        <f t="shared" si="40"/>
        <v>0</v>
      </c>
      <c r="I830" s="641">
        <f>Data2025!J829</f>
        <v>0</v>
      </c>
      <c r="J830" s="381">
        <f>Data2025!L829</f>
        <v>0</v>
      </c>
      <c r="K830" s="381">
        <f>Data2025!M829</f>
        <v>0</v>
      </c>
      <c r="L830" s="642">
        <f>Data2025!N829</f>
        <v>0</v>
      </c>
      <c r="M830" s="642">
        <f>Data2025!O829</f>
        <v>0</v>
      </c>
      <c r="N830" s="643">
        <f>Data2025!P829</f>
        <v>0</v>
      </c>
      <c r="O830" s="644">
        <f>Data2025!Q829</f>
        <v>0</v>
      </c>
      <c r="P830" s="645" t="s">
        <v>710</v>
      </c>
      <c r="Q830" s="646" t="e">
        <f>VLOOKUP(K830,Sheet1!$C$1:$D$101,2,)</f>
        <v>#N/A</v>
      </c>
      <c r="R830" s="496">
        <v>235000</v>
      </c>
      <c r="S830" s="504">
        <v>237000</v>
      </c>
      <c r="T830" s="648">
        <f>Data2025!T829</f>
        <v>0</v>
      </c>
      <c r="U830" s="497" t="s">
        <v>538</v>
      </c>
      <c r="V830" s="648">
        <f>Data2025!V829</f>
        <v>0</v>
      </c>
      <c r="W830" s="648">
        <f>Data2025!X829</f>
        <v>0</v>
      </c>
      <c r="X830" s="497" t="s">
        <v>541</v>
      </c>
      <c r="Y830" s="268" t="str">
        <f t="shared" si="41"/>
        <v>Alat Tulis Kantor (ATK)</v>
      </c>
      <c r="Z830" s="649" t="str">
        <f t="shared" si="42"/>
        <v>Alat Tulis Kantor (ATK)</v>
      </c>
      <c r="AA830" s="498" t="s">
        <v>3364</v>
      </c>
      <c r="AB830" s="499">
        <v>235000</v>
      </c>
      <c r="AC830" s="499">
        <v>235000</v>
      </c>
      <c r="AD830" s="496">
        <v>235000</v>
      </c>
      <c r="AE830" s="500">
        <v>211711.71171171172</v>
      </c>
      <c r="AF830" s="500">
        <v>235000</v>
      </c>
      <c r="AG830" s="805" t="s">
        <v>3883</v>
      </c>
      <c r="AH830" s="651">
        <f>Data2025!W829</f>
        <v>0</v>
      </c>
      <c r="AI830" s="501">
        <v>250</v>
      </c>
    </row>
    <row r="831" spans="1:35" ht="16.5" thickTop="1" thickBot="1">
      <c r="A831" s="636">
        <f>Data2025!G830</f>
        <v>0</v>
      </c>
      <c r="B831" s="637">
        <f>Data2025!K830</f>
        <v>0</v>
      </c>
      <c r="C831" s="638">
        <f>Data2025!D830</f>
        <v>0</v>
      </c>
      <c r="D831" s="639">
        <f>Data2025!C830</f>
        <v>0</v>
      </c>
      <c r="E831" s="265">
        <f>Data2025!E830</f>
        <v>0</v>
      </c>
      <c r="F831" s="640">
        <f>Data2025!F830</f>
        <v>0</v>
      </c>
      <c r="G831" s="265">
        <f>Data2025!H830</f>
        <v>0</v>
      </c>
      <c r="H831" s="265">
        <f t="shared" si="40"/>
        <v>0</v>
      </c>
      <c r="I831" s="641">
        <f>Data2025!J830</f>
        <v>0</v>
      </c>
      <c r="J831" s="381">
        <f>Data2025!L830</f>
        <v>0</v>
      </c>
      <c r="K831" s="381">
        <f>Data2025!M830</f>
        <v>0</v>
      </c>
      <c r="L831" s="642">
        <f>Data2025!N830</f>
        <v>0</v>
      </c>
      <c r="M831" s="642">
        <f>Data2025!O830</f>
        <v>0</v>
      </c>
      <c r="N831" s="643">
        <f>Data2025!P830</f>
        <v>0</v>
      </c>
      <c r="O831" s="644">
        <f>Data2025!Q830</f>
        <v>0</v>
      </c>
      <c r="P831" s="645" t="s">
        <v>710</v>
      </c>
      <c r="Q831" s="646" t="e">
        <f>VLOOKUP(K831,Sheet1!$C$1:$D$101,2,)</f>
        <v>#N/A</v>
      </c>
      <c r="R831" s="496">
        <v>50000</v>
      </c>
      <c r="S831" s="504">
        <v>60000</v>
      </c>
      <c r="T831" s="648">
        <f>Data2025!T830</f>
        <v>0</v>
      </c>
      <c r="U831" s="497" t="s">
        <v>538</v>
      </c>
      <c r="V831" s="648">
        <f>Data2025!V830</f>
        <v>0</v>
      </c>
      <c r="W831" s="648">
        <f>Data2025!X830</f>
        <v>0</v>
      </c>
      <c r="X831" s="497" t="s">
        <v>541</v>
      </c>
      <c r="Y831" s="268" t="str">
        <f t="shared" si="41"/>
        <v>Alat Tulis Kantor (ATK)</v>
      </c>
      <c r="Z831" s="649" t="str">
        <f t="shared" si="42"/>
        <v>Alat Tulis Kantor (ATK)</v>
      </c>
      <c r="AA831" s="498" t="s">
        <v>3363</v>
      </c>
      <c r="AB831" s="269">
        <v>10000</v>
      </c>
      <c r="AC831" s="269">
        <v>50000</v>
      </c>
      <c r="AD831" s="267">
        <v>50000</v>
      </c>
      <c r="AE831" s="270">
        <v>45045.045045045044</v>
      </c>
      <c r="AF831" s="270">
        <v>50000</v>
      </c>
      <c r="AG831" s="805" t="s">
        <v>3883</v>
      </c>
      <c r="AH831" s="651">
        <f>Data2025!W830</f>
        <v>0</v>
      </c>
      <c r="AI831" s="61">
        <v>250</v>
      </c>
    </row>
    <row r="832" spans="1:35" ht="16.5" thickTop="1" thickBot="1">
      <c r="A832" s="636">
        <f>Data2025!G831</f>
        <v>0</v>
      </c>
      <c r="B832" s="637">
        <f>Data2025!K831</f>
        <v>0</v>
      </c>
      <c r="C832" s="638">
        <f>Data2025!D831</f>
        <v>0</v>
      </c>
      <c r="D832" s="639">
        <f>Data2025!C831</f>
        <v>0</v>
      </c>
      <c r="E832" s="265">
        <f>Data2025!E831</f>
        <v>0</v>
      </c>
      <c r="F832" s="640">
        <f>Data2025!F831</f>
        <v>0</v>
      </c>
      <c r="G832" s="265">
        <f>Data2025!H831</f>
        <v>0</v>
      </c>
      <c r="H832" s="265">
        <f t="shared" si="40"/>
        <v>0</v>
      </c>
      <c r="I832" s="641">
        <f>Data2025!J831</f>
        <v>0</v>
      </c>
      <c r="J832" s="381">
        <f>Data2025!L831</f>
        <v>0</v>
      </c>
      <c r="K832" s="381">
        <f>Data2025!M831</f>
        <v>0</v>
      </c>
      <c r="L832" s="642">
        <f>Data2025!N831</f>
        <v>0</v>
      </c>
      <c r="M832" s="642">
        <f>Data2025!O831</f>
        <v>0</v>
      </c>
      <c r="N832" s="643">
        <f>Data2025!P831</f>
        <v>0</v>
      </c>
      <c r="O832" s="644">
        <f>Data2025!Q831</f>
        <v>0</v>
      </c>
      <c r="P832" s="645" t="s">
        <v>710</v>
      </c>
      <c r="Q832" s="646" t="e">
        <f>VLOOKUP(K832,Sheet1!$C$1:$D$101,2,)</f>
        <v>#N/A</v>
      </c>
      <c r="R832" s="496">
        <v>30000</v>
      </c>
      <c r="S832" s="504">
        <v>40000</v>
      </c>
      <c r="T832" s="648">
        <f>Data2025!T831</f>
        <v>0</v>
      </c>
      <c r="U832" s="497" t="s">
        <v>538</v>
      </c>
      <c r="V832" s="648">
        <f>Data2025!V831</f>
        <v>0</v>
      </c>
      <c r="W832" s="648">
        <f>Data2025!X831</f>
        <v>0</v>
      </c>
      <c r="X832" s="497" t="s">
        <v>541</v>
      </c>
      <c r="Y832" s="268" t="str">
        <f t="shared" si="41"/>
        <v>Alat Tulis Kantor (ATK)</v>
      </c>
      <c r="Z832" s="649" t="str">
        <f t="shared" si="42"/>
        <v>Alat Tulis Kantor (ATK)</v>
      </c>
      <c r="AA832" s="498" t="s">
        <v>3362</v>
      </c>
      <c r="AB832" s="269">
        <v>6000</v>
      </c>
      <c r="AC832" s="269">
        <v>30000</v>
      </c>
      <c r="AD832" s="267">
        <v>30000</v>
      </c>
      <c r="AE832" s="270">
        <v>27027.027027027027</v>
      </c>
      <c r="AF832" s="270">
        <v>30000</v>
      </c>
      <c r="AG832" s="805" t="s">
        <v>3883</v>
      </c>
      <c r="AH832" s="651">
        <f>Data2025!W831</f>
        <v>0</v>
      </c>
      <c r="AI832" s="61">
        <v>250</v>
      </c>
    </row>
    <row r="833" spans="1:35" ht="16.5" thickTop="1" thickBot="1">
      <c r="A833" s="636">
        <f>Data2025!G832</f>
        <v>0</v>
      </c>
      <c r="B833" s="637">
        <f>Data2025!K832</f>
        <v>0</v>
      </c>
      <c r="C833" s="638">
        <f>Data2025!D832</f>
        <v>0</v>
      </c>
      <c r="D833" s="639">
        <f>Data2025!C832</f>
        <v>0</v>
      </c>
      <c r="E833" s="265">
        <f>Data2025!E832</f>
        <v>0</v>
      </c>
      <c r="F833" s="640">
        <f>Data2025!F832</f>
        <v>0</v>
      </c>
      <c r="G833" s="265">
        <f>Data2025!H832</f>
        <v>0</v>
      </c>
      <c r="H833" s="265">
        <f t="shared" si="40"/>
        <v>0</v>
      </c>
      <c r="I833" s="641">
        <f>Data2025!J832</f>
        <v>0</v>
      </c>
      <c r="J833" s="381">
        <f>Data2025!L832</f>
        <v>0</v>
      </c>
      <c r="K833" s="381">
        <f>Data2025!M832</f>
        <v>0</v>
      </c>
      <c r="L833" s="642">
        <f>Data2025!N832</f>
        <v>0</v>
      </c>
      <c r="M833" s="642">
        <f>Data2025!O832</f>
        <v>0</v>
      </c>
      <c r="N833" s="643">
        <f>Data2025!P832</f>
        <v>0</v>
      </c>
      <c r="O833" s="644">
        <f>Data2025!Q832</f>
        <v>0</v>
      </c>
      <c r="P833" s="645" t="s">
        <v>710</v>
      </c>
      <c r="Q833" s="646" t="e">
        <f>VLOOKUP(K833,Sheet1!$C$1:$D$101,2,)</f>
        <v>#N/A</v>
      </c>
      <c r="R833" s="496">
        <v>125000</v>
      </c>
      <c r="S833" s="504">
        <v>135000</v>
      </c>
      <c r="T833" s="648">
        <f>Data2025!T832</f>
        <v>0</v>
      </c>
      <c r="U833" s="497" t="s">
        <v>538</v>
      </c>
      <c r="V833" s="648">
        <f>Data2025!V832</f>
        <v>0</v>
      </c>
      <c r="W833" s="648">
        <f>Data2025!X832</f>
        <v>0</v>
      </c>
      <c r="X833" s="497" t="s">
        <v>541</v>
      </c>
      <c r="Y833" s="268" t="str">
        <f t="shared" si="41"/>
        <v>Alat Tulis Kantor (ATK)</v>
      </c>
      <c r="Z833" s="649" t="str">
        <f t="shared" si="42"/>
        <v>Alat Tulis Kantor (ATK)</v>
      </c>
      <c r="AA833" s="498" t="s">
        <v>3363</v>
      </c>
      <c r="AB833" s="269">
        <v>25000</v>
      </c>
      <c r="AC833" s="269">
        <v>125000</v>
      </c>
      <c r="AD833" s="267">
        <v>125000</v>
      </c>
      <c r="AE833" s="270">
        <v>112612.61261261262</v>
      </c>
      <c r="AF833" s="270">
        <v>125000</v>
      </c>
      <c r="AG833" s="805" t="s">
        <v>3883</v>
      </c>
      <c r="AH833" s="651">
        <f>Data2025!W832</f>
        <v>0</v>
      </c>
      <c r="AI833" s="61">
        <v>250</v>
      </c>
    </row>
    <row r="834" spans="1:35" s="501" customFormat="1" ht="16.5" thickTop="1" thickBot="1">
      <c r="A834" s="636">
        <f>Data2025!G833</f>
        <v>0</v>
      </c>
      <c r="B834" s="637">
        <f>Data2025!K833</f>
        <v>0</v>
      </c>
      <c r="C834" s="638">
        <f>Data2025!D833</f>
        <v>0</v>
      </c>
      <c r="D834" s="639">
        <f>Data2025!C833</f>
        <v>0</v>
      </c>
      <c r="E834" s="265">
        <f>Data2025!E833</f>
        <v>0</v>
      </c>
      <c r="F834" s="640">
        <f>Data2025!F833</f>
        <v>0</v>
      </c>
      <c r="G834" s="265">
        <f>Data2025!H833</f>
        <v>0</v>
      </c>
      <c r="H834" s="265">
        <f t="shared" si="40"/>
        <v>0</v>
      </c>
      <c r="I834" s="641">
        <f>Data2025!J833</f>
        <v>0</v>
      </c>
      <c r="J834" s="381">
        <f>Data2025!L833</f>
        <v>0</v>
      </c>
      <c r="K834" s="381">
        <f>Data2025!M833</f>
        <v>0</v>
      </c>
      <c r="L834" s="642">
        <f>Data2025!N833</f>
        <v>0</v>
      </c>
      <c r="M834" s="642">
        <f>Data2025!O833</f>
        <v>0</v>
      </c>
      <c r="N834" s="643">
        <f>Data2025!P833</f>
        <v>0</v>
      </c>
      <c r="O834" s="644">
        <f>Data2025!Q833</f>
        <v>0</v>
      </c>
      <c r="P834" s="645" t="s">
        <v>710</v>
      </c>
      <c r="Q834" s="646" t="e">
        <f>VLOOKUP(K834,Sheet1!$C$1:$D$101,2,)</f>
        <v>#N/A</v>
      </c>
      <c r="R834" s="496">
        <v>297000</v>
      </c>
      <c r="S834" s="504">
        <v>309000</v>
      </c>
      <c r="T834" s="648">
        <f>Data2025!T833</f>
        <v>0</v>
      </c>
      <c r="U834" s="497" t="s">
        <v>538</v>
      </c>
      <c r="V834" s="648">
        <f>Data2025!V833</f>
        <v>0</v>
      </c>
      <c r="W834" s="648">
        <f>Data2025!X833</f>
        <v>0</v>
      </c>
      <c r="X834" s="497" t="s">
        <v>541</v>
      </c>
      <c r="Y834" s="268" t="str">
        <f t="shared" si="41"/>
        <v>Alat Tulis Kantor (ATK)</v>
      </c>
      <c r="Z834" s="649" t="str">
        <f t="shared" si="42"/>
        <v>Alat Tulis Kantor (ATK)</v>
      </c>
      <c r="AA834" s="498" t="s">
        <v>3363</v>
      </c>
      <c r="AB834" s="499">
        <v>49500</v>
      </c>
      <c r="AC834" s="499">
        <v>297000</v>
      </c>
      <c r="AD834" s="496">
        <v>297000</v>
      </c>
      <c r="AE834" s="500">
        <v>267567.56756756757</v>
      </c>
      <c r="AF834" s="500">
        <v>297000</v>
      </c>
      <c r="AG834" s="805" t="s">
        <v>3883</v>
      </c>
      <c r="AH834" s="651">
        <f>Data2025!W833</f>
        <v>0</v>
      </c>
      <c r="AI834" s="501">
        <v>250</v>
      </c>
    </row>
    <row r="835" spans="1:35" s="501" customFormat="1" ht="16.5" thickTop="1" thickBot="1">
      <c r="A835" s="636">
        <f>Data2025!G834</f>
        <v>0</v>
      </c>
      <c r="B835" s="637">
        <f>Data2025!K834</f>
        <v>0</v>
      </c>
      <c r="C835" s="638">
        <f>Data2025!D834</f>
        <v>0</v>
      </c>
      <c r="D835" s="639">
        <f>Data2025!C834</f>
        <v>0</v>
      </c>
      <c r="E835" s="265">
        <f>Data2025!E834</f>
        <v>0</v>
      </c>
      <c r="F835" s="640">
        <f>Data2025!F834</f>
        <v>0</v>
      </c>
      <c r="G835" s="265">
        <f>Data2025!H834</f>
        <v>0</v>
      </c>
      <c r="H835" s="265">
        <f t="shared" si="40"/>
        <v>0</v>
      </c>
      <c r="I835" s="641">
        <f>Data2025!J834</f>
        <v>0</v>
      </c>
      <c r="J835" s="381">
        <f>Data2025!L834</f>
        <v>0</v>
      </c>
      <c r="K835" s="381">
        <f>Data2025!M834</f>
        <v>0</v>
      </c>
      <c r="L835" s="642">
        <f>Data2025!N834</f>
        <v>0</v>
      </c>
      <c r="M835" s="642">
        <f>Data2025!O834</f>
        <v>0</v>
      </c>
      <c r="N835" s="643">
        <f>Data2025!P834</f>
        <v>0</v>
      </c>
      <c r="O835" s="644">
        <f>Data2025!Q834</f>
        <v>0</v>
      </c>
      <c r="P835" s="645" t="s">
        <v>710</v>
      </c>
      <c r="Q835" s="646" t="e">
        <f>VLOOKUP(K835,Sheet1!$C$1:$D$101,2,)</f>
        <v>#N/A</v>
      </c>
      <c r="R835" s="496">
        <v>200000</v>
      </c>
      <c r="S835" s="504">
        <v>220000</v>
      </c>
      <c r="T835" s="648">
        <f>Data2025!T834</f>
        <v>0</v>
      </c>
      <c r="U835" s="497" t="s">
        <v>538</v>
      </c>
      <c r="V835" s="648">
        <f>Data2025!V834</f>
        <v>0</v>
      </c>
      <c r="W835" s="648">
        <f>Data2025!X834</f>
        <v>0</v>
      </c>
      <c r="X835" s="497" t="s">
        <v>541</v>
      </c>
      <c r="Y835" s="268" t="str">
        <f t="shared" si="41"/>
        <v>Alat Tulis Kantor (ATK)</v>
      </c>
      <c r="Z835" s="649" t="str">
        <f t="shared" si="42"/>
        <v>Alat Tulis Kantor (ATK)</v>
      </c>
      <c r="AA835" s="498" t="s">
        <v>3362</v>
      </c>
      <c r="AB835" s="499">
        <v>20000</v>
      </c>
      <c r="AC835" s="499">
        <v>200000</v>
      </c>
      <c r="AD835" s="496">
        <v>200000</v>
      </c>
      <c r="AE835" s="500">
        <v>180180.18018018018</v>
      </c>
      <c r="AF835" s="500">
        <v>200000</v>
      </c>
      <c r="AG835" s="805" t="s">
        <v>3883</v>
      </c>
      <c r="AH835" s="651">
        <f>Data2025!W834</f>
        <v>0</v>
      </c>
      <c r="AI835" s="501">
        <v>250</v>
      </c>
    </row>
    <row r="836" spans="1:35" s="501" customFormat="1" ht="16.5" thickTop="1" thickBot="1">
      <c r="A836" s="636">
        <f>Data2025!G835</f>
        <v>0</v>
      </c>
      <c r="B836" s="637">
        <f>Data2025!K835</f>
        <v>0</v>
      </c>
      <c r="C836" s="638">
        <f>Data2025!D835</f>
        <v>0</v>
      </c>
      <c r="D836" s="639">
        <f>Data2025!C835</f>
        <v>0</v>
      </c>
      <c r="E836" s="265">
        <f>Data2025!E835</f>
        <v>0</v>
      </c>
      <c r="F836" s="640">
        <f>Data2025!F835</f>
        <v>0</v>
      </c>
      <c r="G836" s="265">
        <f>Data2025!H835</f>
        <v>0</v>
      </c>
      <c r="H836" s="265">
        <f t="shared" si="40"/>
        <v>0</v>
      </c>
      <c r="I836" s="641">
        <f>Data2025!J835</f>
        <v>0</v>
      </c>
      <c r="J836" s="381">
        <f>Data2025!L835</f>
        <v>0</v>
      </c>
      <c r="K836" s="381">
        <f>Data2025!M835</f>
        <v>0</v>
      </c>
      <c r="L836" s="642">
        <f>Data2025!N835</f>
        <v>0</v>
      </c>
      <c r="M836" s="642">
        <f>Data2025!O835</f>
        <v>0</v>
      </c>
      <c r="N836" s="643">
        <f>Data2025!P835</f>
        <v>0</v>
      </c>
      <c r="O836" s="644">
        <f>Data2025!Q835</f>
        <v>0</v>
      </c>
      <c r="P836" s="645" t="s">
        <v>710</v>
      </c>
      <c r="Q836" s="646" t="e">
        <f>VLOOKUP(K836,Sheet1!$C$1:$D$101,2,)</f>
        <v>#N/A</v>
      </c>
      <c r="R836" s="496">
        <v>10000</v>
      </c>
      <c r="S836" s="504">
        <v>14000</v>
      </c>
      <c r="T836" s="648">
        <f>Data2025!T835</f>
        <v>0</v>
      </c>
      <c r="U836" s="497" t="s">
        <v>538</v>
      </c>
      <c r="V836" s="648">
        <f>Data2025!V835</f>
        <v>0</v>
      </c>
      <c r="W836" s="648">
        <f>Data2025!X835</f>
        <v>0</v>
      </c>
      <c r="X836" s="497" t="s">
        <v>541</v>
      </c>
      <c r="Y836" s="268" t="str">
        <f t="shared" si="41"/>
        <v>Alat Tulis Kantor (ATK)</v>
      </c>
      <c r="Z836" s="649" t="str">
        <f t="shared" si="42"/>
        <v>Alat Tulis Kantor (ATK)</v>
      </c>
      <c r="AA836" s="498" t="s">
        <v>3362</v>
      </c>
      <c r="AB836" s="499">
        <v>5000</v>
      </c>
      <c r="AC836" s="499">
        <v>10000</v>
      </c>
      <c r="AD836" s="496">
        <v>10000</v>
      </c>
      <c r="AE836" s="500">
        <v>9009.0090090090089</v>
      </c>
      <c r="AF836" s="500">
        <v>10000</v>
      </c>
      <c r="AG836" s="805" t="s">
        <v>3883</v>
      </c>
      <c r="AH836" s="651">
        <f>Data2025!W835</f>
        <v>0</v>
      </c>
      <c r="AI836" s="501">
        <v>250</v>
      </c>
    </row>
    <row r="837" spans="1:35" ht="16.5" thickTop="1" thickBot="1">
      <c r="A837" s="636">
        <f>Data2025!G836</f>
        <v>0</v>
      </c>
      <c r="B837" s="637">
        <f>Data2025!K836</f>
        <v>0</v>
      </c>
      <c r="C837" s="638">
        <f>Data2025!D836</f>
        <v>0</v>
      </c>
      <c r="D837" s="639">
        <f>Data2025!C836</f>
        <v>0</v>
      </c>
      <c r="E837" s="265">
        <f>Data2025!E836</f>
        <v>0</v>
      </c>
      <c r="F837" s="640">
        <f>Data2025!F836</f>
        <v>0</v>
      </c>
      <c r="G837" s="265">
        <f>Data2025!H836</f>
        <v>0</v>
      </c>
      <c r="H837" s="265">
        <f t="shared" ref="H837:H900" si="43">G837</f>
        <v>0</v>
      </c>
      <c r="I837" s="641">
        <f>Data2025!J836</f>
        <v>0</v>
      </c>
      <c r="J837" s="381">
        <f>Data2025!L836</f>
        <v>0</v>
      </c>
      <c r="K837" s="381">
        <f>Data2025!M836</f>
        <v>0</v>
      </c>
      <c r="L837" s="642">
        <f>Data2025!N836</f>
        <v>0</v>
      </c>
      <c r="M837" s="642">
        <f>Data2025!O836</f>
        <v>0</v>
      </c>
      <c r="N837" s="643">
        <f>Data2025!P836</f>
        <v>0</v>
      </c>
      <c r="O837" s="644">
        <f>Data2025!Q836</f>
        <v>0</v>
      </c>
      <c r="P837" s="645" t="s">
        <v>710</v>
      </c>
      <c r="Q837" s="646" t="e">
        <f>VLOOKUP(K837,Sheet1!$C$1:$D$101,2,)</f>
        <v>#N/A</v>
      </c>
      <c r="R837" s="496">
        <v>40000</v>
      </c>
      <c r="S837" s="504">
        <v>44000</v>
      </c>
      <c r="T837" s="648">
        <f>Data2025!T836</f>
        <v>0</v>
      </c>
      <c r="U837" s="497" t="s">
        <v>538</v>
      </c>
      <c r="V837" s="648">
        <f>Data2025!V836</f>
        <v>0</v>
      </c>
      <c r="W837" s="648">
        <f>Data2025!X836</f>
        <v>0</v>
      </c>
      <c r="X837" s="497" t="s">
        <v>541</v>
      </c>
      <c r="Y837" s="268" t="str">
        <f t="shared" ref="Y837:Y900" si="44">P837</f>
        <v>Alat Tulis Kantor (ATK)</v>
      </c>
      <c r="Z837" s="649" t="str">
        <f t="shared" ref="Z837:Z900" si="45">Y837</f>
        <v>Alat Tulis Kantor (ATK)</v>
      </c>
      <c r="AA837" s="498" t="s">
        <v>3363</v>
      </c>
      <c r="AB837" s="269">
        <v>20000</v>
      </c>
      <c r="AC837" s="269">
        <v>40000</v>
      </c>
      <c r="AD837" s="267">
        <v>40000</v>
      </c>
      <c r="AE837" s="270">
        <v>36036.036036036036</v>
      </c>
      <c r="AF837" s="270">
        <v>40000</v>
      </c>
      <c r="AG837" s="805" t="s">
        <v>3883</v>
      </c>
      <c r="AH837" s="651">
        <f>Data2025!W836</f>
        <v>0</v>
      </c>
      <c r="AI837" s="61">
        <v>250</v>
      </c>
    </row>
    <row r="838" spans="1:35" ht="16.5" thickTop="1" thickBot="1">
      <c r="A838" s="636">
        <f>Data2025!G837</f>
        <v>0</v>
      </c>
      <c r="B838" s="637">
        <f>Data2025!K837</f>
        <v>0</v>
      </c>
      <c r="C838" s="638">
        <f>Data2025!D837</f>
        <v>0</v>
      </c>
      <c r="D838" s="639">
        <f>Data2025!C837</f>
        <v>0</v>
      </c>
      <c r="E838" s="265">
        <f>Data2025!E837</f>
        <v>0</v>
      </c>
      <c r="F838" s="640">
        <f>Data2025!F837</f>
        <v>0</v>
      </c>
      <c r="G838" s="265">
        <f>Data2025!H837</f>
        <v>0</v>
      </c>
      <c r="H838" s="265">
        <f t="shared" si="43"/>
        <v>0</v>
      </c>
      <c r="I838" s="641">
        <f>Data2025!J837</f>
        <v>0</v>
      </c>
      <c r="J838" s="381">
        <f>Data2025!L837</f>
        <v>0</v>
      </c>
      <c r="K838" s="381">
        <f>Data2025!M837</f>
        <v>0</v>
      </c>
      <c r="L838" s="642">
        <f>Data2025!N837</f>
        <v>0</v>
      </c>
      <c r="M838" s="642">
        <f>Data2025!O837</f>
        <v>0</v>
      </c>
      <c r="N838" s="643">
        <f>Data2025!P837</f>
        <v>0</v>
      </c>
      <c r="O838" s="644">
        <f>Data2025!Q837</f>
        <v>0</v>
      </c>
      <c r="P838" s="645" t="s">
        <v>710</v>
      </c>
      <c r="Q838" s="646" t="e">
        <f>VLOOKUP(K838,Sheet1!$C$1:$D$101,2,)</f>
        <v>#N/A</v>
      </c>
      <c r="R838" s="496">
        <v>1240000</v>
      </c>
      <c r="S838" s="504">
        <v>1248000</v>
      </c>
      <c r="T838" s="648">
        <f>Data2025!T837</f>
        <v>0</v>
      </c>
      <c r="U838" s="497" t="s">
        <v>538</v>
      </c>
      <c r="V838" s="648">
        <f>Data2025!V837</f>
        <v>0</v>
      </c>
      <c r="W838" s="648">
        <f>Data2025!X837</f>
        <v>0</v>
      </c>
      <c r="X838" s="497" t="s">
        <v>541</v>
      </c>
      <c r="Y838" s="268" t="str">
        <f t="shared" si="44"/>
        <v>Alat Tulis Kantor (ATK)</v>
      </c>
      <c r="Z838" s="649" t="str">
        <f t="shared" si="45"/>
        <v>Alat Tulis Kantor (ATK)</v>
      </c>
      <c r="AA838" s="498" t="s">
        <v>3367</v>
      </c>
      <c r="AB838" s="269">
        <v>310000</v>
      </c>
      <c r="AC838" s="269">
        <v>1240000</v>
      </c>
      <c r="AD838" s="267">
        <v>1240000</v>
      </c>
      <c r="AE838" s="270">
        <v>1117117.1171171172</v>
      </c>
      <c r="AF838" s="270">
        <v>1240000</v>
      </c>
      <c r="AG838" s="805" t="s">
        <v>3883</v>
      </c>
      <c r="AH838" s="651">
        <f>Data2025!W837</f>
        <v>0</v>
      </c>
      <c r="AI838" s="61">
        <v>250</v>
      </c>
    </row>
    <row r="839" spans="1:35" s="501" customFormat="1" ht="16.5" thickTop="1" thickBot="1">
      <c r="A839" s="636">
        <f>Data2025!G838</f>
        <v>0</v>
      </c>
      <c r="B839" s="637">
        <f>Data2025!K838</f>
        <v>0</v>
      </c>
      <c r="C839" s="638">
        <f>Data2025!D838</f>
        <v>0</v>
      </c>
      <c r="D839" s="639">
        <f>Data2025!C838</f>
        <v>0</v>
      </c>
      <c r="E839" s="265">
        <f>Data2025!E838</f>
        <v>0</v>
      </c>
      <c r="F839" s="640">
        <f>Data2025!F838</f>
        <v>0</v>
      </c>
      <c r="G839" s="265">
        <f>Data2025!H838</f>
        <v>0</v>
      </c>
      <c r="H839" s="265">
        <f t="shared" si="43"/>
        <v>0</v>
      </c>
      <c r="I839" s="641">
        <f>Data2025!J838</f>
        <v>0</v>
      </c>
      <c r="J839" s="381">
        <f>Data2025!L838</f>
        <v>0</v>
      </c>
      <c r="K839" s="381">
        <f>Data2025!M838</f>
        <v>0</v>
      </c>
      <c r="L839" s="642">
        <f>Data2025!N838</f>
        <v>0</v>
      </c>
      <c r="M839" s="642">
        <f>Data2025!O838</f>
        <v>0</v>
      </c>
      <c r="N839" s="643">
        <f>Data2025!P838</f>
        <v>0</v>
      </c>
      <c r="O839" s="644">
        <f>Data2025!Q838</f>
        <v>0</v>
      </c>
      <c r="P839" s="645" t="s">
        <v>710</v>
      </c>
      <c r="Q839" s="646" t="e">
        <f>VLOOKUP(K839,Sheet1!$C$1:$D$101,2,)</f>
        <v>#N/A</v>
      </c>
      <c r="R839" s="496">
        <v>37500</v>
      </c>
      <c r="S839" s="504">
        <v>47500</v>
      </c>
      <c r="T839" s="648">
        <f>Data2025!T838</f>
        <v>0</v>
      </c>
      <c r="U839" s="497" t="s">
        <v>538</v>
      </c>
      <c r="V839" s="648">
        <f>Data2025!V838</f>
        <v>0</v>
      </c>
      <c r="W839" s="648">
        <f>Data2025!X838</f>
        <v>0</v>
      </c>
      <c r="X839" s="497" t="s">
        <v>541</v>
      </c>
      <c r="Y839" s="268" t="str">
        <f t="shared" si="44"/>
        <v>Alat Tulis Kantor (ATK)</v>
      </c>
      <c r="Z839" s="649" t="str">
        <f t="shared" si="45"/>
        <v>Alat Tulis Kantor (ATK)</v>
      </c>
      <c r="AA839" s="498" t="s">
        <v>3362</v>
      </c>
      <c r="AB839" s="499">
        <v>7500</v>
      </c>
      <c r="AC839" s="499">
        <v>37500</v>
      </c>
      <c r="AD839" s="496">
        <v>37500</v>
      </c>
      <c r="AE839" s="500">
        <v>33783.783783783787</v>
      </c>
      <c r="AF839" s="500">
        <v>37500</v>
      </c>
      <c r="AG839" s="805" t="s">
        <v>3883</v>
      </c>
      <c r="AH839" s="651">
        <f>Data2025!W838</f>
        <v>0</v>
      </c>
      <c r="AI839" s="501">
        <v>250</v>
      </c>
    </row>
    <row r="840" spans="1:35" ht="16.5" thickTop="1" thickBot="1">
      <c r="A840" s="636">
        <f>Data2025!G839</f>
        <v>0</v>
      </c>
      <c r="B840" s="637">
        <f>Data2025!K839</f>
        <v>0</v>
      </c>
      <c r="C840" s="638">
        <f>Data2025!D839</f>
        <v>0</v>
      </c>
      <c r="D840" s="639">
        <f>Data2025!C839</f>
        <v>0</v>
      </c>
      <c r="E840" s="265">
        <f>Data2025!E839</f>
        <v>0</v>
      </c>
      <c r="F840" s="640">
        <f>Data2025!F839</f>
        <v>0</v>
      </c>
      <c r="G840" s="265">
        <f>Data2025!H839</f>
        <v>0</v>
      </c>
      <c r="H840" s="265">
        <f t="shared" si="43"/>
        <v>0</v>
      </c>
      <c r="I840" s="641">
        <f>Data2025!J839</f>
        <v>0</v>
      </c>
      <c r="J840" s="381">
        <f>Data2025!L839</f>
        <v>0</v>
      </c>
      <c r="K840" s="381">
        <f>Data2025!M839</f>
        <v>0</v>
      </c>
      <c r="L840" s="642">
        <f>Data2025!N839</f>
        <v>0</v>
      </c>
      <c r="M840" s="642">
        <f>Data2025!O839</f>
        <v>0</v>
      </c>
      <c r="N840" s="643">
        <f>Data2025!P839</f>
        <v>0</v>
      </c>
      <c r="O840" s="644">
        <f>Data2025!Q839</f>
        <v>0</v>
      </c>
      <c r="P840" s="645" t="s">
        <v>710</v>
      </c>
      <c r="Q840" s="646" t="e">
        <f>VLOOKUP(K840,Sheet1!$C$1:$D$101,2,)</f>
        <v>#N/A</v>
      </c>
      <c r="R840" s="496">
        <v>95000</v>
      </c>
      <c r="S840" s="504">
        <v>97000</v>
      </c>
      <c r="T840" s="648">
        <f>Data2025!T839</f>
        <v>0</v>
      </c>
      <c r="U840" s="497" t="s">
        <v>538</v>
      </c>
      <c r="V840" s="648">
        <f>Data2025!V839</f>
        <v>0</v>
      </c>
      <c r="W840" s="648">
        <f>Data2025!X839</f>
        <v>0</v>
      </c>
      <c r="X840" s="497" t="s">
        <v>541</v>
      </c>
      <c r="Y840" s="268" t="str">
        <f t="shared" si="44"/>
        <v>Alat Tulis Kantor (ATK)</v>
      </c>
      <c r="Z840" s="649" t="str">
        <f t="shared" si="45"/>
        <v>Alat Tulis Kantor (ATK)</v>
      </c>
      <c r="AA840" s="498" t="s">
        <v>3364</v>
      </c>
      <c r="AB840" s="499">
        <v>95000</v>
      </c>
      <c r="AC840" s="499">
        <v>95000</v>
      </c>
      <c r="AD840" s="496">
        <v>95000</v>
      </c>
      <c r="AE840" s="500">
        <v>85585.585585585592</v>
      </c>
      <c r="AF840" s="500">
        <v>95000</v>
      </c>
      <c r="AG840" s="805" t="s">
        <v>3883</v>
      </c>
      <c r="AH840" s="651">
        <f>Data2025!W839</f>
        <v>0</v>
      </c>
      <c r="AI840" s="61">
        <v>250</v>
      </c>
    </row>
    <row r="841" spans="1:35" ht="16.5" thickTop="1" thickBot="1">
      <c r="A841" s="636">
        <f>Data2025!G840</f>
        <v>0</v>
      </c>
      <c r="B841" s="637">
        <f>Data2025!K840</f>
        <v>0</v>
      </c>
      <c r="C841" s="638">
        <f>Data2025!D840</f>
        <v>0</v>
      </c>
      <c r="D841" s="639">
        <f>Data2025!C840</f>
        <v>0</v>
      </c>
      <c r="E841" s="265">
        <f>Data2025!E840</f>
        <v>0</v>
      </c>
      <c r="F841" s="640">
        <f>Data2025!F840</f>
        <v>0</v>
      </c>
      <c r="G841" s="265">
        <f>Data2025!H840</f>
        <v>0</v>
      </c>
      <c r="H841" s="265">
        <f t="shared" si="43"/>
        <v>0</v>
      </c>
      <c r="I841" s="641">
        <f>Data2025!J840</f>
        <v>0</v>
      </c>
      <c r="J841" s="381">
        <f>Data2025!L840</f>
        <v>0</v>
      </c>
      <c r="K841" s="381">
        <f>Data2025!M840</f>
        <v>0</v>
      </c>
      <c r="L841" s="642">
        <f>Data2025!N840</f>
        <v>0</v>
      </c>
      <c r="M841" s="642">
        <f>Data2025!O840</f>
        <v>0</v>
      </c>
      <c r="N841" s="643">
        <f>Data2025!P840</f>
        <v>0</v>
      </c>
      <c r="O841" s="644">
        <f>Data2025!Q840</f>
        <v>0</v>
      </c>
      <c r="P841" s="645" t="s">
        <v>710</v>
      </c>
      <c r="Q841" s="646" t="e">
        <f>VLOOKUP(K841,Sheet1!$C$1:$D$101,2,)</f>
        <v>#N/A</v>
      </c>
      <c r="R841" s="496">
        <v>77500</v>
      </c>
      <c r="S841" s="504">
        <v>87500</v>
      </c>
      <c r="T841" s="648">
        <f>Data2025!T840</f>
        <v>0</v>
      </c>
      <c r="U841" s="497" t="s">
        <v>538</v>
      </c>
      <c r="V841" s="648">
        <f>Data2025!V840</f>
        <v>0</v>
      </c>
      <c r="W841" s="648">
        <f>Data2025!X840</f>
        <v>0</v>
      </c>
      <c r="X841" s="497" t="s">
        <v>541</v>
      </c>
      <c r="Y841" s="268" t="str">
        <f t="shared" si="44"/>
        <v>Alat Tulis Kantor (ATK)</v>
      </c>
      <c r="Z841" s="649" t="str">
        <f t="shared" si="45"/>
        <v>Alat Tulis Kantor (ATK)</v>
      </c>
      <c r="AA841" s="498" t="s">
        <v>3363</v>
      </c>
      <c r="AB841" s="499">
        <v>15500</v>
      </c>
      <c r="AC841" s="499">
        <v>77500</v>
      </c>
      <c r="AD841" s="496">
        <v>77500</v>
      </c>
      <c r="AE841" s="500">
        <v>69819.819819819822</v>
      </c>
      <c r="AF841" s="500">
        <v>77500</v>
      </c>
      <c r="AG841" s="805" t="s">
        <v>3883</v>
      </c>
      <c r="AH841" s="651">
        <f>Data2025!W840</f>
        <v>0</v>
      </c>
      <c r="AI841" s="61">
        <v>250</v>
      </c>
    </row>
    <row r="842" spans="1:35" ht="16.5" thickTop="1" thickBot="1">
      <c r="A842" s="636">
        <f>Data2025!G841</f>
        <v>0</v>
      </c>
      <c r="B842" s="637">
        <f>Data2025!K841</f>
        <v>0</v>
      </c>
      <c r="C842" s="638">
        <f>Data2025!D841</f>
        <v>0</v>
      </c>
      <c r="D842" s="639">
        <f>Data2025!C841</f>
        <v>0</v>
      </c>
      <c r="E842" s="265">
        <f>Data2025!E841</f>
        <v>0</v>
      </c>
      <c r="F842" s="640">
        <f>Data2025!F841</f>
        <v>0</v>
      </c>
      <c r="G842" s="265">
        <f>Data2025!H841</f>
        <v>0</v>
      </c>
      <c r="H842" s="265">
        <f t="shared" si="43"/>
        <v>0</v>
      </c>
      <c r="I842" s="641">
        <f>Data2025!J841</f>
        <v>0</v>
      </c>
      <c r="J842" s="381">
        <f>Data2025!L841</f>
        <v>0</v>
      </c>
      <c r="K842" s="381">
        <f>Data2025!M841</f>
        <v>0</v>
      </c>
      <c r="L842" s="642">
        <f>Data2025!N841</f>
        <v>0</v>
      </c>
      <c r="M842" s="642">
        <f>Data2025!O841</f>
        <v>0</v>
      </c>
      <c r="N842" s="643">
        <f>Data2025!P841</f>
        <v>0</v>
      </c>
      <c r="O842" s="644">
        <f>Data2025!Q841</f>
        <v>0</v>
      </c>
      <c r="P842" s="645" t="s">
        <v>710</v>
      </c>
      <c r="Q842" s="646" t="e">
        <f>VLOOKUP(K842,Sheet1!$C$1:$D$101,2,)</f>
        <v>#N/A</v>
      </c>
      <c r="R842" s="496">
        <v>100000</v>
      </c>
      <c r="S842" s="504">
        <v>110000</v>
      </c>
      <c r="T842" s="648">
        <f>Data2025!T841</f>
        <v>0</v>
      </c>
      <c r="U842" s="497" t="s">
        <v>538</v>
      </c>
      <c r="V842" s="648">
        <f>Data2025!V841</f>
        <v>0</v>
      </c>
      <c r="W842" s="648">
        <f>Data2025!X841</f>
        <v>0</v>
      </c>
      <c r="X842" s="497" t="s">
        <v>541</v>
      </c>
      <c r="Y842" s="268" t="str">
        <f t="shared" si="44"/>
        <v>Alat Tulis Kantor (ATK)</v>
      </c>
      <c r="Z842" s="649" t="str">
        <f t="shared" si="45"/>
        <v>Alat Tulis Kantor (ATK)</v>
      </c>
      <c r="AA842" s="498" t="s">
        <v>3367</v>
      </c>
      <c r="AB842" s="499">
        <v>20000</v>
      </c>
      <c r="AC842" s="499">
        <v>100000</v>
      </c>
      <c r="AD842" s="496">
        <v>100000</v>
      </c>
      <c r="AE842" s="500">
        <v>90090.090090090089</v>
      </c>
      <c r="AF842" s="500">
        <v>100000</v>
      </c>
      <c r="AG842" s="805" t="s">
        <v>3883</v>
      </c>
      <c r="AH842" s="651">
        <f>Data2025!W841</f>
        <v>0</v>
      </c>
      <c r="AI842" s="61">
        <v>250</v>
      </c>
    </row>
    <row r="843" spans="1:35" ht="16.5" thickTop="1" thickBot="1">
      <c r="A843" s="636">
        <f>Data2025!G842</f>
        <v>0</v>
      </c>
      <c r="B843" s="637">
        <f>Data2025!K842</f>
        <v>0</v>
      </c>
      <c r="C843" s="638">
        <f>Data2025!D842</f>
        <v>0</v>
      </c>
      <c r="D843" s="639">
        <f>Data2025!C842</f>
        <v>0</v>
      </c>
      <c r="E843" s="265">
        <f>Data2025!E842</f>
        <v>0</v>
      </c>
      <c r="F843" s="640">
        <f>Data2025!F842</f>
        <v>0</v>
      </c>
      <c r="G843" s="265">
        <f>Data2025!H842</f>
        <v>0</v>
      </c>
      <c r="H843" s="265">
        <f t="shared" si="43"/>
        <v>0</v>
      </c>
      <c r="I843" s="641">
        <f>Data2025!J842</f>
        <v>0</v>
      </c>
      <c r="J843" s="381">
        <f>Data2025!L842</f>
        <v>0</v>
      </c>
      <c r="K843" s="381">
        <f>Data2025!M842</f>
        <v>0</v>
      </c>
      <c r="L843" s="642">
        <f>Data2025!N842</f>
        <v>0</v>
      </c>
      <c r="M843" s="642">
        <f>Data2025!O842</f>
        <v>0</v>
      </c>
      <c r="N843" s="643">
        <f>Data2025!P842</f>
        <v>0</v>
      </c>
      <c r="O843" s="644">
        <f>Data2025!Q842</f>
        <v>0</v>
      </c>
      <c r="P843" s="645" t="s">
        <v>710</v>
      </c>
      <c r="Q843" s="646" t="e">
        <f>VLOOKUP(K843,Sheet1!$C$1:$D$101,2,)</f>
        <v>#N/A</v>
      </c>
      <c r="R843" s="496">
        <v>100000</v>
      </c>
      <c r="S843" s="504">
        <v>110000</v>
      </c>
      <c r="T843" s="648">
        <f>Data2025!T842</f>
        <v>0</v>
      </c>
      <c r="U843" s="497" t="s">
        <v>538</v>
      </c>
      <c r="V843" s="648">
        <f>Data2025!V842</f>
        <v>0</v>
      </c>
      <c r="W843" s="648">
        <f>Data2025!X842</f>
        <v>0</v>
      </c>
      <c r="X843" s="497" t="s">
        <v>541</v>
      </c>
      <c r="Y843" s="268" t="str">
        <f t="shared" si="44"/>
        <v>Alat Tulis Kantor (ATK)</v>
      </c>
      <c r="Z843" s="649" t="str">
        <f t="shared" si="45"/>
        <v>Alat Tulis Kantor (ATK)</v>
      </c>
      <c r="AA843" s="498" t="s">
        <v>3366</v>
      </c>
      <c r="AB843" s="499">
        <v>20000</v>
      </c>
      <c r="AC843" s="499">
        <v>100000</v>
      </c>
      <c r="AD843" s="496">
        <v>100000</v>
      </c>
      <c r="AE843" s="500">
        <v>90090.090090090089</v>
      </c>
      <c r="AF843" s="500">
        <v>100000</v>
      </c>
      <c r="AG843" s="805" t="s">
        <v>3883</v>
      </c>
      <c r="AH843" s="651">
        <f>Data2025!W842</f>
        <v>0</v>
      </c>
      <c r="AI843" s="61">
        <v>250</v>
      </c>
    </row>
    <row r="844" spans="1:35" ht="16.5" thickTop="1" thickBot="1">
      <c r="A844" s="636">
        <f>Data2025!G843</f>
        <v>0</v>
      </c>
      <c r="B844" s="637">
        <f>Data2025!K843</f>
        <v>0</v>
      </c>
      <c r="C844" s="638">
        <f>Data2025!D843</f>
        <v>0</v>
      </c>
      <c r="D844" s="639">
        <f>Data2025!C843</f>
        <v>0</v>
      </c>
      <c r="E844" s="265">
        <f>Data2025!E843</f>
        <v>0</v>
      </c>
      <c r="F844" s="640">
        <f>Data2025!F843</f>
        <v>0</v>
      </c>
      <c r="G844" s="265">
        <f>Data2025!H843</f>
        <v>0</v>
      </c>
      <c r="H844" s="265">
        <f t="shared" si="43"/>
        <v>0</v>
      </c>
      <c r="I844" s="641">
        <f>Data2025!J843</f>
        <v>0</v>
      </c>
      <c r="J844" s="381">
        <f>Data2025!L843</f>
        <v>0</v>
      </c>
      <c r="K844" s="381">
        <f>Data2025!M843</f>
        <v>0</v>
      </c>
      <c r="L844" s="642">
        <f>Data2025!N843</f>
        <v>0</v>
      </c>
      <c r="M844" s="642">
        <f>Data2025!O843</f>
        <v>0</v>
      </c>
      <c r="N844" s="643">
        <f>Data2025!P843</f>
        <v>0</v>
      </c>
      <c r="O844" s="644">
        <f>Data2025!Q843</f>
        <v>0</v>
      </c>
      <c r="P844" s="645" t="s">
        <v>710</v>
      </c>
      <c r="Q844" s="646" t="e">
        <f>VLOOKUP(K844,Sheet1!$C$1:$D$101,2,)</f>
        <v>#N/A</v>
      </c>
      <c r="R844" s="496">
        <v>40000</v>
      </c>
      <c r="S844" s="504">
        <v>44000</v>
      </c>
      <c r="T844" s="648">
        <f>Data2025!T843</f>
        <v>0</v>
      </c>
      <c r="U844" s="497" t="s">
        <v>538</v>
      </c>
      <c r="V844" s="648">
        <f>Data2025!V843</f>
        <v>0</v>
      </c>
      <c r="W844" s="648">
        <f>Data2025!X843</f>
        <v>0</v>
      </c>
      <c r="X844" s="497" t="s">
        <v>541</v>
      </c>
      <c r="Y844" s="268" t="str">
        <f t="shared" si="44"/>
        <v>Alat Tulis Kantor (ATK)</v>
      </c>
      <c r="Z844" s="649" t="str">
        <f t="shared" si="45"/>
        <v>Alat Tulis Kantor (ATK)</v>
      </c>
      <c r="AA844" s="498" t="s">
        <v>3364</v>
      </c>
      <c r="AB844" s="499">
        <v>20000</v>
      </c>
      <c r="AC844" s="499">
        <v>40000</v>
      </c>
      <c r="AD844" s="496">
        <v>40000</v>
      </c>
      <c r="AE844" s="500">
        <v>36036.036036036036</v>
      </c>
      <c r="AF844" s="500">
        <v>40000</v>
      </c>
      <c r="AG844" s="805" t="s">
        <v>3883</v>
      </c>
      <c r="AH844" s="651">
        <f>Data2025!W843</f>
        <v>0</v>
      </c>
      <c r="AI844" s="61">
        <v>250</v>
      </c>
    </row>
    <row r="845" spans="1:35" ht="16.5" thickTop="1" thickBot="1">
      <c r="A845" s="636">
        <f>Data2025!G844</f>
        <v>0</v>
      </c>
      <c r="B845" s="637">
        <f>Data2025!K844</f>
        <v>0</v>
      </c>
      <c r="C845" s="638">
        <f>Data2025!D844</f>
        <v>0</v>
      </c>
      <c r="D845" s="639">
        <f>Data2025!C844</f>
        <v>0</v>
      </c>
      <c r="E845" s="265">
        <f>Data2025!E844</f>
        <v>0</v>
      </c>
      <c r="F845" s="640">
        <f>Data2025!F844</f>
        <v>0</v>
      </c>
      <c r="G845" s="265">
        <f>Data2025!H844</f>
        <v>0</v>
      </c>
      <c r="H845" s="265">
        <f t="shared" si="43"/>
        <v>0</v>
      </c>
      <c r="I845" s="641">
        <f>Data2025!J844</f>
        <v>0</v>
      </c>
      <c r="J845" s="381">
        <f>Data2025!L844</f>
        <v>0</v>
      </c>
      <c r="K845" s="381">
        <f>Data2025!M844</f>
        <v>0</v>
      </c>
      <c r="L845" s="642">
        <f>Data2025!N844</f>
        <v>0</v>
      </c>
      <c r="M845" s="642">
        <f>Data2025!O844</f>
        <v>0</v>
      </c>
      <c r="N845" s="643">
        <f>Data2025!P844</f>
        <v>0</v>
      </c>
      <c r="O845" s="644">
        <f>Data2025!Q844</f>
        <v>0</v>
      </c>
      <c r="P845" s="645" t="s">
        <v>710</v>
      </c>
      <c r="Q845" s="646" t="e">
        <f>VLOOKUP(K845,Sheet1!$C$1:$D$101,2,)</f>
        <v>#N/A</v>
      </c>
      <c r="R845" s="496">
        <v>50000</v>
      </c>
      <c r="S845" s="504">
        <v>58000</v>
      </c>
      <c r="T845" s="648">
        <f>Data2025!T844</f>
        <v>0</v>
      </c>
      <c r="U845" s="497" t="s">
        <v>538</v>
      </c>
      <c r="V845" s="648">
        <f>Data2025!V844</f>
        <v>0</v>
      </c>
      <c r="W845" s="648">
        <f>Data2025!X844</f>
        <v>0</v>
      </c>
      <c r="X845" s="497" t="s">
        <v>541</v>
      </c>
      <c r="Y845" s="268" t="str">
        <f t="shared" si="44"/>
        <v>Alat Tulis Kantor (ATK)</v>
      </c>
      <c r="Z845" s="649" t="str">
        <f t="shared" si="45"/>
        <v>Alat Tulis Kantor (ATK)</v>
      </c>
      <c r="AA845" s="498" t="s">
        <v>3363</v>
      </c>
      <c r="AB845" s="499">
        <v>12500</v>
      </c>
      <c r="AC845" s="499">
        <v>50000</v>
      </c>
      <c r="AD845" s="496">
        <v>50000</v>
      </c>
      <c r="AE845" s="500">
        <v>45045.045045045044</v>
      </c>
      <c r="AF845" s="500">
        <v>50000</v>
      </c>
      <c r="AG845" s="805" t="s">
        <v>3883</v>
      </c>
      <c r="AH845" s="651">
        <f>Data2025!W844</f>
        <v>0</v>
      </c>
      <c r="AI845" s="61">
        <v>250</v>
      </c>
    </row>
    <row r="846" spans="1:35" ht="16.5" thickTop="1" thickBot="1">
      <c r="A846" s="636">
        <f>Data2025!G845</f>
        <v>0</v>
      </c>
      <c r="B846" s="637">
        <f>Data2025!K845</f>
        <v>0</v>
      </c>
      <c r="C846" s="638">
        <f>Data2025!D845</f>
        <v>0</v>
      </c>
      <c r="D846" s="639">
        <f>Data2025!C845</f>
        <v>0</v>
      </c>
      <c r="E846" s="265">
        <f>Data2025!E845</f>
        <v>0</v>
      </c>
      <c r="F846" s="640">
        <f>Data2025!F845</f>
        <v>0</v>
      </c>
      <c r="G846" s="265">
        <f>Data2025!H845</f>
        <v>0</v>
      </c>
      <c r="H846" s="265">
        <f t="shared" si="43"/>
        <v>0</v>
      </c>
      <c r="I846" s="641">
        <f>Data2025!J845</f>
        <v>0</v>
      </c>
      <c r="J846" s="381">
        <f>Data2025!L845</f>
        <v>0</v>
      </c>
      <c r="K846" s="381">
        <f>Data2025!M845</f>
        <v>0</v>
      </c>
      <c r="L846" s="642">
        <f>Data2025!N845</f>
        <v>0</v>
      </c>
      <c r="M846" s="642">
        <f>Data2025!O845</f>
        <v>0</v>
      </c>
      <c r="N846" s="643">
        <f>Data2025!P845</f>
        <v>0</v>
      </c>
      <c r="O846" s="644">
        <f>Data2025!Q845</f>
        <v>0</v>
      </c>
      <c r="P846" s="645" t="s">
        <v>710</v>
      </c>
      <c r="Q846" s="646" t="e">
        <f>VLOOKUP(K846,Sheet1!$C$1:$D$101,2,)</f>
        <v>#N/A</v>
      </c>
      <c r="R846" s="496">
        <v>426000</v>
      </c>
      <c r="S846" s="504">
        <v>450000</v>
      </c>
      <c r="T846" s="648">
        <f>Data2025!T845</f>
        <v>0</v>
      </c>
      <c r="U846" s="497" t="s">
        <v>538</v>
      </c>
      <c r="V846" s="648">
        <f>Data2025!V845</f>
        <v>0</v>
      </c>
      <c r="W846" s="648">
        <f>Data2025!X845</f>
        <v>0</v>
      </c>
      <c r="X846" s="497" t="s">
        <v>541</v>
      </c>
      <c r="Y846" s="268" t="str">
        <f t="shared" si="44"/>
        <v>Alat Tulis Kantor (ATK)</v>
      </c>
      <c r="Z846" s="649" t="str">
        <f t="shared" si="45"/>
        <v>Alat Tulis Kantor (ATK)</v>
      </c>
      <c r="AA846" s="498" t="s">
        <v>3363</v>
      </c>
      <c r="AB846" s="499">
        <v>35500</v>
      </c>
      <c r="AC846" s="499">
        <v>426000</v>
      </c>
      <c r="AD846" s="496">
        <v>426000</v>
      </c>
      <c r="AE846" s="500">
        <v>383783.78378378379</v>
      </c>
      <c r="AF846" s="500">
        <v>426000</v>
      </c>
      <c r="AG846" s="805" t="s">
        <v>3883</v>
      </c>
      <c r="AH846" s="651">
        <f>Data2025!W845</f>
        <v>0</v>
      </c>
      <c r="AI846" s="61">
        <v>250</v>
      </c>
    </row>
    <row r="847" spans="1:35" ht="16.5" thickTop="1" thickBot="1">
      <c r="A847" s="636">
        <f>Data2025!G846</f>
        <v>0</v>
      </c>
      <c r="B847" s="637">
        <f>Data2025!K846</f>
        <v>0</v>
      </c>
      <c r="C847" s="638">
        <f>Data2025!D846</f>
        <v>0</v>
      </c>
      <c r="D847" s="639">
        <f>Data2025!C846</f>
        <v>0</v>
      </c>
      <c r="E847" s="265">
        <f>Data2025!E846</f>
        <v>0</v>
      </c>
      <c r="F847" s="640">
        <f>Data2025!F846</f>
        <v>0</v>
      </c>
      <c r="G847" s="265">
        <f>Data2025!H846</f>
        <v>0</v>
      </c>
      <c r="H847" s="265">
        <f t="shared" si="43"/>
        <v>0</v>
      </c>
      <c r="I847" s="641">
        <f>Data2025!J846</f>
        <v>0</v>
      </c>
      <c r="J847" s="381">
        <f>Data2025!L846</f>
        <v>0</v>
      </c>
      <c r="K847" s="381">
        <f>Data2025!M846</f>
        <v>0</v>
      </c>
      <c r="L847" s="642">
        <f>Data2025!N846</f>
        <v>0</v>
      </c>
      <c r="M847" s="642">
        <f>Data2025!O846</f>
        <v>0</v>
      </c>
      <c r="N847" s="643">
        <f>Data2025!P846</f>
        <v>0</v>
      </c>
      <c r="O847" s="644">
        <f>Data2025!Q846</f>
        <v>0</v>
      </c>
      <c r="P847" s="645" t="s">
        <v>710</v>
      </c>
      <c r="Q847" s="646" t="e">
        <f>VLOOKUP(K847,Sheet1!$C$1:$D$101,2,)</f>
        <v>#N/A</v>
      </c>
      <c r="R847" s="496">
        <v>120000</v>
      </c>
      <c r="S847" s="504">
        <v>124000</v>
      </c>
      <c r="T847" s="648">
        <f>Data2025!T846</f>
        <v>0</v>
      </c>
      <c r="U847" s="497" t="s">
        <v>538</v>
      </c>
      <c r="V847" s="648">
        <f>Data2025!V846</f>
        <v>0</v>
      </c>
      <c r="W847" s="648">
        <f>Data2025!X846</f>
        <v>0</v>
      </c>
      <c r="X847" s="497" t="s">
        <v>541</v>
      </c>
      <c r="Y847" s="268" t="str">
        <f t="shared" si="44"/>
        <v>Alat Tulis Kantor (ATK)</v>
      </c>
      <c r="Z847" s="649" t="str">
        <f t="shared" si="45"/>
        <v>Alat Tulis Kantor (ATK)</v>
      </c>
      <c r="AA847" s="498" t="s">
        <v>3365</v>
      </c>
      <c r="AB847" s="499">
        <v>60000</v>
      </c>
      <c r="AC847" s="499">
        <v>120000</v>
      </c>
      <c r="AD847" s="496">
        <v>120000</v>
      </c>
      <c r="AE847" s="500">
        <v>108108.10810810811</v>
      </c>
      <c r="AF847" s="500">
        <v>120000</v>
      </c>
      <c r="AG847" s="805" t="s">
        <v>3883</v>
      </c>
      <c r="AH847" s="651">
        <f>Data2025!W846</f>
        <v>0</v>
      </c>
      <c r="AI847" s="61">
        <v>250</v>
      </c>
    </row>
    <row r="848" spans="1:35" ht="16.5" thickTop="1" thickBot="1">
      <c r="A848" s="636">
        <f>Data2025!G847</f>
        <v>0</v>
      </c>
      <c r="B848" s="637">
        <f>Data2025!K847</f>
        <v>0</v>
      </c>
      <c r="C848" s="638">
        <f>Data2025!D847</f>
        <v>0</v>
      </c>
      <c r="D848" s="639">
        <f>Data2025!C847</f>
        <v>0</v>
      </c>
      <c r="E848" s="265">
        <f>Data2025!E847</f>
        <v>0</v>
      </c>
      <c r="F848" s="640">
        <f>Data2025!F847</f>
        <v>0</v>
      </c>
      <c r="G848" s="265">
        <f>Data2025!H847</f>
        <v>0</v>
      </c>
      <c r="H848" s="265">
        <f t="shared" si="43"/>
        <v>0</v>
      </c>
      <c r="I848" s="641">
        <f>Data2025!J847</f>
        <v>0</v>
      </c>
      <c r="J848" s="381">
        <f>Data2025!L847</f>
        <v>0</v>
      </c>
      <c r="K848" s="381">
        <f>Data2025!M847</f>
        <v>0</v>
      </c>
      <c r="L848" s="642">
        <f>Data2025!N847</f>
        <v>0</v>
      </c>
      <c r="M848" s="642">
        <f>Data2025!O847</f>
        <v>0</v>
      </c>
      <c r="N848" s="643">
        <f>Data2025!P847</f>
        <v>0</v>
      </c>
      <c r="O848" s="644">
        <f>Data2025!Q847</f>
        <v>0</v>
      </c>
      <c r="P848" s="645" t="s">
        <v>710</v>
      </c>
      <c r="Q848" s="646" t="e">
        <f>VLOOKUP(K848,Sheet1!$C$1:$D$101,2,)</f>
        <v>#N/A</v>
      </c>
      <c r="R848" s="496">
        <v>45000</v>
      </c>
      <c r="S848" s="504">
        <v>47000</v>
      </c>
      <c r="T848" s="648">
        <f>Data2025!T847</f>
        <v>0</v>
      </c>
      <c r="U848" s="497" t="s">
        <v>538</v>
      </c>
      <c r="V848" s="648">
        <f>Data2025!V847</f>
        <v>0</v>
      </c>
      <c r="W848" s="648">
        <f>Data2025!X847</f>
        <v>0</v>
      </c>
      <c r="X848" s="497" t="s">
        <v>541</v>
      </c>
      <c r="Y848" s="268" t="str">
        <f t="shared" si="44"/>
        <v>Alat Tulis Kantor (ATK)</v>
      </c>
      <c r="Z848" s="649" t="str">
        <f t="shared" si="45"/>
        <v>Alat Tulis Kantor (ATK)</v>
      </c>
      <c r="AA848" s="498" t="s">
        <v>3365</v>
      </c>
      <c r="AB848" s="499">
        <v>45000</v>
      </c>
      <c r="AC848" s="499">
        <v>45000</v>
      </c>
      <c r="AD848" s="496">
        <v>45000</v>
      </c>
      <c r="AE848" s="500">
        <v>40540.54054054054</v>
      </c>
      <c r="AF848" s="500">
        <v>45000</v>
      </c>
      <c r="AG848" s="805" t="s">
        <v>3883</v>
      </c>
      <c r="AH848" s="651">
        <f>Data2025!W847</f>
        <v>0</v>
      </c>
      <c r="AI848" s="61">
        <v>250</v>
      </c>
    </row>
    <row r="849" spans="1:35" ht="16.5" thickTop="1" thickBot="1">
      <c r="A849" s="636">
        <f>Data2025!G848</f>
        <v>0</v>
      </c>
      <c r="B849" s="637">
        <f>Data2025!K848</f>
        <v>0</v>
      </c>
      <c r="C849" s="638">
        <f>Data2025!D848</f>
        <v>0</v>
      </c>
      <c r="D849" s="639">
        <f>Data2025!C848</f>
        <v>0</v>
      </c>
      <c r="E849" s="265">
        <f>Data2025!E848</f>
        <v>0</v>
      </c>
      <c r="F849" s="640">
        <f>Data2025!F848</f>
        <v>0</v>
      </c>
      <c r="G849" s="265">
        <f>Data2025!H848</f>
        <v>0</v>
      </c>
      <c r="H849" s="265">
        <f t="shared" si="43"/>
        <v>0</v>
      </c>
      <c r="I849" s="641">
        <f>Data2025!J848</f>
        <v>0</v>
      </c>
      <c r="J849" s="381">
        <f>Data2025!L848</f>
        <v>0</v>
      </c>
      <c r="K849" s="381">
        <f>Data2025!M848</f>
        <v>0</v>
      </c>
      <c r="L849" s="642">
        <f>Data2025!N848</f>
        <v>0</v>
      </c>
      <c r="M849" s="642">
        <f>Data2025!O848</f>
        <v>0</v>
      </c>
      <c r="N849" s="643">
        <f>Data2025!P848</f>
        <v>0</v>
      </c>
      <c r="O849" s="644">
        <f>Data2025!Q848</f>
        <v>0</v>
      </c>
      <c r="P849" s="645" t="s">
        <v>710</v>
      </c>
      <c r="Q849" s="646" t="e">
        <f>VLOOKUP(K849,Sheet1!$C$1:$D$101,2,)</f>
        <v>#N/A</v>
      </c>
      <c r="R849" s="496">
        <v>510000</v>
      </c>
      <c r="S849" s="504">
        <v>522000</v>
      </c>
      <c r="T849" s="648">
        <f>Data2025!T848</f>
        <v>0</v>
      </c>
      <c r="U849" s="497" t="s">
        <v>538</v>
      </c>
      <c r="V849" s="648">
        <f>Data2025!V848</f>
        <v>0</v>
      </c>
      <c r="W849" s="648">
        <f>Data2025!X848</f>
        <v>0</v>
      </c>
      <c r="X849" s="497" t="s">
        <v>541</v>
      </c>
      <c r="Y849" s="268" t="str">
        <f t="shared" si="44"/>
        <v>Alat Tulis Kantor (ATK)</v>
      </c>
      <c r="Z849" s="649" t="str">
        <f t="shared" si="45"/>
        <v>Alat Tulis Kantor (ATK)</v>
      </c>
      <c r="AA849" s="498" t="s">
        <v>3367</v>
      </c>
      <c r="AB849" s="499">
        <v>85000</v>
      </c>
      <c r="AC849" s="499">
        <v>510000</v>
      </c>
      <c r="AD849" s="496">
        <v>510000</v>
      </c>
      <c r="AE849" s="500">
        <v>459459.45945945947</v>
      </c>
      <c r="AF849" s="500">
        <v>510000</v>
      </c>
      <c r="AG849" s="805" t="s">
        <v>3883</v>
      </c>
      <c r="AH849" s="651">
        <f>Data2025!W848</f>
        <v>0</v>
      </c>
      <c r="AI849" s="61">
        <v>250</v>
      </c>
    </row>
    <row r="850" spans="1:35" ht="16.5" thickTop="1" thickBot="1">
      <c r="A850" s="636">
        <f>Data2025!G849</f>
        <v>0</v>
      </c>
      <c r="B850" s="637">
        <f>Data2025!K849</f>
        <v>0</v>
      </c>
      <c r="C850" s="638">
        <f>Data2025!D849</f>
        <v>0</v>
      </c>
      <c r="D850" s="639">
        <f>Data2025!C849</f>
        <v>0</v>
      </c>
      <c r="E850" s="265">
        <f>Data2025!E849</f>
        <v>0</v>
      </c>
      <c r="F850" s="640">
        <f>Data2025!F849</f>
        <v>0</v>
      </c>
      <c r="G850" s="265">
        <f>Data2025!H849</f>
        <v>0</v>
      </c>
      <c r="H850" s="265">
        <f t="shared" si="43"/>
        <v>0</v>
      </c>
      <c r="I850" s="641">
        <f>Data2025!J849</f>
        <v>0</v>
      </c>
      <c r="J850" s="381">
        <f>Data2025!L849</f>
        <v>0</v>
      </c>
      <c r="K850" s="381">
        <f>Data2025!M849</f>
        <v>0</v>
      </c>
      <c r="L850" s="642">
        <f>Data2025!N849</f>
        <v>0</v>
      </c>
      <c r="M850" s="642">
        <f>Data2025!O849</f>
        <v>0</v>
      </c>
      <c r="N850" s="643">
        <f>Data2025!P849</f>
        <v>0</v>
      </c>
      <c r="O850" s="644">
        <f>Data2025!Q849</f>
        <v>0</v>
      </c>
      <c r="P850" s="645" t="s">
        <v>710</v>
      </c>
      <c r="Q850" s="646" t="e">
        <f>VLOOKUP(K850,Sheet1!$C$1:$D$101,2,)</f>
        <v>#N/A</v>
      </c>
      <c r="R850" s="496">
        <v>40000</v>
      </c>
      <c r="S850" s="504">
        <v>44000</v>
      </c>
      <c r="T850" s="648">
        <f>Data2025!T849</f>
        <v>0</v>
      </c>
      <c r="U850" s="497" t="s">
        <v>538</v>
      </c>
      <c r="V850" s="648">
        <f>Data2025!V849</f>
        <v>0</v>
      </c>
      <c r="W850" s="648">
        <f>Data2025!X849</f>
        <v>0</v>
      </c>
      <c r="X850" s="497" t="s">
        <v>541</v>
      </c>
      <c r="Y850" s="268" t="str">
        <f t="shared" si="44"/>
        <v>Alat Tulis Kantor (ATK)</v>
      </c>
      <c r="Z850" s="649" t="str">
        <f t="shared" si="45"/>
        <v>Alat Tulis Kantor (ATK)</v>
      </c>
      <c r="AA850" s="498" t="s">
        <v>3363</v>
      </c>
      <c r="AB850" s="499">
        <v>20000</v>
      </c>
      <c r="AC850" s="499">
        <v>40000</v>
      </c>
      <c r="AD850" s="496">
        <v>40000</v>
      </c>
      <c r="AE850" s="500">
        <v>36036.036036036036</v>
      </c>
      <c r="AF850" s="500">
        <v>40000</v>
      </c>
      <c r="AG850" s="805" t="s">
        <v>3883</v>
      </c>
      <c r="AH850" s="651">
        <f>Data2025!W849</f>
        <v>0</v>
      </c>
      <c r="AI850" s="61">
        <v>250</v>
      </c>
    </row>
    <row r="851" spans="1:35" ht="16.5" thickTop="1" thickBot="1">
      <c r="A851" s="636">
        <f>Data2025!G850</f>
        <v>0</v>
      </c>
      <c r="B851" s="637">
        <f>Data2025!K850</f>
        <v>0</v>
      </c>
      <c r="C851" s="638">
        <f>Data2025!D850</f>
        <v>0</v>
      </c>
      <c r="D851" s="639">
        <f>Data2025!C850</f>
        <v>0</v>
      </c>
      <c r="E851" s="265">
        <f>Data2025!E850</f>
        <v>0</v>
      </c>
      <c r="F851" s="640">
        <f>Data2025!F850</f>
        <v>0</v>
      </c>
      <c r="G851" s="265">
        <f>Data2025!H850</f>
        <v>0</v>
      </c>
      <c r="H851" s="265">
        <f t="shared" si="43"/>
        <v>0</v>
      </c>
      <c r="I851" s="641">
        <f>Data2025!J850</f>
        <v>0</v>
      </c>
      <c r="J851" s="381">
        <f>Data2025!L850</f>
        <v>0</v>
      </c>
      <c r="K851" s="381">
        <f>Data2025!M850</f>
        <v>0</v>
      </c>
      <c r="L851" s="642">
        <f>Data2025!N850</f>
        <v>0</v>
      </c>
      <c r="M851" s="642">
        <f>Data2025!O850</f>
        <v>0</v>
      </c>
      <c r="N851" s="643">
        <f>Data2025!P850</f>
        <v>0</v>
      </c>
      <c r="O851" s="644">
        <f>Data2025!Q850</f>
        <v>0</v>
      </c>
      <c r="P851" s="645" t="s">
        <v>710</v>
      </c>
      <c r="Q851" s="646" t="e">
        <f>VLOOKUP(K851,Sheet1!$C$1:$D$101,2,)</f>
        <v>#N/A</v>
      </c>
      <c r="R851" s="496">
        <v>40000</v>
      </c>
      <c r="S851" s="504">
        <v>44000</v>
      </c>
      <c r="T851" s="648">
        <f>Data2025!T850</f>
        <v>0</v>
      </c>
      <c r="U851" s="497" t="s">
        <v>538</v>
      </c>
      <c r="V851" s="648">
        <f>Data2025!V850</f>
        <v>0</v>
      </c>
      <c r="W851" s="648">
        <f>Data2025!X850</f>
        <v>0</v>
      </c>
      <c r="X851" s="497" t="s">
        <v>541</v>
      </c>
      <c r="Y851" s="268" t="str">
        <f t="shared" si="44"/>
        <v>Alat Tulis Kantor (ATK)</v>
      </c>
      <c r="Z851" s="649" t="str">
        <f t="shared" si="45"/>
        <v>Alat Tulis Kantor (ATK)</v>
      </c>
      <c r="AA851" s="498" t="s">
        <v>3366</v>
      </c>
      <c r="AB851" s="499">
        <v>20000</v>
      </c>
      <c r="AC851" s="499">
        <v>40000</v>
      </c>
      <c r="AD851" s="496">
        <v>40000</v>
      </c>
      <c r="AE851" s="500">
        <v>36036.036036036036</v>
      </c>
      <c r="AF851" s="500">
        <v>40000</v>
      </c>
      <c r="AG851" s="805" t="s">
        <v>3883</v>
      </c>
      <c r="AH851" s="651">
        <f>Data2025!W850</f>
        <v>0</v>
      </c>
      <c r="AI851" s="61">
        <v>250</v>
      </c>
    </row>
    <row r="852" spans="1:35" ht="16.5" thickTop="1" thickBot="1">
      <c r="A852" s="636">
        <f>Data2025!G851</f>
        <v>0</v>
      </c>
      <c r="B852" s="637">
        <f>Data2025!K851</f>
        <v>0</v>
      </c>
      <c r="C852" s="638">
        <f>Data2025!D851</f>
        <v>0</v>
      </c>
      <c r="D852" s="639">
        <f>Data2025!C851</f>
        <v>0</v>
      </c>
      <c r="E852" s="265">
        <f>Data2025!E851</f>
        <v>0</v>
      </c>
      <c r="F852" s="640">
        <f>Data2025!F851</f>
        <v>0</v>
      </c>
      <c r="G852" s="265">
        <f>Data2025!H851</f>
        <v>0</v>
      </c>
      <c r="H852" s="265">
        <f t="shared" si="43"/>
        <v>0</v>
      </c>
      <c r="I852" s="641">
        <f>Data2025!J851</f>
        <v>0</v>
      </c>
      <c r="J852" s="381">
        <f>Data2025!L851</f>
        <v>0</v>
      </c>
      <c r="K852" s="381">
        <f>Data2025!M851</f>
        <v>0</v>
      </c>
      <c r="L852" s="642">
        <f>Data2025!N851</f>
        <v>0</v>
      </c>
      <c r="M852" s="642">
        <f>Data2025!O851</f>
        <v>0</v>
      </c>
      <c r="N852" s="643">
        <f>Data2025!P851</f>
        <v>0</v>
      </c>
      <c r="O852" s="644">
        <f>Data2025!Q851</f>
        <v>0</v>
      </c>
      <c r="P852" s="645" t="s">
        <v>710</v>
      </c>
      <c r="Q852" s="646" t="e">
        <f>VLOOKUP(K852,Sheet1!$C$1:$D$101,2,)</f>
        <v>#N/A</v>
      </c>
      <c r="R852" s="496">
        <v>69000</v>
      </c>
      <c r="S852" s="504">
        <v>75000</v>
      </c>
      <c r="T852" s="648">
        <f>Data2025!T851</f>
        <v>0</v>
      </c>
      <c r="U852" s="497" t="s">
        <v>538</v>
      </c>
      <c r="V852" s="648">
        <f>Data2025!V851</f>
        <v>0</v>
      </c>
      <c r="W852" s="648">
        <f>Data2025!X851</f>
        <v>0</v>
      </c>
      <c r="X852" s="497" t="s">
        <v>541</v>
      </c>
      <c r="Y852" s="268" t="str">
        <f t="shared" si="44"/>
        <v>Alat Tulis Kantor (ATK)</v>
      </c>
      <c r="Z852" s="649" t="str">
        <f t="shared" si="45"/>
        <v>Alat Tulis Kantor (ATK)</v>
      </c>
      <c r="AA852" s="498" t="s">
        <v>3365</v>
      </c>
      <c r="AB852" s="499">
        <v>23000</v>
      </c>
      <c r="AC852" s="499">
        <v>69000</v>
      </c>
      <c r="AD852" s="496">
        <v>69000</v>
      </c>
      <c r="AE852" s="500">
        <v>62162.16216216216</v>
      </c>
      <c r="AF852" s="500">
        <v>69000</v>
      </c>
      <c r="AG852" s="805" t="s">
        <v>3883</v>
      </c>
      <c r="AH852" s="651">
        <f>Data2025!W851</f>
        <v>0</v>
      </c>
      <c r="AI852" s="61">
        <v>250</v>
      </c>
    </row>
    <row r="853" spans="1:35" ht="16.5" thickTop="1" thickBot="1">
      <c r="A853" s="636">
        <f>Data2025!G852</f>
        <v>0</v>
      </c>
      <c r="B853" s="637">
        <f>Data2025!K852</f>
        <v>0</v>
      </c>
      <c r="C853" s="638">
        <f>Data2025!D852</f>
        <v>0</v>
      </c>
      <c r="D853" s="639">
        <f>Data2025!C852</f>
        <v>0</v>
      </c>
      <c r="E853" s="265">
        <f>Data2025!E852</f>
        <v>0</v>
      </c>
      <c r="F853" s="640">
        <f>Data2025!F852</f>
        <v>0</v>
      </c>
      <c r="G853" s="265">
        <f>Data2025!H852</f>
        <v>0</v>
      </c>
      <c r="H853" s="265">
        <f t="shared" si="43"/>
        <v>0</v>
      </c>
      <c r="I853" s="641">
        <f>Data2025!J852</f>
        <v>0</v>
      </c>
      <c r="J853" s="381">
        <f>Data2025!L852</f>
        <v>0</v>
      </c>
      <c r="K853" s="381">
        <f>Data2025!M852</f>
        <v>0</v>
      </c>
      <c r="L853" s="642">
        <f>Data2025!N852</f>
        <v>0</v>
      </c>
      <c r="M853" s="642">
        <f>Data2025!O852</f>
        <v>0</v>
      </c>
      <c r="N853" s="643">
        <f>Data2025!P852</f>
        <v>0</v>
      </c>
      <c r="O853" s="644">
        <f>Data2025!Q852</f>
        <v>0</v>
      </c>
      <c r="P853" s="645" t="s">
        <v>710</v>
      </c>
      <c r="Q853" s="646" t="e">
        <f>VLOOKUP(K853,Sheet1!$C$1:$D$101,2,)</f>
        <v>#N/A</v>
      </c>
      <c r="R853" s="496">
        <v>165000</v>
      </c>
      <c r="S853" s="504">
        <v>185000</v>
      </c>
      <c r="T853" s="648">
        <f>Data2025!T852</f>
        <v>0</v>
      </c>
      <c r="U853" s="497" t="s">
        <v>538</v>
      </c>
      <c r="V853" s="648">
        <f>Data2025!V852</f>
        <v>0</v>
      </c>
      <c r="W853" s="648">
        <f>Data2025!X852</f>
        <v>0</v>
      </c>
      <c r="X853" s="497" t="s">
        <v>541</v>
      </c>
      <c r="Y853" s="268" t="str">
        <f t="shared" si="44"/>
        <v>Alat Tulis Kantor (ATK)</v>
      </c>
      <c r="Z853" s="649" t="str">
        <f t="shared" si="45"/>
        <v>Alat Tulis Kantor (ATK)</v>
      </c>
      <c r="AA853" s="498" t="s">
        <v>3362</v>
      </c>
      <c r="AB853" s="499">
        <v>16500</v>
      </c>
      <c r="AC853" s="499">
        <v>165000</v>
      </c>
      <c r="AD853" s="496">
        <v>165000</v>
      </c>
      <c r="AE853" s="500">
        <v>148648.64864864864</v>
      </c>
      <c r="AF853" s="500">
        <v>165000</v>
      </c>
      <c r="AG853" s="805" t="s">
        <v>3883</v>
      </c>
      <c r="AH853" s="651">
        <f>Data2025!W852</f>
        <v>0</v>
      </c>
      <c r="AI853" s="61">
        <v>250</v>
      </c>
    </row>
    <row r="854" spans="1:35" ht="16.5" thickTop="1" thickBot="1">
      <c r="A854" s="636">
        <f>Data2025!G853</f>
        <v>0</v>
      </c>
      <c r="B854" s="637">
        <f>Data2025!K853</f>
        <v>0</v>
      </c>
      <c r="C854" s="638">
        <f>Data2025!D853</f>
        <v>0</v>
      </c>
      <c r="D854" s="639">
        <f>Data2025!C853</f>
        <v>0</v>
      </c>
      <c r="E854" s="265">
        <f>Data2025!E853</f>
        <v>0</v>
      </c>
      <c r="F854" s="640">
        <f>Data2025!F853</f>
        <v>0</v>
      </c>
      <c r="G854" s="265">
        <f>Data2025!H853</f>
        <v>0</v>
      </c>
      <c r="H854" s="265">
        <f t="shared" si="43"/>
        <v>0</v>
      </c>
      <c r="I854" s="641">
        <f>Data2025!J853</f>
        <v>0</v>
      </c>
      <c r="J854" s="381">
        <f>Data2025!L853</f>
        <v>0</v>
      </c>
      <c r="K854" s="381">
        <f>Data2025!M853</f>
        <v>0</v>
      </c>
      <c r="L854" s="642">
        <f>Data2025!N853</f>
        <v>0</v>
      </c>
      <c r="M854" s="642">
        <f>Data2025!O853</f>
        <v>0</v>
      </c>
      <c r="N854" s="643">
        <f>Data2025!P853</f>
        <v>0</v>
      </c>
      <c r="O854" s="644">
        <f>Data2025!Q853</f>
        <v>0</v>
      </c>
      <c r="P854" s="645" t="s">
        <v>710</v>
      </c>
      <c r="Q854" s="646" t="e">
        <f>VLOOKUP(K854,Sheet1!$C$1:$D$101,2,)</f>
        <v>#N/A</v>
      </c>
      <c r="R854" s="496">
        <v>239200</v>
      </c>
      <c r="S854" s="504">
        <v>247200</v>
      </c>
      <c r="T854" s="648">
        <f>Data2025!T853</f>
        <v>0</v>
      </c>
      <c r="U854" s="497" t="s">
        <v>538</v>
      </c>
      <c r="V854" s="648">
        <f>Data2025!V853</f>
        <v>0</v>
      </c>
      <c r="W854" s="648">
        <f>Data2025!X853</f>
        <v>0</v>
      </c>
      <c r="X854" s="497" t="s">
        <v>541</v>
      </c>
      <c r="Y854" s="268" t="str">
        <f t="shared" si="44"/>
        <v>Alat Tulis Kantor (ATK)</v>
      </c>
      <c r="Z854" s="649" t="str">
        <f t="shared" si="45"/>
        <v>Alat Tulis Kantor (ATK)</v>
      </c>
      <c r="AA854" s="498" t="s">
        <v>3363</v>
      </c>
      <c r="AB854" s="499">
        <v>59800</v>
      </c>
      <c r="AC854" s="499">
        <v>239200</v>
      </c>
      <c r="AD854" s="496">
        <v>239200</v>
      </c>
      <c r="AE854" s="500">
        <v>215495.4954954955</v>
      </c>
      <c r="AF854" s="500">
        <v>239200</v>
      </c>
      <c r="AG854" s="805" t="s">
        <v>3883</v>
      </c>
      <c r="AH854" s="651">
        <f>Data2025!W853</f>
        <v>0</v>
      </c>
      <c r="AI854" s="61">
        <v>250</v>
      </c>
    </row>
    <row r="855" spans="1:35" ht="16.5" thickTop="1" thickBot="1">
      <c r="A855" s="636">
        <f>Data2025!G854</f>
        <v>0</v>
      </c>
      <c r="B855" s="637">
        <f>Data2025!K854</f>
        <v>0</v>
      </c>
      <c r="C855" s="638">
        <f>Data2025!D854</f>
        <v>0</v>
      </c>
      <c r="D855" s="639">
        <f>Data2025!C854</f>
        <v>0</v>
      </c>
      <c r="E855" s="265">
        <f>Data2025!E854</f>
        <v>0</v>
      </c>
      <c r="F855" s="640">
        <f>Data2025!F854</f>
        <v>0</v>
      </c>
      <c r="G855" s="265">
        <f>Data2025!H854</f>
        <v>0</v>
      </c>
      <c r="H855" s="265">
        <f t="shared" si="43"/>
        <v>0</v>
      </c>
      <c r="I855" s="641">
        <f>Data2025!J854</f>
        <v>0</v>
      </c>
      <c r="J855" s="381">
        <f>Data2025!L854</f>
        <v>0</v>
      </c>
      <c r="K855" s="381">
        <f>Data2025!M854</f>
        <v>0</v>
      </c>
      <c r="L855" s="642">
        <f>Data2025!N854</f>
        <v>0</v>
      </c>
      <c r="M855" s="642">
        <f>Data2025!O854</f>
        <v>0</v>
      </c>
      <c r="N855" s="643">
        <f>Data2025!P854</f>
        <v>0</v>
      </c>
      <c r="O855" s="644">
        <f>Data2025!Q854</f>
        <v>0</v>
      </c>
      <c r="P855" s="645" t="s">
        <v>710</v>
      </c>
      <c r="Q855" s="646" t="e">
        <f>VLOOKUP(K855,Sheet1!$C$1:$D$101,2,)</f>
        <v>#N/A</v>
      </c>
      <c r="R855" s="496">
        <v>180000</v>
      </c>
      <c r="S855" s="504">
        <v>184000</v>
      </c>
      <c r="T855" s="648">
        <f>Data2025!T854</f>
        <v>0</v>
      </c>
      <c r="U855" s="497" t="s">
        <v>538</v>
      </c>
      <c r="V855" s="648">
        <f>Data2025!V854</f>
        <v>0</v>
      </c>
      <c r="W855" s="648">
        <f>Data2025!X854</f>
        <v>0</v>
      </c>
      <c r="X855" s="497" t="s">
        <v>541</v>
      </c>
      <c r="Y855" s="268" t="str">
        <f t="shared" si="44"/>
        <v>Alat Tulis Kantor (ATK)</v>
      </c>
      <c r="Z855" s="649" t="str">
        <f t="shared" si="45"/>
        <v>Alat Tulis Kantor (ATK)</v>
      </c>
      <c r="AA855" s="498" t="s">
        <v>3369</v>
      </c>
      <c r="AB855" s="499">
        <v>90000</v>
      </c>
      <c r="AC855" s="499">
        <v>180000</v>
      </c>
      <c r="AD855" s="496">
        <v>180000</v>
      </c>
      <c r="AE855" s="500">
        <v>162162.16216216216</v>
      </c>
      <c r="AF855" s="500">
        <v>180000</v>
      </c>
      <c r="AG855" s="805" t="s">
        <v>3883</v>
      </c>
      <c r="AH855" s="651">
        <f>Data2025!W854</f>
        <v>0</v>
      </c>
      <c r="AI855" s="61">
        <v>250</v>
      </c>
    </row>
    <row r="856" spans="1:35" ht="16.5" thickTop="1" thickBot="1">
      <c r="A856" s="636">
        <f>Data2025!G855</f>
        <v>0</v>
      </c>
      <c r="B856" s="637">
        <f>Data2025!K855</f>
        <v>0</v>
      </c>
      <c r="C856" s="638">
        <f>Data2025!D855</f>
        <v>0</v>
      </c>
      <c r="D856" s="639">
        <f>Data2025!C855</f>
        <v>0</v>
      </c>
      <c r="E856" s="265">
        <f>Data2025!E855</f>
        <v>0</v>
      </c>
      <c r="F856" s="640">
        <f>Data2025!F855</f>
        <v>0</v>
      </c>
      <c r="G856" s="265">
        <f>Data2025!H855</f>
        <v>0</v>
      </c>
      <c r="H856" s="265">
        <f t="shared" si="43"/>
        <v>0</v>
      </c>
      <c r="I856" s="641">
        <f>Data2025!J855</f>
        <v>0</v>
      </c>
      <c r="J856" s="381">
        <f>Data2025!L855</f>
        <v>0</v>
      </c>
      <c r="K856" s="381">
        <f>Data2025!M855</f>
        <v>0</v>
      </c>
      <c r="L856" s="642">
        <f>Data2025!N855</f>
        <v>0</v>
      </c>
      <c r="M856" s="642">
        <f>Data2025!O855</f>
        <v>0</v>
      </c>
      <c r="N856" s="643">
        <f>Data2025!P855</f>
        <v>0</v>
      </c>
      <c r="O856" s="644">
        <f>Data2025!Q855</f>
        <v>0</v>
      </c>
      <c r="P856" s="645" t="s">
        <v>710</v>
      </c>
      <c r="Q856" s="646" t="e">
        <f>VLOOKUP(K856,Sheet1!$C$1:$D$101,2,)</f>
        <v>#N/A</v>
      </c>
      <c r="R856" s="496">
        <v>60000</v>
      </c>
      <c r="S856" s="504">
        <v>66000</v>
      </c>
      <c r="T856" s="648">
        <f>Data2025!T855</f>
        <v>0</v>
      </c>
      <c r="U856" s="497" t="s">
        <v>538</v>
      </c>
      <c r="V856" s="648">
        <f>Data2025!V855</f>
        <v>0</v>
      </c>
      <c r="W856" s="648">
        <f>Data2025!X855</f>
        <v>0</v>
      </c>
      <c r="X856" s="497" t="s">
        <v>541</v>
      </c>
      <c r="Y856" s="268" t="str">
        <f t="shared" si="44"/>
        <v>Alat Tulis Kantor (ATK)</v>
      </c>
      <c r="Z856" s="649" t="str">
        <f t="shared" si="45"/>
        <v>Alat Tulis Kantor (ATK)</v>
      </c>
      <c r="AA856" s="498" t="s">
        <v>3363</v>
      </c>
      <c r="AB856" s="499">
        <v>20000</v>
      </c>
      <c r="AC856" s="499">
        <v>60000</v>
      </c>
      <c r="AD856" s="496">
        <v>60000</v>
      </c>
      <c r="AE856" s="500">
        <v>54054.054054054053</v>
      </c>
      <c r="AF856" s="500">
        <v>60000</v>
      </c>
      <c r="AG856" s="805" t="s">
        <v>3883</v>
      </c>
      <c r="AH856" s="651">
        <f>Data2025!W855</f>
        <v>0</v>
      </c>
      <c r="AI856" s="61">
        <v>250</v>
      </c>
    </row>
    <row r="857" spans="1:35" ht="16.5" thickTop="1" thickBot="1">
      <c r="A857" s="636">
        <f>Data2025!G856</f>
        <v>0</v>
      </c>
      <c r="B857" s="637">
        <f>Data2025!K856</f>
        <v>0</v>
      </c>
      <c r="C857" s="638">
        <f>Data2025!D856</f>
        <v>0</v>
      </c>
      <c r="D857" s="639">
        <f>Data2025!C856</f>
        <v>0</v>
      </c>
      <c r="E857" s="265">
        <f>Data2025!E856</f>
        <v>0</v>
      </c>
      <c r="F857" s="640">
        <f>Data2025!F856</f>
        <v>0</v>
      </c>
      <c r="G857" s="265">
        <f>Data2025!H856</f>
        <v>0</v>
      </c>
      <c r="H857" s="265">
        <f t="shared" si="43"/>
        <v>0</v>
      </c>
      <c r="I857" s="641">
        <f>Data2025!J856</f>
        <v>0</v>
      </c>
      <c r="J857" s="381">
        <f>Data2025!L856</f>
        <v>0</v>
      </c>
      <c r="K857" s="381">
        <f>Data2025!M856</f>
        <v>0</v>
      </c>
      <c r="L857" s="642">
        <f>Data2025!N856</f>
        <v>0</v>
      </c>
      <c r="M857" s="642">
        <f>Data2025!O856</f>
        <v>0</v>
      </c>
      <c r="N857" s="643">
        <f>Data2025!P856</f>
        <v>0</v>
      </c>
      <c r="O857" s="644">
        <f>Data2025!Q856</f>
        <v>0</v>
      </c>
      <c r="P857" s="645" t="s">
        <v>710</v>
      </c>
      <c r="Q857" s="646" t="e">
        <f>VLOOKUP(K857,Sheet1!$C$1:$D$101,2,)</f>
        <v>#N/A</v>
      </c>
      <c r="R857" s="496">
        <v>500000</v>
      </c>
      <c r="S857" s="504">
        <v>520000</v>
      </c>
      <c r="T857" s="648">
        <f>Data2025!T856</f>
        <v>0</v>
      </c>
      <c r="U857" s="497" t="s">
        <v>538</v>
      </c>
      <c r="V857" s="648">
        <f>Data2025!V856</f>
        <v>0</v>
      </c>
      <c r="W857" s="648">
        <f>Data2025!X856</f>
        <v>0</v>
      </c>
      <c r="X857" s="497" t="s">
        <v>541</v>
      </c>
      <c r="Y857" s="268" t="str">
        <f t="shared" si="44"/>
        <v>Alat Tulis Kantor (ATK)</v>
      </c>
      <c r="Z857" s="649" t="str">
        <f t="shared" si="45"/>
        <v>Alat Tulis Kantor (ATK)</v>
      </c>
      <c r="AA857" s="498" t="s">
        <v>3365</v>
      </c>
      <c r="AB857" s="499">
        <v>50000</v>
      </c>
      <c r="AC857" s="499">
        <v>500000</v>
      </c>
      <c r="AD857" s="496">
        <v>500000</v>
      </c>
      <c r="AE857" s="500">
        <v>450450.45045045047</v>
      </c>
      <c r="AF857" s="500">
        <v>500000</v>
      </c>
      <c r="AG857" s="805" t="s">
        <v>3883</v>
      </c>
      <c r="AH857" s="651">
        <f>Data2025!W856</f>
        <v>0</v>
      </c>
      <c r="AI857" s="61">
        <v>250</v>
      </c>
    </row>
    <row r="858" spans="1:35" ht="16.5" thickTop="1" thickBot="1">
      <c r="A858" s="636">
        <f>Data2025!G857</f>
        <v>0</v>
      </c>
      <c r="B858" s="637">
        <f>Data2025!K857</f>
        <v>0</v>
      </c>
      <c r="C858" s="638">
        <f>Data2025!D857</f>
        <v>0</v>
      </c>
      <c r="D858" s="639">
        <f>Data2025!C857</f>
        <v>0</v>
      </c>
      <c r="E858" s="265">
        <f>Data2025!E857</f>
        <v>0</v>
      </c>
      <c r="F858" s="640">
        <f>Data2025!F857</f>
        <v>0</v>
      </c>
      <c r="G858" s="265">
        <f>Data2025!H857</f>
        <v>0</v>
      </c>
      <c r="H858" s="265">
        <f t="shared" si="43"/>
        <v>0</v>
      </c>
      <c r="I858" s="641">
        <f>Data2025!J857</f>
        <v>0</v>
      </c>
      <c r="J858" s="381">
        <f>Data2025!L857</f>
        <v>0</v>
      </c>
      <c r="K858" s="381">
        <f>Data2025!M857</f>
        <v>0</v>
      </c>
      <c r="L858" s="642">
        <f>Data2025!N857</f>
        <v>0</v>
      </c>
      <c r="M858" s="642">
        <f>Data2025!O857</f>
        <v>0</v>
      </c>
      <c r="N858" s="643">
        <f>Data2025!P857</f>
        <v>0</v>
      </c>
      <c r="O858" s="644">
        <f>Data2025!Q857</f>
        <v>0</v>
      </c>
      <c r="P858" s="645" t="s">
        <v>710</v>
      </c>
      <c r="Q858" s="646" t="e">
        <f>VLOOKUP(K858,Sheet1!$C$1:$D$101,2,)</f>
        <v>#N/A</v>
      </c>
      <c r="R858" s="496">
        <v>155000</v>
      </c>
      <c r="S858" s="504">
        <v>165000</v>
      </c>
      <c r="T858" s="648">
        <f>Data2025!T857</f>
        <v>0</v>
      </c>
      <c r="U858" s="497" t="s">
        <v>538</v>
      </c>
      <c r="V858" s="648">
        <f>Data2025!V857</f>
        <v>0</v>
      </c>
      <c r="W858" s="648">
        <f>Data2025!X857</f>
        <v>0</v>
      </c>
      <c r="X858" s="497" t="s">
        <v>541</v>
      </c>
      <c r="Y858" s="268" t="str">
        <f t="shared" si="44"/>
        <v>Alat Tulis Kantor (ATK)</v>
      </c>
      <c r="Z858" s="649" t="str">
        <f t="shared" si="45"/>
        <v>Alat Tulis Kantor (ATK)</v>
      </c>
      <c r="AA858" s="498" t="s">
        <v>3365</v>
      </c>
      <c r="AB858" s="499">
        <v>31000</v>
      </c>
      <c r="AC858" s="499">
        <v>155000</v>
      </c>
      <c r="AD858" s="496">
        <v>155000</v>
      </c>
      <c r="AE858" s="500">
        <v>139639.63963963964</v>
      </c>
      <c r="AF858" s="500">
        <v>155000</v>
      </c>
      <c r="AG858" s="805" t="s">
        <v>3883</v>
      </c>
      <c r="AH858" s="651">
        <f>Data2025!W857</f>
        <v>0</v>
      </c>
      <c r="AI858" s="61">
        <v>250</v>
      </c>
    </row>
    <row r="859" spans="1:35" ht="16.5" thickTop="1" thickBot="1">
      <c r="A859" s="636">
        <f>Data2025!G858</f>
        <v>0</v>
      </c>
      <c r="B859" s="637">
        <f>Data2025!K858</f>
        <v>0</v>
      </c>
      <c r="C859" s="638">
        <f>Data2025!D858</f>
        <v>0</v>
      </c>
      <c r="D859" s="639">
        <f>Data2025!C858</f>
        <v>0</v>
      </c>
      <c r="E859" s="265">
        <f>Data2025!E858</f>
        <v>0</v>
      </c>
      <c r="F859" s="640">
        <f>Data2025!F858</f>
        <v>0</v>
      </c>
      <c r="G859" s="265">
        <f>Data2025!H858</f>
        <v>0</v>
      </c>
      <c r="H859" s="265">
        <f t="shared" si="43"/>
        <v>0</v>
      </c>
      <c r="I859" s="641">
        <f>Data2025!J858</f>
        <v>0</v>
      </c>
      <c r="J859" s="381">
        <f>Data2025!L858</f>
        <v>0</v>
      </c>
      <c r="K859" s="381">
        <f>Data2025!M858</f>
        <v>0</v>
      </c>
      <c r="L859" s="642">
        <f>Data2025!N858</f>
        <v>0</v>
      </c>
      <c r="M859" s="642">
        <f>Data2025!O858</f>
        <v>0</v>
      </c>
      <c r="N859" s="643">
        <f>Data2025!P858</f>
        <v>0</v>
      </c>
      <c r="O859" s="644">
        <f>Data2025!Q858</f>
        <v>0</v>
      </c>
      <c r="P859" s="645" t="s">
        <v>710</v>
      </c>
      <c r="Q859" s="646" t="e">
        <f>VLOOKUP(K859,Sheet1!$C$1:$D$101,2,)</f>
        <v>#N/A</v>
      </c>
      <c r="R859" s="496">
        <v>440000</v>
      </c>
      <c r="S859" s="504">
        <v>448000</v>
      </c>
      <c r="T859" s="648">
        <f>Data2025!T858</f>
        <v>0</v>
      </c>
      <c r="U859" s="497" t="s">
        <v>538</v>
      </c>
      <c r="V859" s="648">
        <f>Data2025!V858</f>
        <v>0</v>
      </c>
      <c r="W859" s="648">
        <f>Data2025!X858</f>
        <v>0</v>
      </c>
      <c r="X859" s="497" t="s">
        <v>541</v>
      </c>
      <c r="Y859" s="268" t="str">
        <f t="shared" si="44"/>
        <v>Alat Tulis Kantor (ATK)</v>
      </c>
      <c r="Z859" s="649" t="str">
        <f t="shared" si="45"/>
        <v>Alat Tulis Kantor (ATK)</v>
      </c>
      <c r="AA859" s="498" t="s">
        <v>3367</v>
      </c>
      <c r="AB859" s="499">
        <v>110000</v>
      </c>
      <c r="AC859" s="499">
        <v>440000</v>
      </c>
      <c r="AD859" s="496">
        <v>440000</v>
      </c>
      <c r="AE859" s="500">
        <v>396396.39639639639</v>
      </c>
      <c r="AF859" s="500">
        <v>440000</v>
      </c>
      <c r="AG859" s="805" t="s">
        <v>3883</v>
      </c>
      <c r="AH859" s="651">
        <f>Data2025!W858</f>
        <v>0</v>
      </c>
      <c r="AI859" s="61">
        <v>250</v>
      </c>
    </row>
    <row r="860" spans="1:35" ht="16.5" thickTop="1" thickBot="1">
      <c r="A860" s="636">
        <f>Data2025!G859</f>
        <v>0</v>
      </c>
      <c r="B860" s="637">
        <f>Data2025!K859</f>
        <v>0</v>
      </c>
      <c r="C860" s="638">
        <f>Data2025!D859</f>
        <v>0</v>
      </c>
      <c r="D860" s="639">
        <f>Data2025!C859</f>
        <v>0</v>
      </c>
      <c r="E860" s="265">
        <f>Data2025!E859</f>
        <v>0</v>
      </c>
      <c r="F860" s="640">
        <f>Data2025!F859</f>
        <v>0</v>
      </c>
      <c r="G860" s="265">
        <f>Data2025!H859</f>
        <v>0</v>
      </c>
      <c r="H860" s="265">
        <f t="shared" si="43"/>
        <v>0</v>
      </c>
      <c r="I860" s="641">
        <f>Data2025!J859</f>
        <v>0</v>
      </c>
      <c r="J860" s="381">
        <f>Data2025!L859</f>
        <v>0</v>
      </c>
      <c r="K860" s="381">
        <f>Data2025!M859</f>
        <v>0</v>
      </c>
      <c r="L860" s="642">
        <f>Data2025!N859</f>
        <v>0</v>
      </c>
      <c r="M860" s="642">
        <f>Data2025!O859</f>
        <v>0</v>
      </c>
      <c r="N860" s="643">
        <f>Data2025!P859</f>
        <v>0</v>
      </c>
      <c r="O860" s="644">
        <f>Data2025!Q859</f>
        <v>0</v>
      </c>
      <c r="P860" s="645" t="s">
        <v>710</v>
      </c>
      <c r="Q860" s="646" t="e">
        <f>VLOOKUP(K860,Sheet1!$C$1:$D$101,2,)</f>
        <v>#N/A</v>
      </c>
      <c r="R860" s="496">
        <v>450000</v>
      </c>
      <c r="S860" s="504">
        <v>454000</v>
      </c>
      <c r="T860" s="648">
        <f>Data2025!T859</f>
        <v>0</v>
      </c>
      <c r="U860" s="497" t="s">
        <v>538</v>
      </c>
      <c r="V860" s="648">
        <f>Data2025!V859</f>
        <v>0</v>
      </c>
      <c r="W860" s="648">
        <f>Data2025!X859</f>
        <v>0</v>
      </c>
      <c r="X860" s="497" t="s">
        <v>541</v>
      </c>
      <c r="Y860" s="268" t="str">
        <f t="shared" si="44"/>
        <v>Alat Tulis Kantor (ATK)</v>
      </c>
      <c r="Z860" s="649" t="str">
        <f t="shared" si="45"/>
        <v>Alat Tulis Kantor (ATK)</v>
      </c>
      <c r="AA860" s="498" t="s">
        <v>3364</v>
      </c>
      <c r="AB860" s="499">
        <v>225000</v>
      </c>
      <c r="AC860" s="499">
        <v>450000</v>
      </c>
      <c r="AD860" s="496">
        <v>450000</v>
      </c>
      <c r="AE860" s="500">
        <v>405405.40540540538</v>
      </c>
      <c r="AF860" s="500">
        <v>450000</v>
      </c>
      <c r="AG860" s="805" t="s">
        <v>3883</v>
      </c>
      <c r="AH860" s="651">
        <f>Data2025!W859</f>
        <v>0</v>
      </c>
      <c r="AI860" s="61">
        <v>250</v>
      </c>
    </row>
    <row r="861" spans="1:35" ht="16.5" thickTop="1" thickBot="1">
      <c r="A861" s="636">
        <f>Data2025!G860</f>
        <v>0</v>
      </c>
      <c r="B861" s="637">
        <f>Data2025!K860</f>
        <v>0</v>
      </c>
      <c r="C861" s="638">
        <f>Data2025!D860</f>
        <v>0</v>
      </c>
      <c r="D861" s="639">
        <f>Data2025!C860</f>
        <v>0</v>
      </c>
      <c r="E861" s="265">
        <f>Data2025!E860</f>
        <v>0</v>
      </c>
      <c r="F861" s="640">
        <f>Data2025!F860</f>
        <v>0</v>
      </c>
      <c r="G861" s="265">
        <f>Data2025!H860</f>
        <v>0</v>
      </c>
      <c r="H861" s="265">
        <f t="shared" si="43"/>
        <v>0</v>
      </c>
      <c r="I861" s="641">
        <f>Data2025!J860</f>
        <v>0</v>
      </c>
      <c r="J861" s="381">
        <f>Data2025!L860</f>
        <v>0</v>
      </c>
      <c r="K861" s="381">
        <f>Data2025!M860</f>
        <v>0</v>
      </c>
      <c r="L861" s="642">
        <f>Data2025!N860</f>
        <v>0</v>
      </c>
      <c r="M861" s="642">
        <f>Data2025!O860</f>
        <v>0</v>
      </c>
      <c r="N861" s="643">
        <f>Data2025!P860</f>
        <v>0</v>
      </c>
      <c r="O861" s="644">
        <f>Data2025!Q860</f>
        <v>0</v>
      </c>
      <c r="P861" s="645" t="s">
        <v>710</v>
      </c>
      <c r="Q861" s="646" t="e">
        <f>VLOOKUP(K861,Sheet1!$C$1:$D$101,2,)</f>
        <v>#N/A</v>
      </c>
      <c r="R861" s="496">
        <v>30000</v>
      </c>
      <c r="S861" s="504">
        <v>34000</v>
      </c>
      <c r="T861" s="648">
        <f>Data2025!T860</f>
        <v>0</v>
      </c>
      <c r="U861" s="497" t="s">
        <v>538</v>
      </c>
      <c r="V861" s="648">
        <f>Data2025!V860</f>
        <v>0</v>
      </c>
      <c r="W861" s="648">
        <f>Data2025!X860</f>
        <v>0</v>
      </c>
      <c r="X861" s="497" t="s">
        <v>541</v>
      </c>
      <c r="Y861" s="268" t="str">
        <f t="shared" si="44"/>
        <v>Alat Tulis Kantor (ATK)</v>
      </c>
      <c r="Z861" s="649" t="str">
        <f t="shared" si="45"/>
        <v>Alat Tulis Kantor (ATK)</v>
      </c>
      <c r="AA861" s="498" t="s">
        <v>3363</v>
      </c>
      <c r="AB861" s="499">
        <v>15000</v>
      </c>
      <c r="AC861" s="499">
        <v>30000</v>
      </c>
      <c r="AD861" s="496">
        <v>30000</v>
      </c>
      <c r="AE861" s="500">
        <v>27027.027027027027</v>
      </c>
      <c r="AF861" s="500">
        <v>30000</v>
      </c>
      <c r="AG861" s="805" t="s">
        <v>3883</v>
      </c>
      <c r="AH861" s="651">
        <f>Data2025!W860</f>
        <v>0</v>
      </c>
      <c r="AI861" s="61">
        <v>250</v>
      </c>
    </row>
    <row r="862" spans="1:35" ht="16.5" thickTop="1" thickBot="1">
      <c r="A862" s="636">
        <f>Data2025!G861</f>
        <v>0</v>
      </c>
      <c r="B862" s="637">
        <f>Data2025!K861</f>
        <v>0</v>
      </c>
      <c r="C862" s="638">
        <f>Data2025!D861</f>
        <v>0</v>
      </c>
      <c r="D862" s="639">
        <f>Data2025!C861</f>
        <v>0</v>
      </c>
      <c r="E862" s="265">
        <f>Data2025!E861</f>
        <v>0</v>
      </c>
      <c r="F862" s="640">
        <f>Data2025!F861</f>
        <v>0</v>
      </c>
      <c r="G862" s="265">
        <f>Data2025!H861</f>
        <v>0</v>
      </c>
      <c r="H862" s="265">
        <f t="shared" si="43"/>
        <v>0</v>
      </c>
      <c r="I862" s="641">
        <f>Data2025!J861</f>
        <v>0</v>
      </c>
      <c r="J862" s="381">
        <f>Data2025!L861</f>
        <v>0</v>
      </c>
      <c r="K862" s="381">
        <f>Data2025!M861</f>
        <v>0</v>
      </c>
      <c r="L862" s="642">
        <f>Data2025!N861</f>
        <v>0</v>
      </c>
      <c r="M862" s="642">
        <f>Data2025!O861</f>
        <v>0</v>
      </c>
      <c r="N862" s="643">
        <f>Data2025!P861</f>
        <v>0</v>
      </c>
      <c r="O862" s="644">
        <f>Data2025!Q861</f>
        <v>0</v>
      </c>
      <c r="P862" s="645" t="s">
        <v>710</v>
      </c>
      <c r="Q862" s="646" t="e">
        <f>VLOOKUP(K862,Sheet1!$C$1:$D$101,2,)</f>
        <v>#N/A</v>
      </c>
      <c r="R862" s="496">
        <v>2000000</v>
      </c>
      <c r="S862" s="504">
        <v>2080000</v>
      </c>
      <c r="T862" s="648">
        <f>Data2025!T861</f>
        <v>0</v>
      </c>
      <c r="U862" s="497" t="s">
        <v>538</v>
      </c>
      <c r="V862" s="648">
        <f>Data2025!V861</f>
        <v>0</v>
      </c>
      <c r="W862" s="648">
        <f>Data2025!X861</f>
        <v>0</v>
      </c>
      <c r="X862" s="497" t="s">
        <v>541</v>
      </c>
      <c r="Y862" s="268" t="str">
        <f t="shared" si="44"/>
        <v>Alat Tulis Kantor (ATK)</v>
      </c>
      <c r="Z862" s="649" t="str">
        <f t="shared" si="45"/>
        <v>Alat Tulis Kantor (ATK)</v>
      </c>
      <c r="AA862" s="498" t="s">
        <v>3369</v>
      </c>
      <c r="AB862" s="499">
        <v>50000</v>
      </c>
      <c r="AC862" s="499">
        <v>2000000</v>
      </c>
      <c r="AD862" s="496">
        <v>2000000</v>
      </c>
      <c r="AE862" s="500">
        <v>1801801.8018018019</v>
      </c>
      <c r="AF862" s="500">
        <v>2000000</v>
      </c>
      <c r="AG862" s="805" t="s">
        <v>3883</v>
      </c>
      <c r="AH862" s="651">
        <f>Data2025!W861</f>
        <v>0</v>
      </c>
      <c r="AI862" s="61">
        <v>250</v>
      </c>
    </row>
    <row r="863" spans="1:35" ht="16.5" thickTop="1" thickBot="1">
      <c r="A863" s="636">
        <f>Data2025!G862</f>
        <v>0</v>
      </c>
      <c r="B863" s="637">
        <f>Data2025!K862</f>
        <v>0</v>
      </c>
      <c r="C863" s="638">
        <f>Data2025!D862</f>
        <v>0</v>
      </c>
      <c r="D863" s="639">
        <f>Data2025!C862</f>
        <v>0</v>
      </c>
      <c r="E863" s="265">
        <f>Data2025!E862</f>
        <v>0</v>
      </c>
      <c r="F863" s="640">
        <f>Data2025!F862</f>
        <v>0</v>
      </c>
      <c r="G863" s="265">
        <f>Data2025!H862</f>
        <v>0</v>
      </c>
      <c r="H863" s="265">
        <f t="shared" si="43"/>
        <v>0</v>
      </c>
      <c r="I863" s="641">
        <f>Data2025!J862</f>
        <v>0</v>
      </c>
      <c r="J863" s="381">
        <f>Data2025!L862</f>
        <v>0</v>
      </c>
      <c r="K863" s="381">
        <f>Data2025!M862</f>
        <v>0</v>
      </c>
      <c r="L863" s="642">
        <f>Data2025!N862</f>
        <v>0</v>
      </c>
      <c r="M863" s="642">
        <f>Data2025!O862</f>
        <v>0</v>
      </c>
      <c r="N863" s="643">
        <f>Data2025!P862</f>
        <v>0</v>
      </c>
      <c r="O863" s="644">
        <f>Data2025!Q862</f>
        <v>0</v>
      </c>
      <c r="P863" s="645" t="s">
        <v>710</v>
      </c>
      <c r="Q863" s="646" t="e">
        <f>VLOOKUP(K863,Sheet1!$C$1:$D$101,2,)</f>
        <v>#N/A</v>
      </c>
      <c r="R863" s="496">
        <v>125000</v>
      </c>
      <c r="S863" s="504">
        <v>135000</v>
      </c>
      <c r="T863" s="648">
        <f>Data2025!T862</f>
        <v>0</v>
      </c>
      <c r="U863" s="497" t="s">
        <v>538</v>
      </c>
      <c r="V863" s="648">
        <f>Data2025!V862</f>
        <v>0</v>
      </c>
      <c r="W863" s="648">
        <f>Data2025!X862</f>
        <v>0</v>
      </c>
      <c r="X863" s="497" t="s">
        <v>541</v>
      </c>
      <c r="Y863" s="268" t="str">
        <f t="shared" si="44"/>
        <v>Alat Tulis Kantor (ATK)</v>
      </c>
      <c r="Z863" s="649" t="str">
        <f t="shared" si="45"/>
        <v>Alat Tulis Kantor (ATK)</v>
      </c>
      <c r="AA863" s="498" t="s">
        <v>3363</v>
      </c>
      <c r="AB863" s="499">
        <v>25000</v>
      </c>
      <c r="AC863" s="499">
        <v>125000</v>
      </c>
      <c r="AD863" s="496">
        <v>125000</v>
      </c>
      <c r="AE863" s="500">
        <v>112612.61261261262</v>
      </c>
      <c r="AF863" s="500">
        <v>125000</v>
      </c>
      <c r="AG863" s="805" t="s">
        <v>3883</v>
      </c>
      <c r="AH863" s="651">
        <f>Data2025!W862</f>
        <v>0</v>
      </c>
      <c r="AI863" s="61">
        <v>250</v>
      </c>
    </row>
    <row r="864" spans="1:35" ht="16.5" thickTop="1" thickBot="1">
      <c r="A864" s="636">
        <f>Data2025!G863</f>
        <v>0</v>
      </c>
      <c r="B864" s="637">
        <f>Data2025!K863</f>
        <v>0</v>
      </c>
      <c r="C864" s="638">
        <f>Data2025!D863</f>
        <v>0</v>
      </c>
      <c r="D864" s="639">
        <f>Data2025!C863</f>
        <v>0</v>
      </c>
      <c r="E864" s="265">
        <f>Data2025!E863</f>
        <v>0</v>
      </c>
      <c r="F864" s="640">
        <f>Data2025!F863</f>
        <v>0</v>
      </c>
      <c r="G864" s="265">
        <f>Data2025!H863</f>
        <v>0</v>
      </c>
      <c r="H864" s="265">
        <f t="shared" si="43"/>
        <v>0</v>
      </c>
      <c r="I864" s="641">
        <f>Data2025!J863</f>
        <v>0</v>
      </c>
      <c r="J864" s="381">
        <f>Data2025!L863</f>
        <v>0</v>
      </c>
      <c r="K864" s="381">
        <f>Data2025!M863</f>
        <v>0</v>
      </c>
      <c r="L864" s="642">
        <f>Data2025!N863</f>
        <v>0</v>
      </c>
      <c r="M864" s="642">
        <f>Data2025!O863</f>
        <v>0</v>
      </c>
      <c r="N864" s="643">
        <f>Data2025!P863</f>
        <v>0</v>
      </c>
      <c r="O864" s="644">
        <f>Data2025!Q863</f>
        <v>0</v>
      </c>
      <c r="P864" s="645" t="s">
        <v>710</v>
      </c>
      <c r="Q864" s="646" t="e">
        <f>VLOOKUP(K864,Sheet1!$C$1:$D$101,2,)</f>
        <v>#N/A</v>
      </c>
      <c r="R864" s="496">
        <v>114000</v>
      </c>
      <c r="S864" s="504">
        <v>124000</v>
      </c>
      <c r="T864" s="648">
        <f>Data2025!T863</f>
        <v>0</v>
      </c>
      <c r="U864" s="497" t="s">
        <v>538</v>
      </c>
      <c r="V864" s="648">
        <f>Data2025!V863</f>
        <v>0</v>
      </c>
      <c r="W864" s="648">
        <f>Data2025!X863</f>
        <v>0</v>
      </c>
      <c r="X864" s="497" t="s">
        <v>541</v>
      </c>
      <c r="Y864" s="268" t="str">
        <f t="shared" si="44"/>
        <v>Alat Tulis Kantor (ATK)</v>
      </c>
      <c r="Z864" s="649" t="str">
        <f t="shared" si="45"/>
        <v>Alat Tulis Kantor (ATK)</v>
      </c>
      <c r="AA864" s="498" t="s">
        <v>3363</v>
      </c>
      <c r="AB864" s="499">
        <v>22800</v>
      </c>
      <c r="AC864" s="499">
        <v>114000</v>
      </c>
      <c r="AD864" s="496">
        <v>114000</v>
      </c>
      <c r="AE864" s="500">
        <v>102702.70270270271</v>
      </c>
      <c r="AF864" s="500">
        <v>114000</v>
      </c>
      <c r="AG864" s="805" t="s">
        <v>3883</v>
      </c>
      <c r="AH864" s="651">
        <f>Data2025!W863</f>
        <v>0</v>
      </c>
      <c r="AI864" s="61">
        <v>250</v>
      </c>
    </row>
    <row r="865" spans="1:35" ht="16.5" thickTop="1" thickBot="1">
      <c r="A865" s="636">
        <f>Data2025!G864</f>
        <v>0</v>
      </c>
      <c r="B865" s="637">
        <f>Data2025!K864</f>
        <v>0</v>
      </c>
      <c r="C865" s="638">
        <f>Data2025!D864</f>
        <v>0</v>
      </c>
      <c r="D865" s="639">
        <f>Data2025!C864</f>
        <v>0</v>
      </c>
      <c r="E865" s="265">
        <f>Data2025!E864</f>
        <v>0</v>
      </c>
      <c r="F865" s="640">
        <f>Data2025!F864</f>
        <v>0</v>
      </c>
      <c r="G865" s="265">
        <f>Data2025!H864</f>
        <v>0</v>
      </c>
      <c r="H865" s="265">
        <f t="shared" si="43"/>
        <v>0</v>
      </c>
      <c r="I865" s="641">
        <f>Data2025!J864</f>
        <v>0</v>
      </c>
      <c r="J865" s="381">
        <f>Data2025!L864</f>
        <v>0</v>
      </c>
      <c r="K865" s="381">
        <f>Data2025!M864</f>
        <v>0</v>
      </c>
      <c r="L865" s="642">
        <f>Data2025!N864</f>
        <v>0</v>
      </c>
      <c r="M865" s="642">
        <f>Data2025!O864</f>
        <v>0</v>
      </c>
      <c r="N865" s="643">
        <f>Data2025!P864</f>
        <v>0</v>
      </c>
      <c r="O865" s="644">
        <f>Data2025!Q864</f>
        <v>0</v>
      </c>
      <c r="P865" s="645" t="s">
        <v>710</v>
      </c>
      <c r="Q865" s="646" t="e">
        <f>VLOOKUP(K865,Sheet1!$C$1:$D$101,2,)</f>
        <v>#N/A</v>
      </c>
      <c r="R865" s="496">
        <v>550000</v>
      </c>
      <c r="S865" s="504">
        <v>750000</v>
      </c>
      <c r="T865" s="648">
        <f>Data2025!T864</f>
        <v>0</v>
      </c>
      <c r="U865" s="497" t="s">
        <v>538</v>
      </c>
      <c r="V865" s="648">
        <f>Data2025!V864</f>
        <v>0</v>
      </c>
      <c r="W865" s="648">
        <f>Data2025!X864</f>
        <v>0</v>
      </c>
      <c r="X865" s="497" t="s">
        <v>541</v>
      </c>
      <c r="Y865" s="268" t="str">
        <f t="shared" si="44"/>
        <v>Alat Tulis Kantor (ATK)</v>
      </c>
      <c r="Z865" s="649" t="str">
        <f t="shared" si="45"/>
        <v>Alat Tulis Kantor (ATK)</v>
      </c>
      <c r="AA865" s="498" t="s">
        <v>3363</v>
      </c>
      <c r="AB865" s="499">
        <v>5500</v>
      </c>
      <c r="AC865" s="499">
        <v>550000</v>
      </c>
      <c r="AD865" s="496">
        <v>550000</v>
      </c>
      <c r="AE865" s="500">
        <v>495495.4954954955</v>
      </c>
      <c r="AF865" s="500">
        <v>550000</v>
      </c>
      <c r="AG865" s="805" t="s">
        <v>3883</v>
      </c>
      <c r="AH865" s="651">
        <f>Data2025!W864</f>
        <v>0</v>
      </c>
      <c r="AI865" s="61">
        <v>250</v>
      </c>
    </row>
    <row r="866" spans="1:35" ht="16.5" thickTop="1" thickBot="1">
      <c r="A866" s="636">
        <f>Data2025!G865</f>
        <v>0</v>
      </c>
      <c r="B866" s="637">
        <f>Data2025!K865</f>
        <v>0</v>
      </c>
      <c r="C866" s="638">
        <f>Data2025!D865</f>
        <v>0</v>
      </c>
      <c r="D866" s="639">
        <f>Data2025!C865</f>
        <v>0</v>
      </c>
      <c r="E866" s="265">
        <f>Data2025!E865</f>
        <v>0</v>
      </c>
      <c r="F866" s="640">
        <f>Data2025!F865</f>
        <v>0</v>
      </c>
      <c r="G866" s="265">
        <f>Data2025!H865</f>
        <v>0</v>
      </c>
      <c r="H866" s="265">
        <f t="shared" si="43"/>
        <v>0</v>
      </c>
      <c r="I866" s="641">
        <f>Data2025!J865</f>
        <v>0</v>
      </c>
      <c r="J866" s="381">
        <f>Data2025!L865</f>
        <v>0</v>
      </c>
      <c r="K866" s="381">
        <f>Data2025!M865</f>
        <v>0</v>
      </c>
      <c r="L866" s="642">
        <f>Data2025!N865</f>
        <v>0</v>
      </c>
      <c r="M866" s="642">
        <f>Data2025!O865</f>
        <v>0</v>
      </c>
      <c r="N866" s="643">
        <f>Data2025!P865</f>
        <v>0</v>
      </c>
      <c r="O866" s="644">
        <f>Data2025!Q865</f>
        <v>0</v>
      </c>
      <c r="P866" s="645" t="s">
        <v>2609</v>
      </c>
      <c r="Q866" s="646" t="e">
        <f>VLOOKUP(K866,Sheet1!$C$1:$D$101,2,)</f>
        <v>#N/A</v>
      </c>
      <c r="R866" s="496">
        <v>205500</v>
      </c>
      <c r="S866" s="504">
        <v>235500</v>
      </c>
      <c r="T866" s="648">
        <f>Data2025!T865</f>
        <v>0</v>
      </c>
      <c r="U866" s="497" t="s">
        <v>538</v>
      </c>
      <c r="V866" s="648">
        <f>Data2025!V865</f>
        <v>0</v>
      </c>
      <c r="W866" s="648">
        <f>Data2025!X865</f>
        <v>0</v>
      </c>
      <c r="X866" s="497" t="s">
        <v>541</v>
      </c>
      <c r="Y866" s="268" t="str">
        <f t="shared" si="44"/>
        <v>Alat Kebersihan</v>
      </c>
      <c r="Z866" s="649" t="str">
        <f t="shared" si="45"/>
        <v>Alat Kebersihan</v>
      </c>
      <c r="AA866" s="498" t="s">
        <v>3363</v>
      </c>
      <c r="AB866" s="499">
        <v>13700</v>
      </c>
      <c r="AC866" s="499">
        <v>205500</v>
      </c>
      <c r="AD866" s="496">
        <v>205500</v>
      </c>
      <c r="AE866" s="500">
        <v>185135.13513513515</v>
      </c>
      <c r="AF866" s="500">
        <v>205500</v>
      </c>
      <c r="AG866" s="805" t="s">
        <v>3883</v>
      </c>
      <c r="AH866" s="651">
        <f>Data2025!W865</f>
        <v>0</v>
      </c>
      <c r="AI866" s="61">
        <v>251</v>
      </c>
    </row>
    <row r="867" spans="1:35" ht="16.5" thickTop="1" thickBot="1">
      <c r="A867" s="636">
        <f>Data2025!G866</f>
        <v>0</v>
      </c>
      <c r="B867" s="637">
        <f>Data2025!K866</f>
        <v>0</v>
      </c>
      <c r="C867" s="638">
        <f>Data2025!D866</f>
        <v>0</v>
      </c>
      <c r="D867" s="639">
        <f>Data2025!C866</f>
        <v>0</v>
      </c>
      <c r="E867" s="265">
        <f>Data2025!E866</f>
        <v>0</v>
      </c>
      <c r="F867" s="640">
        <f>Data2025!F866</f>
        <v>0</v>
      </c>
      <c r="G867" s="265">
        <f>Data2025!H866</f>
        <v>0</v>
      </c>
      <c r="H867" s="265">
        <f t="shared" si="43"/>
        <v>0</v>
      </c>
      <c r="I867" s="641">
        <f>Data2025!J866</f>
        <v>0</v>
      </c>
      <c r="J867" s="381">
        <f>Data2025!L866</f>
        <v>0</v>
      </c>
      <c r="K867" s="381">
        <f>Data2025!M866</f>
        <v>0</v>
      </c>
      <c r="L867" s="642">
        <f>Data2025!N866</f>
        <v>0</v>
      </c>
      <c r="M867" s="642">
        <f>Data2025!O866</f>
        <v>0</v>
      </c>
      <c r="N867" s="643">
        <f>Data2025!P866</f>
        <v>0</v>
      </c>
      <c r="O867" s="644">
        <f>Data2025!Q866</f>
        <v>0</v>
      </c>
      <c r="P867" s="645" t="s">
        <v>2609</v>
      </c>
      <c r="Q867" s="646" t="e">
        <f>VLOOKUP(K867,Sheet1!$C$1:$D$101,2,)</f>
        <v>#N/A</v>
      </c>
      <c r="R867" s="496">
        <v>150000</v>
      </c>
      <c r="S867" s="504">
        <v>174000</v>
      </c>
      <c r="T867" s="648">
        <f>Data2025!T866</f>
        <v>0</v>
      </c>
      <c r="U867" s="497" t="s">
        <v>538</v>
      </c>
      <c r="V867" s="648">
        <f>Data2025!V866</f>
        <v>0</v>
      </c>
      <c r="W867" s="648">
        <f>Data2025!X866</f>
        <v>0</v>
      </c>
      <c r="X867" s="497" t="s">
        <v>541</v>
      </c>
      <c r="Y867" s="268" t="str">
        <f t="shared" si="44"/>
        <v>Alat Kebersihan</v>
      </c>
      <c r="Z867" s="649" t="str">
        <f t="shared" si="45"/>
        <v>Alat Kebersihan</v>
      </c>
      <c r="AA867" s="498" t="s">
        <v>3363</v>
      </c>
      <c r="AB867" s="499">
        <v>12500</v>
      </c>
      <c r="AC867" s="499">
        <v>150000</v>
      </c>
      <c r="AD867" s="496">
        <v>150000</v>
      </c>
      <c r="AE867" s="500">
        <v>135135.13513513515</v>
      </c>
      <c r="AF867" s="500">
        <v>150000</v>
      </c>
      <c r="AG867" s="805" t="s">
        <v>3883</v>
      </c>
      <c r="AH867" s="651">
        <f>Data2025!W866</f>
        <v>0</v>
      </c>
      <c r="AI867" s="61">
        <v>251</v>
      </c>
    </row>
    <row r="868" spans="1:35" ht="16.5" thickTop="1" thickBot="1">
      <c r="A868" s="636">
        <f>Data2025!G867</f>
        <v>0</v>
      </c>
      <c r="B868" s="637">
        <f>Data2025!K867</f>
        <v>0</v>
      </c>
      <c r="C868" s="638">
        <f>Data2025!D867</f>
        <v>0</v>
      </c>
      <c r="D868" s="639">
        <f>Data2025!C867</f>
        <v>0</v>
      </c>
      <c r="E868" s="265">
        <f>Data2025!E867</f>
        <v>0</v>
      </c>
      <c r="F868" s="640">
        <f>Data2025!F867</f>
        <v>0</v>
      </c>
      <c r="G868" s="265">
        <f>Data2025!H867</f>
        <v>0</v>
      </c>
      <c r="H868" s="265">
        <f t="shared" si="43"/>
        <v>0</v>
      </c>
      <c r="I868" s="641">
        <f>Data2025!J867</f>
        <v>0</v>
      </c>
      <c r="J868" s="381">
        <f>Data2025!L867</f>
        <v>0</v>
      </c>
      <c r="K868" s="381">
        <f>Data2025!M867</f>
        <v>0</v>
      </c>
      <c r="L868" s="642">
        <f>Data2025!N867</f>
        <v>0</v>
      </c>
      <c r="M868" s="642">
        <f>Data2025!O867</f>
        <v>0</v>
      </c>
      <c r="N868" s="643">
        <f>Data2025!P867</f>
        <v>0</v>
      </c>
      <c r="O868" s="644">
        <f>Data2025!Q867</f>
        <v>0</v>
      </c>
      <c r="P868" s="645" t="s">
        <v>2609</v>
      </c>
      <c r="Q868" s="646" t="e">
        <f>VLOOKUP(K868,Sheet1!$C$1:$D$101,2,)</f>
        <v>#N/A</v>
      </c>
      <c r="R868" s="496">
        <v>45000</v>
      </c>
      <c r="S868" s="504">
        <v>51000</v>
      </c>
      <c r="T868" s="648">
        <f>Data2025!T867</f>
        <v>0</v>
      </c>
      <c r="U868" s="497" t="s">
        <v>538</v>
      </c>
      <c r="V868" s="648">
        <f>Data2025!V867</f>
        <v>0</v>
      </c>
      <c r="W868" s="648">
        <f>Data2025!X867</f>
        <v>0</v>
      </c>
      <c r="X868" s="497" t="s">
        <v>541</v>
      </c>
      <c r="Y868" s="268" t="str">
        <f t="shared" si="44"/>
        <v>Alat Kebersihan</v>
      </c>
      <c r="Z868" s="649" t="str">
        <f t="shared" si="45"/>
        <v>Alat Kebersihan</v>
      </c>
      <c r="AA868" s="498" t="s">
        <v>3363</v>
      </c>
      <c r="AB868" s="499">
        <v>15000</v>
      </c>
      <c r="AC868" s="499">
        <v>45000</v>
      </c>
      <c r="AD868" s="496">
        <v>45000</v>
      </c>
      <c r="AE868" s="500">
        <v>40540.54054054054</v>
      </c>
      <c r="AF868" s="500">
        <v>45000</v>
      </c>
      <c r="AG868" s="805" t="s">
        <v>3883</v>
      </c>
      <c r="AH868" s="651">
        <f>Data2025!W867</f>
        <v>0</v>
      </c>
      <c r="AI868" s="61">
        <v>251</v>
      </c>
    </row>
    <row r="869" spans="1:35" ht="16.5" thickTop="1" thickBot="1">
      <c r="A869" s="636">
        <f>Data2025!G868</f>
        <v>0</v>
      </c>
      <c r="B869" s="637">
        <f>Data2025!K868</f>
        <v>0</v>
      </c>
      <c r="C869" s="638">
        <f>Data2025!D868</f>
        <v>0</v>
      </c>
      <c r="D869" s="639">
        <f>Data2025!C868</f>
        <v>0</v>
      </c>
      <c r="E869" s="265">
        <f>Data2025!E868</f>
        <v>0</v>
      </c>
      <c r="F869" s="640">
        <f>Data2025!F868</f>
        <v>0</v>
      </c>
      <c r="G869" s="265">
        <f>Data2025!H868</f>
        <v>0</v>
      </c>
      <c r="H869" s="265">
        <f t="shared" si="43"/>
        <v>0</v>
      </c>
      <c r="I869" s="641">
        <f>Data2025!J868</f>
        <v>0</v>
      </c>
      <c r="J869" s="381">
        <f>Data2025!L868</f>
        <v>0</v>
      </c>
      <c r="K869" s="381">
        <f>Data2025!M868</f>
        <v>0</v>
      </c>
      <c r="L869" s="642">
        <f>Data2025!N868</f>
        <v>0</v>
      </c>
      <c r="M869" s="642">
        <f>Data2025!O868</f>
        <v>0</v>
      </c>
      <c r="N869" s="643">
        <f>Data2025!P868</f>
        <v>0</v>
      </c>
      <c r="O869" s="644">
        <f>Data2025!Q868</f>
        <v>0</v>
      </c>
      <c r="P869" s="645" t="s">
        <v>2609</v>
      </c>
      <c r="Q869" s="646" t="e">
        <f>VLOOKUP(K869,Sheet1!$C$1:$D$101,2,)</f>
        <v>#N/A</v>
      </c>
      <c r="R869" s="496">
        <v>300000</v>
      </c>
      <c r="S869" s="504">
        <v>320000</v>
      </c>
      <c r="T869" s="648">
        <f>Data2025!T868</f>
        <v>0</v>
      </c>
      <c r="U869" s="497" t="s">
        <v>538</v>
      </c>
      <c r="V869" s="648">
        <f>Data2025!V868</f>
        <v>0</v>
      </c>
      <c r="W869" s="648">
        <f>Data2025!X868</f>
        <v>0</v>
      </c>
      <c r="X869" s="497" t="s">
        <v>541</v>
      </c>
      <c r="Y869" s="268" t="str">
        <f t="shared" si="44"/>
        <v>Alat Kebersihan</v>
      </c>
      <c r="Z869" s="649" t="str">
        <f t="shared" si="45"/>
        <v>Alat Kebersihan</v>
      </c>
      <c r="AA869" s="498" t="s">
        <v>3367</v>
      </c>
      <c r="AB869" s="499">
        <v>30000</v>
      </c>
      <c r="AC869" s="499">
        <v>300000</v>
      </c>
      <c r="AD869" s="496">
        <v>300000</v>
      </c>
      <c r="AE869" s="500">
        <v>270270.2702702703</v>
      </c>
      <c r="AF869" s="500">
        <v>300000</v>
      </c>
      <c r="AG869" s="805" t="s">
        <v>3883</v>
      </c>
      <c r="AH869" s="651">
        <f>Data2025!W868</f>
        <v>0</v>
      </c>
      <c r="AI869" s="61">
        <v>251</v>
      </c>
    </row>
    <row r="870" spans="1:35" ht="16.5" thickTop="1" thickBot="1">
      <c r="A870" s="636">
        <f>Data2025!G869</f>
        <v>0</v>
      </c>
      <c r="B870" s="637">
        <f>Data2025!K869</f>
        <v>0</v>
      </c>
      <c r="C870" s="638">
        <f>Data2025!D869</f>
        <v>0</v>
      </c>
      <c r="D870" s="639">
        <f>Data2025!C869</f>
        <v>0</v>
      </c>
      <c r="E870" s="265">
        <f>Data2025!E869</f>
        <v>0</v>
      </c>
      <c r="F870" s="640">
        <f>Data2025!F869</f>
        <v>0</v>
      </c>
      <c r="G870" s="265">
        <f>Data2025!H869</f>
        <v>0</v>
      </c>
      <c r="H870" s="265">
        <f t="shared" si="43"/>
        <v>0</v>
      </c>
      <c r="I870" s="641">
        <f>Data2025!J869</f>
        <v>0</v>
      </c>
      <c r="J870" s="381">
        <f>Data2025!L869</f>
        <v>0</v>
      </c>
      <c r="K870" s="381">
        <f>Data2025!M869</f>
        <v>0</v>
      </c>
      <c r="L870" s="642">
        <f>Data2025!N869</f>
        <v>0</v>
      </c>
      <c r="M870" s="642">
        <f>Data2025!O869</f>
        <v>0</v>
      </c>
      <c r="N870" s="643">
        <f>Data2025!P869</f>
        <v>0</v>
      </c>
      <c r="O870" s="644">
        <f>Data2025!Q869</f>
        <v>0</v>
      </c>
      <c r="P870" s="645" t="s">
        <v>2609</v>
      </c>
      <c r="Q870" s="646" t="e">
        <f>VLOOKUP(K870,Sheet1!$C$1:$D$101,2,)</f>
        <v>#N/A</v>
      </c>
      <c r="R870" s="496">
        <v>121000</v>
      </c>
      <c r="S870" s="504">
        <v>141000</v>
      </c>
      <c r="T870" s="648">
        <f>Data2025!T869</f>
        <v>0</v>
      </c>
      <c r="U870" s="497" t="s">
        <v>538</v>
      </c>
      <c r="V870" s="648">
        <f>Data2025!V869</f>
        <v>0</v>
      </c>
      <c r="W870" s="648">
        <f>Data2025!X869</f>
        <v>0</v>
      </c>
      <c r="X870" s="497" t="s">
        <v>541</v>
      </c>
      <c r="Y870" s="268" t="str">
        <f t="shared" si="44"/>
        <v>Alat Kebersihan</v>
      </c>
      <c r="Z870" s="649" t="str">
        <f t="shared" si="45"/>
        <v>Alat Kebersihan</v>
      </c>
      <c r="AA870" s="498" t="s">
        <v>3363</v>
      </c>
      <c r="AB870" s="499">
        <v>12100</v>
      </c>
      <c r="AC870" s="499">
        <v>121000</v>
      </c>
      <c r="AD870" s="496">
        <v>121000</v>
      </c>
      <c r="AE870" s="500">
        <v>109009.00900900901</v>
      </c>
      <c r="AF870" s="500">
        <v>121000</v>
      </c>
      <c r="AG870" s="805" t="s">
        <v>3883</v>
      </c>
      <c r="AH870" s="651">
        <f>Data2025!W869</f>
        <v>0</v>
      </c>
      <c r="AI870" s="61">
        <v>251</v>
      </c>
    </row>
    <row r="871" spans="1:35" ht="16.5" thickTop="1" thickBot="1">
      <c r="A871" s="636">
        <f>Data2025!G870</f>
        <v>0</v>
      </c>
      <c r="B871" s="637">
        <f>Data2025!K870</f>
        <v>0</v>
      </c>
      <c r="C871" s="638">
        <f>Data2025!D870</f>
        <v>0</v>
      </c>
      <c r="D871" s="639">
        <f>Data2025!C870</f>
        <v>0</v>
      </c>
      <c r="E871" s="265">
        <f>Data2025!E870</f>
        <v>0</v>
      </c>
      <c r="F871" s="640">
        <f>Data2025!F870</f>
        <v>0</v>
      </c>
      <c r="G871" s="265">
        <f>Data2025!H870</f>
        <v>0</v>
      </c>
      <c r="H871" s="265">
        <f t="shared" si="43"/>
        <v>0</v>
      </c>
      <c r="I871" s="641">
        <f>Data2025!J870</f>
        <v>0</v>
      </c>
      <c r="J871" s="381">
        <f>Data2025!L870</f>
        <v>0</v>
      </c>
      <c r="K871" s="381">
        <f>Data2025!M870</f>
        <v>0</v>
      </c>
      <c r="L871" s="642">
        <f>Data2025!N870</f>
        <v>0</v>
      </c>
      <c r="M871" s="642">
        <f>Data2025!O870</f>
        <v>0</v>
      </c>
      <c r="N871" s="643">
        <f>Data2025!P870</f>
        <v>0</v>
      </c>
      <c r="O871" s="644">
        <f>Data2025!Q870</f>
        <v>0</v>
      </c>
      <c r="P871" s="645" t="s">
        <v>2609</v>
      </c>
      <c r="Q871" s="646" t="e">
        <f>VLOOKUP(K871,Sheet1!$C$1:$D$101,2,)</f>
        <v>#N/A</v>
      </c>
      <c r="R871" s="496">
        <v>350000</v>
      </c>
      <c r="S871" s="504">
        <v>360000</v>
      </c>
      <c r="T871" s="648">
        <f>Data2025!T870</f>
        <v>0</v>
      </c>
      <c r="U871" s="497" t="s">
        <v>538</v>
      </c>
      <c r="V871" s="648">
        <f>Data2025!V870</f>
        <v>0</v>
      </c>
      <c r="W871" s="648">
        <f>Data2025!X870</f>
        <v>0</v>
      </c>
      <c r="X871" s="497" t="s">
        <v>541</v>
      </c>
      <c r="Y871" s="268" t="str">
        <f t="shared" si="44"/>
        <v>Alat Kebersihan</v>
      </c>
      <c r="Z871" s="649" t="str">
        <f t="shared" si="45"/>
        <v>Alat Kebersihan</v>
      </c>
      <c r="AA871" s="498" t="s">
        <v>3371</v>
      </c>
      <c r="AB871" s="499">
        <v>70000</v>
      </c>
      <c r="AC871" s="499">
        <v>350000</v>
      </c>
      <c r="AD871" s="496">
        <v>350000</v>
      </c>
      <c r="AE871" s="500">
        <v>315315.31531531533</v>
      </c>
      <c r="AF871" s="500">
        <v>350000</v>
      </c>
      <c r="AG871" s="805" t="s">
        <v>3883</v>
      </c>
      <c r="AH871" s="651">
        <f>Data2025!W870</f>
        <v>0</v>
      </c>
      <c r="AI871" s="61">
        <v>251</v>
      </c>
    </row>
    <row r="872" spans="1:35" ht="16.5" thickTop="1" thickBot="1">
      <c r="A872" s="636">
        <f>Data2025!G871</f>
        <v>0</v>
      </c>
      <c r="B872" s="637">
        <f>Data2025!K871</f>
        <v>0</v>
      </c>
      <c r="C872" s="638">
        <f>Data2025!D871</f>
        <v>0</v>
      </c>
      <c r="D872" s="639">
        <f>Data2025!C871</f>
        <v>0</v>
      </c>
      <c r="E872" s="265">
        <f>Data2025!E871</f>
        <v>0</v>
      </c>
      <c r="F872" s="640">
        <f>Data2025!F871</f>
        <v>0</v>
      </c>
      <c r="G872" s="265">
        <f>Data2025!H871</f>
        <v>0</v>
      </c>
      <c r="H872" s="265">
        <f t="shared" si="43"/>
        <v>0</v>
      </c>
      <c r="I872" s="641">
        <f>Data2025!J871</f>
        <v>0</v>
      </c>
      <c r="J872" s="381">
        <f>Data2025!L871</f>
        <v>0</v>
      </c>
      <c r="K872" s="381">
        <f>Data2025!M871</f>
        <v>0</v>
      </c>
      <c r="L872" s="642">
        <f>Data2025!N871</f>
        <v>0</v>
      </c>
      <c r="M872" s="642">
        <f>Data2025!O871</f>
        <v>0</v>
      </c>
      <c r="N872" s="643">
        <f>Data2025!P871</f>
        <v>0</v>
      </c>
      <c r="O872" s="644">
        <f>Data2025!Q871</f>
        <v>0</v>
      </c>
      <c r="P872" s="645" t="s">
        <v>2609</v>
      </c>
      <c r="Q872" s="646" t="e">
        <f>VLOOKUP(K872,Sheet1!$C$1:$D$101,2,)</f>
        <v>#N/A</v>
      </c>
      <c r="R872" s="496">
        <v>335000</v>
      </c>
      <c r="S872" s="504">
        <v>345000</v>
      </c>
      <c r="T872" s="648">
        <f>Data2025!T871</f>
        <v>0</v>
      </c>
      <c r="U872" s="497" t="s">
        <v>538</v>
      </c>
      <c r="V872" s="648">
        <f>Data2025!V871</f>
        <v>0</v>
      </c>
      <c r="W872" s="648">
        <f>Data2025!X871</f>
        <v>0</v>
      </c>
      <c r="X872" s="497" t="s">
        <v>541</v>
      </c>
      <c r="Y872" s="268" t="str">
        <f t="shared" si="44"/>
        <v>Alat Kebersihan</v>
      </c>
      <c r="Z872" s="649" t="str">
        <f t="shared" si="45"/>
        <v>Alat Kebersihan</v>
      </c>
      <c r="AA872" s="498" t="s">
        <v>3367</v>
      </c>
      <c r="AB872" s="499">
        <v>67000</v>
      </c>
      <c r="AC872" s="499">
        <v>335000</v>
      </c>
      <c r="AD872" s="496">
        <v>335000</v>
      </c>
      <c r="AE872" s="500">
        <v>301801.80180180183</v>
      </c>
      <c r="AF872" s="500">
        <v>335000</v>
      </c>
      <c r="AG872" s="805" t="s">
        <v>3883</v>
      </c>
      <c r="AH872" s="651">
        <f>Data2025!W871</f>
        <v>0</v>
      </c>
      <c r="AI872" s="61">
        <v>251</v>
      </c>
    </row>
    <row r="873" spans="1:35" ht="16.5" thickTop="1" thickBot="1">
      <c r="A873" s="636">
        <f>Data2025!G872</f>
        <v>0</v>
      </c>
      <c r="B873" s="637">
        <f>Data2025!K872</f>
        <v>0</v>
      </c>
      <c r="C873" s="638">
        <f>Data2025!D872</f>
        <v>0</v>
      </c>
      <c r="D873" s="639">
        <f>Data2025!C872</f>
        <v>0</v>
      </c>
      <c r="E873" s="265">
        <f>Data2025!E872</f>
        <v>0</v>
      </c>
      <c r="F873" s="640">
        <f>Data2025!F872</f>
        <v>0</v>
      </c>
      <c r="G873" s="265">
        <f>Data2025!H872</f>
        <v>0</v>
      </c>
      <c r="H873" s="265">
        <f t="shared" si="43"/>
        <v>0</v>
      </c>
      <c r="I873" s="641">
        <f>Data2025!J872</f>
        <v>0</v>
      </c>
      <c r="J873" s="381">
        <f>Data2025!L872</f>
        <v>0</v>
      </c>
      <c r="K873" s="381">
        <f>Data2025!M872</f>
        <v>0</v>
      </c>
      <c r="L873" s="642">
        <f>Data2025!N872</f>
        <v>0</v>
      </c>
      <c r="M873" s="642">
        <f>Data2025!O872</f>
        <v>0</v>
      </c>
      <c r="N873" s="643">
        <f>Data2025!P872</f>
        <v>0</v>
      </c>
      <c r="O873" s="644">
        <f>Data2025!Q872</f>
        <v>0</v>
      </c>
      <c r="P873" s="645" t="s">
        <v>2609</v>
      </c>
      <c r="Q873" s="646" t="e">
        <f>VLOOKUP(K873,Sheet1!$C$1:$D$101,2,)</f>
        <v>#N/A</v>
      </c>
      <c r="R873" s="496">
        <v>60000</v>
      </c>
      <c r="S873" s="504">
        <v>70000</v>
      </c>
      <c r="T873" s="648">
        <f>Data2025!T872</f>
        <v>0</v>
      </c>
      <c r="U873" s="497" t="s">
        <v>538</v>
      </c>
      <c r="V873" s="648">
        <f>Data2025!V872</f>
        <v>0</v>
      </c>
      <c r="W873" s="648">
        <f>Data2025!X872</f>
        <v>0</v>
      </c>
      <c r="X873" s="497" t="s">
        <v>541</v>
      </c>
      <c r="Y873" s="268" t="str">
        <f t="shared" si="44"/>
        <v>Alat Kebersihan</v>
      </c>
      <c r="Z873" s="649" t="str">
        <f t="shared" si="45"/>
        <v>Alat Kebersihan</v>
      </c>
      <c r="AA873" s="498" t="s">
        <v>3363</v>
      </c>
      <c r="AB873" s="499">
        <v>12000</v>
      </c>
      <c r="AC873" s="499">
        <v>60000</v>
      </c>
      <c r="AD873" s="496">
        <v>60000</v>
      </c>
      <c r="AE873" s="500">
        <v>54054.054054054053</v>
      </c>
      <c r="AF873" s="500">
        <v>60000</v>
      </c>
      <c r="AG873" s="805" t="s">
        <v>3883</v>
      </c>
      <c r="AH873" s="651">
        <f>Data2025!W872</f>
        <v>0</v>
      </c>
      <c r="AI873" s="61">
        <v>251</v>
      </c>
    </row>
    <row r="874" spans="1:35" ht="16.5" thickTop="1" thickBot="1">
      <c r="A874" s="636">
        <f>Data2025!G873</f>
        <v>0</v>
      </c>
      <c r="B874" s="637">
        <f>Data2025!K873</f>
        <v>0</v>
      </c>
      <c r="C874" s="638">
        <f>Data2025!D873</f>
        <v>0</v>
      </c>
      <c r="D874" s="639">
        <f>Data2025!C873</f>
        <v>0</v>
      </c>
      <c r="E874" s="265">
        <f>Data2025!E873</f>
        <v>0</v>
      </c>
      <c r="F874" s="640">
        <f>Data2025!F873</f>
        <v>0</v>
      </c>
      <c r="G874" s="265">
        <f>Data2025!H873</f>
        <v>0</v>
      </c>
      <c r="H874" s="265">
        <f t="shared" si="43"/>
        <v>0</v>
      </c>
      <c r="I874" s="641">
        <f>Data2025!J873</f>
        <v>0</v>
      </c>
      <c r="J874" s="381">
        <f>Data2025!L873</f>
        <v>0</v>
      </c>
      <c r="K874" s="381">
        <f>Data2025!M873</f>
        <v>0</v>
      </c>
      <c r="L874" s="642">
        <f>Data2025!N873</f>
        <v>0</v>
      </c>
      <c r="M874" s="642">
        <f>Data2025!O873</f>
        <v>0</v>
      </c>
      <c r="N874" s="643">
        <f>Data2025!P873</f>
        <v>0</v>
      </c>
      <c r="O874" s="644">
        <f>Data2025!Q873</f>
        <v>0</v>
      </c>
      <c r="P874" s="645" t="s">
        <v>2609</v>
      </c>
      <c r="Q874" s="646" t="e">
        <f>VLOOKUP(K874,Sheet1!$C$1:$D$101,2,)</f>
        <v>#N/A</v>
      </c>
      <c r="R874" s="496">
        <v>60000</v>
      </c>
      <c r="S874" s="504">
        <v>70000</v>
      </c>
      <c r="T874" s="648">
        <f>Data2025!T873</f>
        <v>0</v>
      </c>
      <c r="U874" s="497" t="s">
        <v>538</v>
      </c>
      <c r="V874" s="648">
        <f>Data2025!V873</f>
        <v>0</v>
      </c>
      <c r="W874" s="648">
        <f>Data2025!X873</f>
        <v>0</v>
      </c>
      <c r="X874" s="497" t="s">
        <v>541</v>
      </c>
      <c r="Y874" s="268" t="str">
        <f t="shared" si="44"/>
        <v>Alat Kebersihan</v>
      </c>
      <c r="Z874" s="649" t="str">
        <f t="shared" si="45"/>
        <v>Alat Kebersihan</v>
      </c>
      <c r="AA874" s="498" t="s">
        <v>3363</v>
      </c>
      <c r="AB874" s="499">
        <v>12000</v>
      </c>
      <c r="AC874" s="499">
        <v>60000</v>
      </c>
      <c r="AD874" s="496">
        <v>60000</v>
      </c>
      <c r="AE874" s="500">
        <v>54054.054054054053</v>
      </c>
      <c r="AF874" s="500">
        <v>60000</v>
      </c>
      <c r="AG874" s="805" t="s">
        <v>3883</v>
      </c>
      <c r="AH874" s="651">
        <f>Data2025!W873</f>
        <v>0</v>
      </c>
      <c r="AI874" s="61">
        <v>251</v>
      </c>
    </row>
    <row r="875" spans="1:35" ht="16.5" thickTop="1" thickBot="1">
      <c r="A875" s="636">
        <f>Data2025!G874</f>
        <v>0</v>
      </c>
      <c r="B875" s="637">
        <f>Data2025!K874</f>
        <v>0</v>
      </c>
      <c r="C875" s="638">
        <f>Data2025!D874</f>
        <v>0</v>
      </c>
      <c r="D875" s="639">
        <f>Data2025!C874</f>
        <v>0</v>
      </c>
      <c r="E875" s="265">
        <f>Data2025!E874</f>
        <v>0</v>
      </c>
      <c r="F875" s="640">
        <f>Data2025!F874</f>
        <v>0</v>
      </c>
      <c r="G875" s="265">
        <f>Data2025!H874</f>
        <v>0</v>
      </c>
      <c r="H875" s="265">
        <f t="shared" si="43"/>
        <v>0</v>
      </c>
      <c r="I875" s="641">
        <f>Data2025!J874</f>
        <v>0</v>
      </c>
      <c r="J875" s="381">
        <f>Data2025!L874</f>
        <v>0</v>
      </c>
      <c r="K875" s="381">
        <f>Data2025!M874</f>
        <v>0</v>
      </c>
      <c r="L875" s="642">
        <f>Data2025!N874</f>
        <v>0</v>
      </c>
      <c r="M875" s="642">
        <f>Data2025!O874</f>
        <v>0</v>
      </c>
      <c r="N875" s="643">
        <f>Data2025!P874</f>
        <v>0</v>
      </c>
      <c r="O875" s="644">
        <f>Data2025!Q874</f>
        <v>0</v>
      </c>
      <c r="P875" s="645" t="s">
        <v>3030</v>
      </c>
      <c r="Q875" s="646" t="e">
        <f>VLOOKUP(K875,Sheet1!$C$1:$D$101,2,)</f>
        <v>#N/A</v>
      </c>
      <c r="R875" s="267">
        <v>16695000</v>
      </c>
      <c r="S875" s="647">
        <v>16725000</v>
      </c>
      <c r="T875" s="648">
        <f>Data2025!T874</f>
        <v>0</v>
      </c>
      <c r="U875" s="268" t="s">
        <v>3392</v>
      </c>
      <c r="V875" s="648">
        <f>Data2025!V874</f>
        <v>0</v>
      </c>
      <c r="W875" s="648">
        <f>Data2025!X874</f>
        <v>0</v>
      </c>
      <c r="X875" s="268" t="s">
        <v>2723</v>
      </c>
      <c r="Y875" s="268" t="str">
        <f t="shared" si="44"/>
        <v>Sarana dan Prsasrana</v>
      </c>
      <c r="Z875" s="649" t="str">
        <f t="shared" si="45"/>
        <v>Sarana dan Prsasrana</v>
      </c>
      <c r="AA875" s="650" t="s">
        <v>3363</v>
      </c>
      <c r="AB875" s="269">
        <v>1113000</v>
      </c>
      <c r="AC875" s="269">
        <v>16695000</v>
      </c>
      <c r="AD875" s="267">
        <v>16695000</v>
      </c>
      <c r="AE875" s="270">
        <v>15040540.540540541</v>
      </c>
      <c r="AF875" s="270">
        <v>16695000</v>
      </c>
      <c r="AG875" s="805" t="s">
        <v>3883</v>
      </c>
      <c r="AH875" s="651">
        <f>Data2025!W874</f>
        <v>0</v>
      </c>
      <c r="AI875" s="61">
        <v>252</v>
      </c>
    </row>
    <row r="876" spans="1:35" ht="16.5" thickTop="1" thickBot="1">
      <c r="A876" s="636">
        <f>Data2025!G875</f>
        <v>0</v>
      </c>
      <c r="B876" s="637">
        <f>Data2025!K875</f>
        <v>0</v>
      </c>
      <c r="C876" s="638">
        <f>Data2025!D875</f>
        <v>0</v>
      </c>
      <c r="D876" s="639">
        <f>Data2025!C875</f>
        <v>0</v>
      </c>
      <c r="E876" s="265">
        <f>Data2025!E875</f>
        <v>0</v>
      </c>
      <c r="F876" s="640">
        <f>Data2025!F875</f>
        <v>0</v>
      </c>
      <c r="G876" s="265">
        <f>Data2025!H875</f>
        <v>0</v>
      </c>
      <c r="H876" s="265">
        <f t="shared" si="43"/>
        <v>0</v>
      </c>
      <c r="I876" s="641">
        <f>Data2025!J875</f>
        <v>0</v>
      </c>
      <c r="J876" s="381">
        <f>Data2025!L875</f>
        <v>0</v>
      </c>
      <c r="K876" s="381">
        <f>Data2025!M875</f>
        <v>0</v>
      </c>
      <c r="L876" s="642">
        <f>Data2025!N875</f>
        <v>0</v>
      </c>
      <c r="M876" s="642">
        <f>Data2025!O875</f>
        <v>0</v>
      </c>
      <c r="N876" s="643">
        <f>Data2025!P875</f>
        <v>0</v>
      </c>
      <c r="O876" s="644">
        <f>Data2025!Q875</f>
        <v>0</v>
      </c>
      <c r="P876" s="645" t="s">
        <v>3030</v>
      </c>
      <c r="Q876" s="646" t="e">
        <f>VLOOKUP(K876,Sheet1!$C$1:$D$101,2,)</f>
        <v>#N/A</v>
      </c>
      <c r="R876" s="496">
        <v>2040000</v>
      </c>
      <c r="S876" s="504">
        <v>2064000</v>
      </c>
      <c r="T876" s="648">
        <f>Data2025!T875</f>
        <v>0</v>
      </c>
      <c r="U876" s="497" t="s">
        <v>2531</v>
      </c>
      <c r="V876" s="648">
        <f>Data2025!V875</f>
        <v>0</v>
      </c>
      <c r="W876" s="648">
        <f>Data2025!X875</f>
        <v>0</v>
      </c>
      <c r="Y876" s="268" t="str">
        <f t="shared" si="44"/>
        <v>Sarana dan Prsasrana</v>
      </c>
      <c r="Z876" s="649" t="str">
        <f t="shared" si="45"/>
        <v>Sarana dan Prsasrana</v>
      </c>
      <c r="AA876" s="498" t="s">
        <v>3378</v>
      </c>
      <c r="AB876" s="499">
        <v>170000</v>
      </c>
      <c r="AC876" s="499">
        <v>2040000</v>
      </c>
      <c r="AD876" s="496">
        <v>2040000</v>
      </c>
      <c r="AE876" s="500">
        <v>1837837.8378378379</v>
      </c>
      <c r="AF876" s="500">
        <v>2040000</v>
      </c>
      <c r="AG876" s="805" t="s">
        <v>3883</v>
      </c>
      <c r="AH876" s="651">
        <f>Data2025!W875</f>
        <v>0</v>
      </c>
      <c r="AI876" s="61">
        <v>253</v>
      </c>
    </row>
    <row r="877" spans="1:35" ht="16.5" thickTop="1" thickBot="1">
      <c r="A877" s="636">
        <f>Data2025!G876</f>
        <v>0</v>
      </c>
      <c r="B877" s="637">
        <f>Data2025!K876</f>
        <v>0</v>
      </c>
      <c r="C877" s="638">
        <f>Data2025!D876</f>
        <v>0</v>
      </c>
      <c r="D877" s="639">
        <f>Data2025!C876</f>
        <v>0</v>
      </c>
      <c r="E877" s="265">
        <f>Data2025!E876</f>
        <v>0</v>
      </c>
      <c r="F877" s="640">
        <f>Data2025!F876</f>
        <v>0</v>
      </c>
      <c r="G877" s="265">
        <f>Data2025!H876</f>
        <v>0</v>
      </c>
      <c r="H877" s="265">
        <f t="shared" si="43"/>
        <v>0</v>
      </c>
      <c r="I877" s="641">
        <f>Data2025!J876</f>
        <v>0</v>
      </c>
      <c r="J877" s="381">
        <f>Data2025!L876</f>
        <v>0</v>
      </c>
      <c r="K877" s="381">
        <f>Data2025!M876</f>
        <v>0</v>
      </c>
      <c r="L877" s="642">
        <f>Data2025!N876</f>
        <v>0</v>
      </c>
      <c r="M877" s="642">
        <f>Data2025!O876</f>
        <v>0</v>
      </c>
      <c r="N877" s="643">
        <f>Data2025!P876</f>
        <v>0</v>
      </c>
      <c r="O877" s="644">
        <f>Data2025!Q876</f>
        <v>0</v>
      </c>
      <c r="P877" s="645" t="s">
        <v>280</v>
      </c>
      <c r="Q877" s="646" t="e">
        <f>VLOOKUP(K877,Sheet1!$C$1:$D$101,2,)</f>
        <v>#N/A</v>
      </c>
      <c r="R877" s="267">
        <v>900000</v>
      </c>
      <c r="S877" s="647">
        <v>1020000</v>
      </c>
      <c r="T877" s="648">
        <f>Data2025!T876</f>
        <v>0</v>
      </c>
      <c r="U877" s="268" t="s">
        <v>2531</v>
      </c>
      <c r="V877" s="648">
        <f>Data2025!V876</f>
        <v>0</v>
      </c>
      <c r="W877" s="648">
        <f>Data2025!X876</f>
        <v>0</v>
      </c>
      <c r="X877" s="268" t="s">
        <v>2529</v>
      </c>
      <c r="Y877" s="268" t="str">
        <f t="shared" si="44"/>
        <v>Kudapan</v>
      </c>
      <c r="Z877" s="649" t="str">
        <f t="shared" si="45"/>
        <v>Kudapan</v>
      </c>
      <c r="AA877" s="650" t="s">
        <v>3362</v>
      </c>
      <c r="AB877" s="269">
        <v>15000</v>
      </c>
      <c r="AC877" s="269">
        <v>900000</v>
      </c>
      <c r="AD877" s="267">
        <v>900000</v>
      </c>
      <c r="AE877" s="270">
        <v>810810.81081081077</v>
      </c>
      <c r="AF877" s="270">
        <v>900000</v>
      </c>
      <c r="AG877" s="805" t="s">
        <v>3883</v>
      </c>
      <c r="AH877" s="651">
        <f>Data2025!W876</f>
        <v>0</v>
      </c>
      <c r="AI877" s="61">
        <v>254</v>
      </c>
    </row>
    <row r="878" spans="1:35" ht="16.5" thickTop="1" thickBot="1">
      <c r="A878" s="636">
        <f>Data2025!G877</f>
        <v>0</v>
      </c>
      <c r="B878" s="637">
        <f>Data2025!K877</f>
        <v>0</v>
      </c>
      <c r="C878" s="638">
        <f>Data2025!D877</f>
        <v>0</v>
      </c>
      <c r="D878" s="639">
        <f>Data2025!C877</f>
        <v>0</v>
      </c>
      <c r="E878" s="265">
        <f>Data2025!E877</f>
        <v>0</v>
      </c>
      <c r="F878" s="640">
        <f>Data2025!F877</f>
        <v>0</v>
      </c>
      <c r="G878" s="265">
        <f>Data2025!H877</f>
        <v>0</v>
      </c>
      <c r="H878" s="265">
        <f t="shared" si="43"/>
        <v>0</v>
      </c>
      <c r="I878" s="641">
        <f>Data2025!J877</f>
        <v>0</v>
      </c>
      <c r="J878" s="381">
        <f>Data2025!L877</f>
        <v>0</v>
      </c>
      <c r="K878" s="381">
        <f>Data2025!M877</f>
        <v>0</v>
      </c>
      <c r="L878" s="642">
        <f>Data2025!N877</f>
        <v>0</v>
      </c>
      <c r="M878" s="642">
        <f>Data2025!O877</f>
        <v>0</v>
      </c>
      <c r="N878" s="643">
        <f>Data2025!P877</f>
        <v>0</v>
      </c>
      <c r="O878" s="644">
        <f>Data2025!Q877</f>
        <v>0</v>
      </c>
      <c r="P878" s="645" t="s">
        <v>8</v>
      </c>
      <c r="Q878" s="646" t="e">
        <f>VLOOKUP(K878,Sheet1!$C$1:$D$101,2,)</f>
        <v>#N/A</v>
      </c>
      <c r="R878" s="267">
        <v>2400000</v>
      </c>
      <c r="S878" s="647">
        <v>2520000</v>
      </c>
      <c r="T878" s="648">
        <f>Data2025!T877</f>
        <v>0</v>
      </c>
      <c r="U878" s="268" t="s">
        <v>2520</v>
      </c>
      <c r="V878" s="648">
        <f>Data2025!V877</f>
        <v>0</v>
      </c>
      <c r="W878" s="648">
        <f>Data2025!X877</f>
        <v>0</v>
      </c>
      <c r="X878" s="268" t="s">
        <v>3391</v>
      </c>
      <c r="Y878" s="268" t="str">
        <f t="shared" si="44"/>
        <v>Konsumsi</v>
      </c>
      <c r="Z878" s="649" t="str">
        <f t="shared" si="45"/>
        <v>Konsumsi</v>
      </c>
      <c r="AA878" s="650" t="s">
        <v>3362</v>
      </c>
      <c r="AB878" s="269">
        <v>40000</v>
      </c>
      <c r="AC878" s="269">
        <v>2400000</v>
      </c>
      <c r="AD878" s="267">
        <v>2400000</v>
      </c>
      <c r="AE878" s="270">
        <v>2162162.1621621624</v>
      </c>
      <c r="AF878" s="270">
        <v>2400000</v>
      </c>
      <c r="AG878" s="805" t="s">
        <v>3883</v>
      </c>
      <c r="AH878" s="651">
        <f>Data2025!W877</f>
        <v>0</v>
      </c>
      <c r="AI878" s="61">
        <v>255</v>
      </c>
    </row>
    <row r="879" spans="1:35" ht="16.5" thickTop="1" thickBot="1">
      <c r="A879" s="636">
        <f>Data2025!G878</f>
        <v>0</v>
      </c>
      <c r="B879" s="637">
        <f>Data2025!K878</f>
        <v>0</v>
      </c>
      <c r="C879" s="638">
        <f>Data2025!D878</f>
        <v>0</v>
      </c>
      <c r="D879" s="639">
        <f>Data2025!C878</f>
        <v>0</v>
      </c>
      <c r="E879" s="265">
        <f>Data2025!E878</f>
        <v>0</v>
      </c>
      <c r="F879" s="640">
        <f>Data2025!F878</f>
        <v>0</v>
      </c>
      <c r="G879" s="265">
        <f>Data2025!H878</f>
        <v>0</v>
      </c>
      <c r="H879" s="265">
        <f t="shared" si="43"/>
        <v>0</v>
      </c>
      <c r="I879" s="641">
        <f>Data2025!J878</f>
        <v>0</v>
      </c>
      <c r="J879" s="381">
        <f>Data2025!L878</f>
        <v>0</v>
      </c>
      <c r="K879" s="381">
        <f>Data2025!M878</f>
        <v>0</v>
      </c>
      <c r="L879" s="642">
        <f>Data2025!N878</f>
        <v>0</v>
      </c>
      <c r="M879" s="642">
        <f>Data2025!O878</f>
        <v>0</v>
      </c>
      <c r="N879" s="643">
        <f>Data2025!P878</f>
        <v>0</v>
      </c>
      <c r="O879" s="644">
        <f>Data2025!Q878</f>
        <v>0</v>
      </c>
      <c r="P879" s="645" t="s">
        <v>1545</v>
      </c>
      <c r="Q879" s="646" t="e">
        <f>VLOOKUP(K879,Sheet1!$C$1:$D$101,2,)</f>
        <v>#N/A</v>
      </c>
      <c r="R879" s="267">
        <v>1250000</v>
      </c>
      <c r="S879" s="647">
        <v>1300000</v>
      </c>
      <c r="T879" s="648">
        <f>Data2025!T878</f>
        <v>0</v>
      </c>
      <c r="U879" s="268" t="s">
        <v>2531</v>
      </c>
      <c r="V879" s="648">
        <f>Data2025!V878</f>
        <v>0</v>
      </c>
      <c r="W879" s="648">
        <f>Data2025!X878</f>
        <v>0</v>
      </c>
      <c r="X879" s="268" t="s">
        <v>2529</v>
      </c>
      <c r="Y879" s="268" t="str">
        <f t="shared" si="44"/>
        <v>Air Mineral</v>
      </c>
      <c r="Z879" s="649" t="str">
        <f t="shared" si="45"/>
        <v>Air Mineral</v>
      </c>
      <c r="AA879" s="650" t="s">
        <v>3372</v>
      </c>
      <c r="AB879" s="269">
        <v>50000</v>
      </c>
      <c r="AC879" s="269">
        <v>1250000</v>
      </c>
      <c r="AD879" s="267">
        <v>1250000</v>
      </c>
      <c r="AE879" s="270">
        <v>1126126.1261261262</v>
      </c>
      <c r="AF879" s="270">
        <v>1250000</v>
      </c>
      <c r="AG879" s="805" t="s">
        <v>3883</v>
      </c>
      <c r="AH879" s="651">
        <f>Data2025!W878</f>
        <v>0</v>
      </c>
      <c r="AI879" s="61">
        <v>256</v>
      </c>
    </row>
    <row r="880" spans="1:35" ht="16.5" thickTop="1" thickBot="1">
      <c r="A880" s="636">
        <f>Data2025!G879</f>
        <v>0</v>
      </c>
      <c r="B880" s="637">
        <f>Data2025!K879</f>
        <v>0</v>
      </c>
      <c r="C880" s="638">
        <f>Data2025!D879</f>
        <v>0</v>
      </c>
      <c r="D880" s="639">
        <f>Data2025!C879</f>
        <v>0</v>
      </c>
      <c r="E880" s="265">
        <f>Data2025!E879</f>
        <v>0</v>
      </c>
      <c r="F880" s="640">
        <f>Data2025!F879</f>
        <v>0</v>
      </c>
      <c r="G880" s="265">
        <f>Data2025!H879</f>
        <v>0</v>
      </c>
      <c r="H880" s="265">
        <f t="shared" si="43"/>
        <v>0</v>
      </c>
      <c r="I880" s="641">
        <f>Data2025!J879</f>
        <v>0</v>
      </c>
      <c r="J880" s="381">
        <f>Data2025!L879</f>
        <v>0</v>
      </c>
      <c r="K880" s="381">
        <f>Data2025!M879</f>
        <v>0</v>
      </c>
      <c r="L880" s="642">
        <f>Data2025!N879</f>
        <v>0</v>
      </c>
      <c r="M880" s="642">
        <f>Data2025!O879</f>
        <v>0</v>
      </c>
      <c r="N880" s="643">
        <f>Data2025!P879</f>
        <v>0</v>
      </c>
      <c r="O880" s="644">
        <f>Data2025!Q879</f>
        <v>0</v>
      </c>
      <c r="P880" s="645">
        <v>0</v>
      </c>
      <c r="Q880" s="646" t="e">
        <f>VLOOKUP(K880,Sheet1!$C$1:$D$101,2,)</f>
        <v>#N/A</v>
      </c>
      <c r="R880" s="496">
        <v>26250000</v>
      </c>
      <c r="S880" s="504">
        <v>26950000</v>
      </c>
      <c r="T880" s="648">
        <f>Data2025!T879</f>
        <v>0</v>
      </c>
      <c r="U880" s="497" t="s">
        <v>2531</v>
      </c>
      <c r="V880" s="648">
        <f>Data2025!V879</f>
        <v>0</v>
      </c>
      <c r="W880" s="648">
        <f>Data2025!X879</f>
        <v>0</v>
      </c>
      <c r="Y880" s="268">
        <f t="shared" si="44"/>
        <v>0</v>
      </c>
      <c r="Z880" s="649">
        <f t="shared" si="45"/>
        <v>0</v>
      </c>
      <c r="AA880" s="498" t="s">
        <v>3363</v>
      </c>
      <c r="AB880" s="499">
        <v>75000</v>
      </c>
      <c r="AC880" s="499">
        <v>26250000</v>
      </c>
      <c r="AD880" s="496">
        <v>26250000</v>
      </c>
      <c r="AE880" s="500">
        <v>23648648.648648649</v>
      </c>
      <c r="AF880" s="500">
        <v>26250000</v>
      </c>
      <c r="AG880" s="805" t="s">
        <v>3883</v>
      </c>
      <c r="AH880" s="651">
        <f>Data2025!W879</f>
        <v>0</v>
      </c>
      <c r="AI880" s="61">
        <v>257</v>
      </c>
    </row>
    <row r="881" spans="1:35" ht="16.5" thickTop="1" thickBot="1">
      <c r="A881" s="636">
        <f>Data2025!G880</f>
        <v>0</v>
      </c>
      <c r="B881" s="637">
        <f>Data2025!K880</f>
        <v>0</v>
      </c>
      <c r="C881" s="638">
        <f>Data2025!D880</f>
        <v>0</v>
      </c>
      <c r="D881" s="639">
        <f>Data2025!C880</f>
        <v>0</v>
      </c>
      <c r="E881" s="265">
        <f>Data2025!E880</f>
        <v>0</v>
      </c>
      <c r="F881" s="640">
        <f>Data2025!F880</f>
        <v>0</v>
      </c>
      <c r="G881" s="265">
        <f>Data2025!H880</f>
        <v>0</v>
      </c>
      <c r="H881" s="265">
        <f t="shared" si="43"/>
        <v>0</v>
      </c>
      <c r="I881" s="641">
        <f>Data2025!J880</f>
        <v>0</v>
      </c>
      <c r="J881" s="381">
        <f>Data2025!L880</f>
        <v>0</v>
      </c>
      <c r="K881" s="381">
        <f>Data2025!M880</f>
        <v>0</v>
      </c>
      <c r="L881" s="642">
        <f>Data2025!N880</f>
        <v>0</v>
      </c>
      <c r="M881" s="642">
        <f>Data2025!O880</f>
        <v>0</v>
      </c>
      <c r="N881" s="643">
        <f>Data2025!P880</f>
        <v>0</v>
      </c>
      <c r="O881" s="644">
        <f>Data2025!Q880</f>
        <v>0</v>
      </c>
      <c r="P881" s="645" t="s">
        <v>3094</v>
      </c>
      <c r="Q881" s="646" t="e">
        <f>VLOOKUP(K881,Sheet1!$C$1:$D$101,2,)</f>
        <v>#N/A</v>
      </c>
      <c r="R881" s="496">
        <v>6475000</v>
      </c>
      <c r="S881" s="504">
        <v>10175000</v>
      </c>
      <c r="T881" s="648">
        <f>Data2025!T880</f>
        <v>0</v>
      </c>
      <c r="U881" s="497" t="s">
        <v>538</v>
      </c>
      <c r="V881" s="648">
        <f>Data2025!V880</f>
        <v>0</v>
      </c>
      <c r="W881" s="648">
        <f>Data2025!X880</f>
        <v>0</v>
      </c>
      <c r="X881" s="497" t="s">
        <v>541</v>
      </c>
      <c r="Y881" s="268" t="str">
        <f t="shared" si="44"/>
        <v>Pemeliharaan</v>
      </c>
      <c r="Z881" s="649" t="str">
        <f t="shared" si="45"/>
        <v>Pemeliharaan</v>
      </c>
      <c r="AA881" s="498" t="s">
        <v>3368</v>
      </c>
      <c r="AB881" s="499">
        <v>3500</v>
      </c>
      <c r="AC881" s="499">
        <v>6475000</v>
      </c>
      <c r="AD881" s="496">
        <v>6475000</v>
      </c>
      <c r="AE881" s="500">
        <v>5833333.333333333</v>
      </c>
      <c r="AF881" s="500">
        <v>6475000</v>
      </c>
      <c r="AG881" s="805" t="s">
        <v>3883</v>
      </c>
      <c r="AH881" s="651">
        <f>Data2025!W880</f>
        <v>0</v>
      </c>
      <c r="AI881" s="61">
        <v>258</v>
      </c>
    </row>
    <row r="882" spans="1:35" ht="16.5" thickTop="1" thickBot="1">
      <c r="A882" s="636">
        <f>Data2025!G881</f>
        <v>0</v>
      </c>
      <c r="B882" s="637">
        <f>Data2025!K881</f>
        <v>0</v>
      </c>
      <c r="C882" s="638">
        <f>Data2025!D881</f>
        <v>0</v>
      </c>
      <c r="D882" s="639">
        <f>Data2025!C881</f>
        <v>0</v>
      </c>
      <c r="E882" s="265">
        <f>Data2025!E881</f>
        <v>0</v>
      </c>
      <c r="F882" s="640">
        <f>Data2025!F881</f>
        <v>0</v>
      </c>
      <c r="G882" s="265">
        <f>Data2025!H881</f>
        <v>0</v>
      </c>
      <c r="H882" s="265">
        <f t="shared" si="43"/>
        <v>0</v>
      </c>
      <c r="I882" s="641">
        <f>Data2025!J881</f>
        <v>0</v>
      </c>
      <c r="J882" s="381">
        <f>Data2025!L881</f>
        <v>0</v>
      </c>
      <c r="K882" s="381">
        <f>Data2025!M881</f>
        <v>0</v>
      </c>
      <c r="L882" s="642">
        <f>Data2025!N881</f>
        <v>0</v>
      </c>
      <c r="M882" s="642">
        <f>Data2025!O881</f>
        <v>0</v>
      </c>
      <c r="N882" s="643">
        <f>Data2025!P881</f>
        <v>0</v>
      </c>
      <c r="O882" s="644">
        <f>Data2025!Q881</f>
        <v>0</v>
      </c>
      <c r="P882" s="645" t="s">
        <v>3099</v>
      </c>
      <c r="Q882" s="646" t="e">
        <f>VLOOKUP(K882,Sheet1!$C$1:$D$101,2,)</f>
        <v>#N/A</v>
      </c>
      <c r="R882" s="496">
        <v>332000</v>
      </c>
      <c r="S882" s="504">
        <v>336000</v>
      </c>
      <c r="T882" s="648">
        <f>Data2025!T881</f>
        <v>0</v>
      </c>
      <c r="U882" s="497" t="s">
        <v>2531</v>
      </c>
      <c r="V882" s="648">
        <f>Data2025!V881</f>
        <v>0</v>
      </c>
      <c r="W882" s="648">
        <f>Data2025!X881</f>
        <v>0</v>
      </c>
      <c r="Y882" s="268" t="str">
        <f t="shared" si="44"/>
        <v>Alat Praktikum</v>
      </c>
      <c r="Z882" s="649" t="str">
        <f t="shared" si="45"/>
        <v>Alat Praktikum</v>
      </c>
      <c r="AA882" s="498" t="s">
        <v>3379</v>
      </c>
      <c r="AB882" s="499">
        <v>166000</v>
      </c>
      <c r="AC882" s="499">
        <v>332000</v>
      </c>
      <c r="AD882" s="496">
        <v>332000</v>
      </c>
      <c r="AE882" s="500">
        <v>299099.09909909911</v>
      </c>
      <c r="AF882" s="500">
        <v>332000</v>
      </c>
      <c r="AG882" s="805" t="s">
        <v>3883</v>
      </c>
      <c r="AH882" s="651">
        <f>Data2025!W881</f>
        <v>0</v>
      </c>
      <c r="AI882" s="61">
        <v>259</v>
      </c>
    </row>
    <row r="883" spans="1:35" ht="16.5" thickTop="1" thickBot="1">
      <c r="A883" s="636">
        <f>Data2025!G882</f>
        <v>0</v>
      </c>
      <c r="B883" s="637">
        <f>Data2025!K882</f>
        <v>0</v>
      </c>
      <c r="C883" s="638">
        <f>Data2025!D882</f>
        <v>0</v>
      </c>
      <c r="D883" s="639">
        <f>Data2025!C882</f>
        <v>0</v>
      </c>
      <c r="E883" s="265">
        <f>Data2025!E882</f>
        <v>0</v>
      </c>
      <c r="F883" s="640">
        <f>Data2025!F882</f>
        <v>0</v>
      </c>
      <c r="G883" s="265">
        <f>Data2025!H882</f>
        <v>0</v>
      </c>
      <c r="H883" s="265">
        <f t="shared" si="43"/>
        <v>0</v>
      </c>
      <c r="I883" s="641">
        <f>Data2025!J882</f>
        <v>0</v>
      </c>
      <c r="J883" s="381">
        <f>Data2025!L882</f>
        <v>0</v>
      </c>
      <c r="K883" s="381">
        <f>Data2025!M882</f>
        <v>0</v>
      </c>
      <c r="L883" s="642">
        <f>Data2025!N882</f>
        <v>0</v>
      </c>
      <c r="M883" s="642">
        <f>Data2025!O882</f>
        <v>0</v>
      </c>
      <c r="N883" s="643">
        <f>Data2025!P882</f>
        <v>0</v>
      </c>
      <c r="O883" s="644">
        <f>Data2025!Q882</f>
        <v>0</v>
      </c>
      <c r="P883" s="645" t="s">
        <v>3099</v>
      </c>
      <c r="Q883" s="646" t="e">
        <f>VLOOKUP(K883,Sheet1!$C$1:$D$101,2,)</f>
        <v>#N/A</v>
      </c>
      <c r="R883" s="496">
        <v>2808000</v>
      </c>
      <c r="S883" s="504">
        <v>2812000</v>
      </c>
      <c r="T883" s="648">
        <f>Data2025!T882</f>
        <v>0</v>
      </c>
      <c r="U883" s="497" t="s">
        <v>2531</v>
      </c>
      <c r="V883" s="648">
        <f>Data2025!V882</f>
        <v>0</v>
      </c>
      <c r="W883" s="648">
        <f>Data2025!X882</f>
        <v>0</v>
      </c>
      <c r="Y883" s="268" t="str">
        <f t="shared" si="44"/>
        <v>Alat Praktikum</v>
      </c>
      <c r="Z883" s="649" t="str">
        <f t="shared" si="45"/>
        <v>Alat Praktikum</v>
      </c>
      <c r="AA883" s="498" t="s">
        <v>3379</v>
      </c>
      <c r="AB883" s="499">
        <v>1404000</v>
      </c>
      <c r="AC883" s="499">
        <v>2808000</v>
      </c>
      <c r="AD883" s="496">
        <v>2808000</v>
      </c>
      <c r="AE883" s="500">
        <v>2529729.7297297297</v>
      </c>
      <c r="AF883" s="500">
        <v>2808000</v>
      </c>
      <c r="AG883" s="805" t="s">
        <v>3883</v>
      </c>
      <c r="AH883" s="651">
        <f>Data2025!W882</f>
        <v>0</v>
      </c>
      <c r="AI883" s="61">
        <v>259</v>
      </c>
    </row>
    <row r="884" spans="1:35" ht="16.5" thickTop="1" thickBot="1">
      <c r="A884" s="636">
        <f>Data2025!G883</f>
        <v>0</v>
      </c>
      <c r="B884" s="637">
        <f>Data2025!K883</f>
        <v>0</v>
      </c>
      <c r="C884" s="638">
        <f>Data2025!D883</f>
        <v>0</v>
      </c>
      <c r="D884" s="639">
        <f>Data2025!C883</f>
        <v>0</v>
      </c>
      <c r="E884" s="265">
        <f>Data2025!E883</f>
        <v>0</v>
      </c>
      <c r="F884" s="640">
        <f>Data2025!F883</f>
        <v>0</v>
      </c>
      <c r="G884" s="265">
        <f>Data2025!H883</f>
        <v>0</v>
      </c>
      <c r="H884" s="265">
        <f t="shared" si="43"/>
        <v>0</v>
      </c>
      <c r="I884" s="641">
        <f>Data2025!J883</f>
        <v>0</v>
      </c>
      <c r="J884" s="381">
        <f>Data2025!L883</f>
        <v>0</v>
      </c>
      <c r="K884" s="381">
        <f>Data2025!M883</f>
        <v>0</v>
      </c>
      <c r="L884" s="642">
        <f>Data2025!N883</f>
        <v>0</v>
      </c>
      <c r="M884" s="642">
        <f>Data2025!O883</f>
        <v>0</v>
      </c>
      <c r="N884" s="643">
        <f>Data2025!P883</f>
        <v>0</v>
      </c>
      <c r="O884" s="644">
        <f>Data2025!Q883</f>
        <v>0</v>
      </c>
      <c r="P884" s="645" t="s">
        <v>3099</v>
      </c>
      <c r="Q884" s="646" t="e">
        <f>VLOOKUP(K884,Sheet1!$C$1:$D$101,2,)</f>
        <v>#N/A</v>
      </c>
      <c r="R884" s="496">
        <v>2910000</v>
      </c>
      <c r="S884" s="504">
        <v>2922000</v>
      </c>
      <c r="T884" s="648">
        <f>Data2025!T883</f>
        <v>0</v>
      </c>
      <c r="U884" s="497" t="s">
        <v>2531</v>
      </c>
      <c r="V884" s="648">
        <f>Data2025!V883</f>
        <v>0</v>
      </c>
      <c r="W884" s="648">
        <f>Data2025!X883</f>
        <v>0</v>
      </c>
      <c r="Y884" s="268" t="str">
        <f t="shared" si="44"/>
        <v>Alat Praktikum</v>
      </c>
      <c r="Z884" s="649" t="str">
        <f t="shared" si="45"/>
        <v>Alat Praktikum</v>
      </c>
      <c r="AA884" s="498" t="s">
        <v>3363</v>
      </c>
      <c r="AB884" s="499">
        <v>485000</v>
      </c>
      <c r="AC884" s="499">
        <v>2910000</v>
      </c>
      <c r="AD884" s="496">
        <v>2910000</v>
      </c>
      <c r="AE884" s="500">
        <v>2621621.6216216218</v>
      </c>
      <c r="AF884" s="500">
        <v>2910000</v>
      </c>
      <c r="AG884" s="805" t="s">
        <v>3883</v>
      </c>
      <c r="AH884" s="651">
        <f>Data2025!W883</f>
        <v>0</v>
      </c>
      <c r="AI884" s="61">
        <v>259</v>
      </c>
    </row>
    <row r="885" spans="1:35" ht="16.5" thickTop="1" thickBot="1">
      <c r="A885" s="636">
        <f>Data2025!G884</f>
        <v>0</v>
      </c>
      <c r="B885" s="637">
        <f>Data2025!K884</f>
        <v>0</v>
      </c>
      <c r="C885" s="638">
        <f>Data2025!D884</f>
        <v>0</v>
      </c>
      <c r="D885" s="639">
        <f>Data2025!C884</f>
        <v>0</v>
      </c>
      <c r="E885" s="265">
        <f>Data2025!E884</f>
        <v>0</v>
      </c>
      <c r="F885" s="640">
        <f>Data2025!F884</f>
        <v>0</v>
      </c>
      <c r="G885" s="265">
        <f>Data2025!H884</f>
        <v>0</v>
      </c>
      <c r="H885" s="265">
        <f t="shared" si="43"/>
        <v>0</v>
      </c>
      <c r="I885" s="641">
        <f>Data2025!J884</f>
        <v>0</v>
      </c>
      <c r="J885" s="381">
        <f>Data2025!L884</f>
        <v>0</v>
      </c>
      <c r="K885" s="381">
        <f>Data2025!M884</f>
        <v>0</v>
      </c>
      <c r="L885" s="642">
        <f>Data2025!N884</f>
        <v>0</v>
      </c>
      <c r="M885" s="642">
        <f>Data2025!O884</f>
        <v>0</v>
      </c>
      <c r="N885" s="643">
        <f>Data2025!P884</f>
        <v>0</v>
      </c>
      <c r="O885" s="644">
        <f>Data2025!Q884</f>
        <v>0</v>
      </c>
      <c r="P885" s="645" t="s">
        <v>3099</v>
      </c>
      <c r="Q885" s="646" t="e">
        <f>VLOOKUP(K885,Sheet1!$C$1:$D$101,2,)</f>
        <v>#N/A</v>
      </c>
      <c r="R885" s="496">
        <v>1311050</v>
      </c>
      <c r="S885" s="504">
        <v>1315050</v>
      </c>
      <c r="T885" s="648">
        <f>Data2025!T884</f>
        <v>0</v>
      </c>
      <c r="U885" s="497" t="s">
        <v>2531</v>
      </c>
      <c r="V885" s="648">
        <f>Data2025!V884</f>
        <v>0</v>
      </c>
      <c r="W885" s="648">
        <f>Data2025!X884</f>
        <v>0</v>
      </c>
      <c r="Y885" s="268" t="str">
        <f t="shared" si="44"/>
        <v>Alat Praktikum</v>
      </c>
      <c r="Z885" s="649" t="str">
        <f t="shared" si="45"/>
        <v>Alat Praktikum</v>
      </c>
      <c r="AA885" s="498" t="s">
        <v>3371</v>
      </c>
      <c r="AB885" s="499">
        <v>655525</v>
      </c>
      <c r="AC885" s="499">
        <v>1311050</v>
      </c>
      <c r="AD885" s="496">
        <v>1311050</v>
      </c>
      <c r="AE885" s="500">
        <v>1181126.1261261262</v>
      </c>
      <c r="AF885" s="500">
        <v>1311050</v>
      </c>
      <c r="AG885" s="805" t="s">
        <v>3883</v>
      </c>
      <c r="AH885" s="651">
        <f>Data2025!W884</f>
        <v>0</v>
      </c>
      <c r="AI885" s="61">
        <v>259</v>
      </c>
    </row>
    <row r="886" spans="1:35" s="685" customFormat="1" ht="16.5" thickTop="1" thickBot="1">
      <c r="A886" s="636">
        <f>Data2025!G885</f>
        <v>0</v>
      </c>
      <c r="B886" s="637">
        <f>Data2025!K885</f>
        <v>0</v>
      </c>
      <c r="C886" s="638">
        <f>Data2025!D885</f>
        <v>0</v>
      </c>
      <c r="D886" s="639">
        <f>Data2025!C885</f>
        <v>0</v>
      </c>
      <c r="E886" s="265">
        <f>Data2025!E885</f>
        <v>0</v>
      </c>
      <c r="F886" s="640">
        <f>Data2025!F885</f>
        <v>0</v>
      </c>
      <c r="G886" s="265">
        <f>Data2025!H885</f>
        <v>0</v>
      </c>
      <c r="H886" s="265">
        <f t="shared" si="43"/>
        <v>0</v>
      </c>
      <c r="I886" s="641">
        <f>Data2025!J885</f>
        <v>0</v>
      </c>
      <c r="J886" s="381">
        <f>Data2025!L885</f>
        <v>0</v>
      </c>
      <c r="K886" s="381">
        <f>Data2025!M885</f>
        <v>0</v>
      </c>
      <c r="L886" s="642">
        <f>Data2025!N885</f>
        <v>0</v>
      </c>
      <c r="M886" s="642">
        <f>Data2025!O885</f>
        <v>0</v>
      </c>
      <c r="N886" s="643">
        <f>Data2025!P885</f>
        <v>0</v>
      </c>
      <c r="O886" s="644">
        <f>Data2025!Q885</f>
        <v>0</v>
      </c>
      <c r="P886" s="645" t="s">
        <v>3111</v>
      </c>
      <c r="Q886" s="646" t="e">
        <f>VLOOKUP(K886,Sheet1!$C$1:$D$101,2,)</f>
        <v>#N/A</v>
      </c>
      <c r="R886" s="679">
        <v>18900000</v>
      </c>
      <c r="S886" s="680" t="e">
        <v>#N/A</v>
      </c>
      <c r="T886" s="648">
        <f>Data2025!T885</f>
        <v>0</v>
      </c>
      <c r="U886" s="681" t="s">
        <v>2531</v>
      </c>
      <c r="V886" s="648">
        <f>Data2025!V885</f>
        <v>0</v>
      </c>
      <c r="W886" s="648">
        <f>Data2025!X885</f>
        <v>0</v>
      </c>
      <c r="Y886" s="268" t="str">
        <f t="shared" si="44"/>
        <v>Jasa Service Proyektor</v>
      </c>
      <c r="Z886" s="649" t="str">
        <f t="shared" si="45"/>
        <v>Jasa Service Proyektor</v>
      </c>
      <c r="AA886" s="682" t="e">
        <v>#N/A</v>
      </c>
      <c r="AB886" s="683" t="e">
        <v>#N/A</v>
      </c>
      <c r="AC886" s="683" t="e">
        <v>#N/A</v>
      </c>
      <c r="AD886" s="679">
        <v>18900000</v>
      </c>
      <c r="AE886" s="684">
        <v>17027027.027027026</v>
      </c>
      <c r="AF886" s="684">
        <v>18900000</v>
      </c>
      <c r="AG886" s="805" t="s">
        <v>3883</v>
      </c>
      <c r="AH886" s="651">
        <f>Data2025!W885</f>
        <v>0</v>
      </c>
      <c r="AI886" s="685">
        <v>260</v>
      </c>
    </row>
    <row r="887" spans="1:35" ht="16.5" thickTop="1" thickBot="1">
      <c r="A887" s="636">
        <f>Data2025!G886</f>
        <v>0</v>
      </c>
      <c r="B887" s="637">
        <f>Data2025!K886</f>
        <v>0</v>
      </c>
      <c r="C887" s="638">
        <f>Data2025!D886</f>
        <v>0</v>
      </c>
      <c r="D887" s="639">
        <f>Data2025!C886</f>
        <v>0</v>
      </c>
      <c r="E887" s="265">
        <f>Data2025!E886</f>
        <v>0</v>
      </c>
      <c r="F887" s="640">
        <f>Data2025!F886</f>
        <v>0</v>
      </c>
      <c r="G887" s="265">
        <f>Data2025!H886</f>
        <v>0</v>
      </c>
      <c r="H887" s="265">
        <f t="shared" si="43"/>
        <v>0</v>
      </c>
      <c r="I887" s="641">
        <f>Data2025!J886</f>
        <v>0</v>
      </c>
      <c r="J887" s="381">
        <f>Data2025!L886</f>
        <v>0</v>
      </c>
      <c r="K887" s="381">
        <f>Data2025!M886</f>
        <v>0</v>
      </c>
      <c r="L887" s="642">
        <f>Data2025!N886</f>
        <v>0</v>
      </c>
      <c r="M887" s="642">
        <f>Data2025!O886</f>
        <v>0</v>
      </c>
      <c r="N887" s="643">
        <f>Data2025!P886</f>
        <v>0</v>
      </c>
      <c r="O887" s="644">
        <f>Data2025!Q886</f>
        <v>0</v>
      </c>
      <c r="P887" s="645" t="s">
        <v>2682</v>
      </c>
      <c r="Q887" s="646" t="e">
        <f>VLOOKUP(K887,Sheet1!$C$1:$D$101,2,)</f>
        <v>#N/A</v>
      </c>
      <c r="R887" s="496">
        <v>2700000</v>
      </c>
      <c r="S887" s="504">
        <v>2541000</v>
      </c>
      <c r="T887" s="648">
        <f>Data2025!T886</f>
        <v>0</v>
      </c>
      <c r="U887" s="497" t="s">
        <v>2531</v>
      </c>
      <c r="V887" s="648">
        <f>Data2025!V886</f>
        <v>0</v>
      </c>
      <c r="W887" s="648">
        <f>Data2025!X886</f>
        <v>0</v>
      </c>
      <c r="Y887" s="268" t="str">
        <f t="shared" si="44"/>
        <v>Jasa Tenaga Pengajar</v>
      </c>
      <c r="Z887" s="649" t="str">
        <f t="shared" si="45"/>
        <v>Jasa Tenaga Pengajar</v>
      </c>
      <c r="AA887" s="498" t="s">
        <v>3374</v>
      </c>
      <c r="AB887" s="499">
        <v>75000</v>
      </c>
      <c r="AC887" s="499">
        <v>2475000</v>
      </c>
      <c r="AD887" s="496">
        <v>2700000</v>
      </c>
      <c r="AE887" s="500">
        <v>2432432.4324324327</v>
      </c>
      <c r="AF887" s="500">
        <v>2700000</v>
      </c>
      <c r="AG887" s="805" t="s">
        <v>3883</v>
      </c>
      <c r="AH887" s="651">
        <f>Data2025!W886</f>
        <v>0</v>
      </c>
      <c r="AI887" s="61">
        <v>261</v>
      </c>
    </row>
    <row r="888" spans="1:35" ht="16.5" thickTop="1" thickBot="1">
      <c r="A888" s="636">
        <f>Data2025!G887</f>
        <v>0</v>
      </c>
      <c r="B888" s="637">
        <f>Data2025!K887</f>
        <v>0</v>
      </c>
      <c r="C888" s="638">
        <f>Data2025!D887</f>
        <v>0</v>
      </c>
      <c r="D888" s="639">
        <f>Data2025!C887</f>
        <v>0</v>
      </c>
      <c r="E888" s="265">
        <f>Data2025!E887</f>
        <v>0</v>
      </c>
      <c r="F888" s="640">
        <f>Data2025!F887</f>
        <v>0</v>
      </c>
      <c r="G888" s="265">
        <f>Data2025!H887</f>
        <v>0</v>
      </c>
      <c r="H888" s="265">
        <f t="shared" si="43"/>
        <v>0</v>
      </c>
      <c r="I888" s="641">
        <f>Data2025!J887</f>
        <v>0</v>
      </c>
      <c r="J888" s="381">
        <f>Data2025!L887</f>
        <v>0</v>
      </c>
      <c r="K888" s="381">
        <f>Data2025!M887</f>
        <v>0</v>
      </c>
      <c r="L888" s="642">
        <f>Data2025!N887</f>
        <v>0</v>
      </c>
      <c r="M888" s="642">
        <f>Data2025!O887</f>
        <v>0</v>
      </c>
      <c r="N888" s="643">
        <f>Data2025!P887</f>
        <v>0</v>
      </c>
      <c r="O888" s="644">
        <f>Data2025!Q887</f>
        <v>0</v>
      </c>
      <c r="P888" s="645" t="s">
        <v>2682</v>
      </c>
      <c r="Q888" s="646" t="e">
        <f>VLOOKUP(K888,Sheet1!$C$1:$D$101,2,)</f>
        <v>#N/A</v>
      </c>
      <c r="R888" s="496">
        <v>2700000</v>
      </c>
      <c r="S888" s="504">
        <v>2541000</v>
      </c>
      <c r="T888" s="648">
        <f>Data2025!T887</f>
        <v>0</v>
      </c>
      <c r="U888" s="497" t="s">
        <v>2531</v>
      </c>
      <c r="V888" s="648">
        <f>Data2025!V887</f>
        <v>0</v>
      </c>
      <c r="W888" s="648">
        <f>Data2025!X887</f>
        <v>0</v>
      </c>
      <c r="Y888" s="268" t="str">
        <f t="shared" si="44"/>
        <v>Jasa Tenaga Pengajar</v>
      </c>
      <c r="Z888" s="649" t="str">
        <f t="shared" si="45"/>
        <v>Jasa Tenaga Pengajar</v>
      </c>
      <c r="AA888" s="498" t="s">
        <v>3374</v>
      </c>
      <c r="AB888" s="499">
        <v>75000</v>
      </c>
      <c r="AC888" s="499">
        <v>2475000</v>
      </c>
      <c r="AD888" s="496">
        <v>2700000</v>
      </c>
      <c r="AE888" s="500">
        <v>2432432.4324324327</v>
      </c>
      <c r="AF888" s="500">
        <v>2700000</v>
      </c>
      <c r="AG888" s="805" t="s">
        <v>3883</v>
      </c>
      <c r="AH888" s="651">
        <f>Data2025!W887</f>
        <v>0</v>
      </c>
      <c r="AI888" s="61">
        <v>262</v>
      </c>
    </row>
    <row r="889" spans="1:35" ht="16.5" thickTop="1" thickBot="1">
      <c r="A889" s="636">
        <f>Data2025!G888</f>
        <v>0</v>
      </c>
      <c r="B889" s="637">
        <f>Data2025!K888</f>
        <v>0</v>
      </c>
      <c r="C889" s="638">
        <f>Data2025!D888</f>
        <v>0</v>
      </c>
      <c r="D889" s="639">
        <f>Data2025!C888</f>
        <v>0</v>
      </c>
      <c r="E889" s="265">
        <f>Data2025!E888</f>
        <v>0</v>
      </c>
      <c r="F889" s="640">
        <f>Data2025!F888</f>
        <v>0</v>
      </c>
      <c r="G889" s="265">
        <f>Data2025!H888</f>
        <v>0</v>
      </c>
      <c r="H889" s="265">
        <f t="shared" si="43"/>
        <v>0</v>
      </c>
      <c r="I889" s="641">
        <f>Data2025!J888</f>
        <v>0</v>
      </c>
      <c r="J889" s="381">
        <f>Data2025!L888</f>
        <v>0</v>
      </c>
      <c r="K889" s="381">
        <f>Data2025!M888</f>
        <v>0</v>
      </c>
      <c r="L889" s="642">
        <f>Data2025!N888</f>
        <v>0</v>
      </c>
      <c r="M889" s="642">
        <f>Data2025!O888</f>
        <v>0</v>
      </c>
      <c r="N889" s="643">
        <f>Data2025!P888</f>
        <v>0</v>
      </c>
      <c r="O889" s="644">
        <f>Data2025!Q888</f>
        <v>0</v>
      </c>
      <c r="P889" s="645" t="s">
        <v>2682</v>
      </c>
      <c r="Q889" s="646" t="e">
        <f>VLOOKUP(K889,Sheet1!$C$1:$D$101,2,)</f>
        <v>#N/A</v>
      </c>
      <c r="R889" s="496">
        <v>2700000</v>
      </c>
      <c r="S889" s="504">
        <v>2541000</v>
      </c>
      <c r="T889" s="648">
        <f>Data2025!T888</f>
        <v>0</v>
      </c>
      <c r="U889" s="497" t="s">
        <v>2531</v>
      </c>
      <c r="V889" s="648">
        <f>Data2025!V888</f>
        <v>0</v>
      </c>
      <c r="W889" s="648">
        <f>Data2025!X888</f>
        <v>0</v>
      </c>
      <c r="Y889" s="268" t="str">
        <f t="shared" si="44"/>
        <v>Jasa Tenaga Pengajar</v>
      </c>
      <c r="Z889" s="649" t="str">
        <f t="shared" si="45"/>
        <v>Jasa Tenaga Pengajar</v>
      </c>
      <c r="AA889" s="498" t="s">
        <v>3374</v>
      </c>
      <c r="AB889" s="499">
        <v>75000</v>
      </c>
      <c r="AC889" s="499">
        <v>2475000</v>
      </c>
      <c r="AD889" s="496">
        <v>2700000</v>
      </c>
      <c r="AE889" s="500">
        <v>2432432.4324324327</v>
      </c>
      <c r="AF889" s="500">
        <v>2700000</v>
      </c>
      <c r="AG889" s="805" t="s">
        <v>3883</v>
      </c>
      <c r="AH889" s="651">
        <f>Data2025!W888</f>
        <v>0</v>
      </c>
      <c r="AI889" s="61">
        <v>263</v>
      </c>
    </row>
    <row r="890" spans="1:35" ht="16.5" thickTop="1" thickBot="1">
      <c r="A890" s="636">
        <f>Data2025!G889</f>
        <v>0</v>
      </c>
      <c r="B890" s="637">
        <f>Data2025!K889</f>
        <v>0</v>
      </c>
      <c r="C890" s="638">
        <f>Data2025!D889</f>
        <v>0</v>
      </c>
      <c r="D890" s="639">
        <f>Data2025!C889</f>
        <v>0</v>
      </c>
      <c r="E890" s="265">
        <f>Data2025!E889</f>
        <v>0</v>
      </c>
      <c r="F890" s="640">
        <f>Data2025!F889</f>
        <v>0</v>
      </c>
      <c r="G890" s="265">
        <f>Data2025!H889</f>
        <v>0</v>
      </c>
      <c r="H890" s="265">
        <f t="shared" si="43"/>
        <v>0</v>
      </c>
      <c r="I890" s="641">
        <f>Data2025!J889</f>
        <v>0</v>
      </c>
      <c r="J890" s="381">
        <f>Data2025!L889</f>
        <v>0</v>
      </c>
      <c r="K890" s="381">
        <f>Data2025!M889</f>
        <v>0</v>
      </c>
      <c r="L890" s="642">
        <f>Data2025!N889</f>
        <v>0</v>
      </c>
      <c r="M890" s="642">
        <f>Data2025!O889</f>
        <v>0</v>
      </c>
      <c r="N890" s="643">
        <f>Data2025!P889</f>
        <v>0</v>
      </c>
      <c r="O890" s="644">
        <f>Data2025!Q889</f>
        <v>0</v>
      </c>
      <c r="P890" s="645" t="s">
        <v>2682</v>
      </c>
      <c r="Q890" s="646" t="e">
        <f>VLOOKUP(K890,Sheet1!$C$1:$D$101,2,)</f>
        <v>#N/A</v>
      </c>
      <c r="R890" s="496">
        <v>2400000</v>
      </c>
      <c r="S890" s="504">
        <v>2618000</v>
      </c>
      <c r="T890" s="648">
        <f>Data2025!T889</f>
        <v>0</v>
      </c>
      <c r="U890" s="497" t="s">
        <v>2531</v>
      </c>
      <c r="V890" s="648">
        <f>Data2025!V889</f>
        <v>0</v>
      </c>
      <c r="W890" s="648">
        <f>Data2025!X889</f>
        <v>0</v>
      </c>
      <c r="Y890" s="268" t="str">
        <f t="shared" si="44"/>
        <v>Jasa Tenaga Pengajar</v>
      </c>
      <c r="Z890" s="649" t="str">
        <f t="shared" si="45"/>
        <v>Jasa Tenaga Pengajar</v>
      </c>
      <c r="AA890" s="498" t="s">
        <v>3374</v>
      </c>
      <c r="AB890" s="499">
        <v>75000</v>
      </c>
      <c r="AC890" s="499">
        <v>2550000</v>
      </c>
      <c r="AD890" s="496">
        <v>2400000</v>
      </c>
      <c r="AE890" s="500">
        <v>2162162.1621621624</v>
      </c>
      <c r="AF890" s="500">
        <v>2400000</v>
      </c>
      <c r="AG890" s="805" t="s">
        <v>3883</v>
      </c>
      <c r="AH890" s="651">
        <f>Data2025!W889</f>
        <v>0</v>
      </c>
      <c r="AI890" s="61">
        <v>264</v>
      </c>
    </row>
    <row r="891" spans="1:35" ht="16.5" thickTop="1" thickBot="1">
      <c r="A891" s="636">
        <f>Data2025!G890</f>
        <v>0</v>
      </c>
      <c r="B891" s="637">
        <f>Data2025!K890</f>
        <v>0</v>
      </c>
      <c r="C891" s="638">
        <f>Data2025!D890</f>
        <v>0</v>
      </c>
      <c r="D891" s="639">
        <f>Data2025!C890</f>
        <v>0</v>
      </c>
      <c r="E891" s="265">
        <f>Data2025!E890</f>
        <v>0</v>
      </c>
      <c r="F891" s="640">
        <f>Data2025!F890</f>
        <v>0</v>
      </c>
      <c r="G891" s="265">
        <f>Data2025!H890</f>
        <v>0</v>
      </c>
      <c r="H891" s="265">
        <f t="shared" si="43"/>
        <v>0</v>
      </c>
      <c r="I891" s="641">
        <f>Data2025!J890</f>
        <v>0</v>
      </c>
      <c r="J891" s="381">
        <f>Data2025!L890</f>
        <v>0</v>
      </c>
      <c r="K891" s="381">
        <f>Data2025!M890</f>
        <v>0</v>
      </c>
      <c r="L891" s="642">
        <f>Data2025!N890</f>
        <v>0</v>
      </c>
      <c r="M891" s="642">
        <f>Data2025!O890</f>
        <v>0</v>
      </c>
      <c r="N891" s="643">
        <f>Data2025!P890</f>
        <v>0</v>
      </c>
      <c r="O891" s="644">
        <f>Data2025!Q890</f>
        <v>0</v>
      </c>
      <c r="P891" s="645" t="s">
        <v>2682</v>
      </c>
      <c r="Q891" s="646" t="e">
        <f>VLOOKUP(K891,Sheet1!$C$1:$D$101,2,)</f>
        <v>#N/A</v>
      </c>
      <c r="R891" s="496">
        <v>2400000</v>
      </c>
      <c r="S891" s="504">
        <v>2618000</v>
      </c>
      <c r="T891" s="648">
        <f>Data2025!T890</f>
        <v>0</v>
      </c>
      <c r="U891" s="497" t="s">
        <v>2531</v>
      </c>
      <c r="V891" s="648">
        <f>Data2025!V890</f>
        <v>0</v>
      </c>
      <c r="W891" s="648">
        <f>Data2025!X890</f>
        <v>0</v>
      </c>
      <c r="Y891" s="268" t="str">
        <f t="shared" si="44"/>
        <v>Jasa Tenaga Pengajar</v>
      </c>
      <c r="Z891" s="649" t="str">
        <f t="shared" si="45"/>
        <v>Jasa Tenaga Pengajar</v>
      </c>
      <c r="AA891" s="498" t="s">
        <v>3374</v>
      </c>
      <c r="AB891" s="499">
        <v>75000</v>
      </c>
      <c r="AC891" s="499">
        <v>2550000</v>
      </c>
      <c r="AD891" s="496">
        <v>2400000</v>
      </c>
      <c r="AE891" s="500">
        <v>2162162.1621621624</v>
      </c>
      <c r="AF891" s="500">
        <v>2400000</v>
      </c>
      <c r="AG891" s="805" t="s">
        <v>3883</v>
      </c>
      <c r="AH891" s="651">
        <f>Data2025!W890</f>
        <v>0</v>
      </c>
      <c r="AI891" s="61">
        <v>265</v>
      </c>
    </row>
    <row r="892" spans="1:35" ht="16.5" thickTop="1" thickBot="1">
      <c r="A892" s="636">
        <f>Data2025!G891</f>
        <v>0</v>
      </c>
      <c r="B892" s="637">
        <f>Data2025!K891</f>
        <v>0</v>
      </c>
      <c r="C892" s="638">
        <f>Data2025!D891</f>
        <v>0</v>
      </c>
      <c r="D892" s="639">
        <f>Data2025!C891</f>
        <v>0</v>
      </c>
      <c r="E892" s="265">
        <f>Data2025!E891</f>
        <v>0</v>
      </c>
      <c r="F892" s="640">
        <f>Data2025!F891</f>
        <v>0</v>
      </c>
      <c r="G892" s="265">
        <f>Data2025!H891</f>
        <v>0</v>
      </c>
      <c r="H892" s="265">
        <f t="shared" si="43"/>
        <v>0</v>
      </c>
      <c r="I892" s="641">
        <f>Data2025!J891</f>
        <v>0</v>
      </c>
      <c r="J892" s="381">
        <f>Data2025!L891</f>
        <v>0</v>
      </c>
      <c r="K892" s="381">
        <f>Data2025!M891</f>
        <v>0</v>
      </c>
      <c r="L892" s="642">
        <f>Data2025!N891</f>
        <v>0</v>
      </c>
      <c r="M892" s="642">
        <f>Data2025!O891</f>
        <v>0</v>
      </c>
      <c r="N892" s="643">
        <f>Data2025!P891</f>
        <v>0</v>
      </c>
      <c r="O892" s="644">
        <f>Data2025!Q891</f>
        <v>0</v>
      </c>
      <c r="P892" s="645" t="s">
        <v>2682</v>
      </c>
      <c r="Q892" s="646" t="e">
        <f>VLOOKUP(K892,Sheet1!$C$1:$D$101,2,)</f>
        <v>#N/A</v>
      </c>
      <c r="R892" s="496">
        <v>2400000</v>
      </c>
      <c r="S892" s="504">
        <v>2618000</v>
      </c>
      <c r="T892" s="648">
        <f>Data2025!T891</f>
        <v>0</v>
      </c>
      <c r="U892" s="497" t="s">
        <v>2531</v>
      </c>
      <c r="V892" s="648">
        <f>Data2025!V891</f>
        <v>0</v>
      </c>
      <c r="W892" s="648">
        <f>Data2025!X891</f>
        <v>0</v>
      </c>
      <c r="Y892" s="268" t="str">
        <f t="shared" si="44"/>
        <v>Jasa Tenaga Pengajar</v>
      </c>
      <c r="Z892" s="649" t="str">
        <f t="shared" si="45"/>
        <v>Jasa Tenaga Pengajar</v>
      </c>
      <c r="AA892" s="498" t="s">
        <v>3374</v>
      </c>
      <c r="AB892" s="499">
        <v>75000</v>
      </c>
      <c r="AC892" s="499">
        <v>2550000</v>
      </c>
      <c r="AD892" s="496">
        <v>2400000</v>
      </c>
      <c r="AE892" s="500">
        <v>2162162.1621621624</v>
      </c>
      <c r="AF892" s="500">
        <v>2400000</v>
      </c>
      <c r="AG892" s="805" t="s">
        <v>3883</v>
      </c>
      <c r="AH892" s="651">
        <f>Data2025!W891</f>
        <v>0</v>
      </c>
      <c r="AI892" s="61">
        <v>266</v>
      </c>
    </row>
    <row r="893" spans="1:35" ht="16.5" thickTop="1" thickBot="1">
      <c r="A893" s="636">
        <f>Data2025!G892</f>
        <v>0</v>
      </c>
      <c r="B893" s="637">
        <f>Data2025!K892</f>
        <v>0</v>
      </c>
      <c r="C893" s="638">
        <f>Data2025!D892</f>
        <v>0</v>
      </c>
      <c r="D893" s="639">
        <f>Data2025!C892</f>
        <v>0</v>
      </c>
      <c r="E893" s="265">
        <f>Data2025!E892</f>
        <v>0</v>
      </c>
      <c r="F893" s="640">
        <f>Data2025!F892</f>
        <v>0</v>
      </c>
      <c r="G893" s="265">
        <f>Data2025!H892</f>
        <v>0</v>
      </c>
      <c r="H893" s="265">
        <f t="shared" si="43"/>
        <v>0</v>
      </c>
      <c r="I893" s="641">
        <f>Data2025!J892</f>
        <v>0</v>
      </c>
      <c r="J893" s="381">
        <f>Data2025!L892</f>
        <v>0</v>
      </c>
      <c r="K893" s="381">
        <f>Data2025!M892</f>
        <v>0</v>
      </c>
      <c r="L893" s="642">
        <f>Data2025!N892</f>
        <v>0</v>
      </c>
      <c r="M893" s="642">
        <f>Data2025!O892</f>
        <v>0</v>
      </c>
      <c r="N893" s="643">
        <f>Data2025!P892</f>
        <v>0</v>
      </c>
      <c r="O893" s="644">
        <f>Data2025!Q892</f>
        <v>0</v>
      </c>
      <c r="P893" s="645" t="s">
        <v>2682</v>
      </c>
      <c r="Q893" s="646" t="e">
        <f>VLOOKUP(K893,Sheet1!$C$1:$D$101,2,)</f>
        <v>#N/A</v>
      </c>
      <c r="R893" s="496">
        <v>2175000</v>
      </c>
      <c r="S893" s="504">
        <v>2310000</v>
      </c>
      <c r="T893" s="648">
        <f>Data2025!T892</f>
        <v>0</v>
      </c>
      <c r="U893" s="497" t="s">
        <v>2531</v>
      </c>
      <c r="V893" s="648">
        <f>Data2025!V892</f>
        <v>0</v>
      </c>
      <c r="W893" s="648">
        <f>Data2025!X892</f>
        <v>0</v>
      </c>
      <c r="Y893" s="268" t="str">
        <f t="shared" si="44"/>
        <v>Jasa Tenaga Pengajar</v>
      </c>
      <c r="Z893" s="649" t="str">
        <f t="shared" si="45"/>
        <v>Jasa Tenaga Pengajar</v>
      </c>
      <c r="AA893" s="498" t="s">
        <v>3374</v>
      </c>
      <c r="AB893" s="499">
        <v>75000</v>
      </c>
      <c r="AC893" s="499">
        <v>2250000</v>
      </c>
      <c r="AD893" s="496">
        <v>2175000</v>
      </c>
      <c r="AE893" s="500">
        <v>1959459.4594594594</v>
      </c>
      <c r="AF893" s="500">
        <v>2175000</v>
      </c>
      <c r="AG893" s="805" t="s">
        <v>3883</v>
      </c>
      <c r="AH893" s="651">
        <f>Data2025!W892</f>
        <v>0</v>
      </c>
      <c r="AI893" s="61">
        <v>267</v>
      </c>
    </row>
    <row r="894" spans="1:35" ht="16.5" thickTop="1" thickBot="1">
      <c r="A894" s="636">
        <f>Data2025!G893</f>
        <v>0</v>
      </c>
      <c r="B894" s="637">
        <f>Data2025!K893</f>
        <v>0</v>
      </c>
      <c r="C894" s="638">
        <f>Data2025!D893</f>
        <v>0</v>
      </c>
      <c r="D894" s="639">
        <f>Data2025!C893</f>
        <v>0</v>
      </c>
      <c r="E894" s="265">
        <f>Data2025!E893</f>
        <v>0</v>
      </c>
      <c r="F894" s="640">
        <f>Data2025!F893</f>
        <v>0</v>
      </c>
      <c r="G894" s="265">
        <f>Data2025!H893</f>
        <v>0</v>
      </c>
      <c r="H894" s="265">
        <f t="shared" si="43"/>
        <v>0</v>
      </c>
      <c r="I894" s="641">
        <f>Data2025!J893</f>
        <v>0</v>
      </c>
      <c r="J894" s="381">
        <f>Data2025!L893</f>
        <v>0</v>
      </c>
      <c r="K894" s="381">
        <f>Data2025!M893</f>
        <v>0</v>
      </c>
      <c r="L894" s="642">
        <f>Data2025!N893</f>
        <v>0</v>
      </c>
      <c r="M894" s="642">
        <f>Data2025!O893</f>
        <v>0</v>
      </c>
      <c r="N894" s="643">
        <f>Data2025!P893</f>
        <v>0</v>
      </c>
      <c r="O894" s="644">
        <f>Data2025!Q893</f>
        <v>0</v>
      </c>
      <c r="P894" s="645" t="s">
        <v>2682</v>
      </c>
      <c r="Q894" s="646" t="e">
        <f>VLOOKUP(K894,Sheet1!$C$1:$D$101,2,)</f>
        <v>#N/A</v>
      </c>
      <c r="R894" s="496">
        <v>2175000</v>
      </c>
      <c r="S894" s="504">
        <v>2310000</v>
      </c>
      <c r="T894" s="648">
        <f>Data2025!T893</f>
        <v>0</v>
      </c>
      <c r="U894" s="497" t="s">
        <v>2531</v>
      </c>
      <c r="V894" s="648">
        <f>Data2025!V893</f>
        <v>0</v>
      </c>
      <c r="W894" s="648">
        <f>Data2025!X893</f>
        <v>0</v>
      </c>
      <c r="Y894" s="268" t="str">
        <f t="shared" si="44"/>
        <v>Jasa Tenaga Pengajar</v>
      </c>
      <c r="Z894" s="649" t="str">
        <f t="shared" si="45"/>
        <v>Jasa Tenaga Pengajar</v>
      </c>
      <c r="AA894" s="498" t="s">
        <v>3374</v>
      </c>
      <c r="AB894" s="499">
        <v>75000</v>
      </c>
      <c r="AC894" s="499">
        <v>2250000</v>
      </c>
      <c r="AD894" s="496">
        <v>2175000</v>
      </c>
      <c r="AE894" s="500">
        <v>1959459.4594594594</v>
      </c>
      <c r="AF894" s="500">
        <v>2175000</v>
      </c>
      <c r="AG894" s="805" t="s">
        <v>3883</v>
      </c>
      <c r="AH894" s="651">
        <f>Data2025!W893</f>
        <v>0</v>
      </c>
      <c r="AI894" s="61">
        <v>268</v>
      </c>
    </row>
    <row r="895" spans="1:35" ht="16.5" thickTop="1" thickBot="1">
      <c r="A895" s="636">
        <f>Data2025!G894</f>
        <v>0</v>
      </c>
      <c r="B895" s="637">
        <f>Data2025!K894</f>
        <v>0</v>
      </c>
      <c r="C895" s="638">
        <f>Data2025!D894</f>
        <v>0</v>
      </c>
      <c r="D895" s="639">
        <f>Data2025!C894</f>
        <v>0</v>
      </c>
      <c r="E895" s="265">
        <f>Data2025!E894</f>
        <v>0</v>
      </c>
      <c r="F895" s="640">
        <f>Data2025!F894</f>
        <v>0</v>
      </c>
      <c r="G895" s="265">
        <f>Data2025!H894</f>
        <v>0</v>
      </c>
      <c r="H895" s="265">
        <f t="shared" si="43"/>
        <v>0</v>
      </c>
      <c r="I895" s="641">
        <f>Data2025!J894</f>
        <v>0</v>
      </c>
      <c r="J895" s="381">
        <f>Data2025!L894</f>
        <v>0</v>
      </c>
      <c r="K895" s="381">
        <f>Data2025!M894</f>
        <v>0</v>
      </c>
      <c r="L895" s="642">
        <f>Data2025!N894</f>
        <v>0</v>
      </c>
      <c r="M895" s="642">
        <f>Data2025!O894</f>
        <v>0</v>
      </c>
      <c r="N895" s="643">
        <f>Data2025!P894</f>
        <v>0</v>
      </c>
      <c r="O895" s="644">
        <f>Data2025!Q894</f>
        <v>0</v>
      </c>
      <c r="P895" s="645" t="s">
        <v>2682</v>
      </c>
      <c r="Q895" s="646" t="e">
        <f>VLOOKUP(K895,Sheet1!$C$1:$D$101,2,)</f>
        <v>#N/A</v>
      </c>
      <c r="R895" s="496">
        <v>2175000</v>
      </c>
      <c r="S895" s="504">
        <v>2310000</v>
      </c>
      <c r="T895" s="648">
        <f>Data2025!T894</f>
        <v>0</v>
      </c>
      <c r="U895" s="497" t="s">
        <v>2531</v>
      </c>
      <c r="V895" s="648">
        <f>Data2025!V894</f>
        <v>0</v>
      </c>
      <c r="W895" s="648">
        <f>Data2025!X894</f>
        <v>0</v>
      </c>
      <c r="Y895" s="268" t="str">
        <f t="shared" si="44"/>
        <v>Jasa Tenaga Pengajar</v>
      </c>
      <c r="Z895" s="649" t="str">
        <f t="shared" si="45"/>
        <v>Jasa Tenaga Pengajar</v>
      </c>
      <c r="AA895" s="498" t="s">
        <v>3374</v>
      </c>
      <c r="AB895" s="499">
        <v>75000</v>
      </c>
      <c r="AC895" s="499">
        <v>2250000</v>
      </c>
      <c r="AD895" s="496">
        <v>2175000</v>
      </c>
      <c r="AE895" s="500">
        <v>1959459.4594594594</v>
      </c>
      <c r="AF895" s="500">
        <v>2175000</v>
      </c>
      <c r="AG895" s="805" t="s">
        <v>3883</v>
      </c>
      <c r="AH895" s="651">
        <f>Data2025!W894</f>
        <v>0</v>
      </c>
      <c r="AI895" s="61">
        <v>269</v>
      </c>
    </row>
    <row r="896" spans="1:35" ht="16.5" thickTop="1" thickBot="1">
      <c r="A896" s="636">
        <f>Data2025!G895</f>
        <v>0</v>
      </c>
      <c r="B896" s="637">
        <f>Data2025!K895</f>
        <v>0</v>
      </c>
      <c r="C896" s="638">
        <f>Data2025!D895</f>
        <v>0</v>
      </c>
      <c r="D896" s="639">
        <f>Data2025!C895</f>
        <v>0</v>
      </c>
      <c r="E896" s="265">
        <f>Data2025!E895</f>
        <v>0</v>
      </c>
      <c r="F896" s="640">
        <f>Data2025!F895</f>
        <v>0</v>
      </c>
      <c r="G896" s="265">
        <f>Data2025!H895</f>
        <v>0</v>
      </c>
      <c r="H896" s="265">
        <f t="shared" si="43"/>
        <v>0</v>
      </c>
      <c r="I896" s="641">
        <f>Data2025!J895</f>
        <v>0</v>
      </c>
      <c r="J896" s="381">
        <f>Data2025!L895</f>
        <v>0</v>
      </c>
      <c r="K896" s="381">
        <f>Data2025!M895</f>
        <v>0</v>
      </c>
      <c r="L896" s="642">
        <f>Data2025!N895</f>
        <v>0</v>
      </c>
      <c r="M896" s="642">
        <f>Data2025!O895</f>
        <v>0</v>
      </c>
      <c r="N896" s="643">
        <f>Data2025!P895</f>
        <v>0</v>
      </c>
      <c r="O896" s="644">
        <f>Data2025!Q895</f>
        <v>0</v>
      </c>
      <c r="P896" s="645" t="s">
        <v>2682</v>
      </c>
      <c r="Q896" s="646" t="e">
        <f>VLOOKUP(K896,Sheet1!$C$1:$D$101,2,)</f>
        <v>#N/A</v>
      </c>
      <c r="R896" s="496">
        <v>2625000</v>
      </c>
      <c r="S896" s="504">
        <v>2541000</v>
      </c>
      <c r="T896" s="648">
        <f>Data2025!T895</f>
        <v>0</v>
      </c>
      <c r="U896" s="497" t="s">
        <v>2531</v>
      </c>
      <c r="V896" s="648">
        <f>Data2025!V895</f>
        <v>0</v>
      </c>
      <c r="W896" s="648">
        <f>Data2025!X895</f>
        <v>0</v>
      </c>
      <c r="Y896" s="268" t="str">
        <f t="shared" si="44"/>
        <v>Jasa Tenaga Pengajar</v>
      </c>
      <c r="Z896" s="649" t="str">
        <f t="shared" si="45"/>
        <v>Jasa Tenaga Pengajar</v>
      </c>
      <c r="AA896" s="498" t="s">
        <v>3374</v>
      </c>
      <c r="AB896" s="499">
        <v>75000</v>
      </c>
      <c r="AC896" s="499">
        <v>2475000</v>
      </c>
      <c r="AD896" s="496">
        <v>2625000</v>
      </c>
      <c r="AE896" s="500">
        <v>2364864.8648648649</v>
      </c>
      <c r="AF896" s="500">
        <v>2625000</v>
      </c>
      <c r="AG896" s="805" t="s">
        <v>3883</v>
      </c>
      <c r="AH896" s="651">
        <f>Data2025!W895</f>
        <v>0</v>
      </c>
      <c r="AI896" s="61">
        <v>270</v>
      </c>
    </row>
    <row r="897" spans="1:35" ht="16.5" thickTop="1" thickBot="1">
      <c r="A897" s="636">
        <f>Data2025!G896</f>
        <v>0</v>
      </c>
      <c r="B897" s="637">
        <f>Data2025!K896</f>
        <v>0</v>
      </c>
      <c r="C897" s="638">
        <f>Data2025!D896</f>
        <v>0</v>
      </c>
      <c r="D897" s="639">
        <f>Data2025!C896</f>
        <v>0</v>
      </c>
      <c r="E897" s="265">
        <f>Data2025!E896</f>
        <v>0</v>
      </c>
      <c r="F897" s="640">
        <f>Data2025!F896</f>
        <v>0</v>
      </c>
      <c r="G897" s="265">
        <f>Data2025!H896</f>
        <v>0</v>
      </c>
      <c r="H897" s="265">
        <f t="shared" si="43"/>
        <v>0</v>
      </c>
      <c r="I897" s="641">
        <f>Data2025!J896</f>
        <v>0</v>
      </c>
      <c r="J897" s="381">
        <f>Data2025!L896</f>
        <v>0</v>
      </c>
      <c r="K897" s="381">
        <f>Data2025!M896</f>
        <v>0</v>
      </c>
      <c r="L897" s="642">
        <f>Data2025!N896</f>
        <v>0</v>
      </c>
      <c r="M897" s="642">
        <f>Data2025!O896</f>
        <v>0</v>
      </c>
      <c r="N897" s="643">
        <f>Data2025!P896</f>
        <v>0</v>
      </c>
      <c r="O897" s="644">
        <f>Data2025!Q896</f>
        <v>0</v>
      </c>
      <c r="P897" s="645" t="s">
        <v>2682</v>
      </c>
      <c r="Q897" s="646" t="e">
        <f>VLOOKUP(K897,Sheet1!$C$1:$D$101,2,)</f>
        <v>#N/A</v>
      </c>
      <c r="R897" s="496">
        <v>2625000</v>
      </c>
      <c r="S897" s="504">
        <v>2541000</v>
      </c>
      <c r="T897" s="648">
        <f>Data2025!T896</f>
        <v>0</v>
      </c>
      <c r="U897" s="497" t="s">
        <v>2531</v>
      </c>
      <c r="V897" s="648">
        <f>Data2025!V896</f>
        <v>0</v>
      </c>
      <c r="W897" s="648">
        <f>Data2025!X896</f>
        <v>0</v>
      </c>
      <c r="Y897" s="268" t="str">
        <f t="shared" si="44"/>
        <v>Jasa Tenaga Pengajar</v>
      </c>
      <c r="Z897" s="649" t="str">
        <f t="shared" si="45"/>
        <v>Jasa Tenaga Pengajar</v>
      </c>
      <c r="AA897" s="498" t="s">
        <v>3374</v>
      </c>
      <c r="AB897" s="499">
        <v>75000</v>
      </c>
      <c r="AC897" s="499">
        <v>2475000</v>
      </c>
      <c r="AD897" s="496">
        <v>2625000</v>
      </c>
      <c r="AE897" s="500">
        <v>2364864.8648648649</v>
      </c>
      <c r="AF897" s="500">
        <v>2625000</v>
      </c>
      <c r="AG897" s="805" t="s">
        <v>3883</v>
      </c>
      <c r="AH897" s="651">
        <f>Data2025!W896</f>
        <v>0</v>
      </c>
      <c r="AI897" s="61">
        <v>271</v>
      </c>
    </row>
    <row r="898" spans="1:35" ht="16.5" thickTop="1" thickBot="1">
      <c r="A898" s="636">
        <f>Data2025!G897</f>
        <v>0</v>
      </c>
      <c r="B898" s="637">
        <f>Data2025!K897</f>
        <v>0</v>
      </c>
      <c r="C898" s="638">
        <f>Data2025!D897</f>
        <v>0</v>
      </c>
      <c r="D898" s="639">
        <f>Data2025!C897</f>
        <v>0</v>
      </c>
      <c r="E898" s="265">
        <f>Data2025!E897</f>
        <v>0</v>
      </c>
      <c r="F898" s="640">
        <f>Data2025!F897</f>
        <v>0</v>
      </c>
      <c r="G898" s="265">
        <f>Data2025!H897</f>
        <v>0</v>
      </c>
      <c r="H898" s="265">
        <f t="shared" si="43"/>
        <v>0</v>
      </c>
      <c r="I898" s="641">
        <f>Data2025!J897</f>
        <v>0</v>
      </c>
      <c r="J898" s="381">
        <f>Data2025!L897</f>
        <v>0</v>
      </c>
      <c r="K898" s="381">
        <f>Data2025!M897</f>
        <v>0</v>
      </c>
      <c r="L898" s="642">
        <f>Data2025!N897</f>
        <v>0</v>
      </c>
      <c r="M898" s="642">
        <f>Data2025!O897</f>
        <v>0</v>
      </c>
      <c r="N898" s="643">
        <f>Data2025!P897</f>
        <v>0</v>
      </c>
      <c r="O898" s="644">
        <f>Data2025!Q897</f>
        <v>0</v>
      </c>
      <c r="P898" s="645" t="s">
        <v>2682</v>
      </c>
      <c r="Q898" s="646" t="e">
        <f>VLOOKUP(K898,Sheet1!$C$1:$D$101,2,)</f>
        <v>#N/A</v>
      </c>
      <c r="R898" s="496">
        <v>2625000</v>
      </c>
      <c r="S898" s="504">
        <v>2541000</v>
      </c>
      <c r="T898" s="648">
        <f>Data2025!T897</f>
        <v>0</v>
      </c>
      <c r="U898" s="497" t="s">
        <v>2531</v>
      </c>
      <c r="V898" s="648">
        <f>Data2025!V897</f>
        <v>0</v>
      </c>
      <c r="W898" s="648">
        <f>Data2025!X897</f>
        <v>0</v>
      </c>
      <c r="Y898" s="268" t="str">
        <f t="shared" si="44"/>
        <v>Jasa Tenaga Pengajar</v>
      </c>
      <c r="Z898" s="649" t="str">
        <f t="shared" si="45"/>
        <v>Jasa Tenaga Pengajar</v>
      </c>
      <c r="AA898" s="498" t="s">
        <v>3374</v>
      </c>
      <c r="AB898" s="499">
        <v>75000</v>
      </c>
      <c r="AC898" s="499">
        <v>2475000</v>
      </c>
      <c r="AD898" s="496">
        <v>2625000</v>
      </c>
      <c r="AE898" s="500">
        <v>2364864.8648648649</v>
      </c>
      <c r="AF898" s="500">
        <v>2625000</v>
      </c>
      <c r="AG898" s="805" t="s">
        <v>3883</v>
      </c>
      <c r="AH898" s="651">
        <f>Data2025!W897</f>
        <v>0</v>
      </c>
      <c r="AI898" s="61">
        <v>272</v>
      </c>
    </row>
    <row r="899" spans="1:35" ht="16.5" thickTop="1" thickBot="1">
      <c r="A899" s="636">
        <f>Data2025!G898</f>
        <v>0</v>
      </c>
      <c r="B899" s="637">
        <f>Data2025!K898</f>
        <v>0</v>
      </c>
      <c r="C899" s="638">
        <f>Data2025!D898</f>
        <v>0</v>
      </c>
      <c r="D899" s="639">
        <f>Data2025!C898</f>
        <v>0</v>
      </c>
      <c r="E899" s="265">
        <f>Data2025!E898</f>
        <v>0</v>
      </c>
      <c r="F899" s="640">
        <f>Data2025!F898</f>
        <v>0</v>
      </c>
      <c r="G899" s="265">
        <f>Data2025!H898</f>
        <v>0</v>
      </c>
      <c r="H899" s="265">
        <f t="shared" si="43"/>
        <v>0</v>
      </c>
      <c r="I899" s="641">
        <f>Data2025!J898</f>
        <v>0</v>
      </c>
      <c r="J899" s="381">
        <f>Data2025!L898</f>
        <v>0</v>
      </c>
      <c r="K899" s="381">
        <f>Data2025!M898</f>
        <v>0</v>
      </c>
      <c r="L899" s="642">
        <f>Data2025!N898</f>
        <v>0</v>
      </c>
      <c r="M899" s="642">
        <f>Data2025!O898</f>
        <v>0</v>
      </c>
      <c r="N899" s="643">
        <f>Data2025!P898</f>
        <v>0</v>
      </c>
      <c r="O899" s="644">
        <f>Data2025!Q898</f>
        <v>0</v>
      </c>
      <c r="P899" s="645" t="s">
        <v>2682</v>
      </c>
      <c r="Q899" s="646" t="e">
        <f>VLOOKUP(K899,Sheet1!$C$1:$D$101,2,)</f>
        <v>#N/A</v>
      </c>
      <c r="R899" s="496">
        <v>2475000</v>
      </c>
      <c r="S899" s="504">
        <v>2156000</v>
      </c>
      <c r="T899" s="648">
        <f>Data2025!T898</f>
        <v>0</v>
      </c>
      <c r="U899" s="497" t="s">
        <v>2531</v>
      </c>
      <c r="V899" s="648">
        <f>Data2025!V898</f>
        <v>0</v>
      </c>
      <c r="W899" s="648">
        <f>Data2025!X898</f>
        <v>0</v>
      </c>
      <c r="Y899" s="268" t="str">
        <f t="shared" si="44"/>
        <v>Jasa Tenaga Pengajar</v>
      </c>
      <c r="Z899" s="649" t="str">
        <f t="shared" si="45"/>
        <v>Jasa Tenaga Pengajar</v>
      </c>
      <c r="AA899" s="498" t="s">
        <v>3374</v>
      </c>
      <c r="AB899" s="499">
        <v>75000</v>
      </c>
      <c r="AC899" s="499">
        <v>2100000</v>
      </c>
      <c r="AD899" s="496">
        <v>2475000</v>
      </c>
      <c r="AE899" s="500">
        <v>2229729.7297297297</v>
      </c>
      <c r="AF899" s="500">
        <v>2475000</v>
      </c>
      <c r="AG899" s="805" t="s">
        <v>3883</v>
      </c>
      <c r="AH899" s="651">
        <f>Data2025!W898</f>
        <v>0</v>
      </c>
      <c r="AI899" s="61">
        <v>273</v>
      </c>
    </row>
    <row r="900" spans="1:35" ht="16.5" thickTop="1" thickBot="1">
      <c r="A900" s="636">
        <f>Data2025!G899</f>
        <v>0</v>
      </c>
      <c r="B900" s="637">
        <f>Data2025!K899</f>
        <v>0</v>
      </c>
      <c r="C900" s="638">
        <f>Data2025!D899</f>
        <v>0</v>
      </c>
      <c r="D900" s="639">
        <f>Data2025!C899</f>
        <v>0</v>
      </c>
      <c r="E900" s="265">
        <f>Data2025!E899</f>
        <v>0</v>
      </c>
      <c r="F900" s="640">
        <f>Data2025!F899</f>
        <v>0</v>
      </c>
      <c r="G900" s="265">
        <f>Data2025!H899</f>
        <v>0</v>
      </c>
      <c r="H900" s="265">
        <f t="shared" si="43"/>
        <v>0</v>
      </c>
      <c r="I900" s="641">
        <f>Data2025!J899</f>
        <v>0</v>
      </c>
      <c r="J900" s="381">
        <f>Data2025!L899</f>
        <v>0</v>
      </c>
      <c r="K900" s="381">
        <f>Data2025!M899</f>
        <v>0</v>
      </c>
      <c r="L900" s="642">
        <f>Data2025!N899</f>
        <v>0</v>
      </c>
      <c r="M900" s="642">
        <f>Data2025!O899</f>
        <v>0</v>
      </c>
      <c r="N900" s="643">
        <f>Data2025!P899</f>
        <v>0</v>
      </c>
      <c r="O900" s="644">
        <f>Data2025!Q899</f>
        <v>0</v>
      </c>
      <c r="P900" s="645" t="s">
        <v>2682</v>
      </c>
      <c r="Q900" s="646" t="e">
        <f>VLOOKUP(K900,Sheet1!$C$1:$D$101,2,)</f>
        <v>#N/A</v>
      </c>
      <c r="R900" s="496">
        <v>2475000</v>
      </c>
      <c r="S900" s="504">
        <v>2156000</v>
      </c>
      <c r="T900" s="648">
        <f>Data2025!T899</f>
        <v>0</v>
      </c>
      <c r="U900" s="497" t="s">
        <v>2531</v>
      </c>
      <c r="V900" s="648">
        <f>Data2025!V899</f>
        <v>0</v>
      </c>
      <c r="W900" s="648">
        <f>Data2025!X899</f>
        <v>0</v>
      </c>
      <c r="Y900" s="268" t="str">
        <f t="shared" si="44"/>
        <v>Jasa Tenaga Pengajar</v>
      </c>
      <c r="Z900" s="649" t="str">
        <f t="shared" si="45"/>
        <v>Jasa Tenaga Pengajar</v>
      </c>
      <c r="AA900" s="498" t="s">
        <v>3374</v>
      </c>
      <c r="AB900" s="499">
        <v>75000</v>
      </c>
      <c r="AC900" s="499">
        <v>2100000</v>
      </c>
      <c r="AD900" s="496">
        <v>2475000</v>
      </c>
      <c r="AE900" s="500">
        <v>2229729.7297297297</v>
      </c>
      <c r="AF900" s="500">
        <v>2475000</v>
      </c>
      <c r="AG900" s="805" t="s">
        <v>3883</v>
      </c>
      <c r="AH900" s="651">
        <f>Data2025!W899</f>
        <v>0</v>
      </c>
      <c r="AI900" s="61">
        <v>274</v>
      </c>
    </row>
    <row r="901" spans="1:35" ht="16.5" thickTop="1" thickBot="1">
      <c r="A901" s="636">
        <f>Data2025!G900</f>
        <v>0</v>
      </c>
      <c r="B901" s="637">
        <f>Data2025!K900</f>
        <v>0</v>
      </c>
      <c r="C901" s="638">
        <f>Data2025!D900</f>
        <v>0</v>
      </c>
      <c r="D901" s="639">
        <f>Data2025!C900</f>
        <v>0</v>
      </c>
      <c r="E901" s="265">
        <f>Data2025!E900</f>
        <v>0</v>
      </c>
      <c r="F901" s="640">
        <f>Data2025!F900</f>
        <v>0</v>
      </c>
      <c r="G901" s="265">
        <f>Data2025!H900</f>
        <v>0</v>
      </c>
      <c r="H901" s="265">
        <f t="shared" ref="H901:H964" si="46">G901</f>
        <v>0</v>
      </c>
      <c r="I901" s="641">
        <f>Data2025!J900</f>
        <v>0</v>
      </c>
      <c r="J901" s="381">
        <f>Data2025!L900</f>
        <v>0</v>
      </c>
      <c r="K901" s="381">
        <f>Data2025!M900</f>
        <v>0</v>
      </c>
      <c r="L901" s="642">
        <f>Data2025!N900</f>
        <v>0</v>
      </c>
      <c r="M901" s="642">
        <f>Data2025!O900</f>
        <v>0</v>
      </c>
      <c r="N901" s="643">
        <f>Data2025!P900</f>
        <v>0</v>
      </c>
      <c r="O901" s="644">
        <f>Data2025!Q900</f>
        <v>0</v>
      </c>
      <c r="P901" s="645" t="s">
        <v>2682</v>
      </c>
      <c r="Q901" s="646" t="e">
        <f>VLOOKUP(K901,Sheet1!$C$1:$D$101,2,)</f>
        <v>#N/A</v>
      </c>
      <c r="R901" s="496">
        <v>2475000</v>
      </c>
      <c r="S901" s="504">
        <v>2156000</v>
      </c>
      <c r="T901" s="648">
        <f>Data2025!T900</f>
        <v>0</v>
      </c>
      <c r="U901" s="497" t="s">
        <v>2531</v>
      </c>
      <c r="V901" s="648">
        <f>Data2025!V900</f>
        <v>0</v>
      </c>
      <c r="W901" s="648">
        <f>Data2025!X900</f>
        <v>0</v>
      </c>
      <c r="Y901" s="268" t="str">
        <f t="shared" ref="Y901:Y964" si="47">P901</f>
        <v>Jasa Tenaga Pengajar</v>
      </c>
      <c r="Z901" s="649" t="str">
        <f t="shared" ref="Z901:Z964" si="48">Y901</f>
        <v>Jasa Tenaga Pengajar</v>
      </c>
      <c r="AA901" s="498" t="s">
        <v>3374</v>
      </c>
      <c r="AB901" s="499">
        <v>75000</v>
      </c>
      <c r="AC901" s="499">
        <v>2100000</v>
      </c>
      <c r="AD901" s="496">
        <v>2475000</v>
      </c>
      <c r="AE901" s="500">
        <v>2229729.7297297297</v>
      </c>
      <c r="AF901" s="500">
        <v>2475000</v>
      </c>
      <c r="AG901" s="805" t="s">
        <v>3883</v>
      </c>
      <c r="AH901" s="651">
        <f>Data2025!W900</f>
        <v>0</v>
      </c>
      <c r="AI901" s="61">
        <v>275</v>
      </c>
    </row>
    <row r="902" spans="1:35" ht="16.5" thickTop="1" thickBot="1">
      <c r="A902" s="636">
        <f>Data2025!G901</f>
        <v>0</v>
      </c>
      <c r="B902" s="637">
        <f>Data2025!K901</f>
        <v>0</v>
      </c>
      <c r="C902" s="638">
        <f>Data2025!D901</f>
        <v>0</v>
      </c>
      <c r="D902" s="639">
        <f>Data2025!C901</f>
        <v>0</v>
      </c>
      <c r="E902" s="265">
        <f>Data2025!E901</f>
        <v>0</v>
      </c>
      <c r="F902" s="640">
        <f>Data2025!F901</f>
        <v>0</v>
      </c>
      <c r="G902" s="265">
        <f>Data2025!H901</f>
        <v>0</v>
      </c>
      <c r="H902" s="265">
        <f t="shared" si="46"/>
        <v>0</v>
      </c>
      <c r="I902" s="641">
        <f>Data2025!J901</f>
        <v>0</v>
      </c>
      <c r="J902" s="381">
        <f>Data2025!L901</f>
        <v>0</v>
      </c>
      <c r="K902" s="381">
        <f>Data2025!M901</f>
        <v>0</v>
      </c>
      <c r="L902" s="642">
        <f>Data2025!N901</f>
        <v>0</v>
      </c>
      <c r="M902" s="642">
        <f>Data2025!O901</f>
        <v>0</v>
      </c>
      <c r="N902" s="643">
        <f>Data2025!P901</f>
        <v>0</v>
      </c>
      <c r="O902" s="644">
        <f>Data2025!Q901</f>
        <v>0</v>
      </c>
      <c r="P902" s="645" t="s">
        <v>2682</v>
      </c>
      <c r="Q902" s="646" t="e">
        <f>VLOOKUP(K902,Sheet1!$C$1:$D$101,2,)</f>
        <v>#N/A</v>
      </c>
      <c r="R902" s="496">
        <v>1575000</v>
      </c>
      <c r="S902" s="504">
        <v>2541000</v>
      </c>
      <c r="T902" s="648">
        <f>Data2025!T901</f>
        <v>0</v>
      </c>
      <c r="U902" s="497" t="s">
        <v>2531</v>
      </c>
      <c r="V902" s="648">
        <f>Data2025!V901</f>
        <v>0</v>
      </c>
      <c r="W902" s="648">
        <f>Data2025!X901</f>
        <v>0</v>
      </c>
      <c r="Y902" s="268" t="str">
        <f t="shared" si="47"/>
        <v>Jasa Tenaga Pengajar</v>
      </c>
      <c r="Z902" s="649" t="str">
        <f t="shared" si="48"/>
        <v>Jasa Tenaga Pengajar</v>
      </c>
      <c r="AA902" s="498" t="s">
        <v>3374</v>
      </c>
      <c r="AB902" s="499">
        <v>75000</v>
      </c>
      <c r="AC902" s="499">
        <v>2475000</v>
      </c>
      <c r="AD902" s="496">
        <v>1575000</v>
      </c>
      <c r="AE902" s="500">
        <v>1418918.9189189191</v>
      </c>
      <c r="AF902" s="500">
        <v>1575000</v>
      </c>
      <c r="AG902" s="805" t="s">
        <v>3883</v>
      </c>
      <c r="AH902" s="651">
        <f>Data2025!W901</f>
        <v>0</v>
      </c>
      <c r="AI902" s="61">
        <v>276</v>
      </c>
    </row>
    <row r="903" spans="1:35" ht="16.5" thickTop="1" thickBot="1">
      <c r="A903" s="636">
        <f>Data2025!G902</f>
        <v>0</v>
      </c>
      <c r="B903" s="637">
        <f>Data2025!K902</f>
        <v>0</v>
      </c>
      <c r="C903" s="638">
        <f>Data2025!D902</f>
        <v>0</v>
      </c>
      <c r="D903" s="639">
        <f>Data2025!C902</f>
        <v>0</v>
      </c>
      <c r="E903" s="265">
        <f>Data2025!E902</f>
        <v>0</v>
      </c>
      <c r="F903" s="640">
        <f>Data2025!F902</f>
        <v>0</v>
      </c>
      <c r="G903" s="265">
        <f>Data2025!H902</f>
        <v>0</v>
      </c>
      <c r="H903" s="265">
        <f t="shared" si="46"/>
        <v>0</v>
      </c>
      <c r="I903" s="641">
        <f>Data2025!J902</f>
        <v>0</v>
      </c>
      <c r="J903" s="381">
        <f>Data2025!L902</f>
        <v>0</v>
      </c>
      <c r="K903" s="381">
        <f>Data2025!M902</f>
        <v>0</v>
      </c>
      <c r="L903" s="642">
        <f>Data2025!N902</f>
        <v>0</v>
      </c>
      <c r="M903" s="642">
        <f>Data2025!O902</f>
        <v>0</v>
      </c>
      <c r="N903" s="643">
        <f>Data2025!P902</f>
        <v>0</v>
      </c>
      <c r="O903" s="644">
        <f>Data2025!Q902</f>
        <v>0</v>
      </c>
      <c r="P903" s="645" t="s">
        <v>2682</v>
      </c>
      <c r="Q903" s="646" t="e">
        <f>VLOOKUP(K903,Sheet1!$C$1:$D$101,2,)</f>
        <v>#N/A</v>
      </c>
      <c r="R903" s="496">
        <v>1575000</v>
      </c>
      <c r="S903" s="504">
        <v>2541000</v>
      </c>
      <c r="T903" s="648">
        <f>Data2025!T902</f>
        <v>0</v>
      </c>
      <c r="U903" s="497" t="s">
        <v>2531</v>
      </c>
      <c r="V903" s="648">
        <f>Data2025!V902</f>
        <v>0</v>
      </c>
      <c r="W903" s="648">
        <f>Data2025!X902</f>
        <v>0</v>
      </c>
      <c r="Y903" s="268" t="str">
        <f t="shared" si="47"/>
        <v>Jasa Tenaga Pengajar</v>
      </c>
      <c r="Z903" s="649" t="str">
        <f t="shared" si="48"/>
        <v>Jasa Tenaga Pengajar</v>
      </c>
      <c r="AA903" s="498" t="s">
        <v>3374</v>
      </c>
      <c r="AB903" s="499">
        <v>75000</v>
      </c>
      <c r="AC903" s="499">
        <v>2475000</v>
      </c>
      <c r="AD903" s="496">
        <v>1575000</v>
      </c>
      <c r="AE903" s="500">
        <v>1418918.9189189191</v>
      </c>
      <c r="AF903" s="500">
        <v>1575000</v>
      </c>
      <c r="AG903" s="805" t="s">
        <v>3883</v>
      </c>
      <c r="AH903" s="651">
        <f>Data2025!W902</f>
        <v>0</v>
      </c>
      <c r="AI903" s="61">
        <v>277</v>
      </c>
    </row>
    <row r="904" spans="1:35" ht="16.5" thickTop="1" thickBot="1">
      <c r="A904" s="636">
        <f>Data2025!G903</f>
        <v>0</v>
      </c>
      <c r="B904" s="637">
        <f>Data2025!K903</f>
        <v>0</v>
      </c>
      <c r="C904" s="638">
        <f>Data2025!D903</f>
        <v>0</v>
      </c>
      <c r="D904" s="639">
        <f>Data2025!C903</f>
        <v>0</v>
      </c>
      <c r="E904" s="265">
        <f>Data2025!E903</f>
        <v>0</v>
      </c>
      <c r="F904" s="640">
        <f>Data2025!F903</f>
        <v>0</v>
      </c>
      <c r="G904" s="265">
        <f>Data2025!H903</f>
        <v>0</v>
      </c>
      <c r="H904" s="265">
        <f t="shared" si="46"/>
        <v>0</v>
      </c>
      <c r="I904" s="641">
        <f>Data2025!J903</f>
        <v>0</v>
      </c>
      <c r="J904" s="381">
        <f>Data2025!L903</f>
        <v>0</v>
      </c>
      <c r="K904" s="381">
        <f>Data2025!M903</f>
        <v>0</v>
      </c>
      <c r="L904" s="642">
        <f>Data2025!N903</f>
        <v>0</v>
      </c>
      <c r="M904" s="642">
        <f>Data2025!O903</f>
        <v>0</v>
      </c>
      <c r="N904" s="643">
        <f>Data2025!P903</f>
        <v>0</v>
      </c>
      <c r="O904" s="644">
        <f>Data2025!Q903</f>
        <v>0</v>
      </c>
      <c r="P904" s="645" t="s">
        <v>2682</v>
      </c>
      <c r="Q904" s="646" t="e">
        <f>VLOOKUP(K904,Sheet1!$C$1:$D$101,2,)</f>
        <v>#N/A</v>
      </c>
      <c r="R904" s="496">
        <v>1575000</v>
      </c>
      <c r="S904" s="504">
        <v>2541000</v>
      </c>
      <c r="T904" s="648">
        <f>Data2025!T903</f>
        <v>0</v>
      </c>
      <c r="U904" s="497" t="s">
        <v>2531</v>
      </c>
      <c r="V904" s="648">
        <f>Data2025!V903</f>
        <v>0</v>
      </c>
      <c r="W904" s="648">
        <f>Data2025!X903</f>
        <v>0</v>
      </c>
      <c r="Y904" s="268" t="str">
        <f t="shared" si="47"/>
        <v>Jasa Tenaga Pengajar</v>
      </c>
      <c r="Z904" s="649" t="str">
        <f t="shared" si="48"/>
        <v>Jasa Tenaga Pengajar</v>
      </c>
      <c r="AA904" s="498" t="s">
        <v>3374</v>
      </c>
      <c r="AB904" s="499">
        <v>75000</v>
      </c>
      <c r="AC904" s="499">
        <v>2475000</v>
      </c>
      <c r="AD904" s="496">
        <v>1575000</v>
      </c>
      <c r="AE904" s="500">
        <v>1418918.9189189191</v>
      </c>
      <c r="AF904" s="500">
        <v>1575000</v>
      </c>
      <c r="AG904" s="805" t="s">
        <v>3883</v>
      </c>
      <c r="AH904" s="651">
        <f>Data2025!W903</f>
        <v>0</v>
      </c>
      <c r="AI904" s="61">
        <v>278</v>
      </c>
    </row>
    <row r="905" spans="1:35" ht="16.5" thickTop="1" thickBot="1">
      <c r="A905" s="636">
        <f>Data2025!G904</f>
        <v>0</v>
      </c>
      <c r="B905" s="637">
        <f>Data2025!K904</f>
        <v>0</v>
      </c>
      <c r="C905" s="638">
        <f>Data2025!D904</f>
        <v>0</v>
      </c>
      <c r="D905" s="639">
        <f>Data2025!C904</f>
        <v>0</v>
      </c>
      <c r="E905" s="265">
        <f>Data2025!E904</f>
        <v>0</v>
      </c>
      <c r="F905" s="640">
        <f>Data2025!F904</f>
        <v>0</v>
      </c>
      <c r="G905" s="265">
        <f>Data2025!H904</f>
        <v>0</v>
      </c>
      <c r="H905" s="265">
        <f t="shared" si="46"/>
        <v>0</v>
      </c>
      <c r="I905" s="641">
        <f>Data2025!J904</f>
        <v>0</v>
      </c>
      <c r="J905" s="381">
        <f>Data2025!L904</f>
        <v>0</v>
      </c>
      <c r="K905" s="381">
        <f>Data2025!M904</f>
        <v>0</v>
      </c>
      <c r="L905" s="642">
        <f>Data2025!N904</f>
        <v>0</v>
      </c>
      <c r="M905" s="642">
        <f>Data2025!O904</f>
        <v>0</v>
      </c>
      <c r="N905" s="643">
        <f>Data2025!P904</f>
        <v>0</v>
      </c>
      <c r="O905" s="644">
        <f>Data2025!Q904</f>
        <v>0</v>
      </c>
      <c r="P905" s="645" t="s">
        <v>2699</v>
      </c>
      <c r="Q905" s="646" t="e">
        <f>VLOOKUP(K905,Sheet1!$C$1:$D$101,2,)</f>
        <v>#N/A</v>
      </c>
      <c r="R905" s="496">
        <v>2000000</v>
      </c>
      <c r="S905" s="504">
        <v>2002000</v>
      </c>
      <c r="T905" s="648">
        <f>Data2025!T904</f>
        <v>0</v>
      </c>
      <c r="U905" s="497" t="s">
        <v>2531</v>
      </c>
      <c r="V905" s="648">
        <f>Data2025!V904</f>
        <v>0</v>
      </c>
      <c r="W905" s="648">
        <f>Data2025!X904</f>
        <v>0</v>
      </c>
      <c r="Y905" s="268" t="str">
        <f t="shared" si="47"/>
        <v>Jasa Tenaga TU</v>
      </c>
      <c r="Z905" s="649" t="str">
        <f t="shared" si="48"/>
        <v>Jasa Tenaga TU</v>
      </c>
      <c r="AA905" s="498" t="s">
        <v>3373</v>
      </c>
      <c r="AB905" s="499">
        <v>2000000</v>
      </c>
      <c r="AC905" s="499">
        <v>2000000</v>
      </c>
      <c r="AD905" s="496">
        <v>2000000</v>
      </c>
      <c r="AE905" s="500">
        <v>1801801.8018018019</v>
      </c>
      <c r="AF905" s="500">
        <v>2000000</v>
      </c>
      <c r="AG905" s="805" t="s">
        <v>3883</v>
      </c>
      <c r="AH905" s="651">
        <f>Data2025!W904</f>
        <v>0</v>
      </c>
      <c r="AI905" s="61">
        <v>279</v>
      </c>
    </row>
    <row r="906" spans="1:35" ht="16.5" thickTop="1" thickBot="1">
      <c r="A906" s="636">
        <f>Data2025!G905</f>
        <v>0</v>
      </c>
      <c r="B906" s="637">
        <f>Data2025!K905</f>
        <v>0</v>
      </c>
      <c r="C906" s="638">
        <f>Data2025!D905</f>
        <v>0</v>
      </c>
      <c r="D906" s="639">
        <f>Data2025!C905</f>
        <v>0</v>
      </c>
      <c r="E906" s="265">
        <f>Data2025!E905</f>
        <v>0</v>
      </c>
      <c r="F906" s="640">
        <f>Data2025!F905</f>
        <v>0</v>
      </c>
      <c r="G906" s="265">
        <f>Data2025!H905</f>
        <v>0</v>
      </c>
      <c r="H906" s="265">
        <f t="shared" si="46"/>
        <v>0</v>
      </c>
      <c r="I906" s="641">
        <f>Data2025!J905</f>
        <v>0</v>
      </c>
      <c r="J906" s="381">
        <f>Data2025!L905</f>
        <v>0</v>
      </c>
      <c r="K906" s="381">
        <f>Data2025!M905</f>
        <v>0</v>
      </c>
      <c r="L906" s="642">
        <f>Data2025!N905</f>
        <v>0</v>
      </c>
      <c r="M906" s="642">
        <f>Data2025!O905</f>
        <v>0</v>
      </c>
      <c r="N906" s="643">
        <f>Data2025!P905</f>
        <v>0</v>
      </c>
      <c r="O906" s="644">
        <f>Data2025!Q905</f>
        <v>0</v>
      </c>
      <c r="P906" s="645" t="s">
        <v>2699</v>
      </c>
      <c r="Q906" s="646" t="e">
        <f>VLOOKUP(K906,Sheet1!$C$1:$D$101,2,)</f>
        <v>#N/A</v>
      </c>
      <c r="R906" s="496">
        <v>2000000</v>
      </c>
      <c r="S906" s="504">
        <v>2002000</v>
      </c>
      <c r="T906" s="648">
        <f>Data2025!T905</f>
        <v>0</v>
      </c>
      <c r="U906" s="497" t="s">
        <v>2531</v>
      </c>
      <c r="V906" s="648">
        <f>Data2025!V905</f>
        <v>0</v>
      </c>
      <c r="W906" s="648">
        <f>Data2025!X905</f>
        <v>0</v>
      </c>
      <c r="Y906" s="268" t="str">
        <f t="shared" si="47"/>
        <v>Jasa Tenaga TU</v>
      </c>
      <c r="Z906" s="649" t="str">
        <f t="shared" si="48"/>
        <v>Jasa Tenaga TU</v>
      </c>
      <c r="AA906" s="498" t="s">
        <v>3373</v>
      </c>
      <c r="AB906" s="499">
        <v>2000000</v>
      </c>
      <c r="AC906" s="499">
        <v>2000000</v>
      </c>
      <c r="AD906" s="496">
        <v>2000000</v>
      </c>
      <c r="AE906" s="500">
        <v>1801801.8018018019</v>
      </c>
      <c r="AF906" s="500">
        <v>2000000</v>
      </c>
      <c r="AG906" s="805" t="s">
        <v>3883</v>
      </c>
      <c r="AH906" s="651">
        <f>Data2025!W905</f>
        <v>0</v>
      </c>
      <c r="AI906" s="61">
        <v>280</v>
      </c>
    </row>
    <row r="907" spans="1:35" ht="16.5" thickTop="1" thickBot="1">
      <c r="A907" s="636">
        <f>Data2025!G906</f>
        <v>0</v>
      </c>
      <c r="B907" s="637">
        <f>Data2025!K906</f>
        <v>0</v>
      </c>
      <c r="C907" s="638">
        <f>Data2025!D906</f>
        <v>0</v>
      </c>
      <c r="D907" s="639">
        <f>Data2025!C906</f>
        <v>0</v>
      </c>
      <c r="E907" s="265">
        <f>Data2025!E906</f>
        <v>0</v>
      </c>
      <c r="F907" s="640">
        <f>Data2025!F906</f>
        <v>0</v>
      </c>
      <c r="G907" s="265">
        <f>Data2025!H906</f>
        <v>0</v>
      </c>
      <c r="H907" s="265">
        <f t="shared" si="46"/>
        <v>0</v>
      </c>
      <c r="I907" s="641">
        <f>Data2025!J906</f>
        <v>0</v>
      </c>
      <c r="J907" s="381">
        <f>Data2025!L906</f>
        <v>0</v>
      </c>
      <c r="K907" s="381">
        <f>Data2025!M906</f>
        <v>0</v>
      </c>
      <c r="L907" s="642">
        <f>Data2025!N906</f>
        <v>0</v>
      </c>
      <c r="M907" s="642">
        <f>Data2025!O906</f>
        <v>0</v>
      </c>
      <c r="N907" s="643">
        <f>Data2025!P906</f>
        <v>0</v>
      </c>
      <c r="O907" s="644">
        <f>Data2025!Q906</f>
        <v>0</v>
      </c>
      <c r="P907" s="645" t="s">
        <v>2699</v>
      </c>
      <c r="Q907" s="646" t="e">
        <f>VLOOKUP(K907,Sheet1!$C$1:$D$101,2,)</f>
        <v>#N/A</v>
      </c>
      <c r="R907" s="496">
        <v>2000000</v>
      </c>
      <c r="S907" s="504">
        <v>2002000</v>
      </c>
      <c r="T907" s="648">
        <f>Data2025!T906</f>
        <v>0</v>
      </c>
      <c r="U907" s="497" t="s">
        <v>2531</v>
      </c>
      <c r="V907" s="648">
        <f>Data2025!V906</f>
        <v>0</v>
      </c>
      <c r="W907" s="648">
        <f>Data2025!X906</f>
        <v>0</v>
      </c>
      <c r="Y907" s="268" t="str">
        <f t="shared" si="47"/>
        <v>Jasa Tenaga TU</v>
      </c>
      <c r="Z907" s="649" t="str">
        <f t="shared" si="48"/>
        <v>Jasa Tenaga TU</v>
      </c>
      <c r="AA907" s="498" t="s">
        <v>3373</v>
      </c>
      <c r="AB907" s="499">
        <v>2000000</v>
      </c>
      <c r="AC907" s="499">
        <v>2000000</v>
      </c>
      <c r="AD907" s="496">
        <v>2000000</v>
      </c>
      <c r="AE907" s="500">
        <v>1801801.8018018019</v>
      </c>
      <c r="AF907" s="500">
        <v>2000000</v>
      </c>
      <c r="AG907" s="805" t="s">
        <v>3883</v>
      </c>
      <c r="AH907" s="651">
        <f>Data2025!W906</f>
        <v>0</v>
      </c>
      <c r="AI907" s="61">
        <v>281</v>
      </c>
    </row>
    <row r="908" spans="1:35" ht="16.5" thickTop="1" thickBot="1">
      <c r="A908" s="636">
        <f>Data2025!G907</f>
        <v>0</v>
      </c>
      <c r="B908" s="637">
        <f>Data2025!K907</f>
        <v>0</v>
      </c>
      <c r="C908" s="638">
        <f>Data2025!D907</f>
        <v>0</v>
      </c>
      <c r="D908" s="639">
        <f>Data2025!C907</f>
        <v>0</v>
      </c>
      <c r="E908" s="265">
        <f>Data2025!E907</f>
        <v>0</v>
      </c>
      <c r="F908" s="640">
        <f>Data2025!F907</f>
        <v>0</v>
      </c>
      <c r="G908" s="265">
        <f>Data2025!H907</f>
        <v>0</v>
      </c>
      <c r="H908" s="265">
        <f t="shared" si="46"/>
        <v>0</v>
      </c>
      <c r="I908" s="641">
        <f>Data2025!J907</f>
        <v>0</v>
      </c>
      <c r="J908" s="381">
        <f>Data2025!L907</f>
        <v>0</v>
      </c>
      <c r="K908" s="381">
        <f>Data2025!M907</f>
        <v>0</v>
      </c>
      <c r="L908" s="642">
        <f>Data2025!N907</f>
        <v>0</v>
      </c>
      <c r="M908" s="642">
        <f>Data2025!O907</f>
        <v>0</v>
      </c>
      <c r="N908" s="643">
        <f>Data2025!P907</f>
        <v>0</v>
      </c>
      <c r="O908" s="644">
        <f>Data2025!Q907</f>
        <v>0</v>
      </c>
      <c r="P908" s="645" t="s">
        <v>2699</v>
      </c>
      <c r="Q908" s="646" t="e">
        <f>VLOOKUP(K908,Sheet1!$C$1:$D$101,2,)</f>
        <v>#N/A</v>
      </c>
      <c r="R908" s="496">
        <v>2000000</v>
      </c>
      <c r="S908" s="504">
        <v>2002000</v>
      </c>
      <c r="T908" s="648">
        <f>Data2025!T907</f>
        <v>0</v>
      </c>
      <c r="U908" s="497" t="s">
        <v>2531</v>
      </c>
      <c r="V908" s="648">
        <f>Data2025!V907</f>
        <v>0</v>
      </c>
      <c r="W908" s="648">
        <f>Data2025!X907</f>
        <v>0</v>
      </c>
      <c r="Y908" s="268" t="str">
        <f t="shared" si="47"/>
        <v>Jasa Tenaga TU</v>
      </c>
      <c r="Z908" s="649" t="str">
        <f t="shared" si="48"/>
        <v>Jasa Tenaga TU</v>
      </c>
      <c r="AA908" s="498" t="s">
        <v>3373</v>
      </c>
      <c r="AB908" s="499">
        <v>2000000</v>
      </c>
      <c r="AC908" s="499">
        <v>2000000</v>
      </c>
      <c r="AD908" s="496">
        <v>2000000</v>
      </c>
      <c r="AE908" s="500">
        <v>1801801.8018018019</v>
      </c>
      <c r="AF908" s="500">
        <v>2000000</v>
      </c>
      <c r="AG908" s="805" t="s">
        <v>3883</v>
      </c>
      <c r="AH908" s="651">
        <f>Data2025!W907</f>
        <v>0</v>
      </c>
      <c r="AI908" s="61">
        <v>282</v>
      </c>
    </row>
    <row r="909" spans="1:35" ht="16.5" thickTop="1" thickBot="1">
      <c r="A909" s="636">
        <f>Data2025!G908</f>
        <v>0</v>
      </c>
      <c r="B909" s="637">
        <f>Data2025!K908</f>
        <v>0</v>
      </c>
      <c r="C909" s="638">
        <f>Data2025!D908</f>
        <v>0</v>
      </c>
      <c r="D909" s="639">
        <f>Data2025!C908</f>
        <v>0</v>
      </c>
      <c r="E909" s="265">
        <f>Data2025!E908</f>
        <v>0</v>
      </c>
      <c r="F909" s="640">
        <f>Data2025!F908</f>
        <v>0</v>
      </c>
      <c r="G909" s="265">
        <f>Data2025!H908</f>
        <v>0</v>
      </c>
      <c r="H909" s="265">
        <f t="shared" si="46"/>
        <v>0</v>
      </c>
      <c r="I909" s="641">
        <f>Data2025!J908</f>
        <v>0</v>
      </c>
      <c r="J909" s="381">
        <f>Data2025!L908</f>
        <v>0</v>
      </c>
      <c r="K909" s="381">
        <f>Data2025!M908</f>
        <v>0</v>
      </c>
      <c r="L909" s="642">
        <f>Data2025!N908</f>
        <v>0</v>
      </c>
      <c r="M909" s="642">
        <f>Data2025!O908</f>
        <v>0</v>
      </c>
      <c r="N909" s="643">
        <f>Data2025!P908</f>
        <v>0</v>
      </c>
      <c r="O909" s="644">
        <f>Data2025!Q908</f>
        <v>0</v>
      </c>
      <c r="P909" s="645" t="s">
        <v>2699</v>
      </c>
      <c r="Q909" s="646" t="e">
        <f>VLOOKUP(K909,Sheet1!$C$1:$D$101,2,)</f>
        <v>#N/A</v>
      </c>
      <c r="R909" s="496">
        <v>2000000</v>
      </c>
      <c r="S909" s="504">
        <v>2002000</v>
      </c>
      <c r="T909" s="648">
        <f>Data2025!T908</f>
        <v>0</v>
      </c>
      <c r="U909" s="497" t="s">
        <v>2531</v>
      </c>
      <c r="V909" s="648">
        <f>Data2025!V908</f>
        <v>0</v>
      </c>
      <c r="W909" s="648">
        <f>Data2025!X908</f>
        <v>0</v>
      </c>
      <c r="Y909" s="268" t="str">
        <f t="shared" si="47"/>
        <v>Jasa Tenaga TU</v>
      </c>
      <c r="Z909" s="649" t="str">
        <f t="shared" si="48"/>
        <v>Jasa Tenaga TU</v>
      </c>
      <c r="AA909" s="498" t="s">
        <v>3373</v>
      </c>
      <c r="AB909" s="499">
        <v>2000000</v>
      </c>
      <c r="AC909" s="499">
        <v>2000000</v>
      </c>
      <c r="AD909" s="496">
        <v>2000000</v>
      </c>
      <c r="AE909" s="500">
        <v>1801801.8018018019</v>
      </c>
      <c r="AF909" s="500">
        <v>2000000</v>
      </c>
      <c r="AG909" s="805" t="s">
        <v>3883</v>
      </c>
      <c r="AH909" s="651">
        <f>Data2025!W908</f>
        <v>0</v>
      </c>
      <c r="AI909" s="61">
        <v>283</v>
      </c>
    </row>
    <row r="910" spans="1:35" ht="16.5" thickTop="1" thickBot="1">
      <c r="A910" s="636">
        <f>Data2025!G909</f>
        <v>0</v>
      </c>
      <c r="B910" s="637">
        <f>Data2025!K909</f>
        <v>0</v>
      </c>
      <c r="C910" s="638">
        <f>Data2025!D909</f>
        <v>0</v>
      </c>
      <c r="D910" s="639">
        <f>Data2025!C909</f>
        <v>0</v>
      </c>
      <c r="E910" s="265">
        <f>Data2025!E909</f>
        <v>0</v>
      </c>
      <c r="F910" s="640">
        <f>Data2025!F909</f>
        <v>0</v>
      </c>
      <c r="G910" s="265">
        <f>Data2025!H909</f>
        <v>0</v>
      </c>
      <c r="H910" s="265">
        <f t="shared" si="46"/>
        <v>0</v>
      </c>
      <c r="I910" s="641">
        <f>Data2025!J909</f>
        <v>0</v>
      </c>
      <c r="J910" s="381">
        <f>Data2025!L909</f>
        <v>0</v>
      </c>
      <c r="K910" s="381">
        <f>Data2025!M909</f>
        <v>0</v>
      </c>
      <c r="L910" s="642">
        <f>Data2025!N909</f>
        <v>0</v>
      </c>
      <c r="M910" s="642">
        <f>Data2025!O909</f>
        <v>0</v>
      </c>
      <c r="N910" s="643">
        <f>Data2025!P909</f>
        <v>0</v>
      </c>
      <c r="O910" s="644">
        <f>Data2025!Q909</f>
        <v>0</v>
      </c>
      <c r="P910" s="645" t="s">
        <v>2699</v>
      </c>
      <c r="Q910" s="646" t="e">
        <f>VLOOKUP(K910,Sheet1!$C$1:$D$101,2,)</f>
        <v>#N/A</v>
      </c>
      <c r="R910" s="496">
        <v>2000000</v>
      </c>
      <c r="S910" s="504">
        <v>2002000</v>
      </c>
      <c r="T910" s="648">
        <f>Data2025!T909</f>
        <v>0</v>
      </c>
      <c r="U910" s="497" t="s">
        <v>2531</v>
      </c>
      <c r="V910" s="648">
        <f>Data2025!V909</f>
        <v>0</v>
      </c>
      <c r="W910" s="648">
        <f>Data2025!X909</f>
        <v>0</v>
      </c>
      <c r="Y910" s="268" t="str">
        <f t="shared" si="47"/>
        <v>Jasa Tenaga TU</v>
      </c>
      <c r="Z910" s="649" t="str">
        <f t="shared" si="48"/>
        <v>Jasa Tenaga TU</v>
      </c>
      <c r="AA910" s="498" t="s">
        <v>3373</v>
      </c>
      <c r="AB910" s="499">
        <v>2000000</v>
      </c>
      <c r="AC910" s="499">
        <v>2000000</v>
      </c>
      <c r="AD910" s="496">
        <v>2000000</v>
      </c>
      <c r="AE910" s="500">
        <v>1801801.8018018019</v>
      </c>
      <c r="AF910" s="500">
        <v>2000000</v>
      </c>
      <c r="AG910" s="805" t="s">
        <v>3883</v>
      </c>
      <c r="AH910" s="651">
        <f>Data2025!W909</f>
        <v>0</v>
      </c>
      <c r="AI910" s="61">
        <v>284</v>
      </c>
    </row>
    <row r="911" spans="1:35" ht="16.5" thickTop="1" thickBot="1">
      <c r="A911" s="636">
        <f>Data2025!G910</f>
        <v>0</v>
      </c>
      <c r="B911" s="637">
        <f>Data2025!K910</f>
        <v>0</v>
      </c>
      <c r="C911" s="638">
        <f>Data2025!D910</f>
        <v>0</v>
      </c>
      <c r="D911" s="639">
        <f>Data2025!C910</f>
        <v>0</v>
      </c>
      <c r="E911" s="265">
        <f>Data2025!E910</f>
        <v>0</v>
      </c>
      <c r="F911" s="640">
        <f>Data2025!F910</f>
        <v>0</v>
      </c>
      <c r="G911" s="265">
        <f>Data2025!H910</f>
        <v>0</v>
      </c>
      <c r="H911" s="265">
        <f t="shared" si="46"/>
        <v>0</v>
      </c>
      <c r="I911" s="641">
        <f>Data2025!J910</f>
        <v>0</v>
      </c>
      <c r="J911" s="381">
        <f>Data2025!L910</f>
        <v>0</v>
      </c>
      <c r="K911" s="381">
        <f>Data2025!M910</f>
        <v>0</v>
      </c>
      <c r="L911" s="642">
        <f>Data2025!N910</f>
        <v>0</v>
      </c>
      <c r="M911" s="642">
        <f>Data2025!O910</f>
        <v>0</v>
      </c>
      <c r="N911" s="643">
        <f>Data2025!P910</f>
        <v>0</v>
      </c>
      <c r="O911" s="644">
        <f>Data2025!Q910</f>
        <v>0</v>
      </c>
      <c r="P911" s="645" t="s">
        <v>2699</v>
      </c>
      <c r="Q911" s="646" t="e">
        <f>VLOOKUP(K911,Sheet1!$C$1:$D$101,2,)</f>
        <v>#N/A</v>
      </c>
      <c r="R911" s="496">
        <v>2000000</v>
      </c>
      <c r="S911" s="504">
        <v>2002000</v>
      </c>
      <c r="T911" s="648">
        <f>Data2025!T910</f>
        <v>0</v>
      </c>
      <c r="U911" s="497" t="s">
        <v>2531</v>
      </c>
      <c r="V911" s="648">
        <f>Data2025!V910</f>
        <v>0</v>
      </c>
      <c r="W911" s="648">
        <f>Data2025!X910</f>
        <v>0</v>
      </c>
      <c r="Y911" s="268" t="str">
        <f t="shared" si="47"/>
        <v>Jasa Tenaga TU</v>
      </c>
      <c r="Z911" s="649" t="str">
        <f t="shared" si="48"/>
        <v>Jasa Tenaga TU</v>
      </c>
      <c r="AA911" s="498" t="s">
        <v>3373</v>
      </c>
      <c r="AB911" s="499">
        <v>2000000</v>
      </c>
      <c r="AC911" s="499">
        <v>2000000</v>
      </c>
      <c r="AD911" s="496">
        <v>2000000</v>
      </c>
      <c r="AE911" s="500">
        <v>1801801.8018018019</v>
      </c>
      <c r="AF911" s="500">
        <v>2000000</v>
      </c>
      <c r="AG911" s="805" t="s">
        <v>3883</v>
      </c>
      <c r="AH911" s="651">
        <f>Data2025!W910</f>
        <v>0</v>
      </c>
      <c r="AI911" s="61">
        <v>285</v>
      </c>
    </row>
    <row r="912" spans="1:35" ht="16.5" thickTop="1" thickBot="1">
      <c r="A912" s="636">
        <f>Data2025!G911</f>
        <v>0</v>
      </c>
      <c r="B912" s="637">
        <f>Data2025!K911</f>
        <v>0</v>
      </c>
      <c r="C912" s="638">
        <f>Data2025!D911</f>
        <v>0</v>
      </c>
      <c r="D912" s="639">
        <f>Data2025!C911</f>
        <v>0</v>
      </c>
      <c r="E912" s="265">
        <f>Data2025!E911</f>
        <v>0</v>
      </c>
      <c r="F912" s="640">
        <f>Data2025!F911</f>
        <v>0</v>
      </c>
      <c r="G912" s="265">
        <f>Data2025!H911</f>
        <v>0</v>
      </c>
      <c r="H912" s="265">
        <f t="shared" si="46"/>
        <v>0</v>
      </c>
      <c r="I912" s="641">
        <f>Data2025!J911</f>
        <v>0</v>
      </c>
      <c r="J912" s="381">
        <f>Data2025!L911</f>
        <v>0</v>
      </c>
      <c r="K912" s="381">
        <f>Data2025!M911</f>
        <v>0</v>
      </c>
      <c r="L912" s="642">
        <f>Data2025!N911</f>
        <v>0</v>
      </c>
      <c r="M912" s="642">
        <f>Data2025!O911</f>
        <v>0</v>
      </c>
      <c r="N912" s="643">
        <f>Data2025!P911</f>
        <v>0</v>
      </c>
      <c r="O912" s="644">
        <f>Data2025!Q911</f>
        <v>0</v>
      </c>
      <c r="P912" s="645" t="s">
        <v>2699</v>
      </c>
      <c r="Q912" s="646" t="e">
        <f>VLOOKUP(K912,Sheet1!$C$1:$D$101,2,)</f>
        <v>#N/A</v>
      </c>
      <c r="R912" s="496">
        <v>2000000</v>
      </c>
      <c r="S912" s="504">
        <v>2002000</v>
      </c>
      <c r="T912" s="648">
        <f>Data2025!T911</f>
        <v>0</v>
      </c>
      <c r="U912" s="497" t="s">
        <v>2531</v>
      </c>
      <c r="V912" s="648">
        <f>Data2025!V911</f>
        <v>0</v>
      </c>
      <c r="W912" s="648">
        <f>Data2025!X911</f>
        <v>0</v>
      </c>
      <c r="Y912" s="268" t="str">
        <f t="shared" si="47"/>
        <v>Jasa Tenaga TU</v>
      </c>
      <c r="Z912" s="649" t="str">
        <f t="shared" si="48"/>
        <v>Jasa Tenaga TU</v>
      </c>
      <c r="AA912" s="498" t="s">
        <v>3373</v>
      </c>
      <c r="AB912" s="499">
        <v>2000000</v>
      </c>
      <c r="AC912" s="499">
        <v>2000000</v>
      </c>
      <c r="AD912" s="496">
        <v>2000000</v>
      </c>
      <c r="AE912" s="500">
        <v>1801801.8018018019</v>
      </c>
      <c r="AF912" s="500">
        <v>2000000</v>
      </c>
      <c r="AG912" s="805" t="s">
        <v>3883</v>
      </c>
      <c r="AH912" s="651">
        <f>Data2025!W911</f>
        <v>0</v>
      </c>
      <c r="AI912" s="61">
        <v>286</v>
      </c>
    </row>
    <row r="913" spans="1:35" ht="16.5" thickTop="1" thickBot="1">
      <c r="A913" s="636">
        <f>Data2025!G912</f>
        <v>0</v>
      </c>
      <c r="B913" s="637">
        <f>Data2025!K912</f>
        <v>0</v>
      </c>
      <c r="C913" s="638">
        <f>Data2025!D912</f>
        <v>0</v>
      </c>
      <c r="D913" s="639">
        <f>Data2025!C912</f>
        <v>0</v>
      </c>
      <c r="E913" s="265">
        <f>Data2025!E912</f>
        <v>0</v>
      </c>
      <c r="F913" s="640">
        <f>Data2025!F912</f>
        <v>0</v>
      </c>
      <c r="G913" s="265">
        <f>Data2025!H912</f>
        <v>0</v>
      </c>
      <c r="H913" s="265">
        <f t="shared" si="46"/>
        <v>0</v>
      </c>
      <c r="I913" s="641">
        <f>Data2025!J912</f>
        <v>0</v>
      </c>
      <c r="J913" s="381">
        <f>Data2025!L912</f>
        <v>0</v>
      </c>
      <c r="K913" s="381">
        <f>Data2025!M912</f>
        <v>0</v>
      </c>
      <c r="L913" s="642">
        <f>Data2025!N912</f>
        <v>0</v>
      </c>
      <c r="M913" s="642">
        <f>Data2025!O912</f>
        <v>0</v>
      </c>
      <c r="N913" s="643">
        <f>Data2025!P912</f>
        <v>0</v>
      </c>
      <c r="O913" s="644">
        <f>Data2025!Q912</f>
        <v>0</v>
      </c>
      <c r="P913" s="645" t="s">
        <v>2699</v>
      </c>
      <c r="Q913" s="646" t="e">
        <f>VLOOKUP(K913,Sheet1!$C$1:$D$101,2,)</f>
        <v>#N/A</v>
      </c>
      <c r="R913" s="496">
        <v>2000000</v>
      </c>
      <c r="S913" s="504">
        <v>2002000</v>
      </c>
      <c r="T913" s="648">
        <f>Data2025!T912</f>
        <v>0</v>
      </c>
      <c r="U913" s="497" t="s">
        <v>2531</v>
      </c>
      <c r="V913" s="648">
        <f>Data2025!V912</f>
        <v>0</v>
      </c>
      <c r="W913" s="648">
        <f>Data2025!X912</f>
        <v>0</v>
      </c>
      <c r="Y913" s="268" t="str">
        <f t="shared" si="47"/>
        <v>Jasa Tenaga TU</v>
      </c>
      <c r="Z913" s="649" t="str">
        <f t="shared" si="48"/>
        <v>Jasa Tenaga TU</v>
      </c>
      <c r="AA913" s="498" t="s">
        <v>3373</v>
      </c>
      <c r="AB913" s="499">
        <v>2000000</v>
      </c>
      <c r="AC913" s="499">
        <v>2000000</v>
      </c>
      <c r="AD913" s="496">
        <v>2000000</v>
      </c>
      <c r="AE913" s="500">
        <v>1801801.8018018019</v>
      </c>
      <c r="AF913" s="500">
        <v>2000000</v>
      </c>
      <c r="AG913" s="805" t="s">
        <v>3883</v>
      </c>
      <c r="AH913" s="651">
        <f>Data2025!W912</f>
        <v>0</v>
      </c>
      <c r="AI913" s="61">
        <v>287</v>
      </c>
    </row>
    <row r="914" spans="1:35" ht="16.5" thickTop="1" thickBot="1">
      <c r="A914" s="636">
        <f>Data2025!G913</f>
        <v>0</v>
      </c>
      <c r="B914" s="637">
        <f>Data2025!K913</f>
        <v>0</v>
      </c>
      <c r="C914" s="638">
        <f>Data2025!D913</f>
        <v>0</v>
      </c>
      <c r="D914" s="639">
        <f>Data2025!C913</f>
        <v>0</v>
      </c>
      <c r="E914" s="265">
        <f>Data2025!E913</f>
        <v>0</v>
      </c>
      <c r="F914" s="640">
        <f>Data2025!F913</f>
        <v>0</v>
      </c>
      <c r="G914" s="265">
        <f>Data2025!H913</f>
        <v>0</v>
      </c>
      <c r="H914" s="265">
        <f t="shared" si="46"/>
        <v>0</v>
      </c>
      <c r="I914" s="641">
        <f>Data2025!J913</f>
        <v>0</v>
      </c>
      <c r="J914" s="381">
        <f>Data2025!L913</f>
        <v>0</v>
      </c>
      <c r="K914" s="381">
        <f>Data2025!M913</f>
        <v>0</v>
      </c>
      <c r="L914" s="642">
        <f>Data2025!N913</f>
        <v>0</v>
      </c>
      <c r="M914" s="642">
        <f>Data2025!O913</f>
        <v>0</v>
      </c>
      <c r="N914" s="643">
        <f>Data2025!P913</f>
        <v>0</v>
      </c>
      <c r="O914" s="644">
        <f>Data2025!Q913</f>
        <v>0</v>
      </c>
      <c r="P914" s="645" t="s">
        <v>2699</v>
      </c>
      <c r="Q914" s="646" t="e">
        <f>VLOOKUP(K914,Sheet1!$C$1:$D$101,2,)</f>
        <v>#N/A</v>
      </c>
      <c r="R914" s="496">
        <v>2000000</v>
      </c>
      <c r="S914" s="504">
        <v>2002000</v>
      </c>
      <c r="T914" s="648">
        <f>Data2025!T913</f>
        <v>0</v>
      </c>
      <c r="U914" s="497" t="s">
        <v>2531</v>
      </c>
      <c r="V914" s="648">
        <f>Data2025!V913</f>
        <v>0</v>
      </c>
      <c r="W914" s="648">
        <f>Data2025!X913</f>
        <v>0</v>
      </c>
      <c r="Y914" s="268" t="str">
        <f t="shared" si="47"/>
        <v>Jasa Tenaga TU</v>
      </c>
      <c r="Z914" s="649" t="str">
        <f t="shared" si="48"/>
        <v>Jasa Tenaga TU</v>
      </c>
      <c r="AA914" s="498" t="s">
        <v>3373</v>
      </c>
      <c r="AB914" s="499">
        <v>2000000</v>
      </c>
      <c r="AC914" s="499">
        <v>2000000</v>
      </c>
      <c r="AD914" s="496">
        <v>2000000</v>
      </c>
      <c r="AE914" s="500">
        <v>1801801.8018018019</v>
      </c>
      <c r="AF914" s="500">
        <v>2000000</v>
      </c>
      <c r="AG914" s="805" t="s">
        <v>3883</v>
      </c>
      <c r="AH914" s="651">
        <f>Data2025!W913</f>
        <v>0</v>
      </c>
      <c r="AI914" s="61">
        <v>288</v>
      </c>
    </row>
    <row r="915" spans="1:35" ht="16.5" thickTop="1" thickBot="1">
      <c r="A915" s="636">
        <f>Data2025!G914</f>
        <v>0</v>
      </c>
      <c r="B915" s="637">
        <f>Data2025!K914</f>
        <v>0</v>
      </c>
      <c r="C915" s="638">
        <f>Data2025!D914</f>
        <v>0</v>
      </c>
      <c r="D915" s="639">
        <f>Data2025!C914</f>
        <v>0</v>
      </c>
      <c r="E915" s="265">
        <f>Data2025!E914</f>
        <v>0</v>
      </c>
      <c r="F915" s="640">
        <f>Data2025!F914</f>
        <v>0</v>
      </c>
      <c r="G915" s="265">
        <f>Data2025!H914</f>
        <v>0</v>
      </c>
      <c r="H915" s="265">
        <f t="shared" si="46"/>
        <v>0</v>
      </c>
      <c r="I915" s="641">
        <f>Data2025!J914</f>
        <v>0</v>
      </c>
      <c r="J915" s="381">
        <f>Data2025!L914</f>
        <v>0</v>
      </c>
      <c r="K915" s="381">
        <f>Data2025!M914</f>
        <v>0</v>
      </c>
      <c r="L915" s="642">
        <f>Data2025!N914</f>
        <v>0</v>
      </c>
      <c r="M915" s="642">
        <f>Data2025!O914</f>
        <v>0</v>
      </c>
      <c r="N915" s="643">
        <f>Data2025!P914</f>
        <v>0</v>
      </c>
      <c r="O915" s="644">
        <f>Data2025!Q914</f>
        <v>0</v>
      </c>
      <c r="P915" s="645" t="s">
        <v>2699</v>
      </c>
      <c r="Q915" s="646" t="e">
        <f>VLOOKUP(K915,Sheet1!$C$1:$D$101,2,)</f>
        <v>#N/A</v>
      </c>
      <c r="R915" s="496">
        <v>2000000</v>
      </c>
      <c r="S915" s="504">
        <v>2002000</v>
      </c>
      <c r="T915" s="648">
        <f>Data2025!T914</f>
        <v>0</v>
      </c>
      <c r="U915" s="497" t="s">
        <v>2531</v>
      </c>
      <c r="V915" s="648">
        <f>Data2025!V914</f>
        <v>0</v>
      </c>
      <c r="W915" s="648">
        <f>Data2025!X914</f>
        <v>0</v>
      </c>
      <c r="Y915" s="268" t="str">
        <f t="shared" si="47"/>
        <v>Jasa Tenaga TU</v>
      </c>
      <c r="Z915" s="649" t="str">
        <f t="shared" si="48"/>
        <v>Jasa Tenaga TU</v>
      </c>
      <c r="AA915" s="498" t="s">
        <v>3373</v>
      </c>
      <c r="AB915" s="499">
        <v>2000000</v>
      </c>
      <c r="AC915" s="499">
        <v>2000000</v>
      </c>
      <c r="AD915" s="496">
        <v>2000000</v>
      </c>
      <c r="AE915" s="500">
        <v>1801801.8018018019</v>
      </c>
      <c r="AF915" s="500">
        <v>2000000</v>
      </c>
      <c r="AG915" s="805" t="s">
        <v>3883</v>
      </c>
      <c r="AH915" s="651">
        <f>Data2025!W914</f>
        <v>0</v>
      </c>
      <c r="AI915" s="61">
        <v>289</v>
      </c>
    </row>
    <row r="916" spans="1:35" ht="16.5" thickTop="1" thickBot="1">
      <c r="A916" s="636">
        <f>Data2025!G915</f>
        <v>0</v>
      </c>
      <c r="B916" s="637">
        <f>Data2025!K915</f>
        <v>0</v>
      </c>
      <c r="C916" s="638">
        <f>Data2025!D915</f>
        <v>0</v>
      </c>
      <c r="D916" s="639">
        <f>Data2025!C915</f>
        <v>0</v>
      </c>
      <c r="E916" s="265">
        <f>Data2025!E915</f>
        <v>0</v>
      </c>
      <c r="F916" s="640">
        <f>Data2025!F915</f>
        <v>0</v>
      </c>
      <c r="G916" s="265">
        <f>Data2025!H915</f>
        <v>0</v>
      </c>
      <c r="H916" s="265">
        <f t="shared" si="46"/>
        <v>0</v>
      </c>
      <c r="I916" s="641">
        <f>Data2025!J915</f>
        <v>0</v>
      </c>
      <c r="J916" s="381">
        <f>Data2025!L915</f>
        <v>0</v>
      </c>
      <c r="K916" s="381">
        <f>Data2025!M915</f>
        <v>0</v>
      </c>
      <c r="L916" s="642">
        <f>Data2025!N915</f>
        <v>0</v>
      </c>
      <c r="M916" s="642">
        <f>Data2025!O915</f>
        <v>0</v>
      </c>
      <c r="N916" s="643">
        <f>Data2025!P915</f>
        <v>0</v>
      </c>
      <c r="O916" s="644">
        <f>Data2025!Q915</f>
        <v>0</v>
      </c>
      <c r="P916" s="645" t="s">
        <v>2699</v>
      </c>
      <c r="Q916" s="646" t="e">
        <f>VLOOKUP(K916,Sheet1!$C$1:$D$101,2,)</f>
        <v>#N/A</v>
      </c>
      <c r="R916" s="496">
        <v>2000000</v>
      </c>
      <c r="S916" s="504">
        <v>2002000</v>
      </c>
      <c r="T916" s="648">
        <f>Data2025!T915</f>
        <v>0</v>
      </c>
      <c r="U916" s="497" t="s">
        <v>2531</v>
      </c>
      <c r="V916" s="648">
        <f>Data2025!V915</f>
        <v>0</v>
      </c>
      <c r="W916" s="648">
        <f>Data2025!X915</f>
        <v>0</v>
      </c>
      <c r="Y916" s="268" t="str">
        <f t="shared" si="47"/>
        <v>Jasa Tenaga TU</v>
      </c>
      <c r="Z916" s="649" t="str">
        <f t="shared" si="48"/>
        <v>Jasa Tenaga TU</v>
      </c>
      <c r="AA916" s="498" t="s">
        <v>3373</v>
      </c>
      <c r="AB916" s="499">
        <v>2000000</v>
      </c>
      <c r="AC916" s="499">
        <v>2000000</v>
      </c>
      <c r="AD916" s="496">
        <v>2000000</v>
      </c>
      <c r="AE916" s="500">
        <v>1801801.8018018019</v>
      </c>
      <c r="AF916" s="500">
        <v>2000000</v>
      </c>
      <c r="AG916" s="805" t="s">
        <v>3883</v>
      </c>
      <c r="AH916" s="651">
        <f>Data2025!W915</f>
        <v>0</v>
      </c>
      <c r="AI916" s="61">
        <v>290</v>
      </c>
    </row>
    <row r="917" spans="1:35" ht="16.5" thickTop="1" thickBot="1">
      <c r="A917" s="636">
        <f>Data2025!G916</f>
        <v>0</v>
      </c>
      <c r="B917" s="637">
        <f>Data2025!K916</f>
        <v>0</v>
      </c>
      <c r="C917" s="638">
        <f>Data2025!D916</f>
        <v>0</v>
      </c>
      <c r="D917" s="639">
        <f>Data2025!C916</f>
        <v>0</v>
      </c>
      <c r="E917" s="265">
        <f>Data2025!E916</f>
        <v>0</v>
      </c>
      <c r="F917" s="640">
        <f>Data2025!F916</f>
        <v>0</v>
      </c>
      <c r="G917" s="265">
        <f>Data2025!H916</f>
        <v>0</v>
      </c>
      <c r="H917" s="265">
        <f t="shared" si="46"/>
        <v>0</v>
      </c>
      <c r="I917" s="641">
        <f>Data2025!J916</f>
        <v>0</v>
      </c>
      <c r="J917" s="381">
        <f>Data2025!L916</f>
        <v>0</v>
      </c>
      <c r="K917" s="381">
        <f>Data2025!M916</f>
        <v>0</v>
      </c>
      <c r="L917" s="642">
        <f>Data2025!N916</f>
        <v>0</v>
      </c>
      <c r="M917" s="642">
        <f>Data2025!O916</f>
        <v>0</v>
      </c>
      <c r="N917" s="643">
        <f>Data2025!P916</f>
        <v>0</v>
      </c>
      <c r="O917" s="644">
        <f>Data2025!Q916</f>
        <v>0</v>
      </c>
      <c r="P917" s="645" t="s">
        <v>2699</v>
      </c>
      <c r="Q917" s="646" t="e">
        <f>VLOOKUP(K917,Sheet1!$C$1:$D$101,2,)</f>
        <v>#N/A</v>
      </c>
      <c r="R917" s="496">
        <v>2000000</v>
      </c>
      <c r="S917" s="504">
        <v>2002000</v>
      </c>
      <c r="T917" s="648">
        <f>Data2025!T916</f>
        <v>0</v>
      </c>
      <c r="U917" s="497" t="s">
        <v>2531</v>
      </c>
      <c r="V917" s="648">
        <f>Data2025!V916</f>
        <v>0</v>
      </c>
      <c r="W917" s="648">
        <f>Data2025!X916</f>
        <v>0</v>
      </c>
      <c r="Y917" s="268" t="str">
        <f t="shared" si="47"/>
        <v>Jasa Tenaga TU</v>
      </c>
      <c r="Z917" s="649" t="str">
        <f t="shared" si="48"/>
        <v>Jasa Tenaga TU</v>
      </c>
      <c r="AA917" s="498" t="s">
        <v>3373</v>
      </c>
      <c r="AB917" s="499">
        <v>2000000</v>
      </c>
      <c r="AC917" s="499">
        <v>2000000</v>
      </c>
      <c r="AD917" s="496">
        <v>2000000</v>
      </c>
      <c r="AE917" s="500">
        <v>1801801.8018018019</v>
      </c>
      <c r="AF917" s="500">
        <v>2000000</v>
      </c>
      <c r="AG917" s="805" t="s">
        <v>3883</v>
      </c>
      <c r="AH917" s="651">
        <f>Data2025!W916</f>
        <v>0</v>
      </c>
      <c r="AI917" s="61">
        <v>291</v>
      </c>
    </row>
    <row r="918" spans="1:35" ht="16.5" thickTop="1" thickBot="1">
      <c r="A918" s="636">
        <f>Data2025!G917</f>
        <v>0</v>
      </c>
      <c r="B918" s="637">
        <f>Data2025!K917</f>
        <v>0</v>
      </c>
      <c r="C918" s="638">
        <f>Data2025!D917</f>
        <v>0</v>
      </c>
      <c r="D918" s="639">
        <f>Data2025!C917</f>
        <v>0</v>
      </c>
      <c r="E918" s="265">
        <f>Data2025!E917</f>
        <v>0</v>
      </c>
      <c r="F918" s="640">
        <f>Data2025!F917</f>
        <v>0</v>
      </c>
      <c r="G918" s="265">
        <f>Data2025!H917</f>
        <v>0</v>
      </c>
      <c r="H918" s="265">
        <f t="shared" si="46"/>
        <v>0</v>
      </c>
      <c r="I918" s="641">
        <f>Data2025!J917</f>
        <v>0</v>
      </c>
      <c r="J918" s="381">
        <f>Data2025!L917</f>
        <v>0</v>
      </c>
      <c r="K918" s="381">
        <f>Data2025!M917</f>
        <v>0</v>
      </c>
      <c r="L918" s="642">
        <f>Data2025!N917</f>
        <v>0</v>
      </c>
      <c r="M918" s="642">
        <f>Data2025!O917</f>
        <v>0</v>
      </c>
      <c r="N918" s="643">
        <f>Data2025!P917</f>
        <v>0</v>
      </c>
      <c r="O918" s="644">
        <f>Data2025!Q917</f>
        <v>0</v>
      </c>
      <c r="P918" s="645" t="s">
        <v>2699</v>
      </c>
      <c r="Q918" s="646" t="e">
        <f>VLOOKUP(K918,Sheet1!$C$1:$D$101,2,)</f>
        <v>#N/A</v>
      </c>
      <c r="R918" s="496">
        <v>2000000</v>
      </c>
      <c r="S918" s="504">
        <v>2002000</v>
      </c>
      <c r="T918" s="648">
        <f>Data2025!T917</f>
        <v>0</v>
      </c>
      <c r="U918" s="497" t="s">
        <v>2531</v>
      </c>
      <c r="V918" s="648">
        <f>Data2025!V917</f>
        <v>0</v>
      </c>
      <c r="W918" s="648">
        <f>Data2025!X917</f>
        <v>0</v>
      </c>
      <c r="Y918" s="268" t="str">
        <f t="shared" si="47"/>
        <v>Jasa Tenaga TU</v>
      </c>
      <c r="Z918" s="649" t="str">
        <f t="shared" si="48"/>
        <v>Jasa Tenaga TU</v>
      </c>
      <c r="AA918" s="498" t="s">
        <v>3373</v>
      </c>
      <c r="AB918" s="499">
        <v>2000000</v>
      </c>
      <c r="AC918" s="499">
        <v>2000000</v>
      </c>
      <c r="AD918" s="496">
        <v>2000000</v>
      </c>
      <c r="AE918" s="500">
        <v>1801801.8018018019</v>
      </c>
      <c r="AF918" s="500">
        <v>2000000</v>
      </c>
      <c r="AG918" s="805" t="s">
        <v>3883</v>
      </c>
      <c r="AH918" s="651">
        <f>Data2025!W917</f>
        <v>0</v>
      </c>
      <c r="AI918" s="61">
        <v>292</v>
      </c>
    </row>
    <row r="919" spans="1:35" ht="16.5" thickTop="1" thickBot="1">
      <c r="A919" s="636">
        <f>Data2025!G918</f>
        <v>0</v>
      </c>
      <c r="B919" s="637">
        <f>Data2025!K918</f>
        <v>0</v>
      </c>
      <c r="C919" s="638">
        <f>Data2025!D918</f>
        <v>0</v>
      </c>
      <c r="D919" s="639">
        <f>Data2025!C918</f>
        <v>0</v>
      </c>
      <c r="E919" s="265">
        <f>Data2025!E918</f>
        <v>0</v>
      </c>
      <c r="F919" s="640">
        <f>Data2025!F918</f>
        <v>0</v>
      </c>
      <c r="G919" s="265">
        <f>Data2025!H918</f>
        <v>0</v>
      </c>
      <c r="H919" s="265">
        <f t="shared" si="46"/>
        <v>0</v>
      </c>
      <c r="I919" s="641">
        <f>Data2025!J918</f>
        <v>0</v>
      </c>
      <c r="J919" s="381">
        <f>Data2025!L918</f>
        <v>0</v>
      </c>
      <c r="K919" s="381">
        <f>Data2025!M918</f>
        <v>0</v>
      </c>
      <c r="L919" s="642">
        <f>Data2025!N918</f>
        <v>0</v>
      </c>
      <c r="M919" s="642">
        <f>Data2025!O918</f>
        <v>0</v>
      </c>
      <c r="N919" s="643">
        <f>Data2025!P918</f>
        <v>0</v>
      </c>
      <c r="O919" s="644">
        <f>Data2025!Q918</f>
        <v>0</v>
      </c>
      <c r="P919" s="645" t="s">
        <v>2699</v>
      </c>
      <c r="Q919" s="646" t="e">
        <f>VLOOKUP(K919,Sheet1!$C$1:$D$101,2,)</f>
        <v>#N/A</v>
      </c>
      <c r="R919" s="496">
        <v>2000000</v>
      </c>
      <c r="S919" s="504">
        <v>2002000</v>
      </c>
      <c r="T919" s="648">
        <f>Data2025!T918</f>
        <v>0</v>
      </c>
      <c r="U919" s="497" t="s">
        <v>2531</v>
      </c>
      <c r="V919" s="648">
        <f>Data2025!V918</f>
        <v>0</v>
      </c>
      <c r="W919" s="648">
        <f>Data2025!X918</f>
        <v>0</v>
      </c>
      <c r="Y919" s="268" t="str">
        <f t="shared" si="47"/>
        <v>Jasa Tenaga TU</v>
      </c>
      <c r="Z919" s="649" t="str">
        <f t="shared" si="48"/>
        <v>Jasa Tenaga TU</v>
      </c>
      <c r="AA919" s="498" t="s">
        <v>3373</v>
      </c>
      <c r="AB919" s="499">
        <v>2000000</v>
      </c>
      <c r="AC919" s="499">
        <v>2000000</v>
      </c>
      <c r="AD919" s="496">
        <v>2000000</v>
      </c>
      <c r="AE919" s="500">
        <v>1801801.8018018019</v>
      </c>
      <c r="AF919" s="500">
        <v>2000000</v>
      </c>
      <c r="AG919" s="805" t="s">
        <v>3883</v>
      </c>
      <c r="AH919" s="651">
        <f>Data2025!W918</f>
        <v>0</v>
      </c>
      <c r="AI919" s="61">
        <v>293</v>
      </c>
    </row>
    <row r="920" spans="1:35" ht="16.5" thickTop="1" thickBot="1">
      <c r="A920" s="636">
        <f>Data2025!G919</f>
        <v>0</v>
      </c>
      <c r="B920" s="637">
        <f>Data2025!K919</f>
        <v>0</v>
      </c>
      <c r="C920" s="638">
        <f>Data2025!D919</f>
        <v>0</v>
      </c>
      <c r="D920" s="639">
        <f>Data2025!C919</f>
        <v>0</v>
      </c>
      <c r="E920" s="265">
        <f>Data2025!E919</f>
        <v>0</v>
      </c>
      <c r="F920" s="640">
        <f>Data2025!F919</f>
        <v>0</v>
      </c>
      <c r="G920" s="265">
        <f>Data2025!H919</f>
        <v>0</v>
      </c>
      <c r="H920" s="265">
        <f t="shared" si="46"/>
        <v>0</v>
      </c>
      <c r="I920" s="641">
        <f>Data2025!J919</f>
        <v>0</v>
      </c>
      <c r="J920" s="381">
        <f>Data2025!L919</f>
        <v>0</v>
      </c>
      <c r="K920" s="381">
        <f>Data2025!M919</f>
        <v>0</v>
      </c>
      <c r="L920" s="642">
        <f>Data2025!N919</f>
        <v>0</v>
      </c>
      <c r="M920" s="642">
        <f>Data2025!O919</f>
        <v>0</v>
      </c>
      <c r="N920" s="643">
        <f>Data2025!P919</f>
        <v>0</v>
      </c>
      <c r="O920" s="644">
        <f>Data2025!Q919</f>
        <v>0</v>
      </c>
      <c r="P920" s="645" t="s">
        <v>2699</v>
      </c>
      <c r="Q920" s="646" t="e">
        <f>VLOOKUP(K920,Sheet1!$C$1:$D$101,2,)</f>
        <v>#N/A</v>
      </c>
      <c r="R920" s="496">
        <v>2000000</v>
      </c>
      <c r="S920" s="504">
        <v>2002000</v>
      </c>
      <c r="T920" s="648">
        <f>Data2025!T919</f>
        <v>0</v>
      </c>
      <c r="U920" s="497" t="s">
        <v>2531</v>
      </c>
      <c r="V920" s="648">
        <f>Data2025!V919</f>
        <v>0</v>
      </c>
      <c r="W920" s="648">
        <f>Data2025!X919</f>
        <v>0</v>
      </c>
      <c r="Y920" s="268" t="str">
        <f t="shared" si="47"/>
        <v>Jasa Tenaga TU</v>
      </c>
      <c r="Z920" s="649" t="str">
        <f t="shared" si="48"/>
        <v>Jasa Tenaga TU</v>
      </c>
      <c r="AA920" s="498" t="s">
        <v>3373</v>
      </c>
      <c r="AB920" s="499">
        <v>2000000</v>
      </c>
      <c r="AC920" s="499">
        <v>2000000</v>
      </c>
      <c r="AD920" s="496">
        <v>2000000</v>
      </c>
      <c r="AE920" s="500">
        <v>1801801.8018018019</v>
      </c>
      <c r="AF920" s="500">
        <v>2000000</v>
      </c>
      <c r="AG920" s="805" t="s">
        <v>3883</v>
      </c>
      <c r="AH920" s="651">
        <f>Data2025!W919</f>
        <v>0</v>
      </c>
      <c r="AI920" s="61">
        <v>294</v>
      </c>
    </row>
    <row r="921" spans="1:35" ht="16.5" thickTop="1" thickBot="1">
      <c r="A921" s="636">
        <f>Data2025!G920</f>
        <v>0</v>
      </c>
      <c r="B921" s="637">
        <f>Data2025!K920</f>
        <v>0</v>
      </c>
      <c r="C921" s="638">
        <f>Data2025!D920</f>
        <v>0</v>
      </c>
      <c r="D921" s="639">
        <f>Data2025!C920</f>
        <v>0</v>
      </c>
      <c r="E921" s="265">
        <f>Data2025!E920</f>
        <v>0</v>
      </c>
      <c r="F921" s="640">
        <f>Data2025!F920</f>
        <v>0</v>
      </c>
      <c r="G921" s="265">
        <f>Data2025!H920</f>
        <v>0</v>
      </c>
      <c r="H921" s="265">
        <f t="shared" si="46"/>
        <v>0</v>
      </c>
      <c r="I921" s="641">
        <f>Data2025!J920</f>
        <v>0</v>
      </c>
      <c r="J921" s="381">
        <f>Data2025!L920</f>
        <v>0</v>
      </c>
      <c r="K921" s="381">
        <f>Data2025!M920</f>
        <v>0</v>
      </c>
      <c r="L921" s="642">
        <f>Data2025!N920</f>
        <v>0</v>
      </c>
      <c r="M921" s="642">
        <f>Data2025!O920</f>
        <v>0</v>
      </c>
      <c r="N921" s="643">
        <f>Data2025!P920</f>
        <v>0</v>
      </c>
      <c r="O921" s="644">
        <f>Data2025!Q920</f>
        <v>0</v>
      </c>
      <c r="P921" s="645" t="s">
        <v>2699</v>
      </c>
      <c r="Q921" s="646" t="e">
        <f>VLOOKUP(K921,Sheet1!$C$1:$D$101,2,)</f>
        <v>#N/A</v>
      </c>
      <c r="R921" s="496">
        <v>2000000</v>
      </c>
      <c r="S921" s="504">
        <v>2002000</v>
      </c>
      <c r="T921" s="648">
        <f>Data2025!T920</f>
        <v>0</v>
      </c>
      <c r="U921" s="497" t="s">
        <v>2531</v>
      </c>
      <c r="V921" s="648">
        <f>Data2025!V920</f>
        <v>0</v>
      </c>
      <c r="W921" s="648">
        <f>Data2025!X920</f>
        <v>0</v>
      </c>
      <c r="Y921" s="268" t="str">
        <f t="shared" si="47"/>
        <v>Jasa Tenaga TU</v>
      </c>
      <c r="Z921" s="649" t="str">
        <f t="shared" si="48"/>
        <v>Jasa Tenaga TU</v>
      </c>
      <c r="AA921" s="498" t="s">
        <v>3373</v>
      </c>
      <c r="AB921" s="499">
        <v>2000000</v>
      </c>
      <c r="AC921" s="499">
        <v>2000000</v>
      </c>
      <c r="AD921" s="496">
        <v>2000000</v>
      </c>
      <c r="AE921" s="500">
        <v>1801801.8018018019</v>
      </c>
      <c r="AF921" s="500">
        <v>2000000</v>
      </c>
      <c r="AG921" s="805" t="s">
        <v>3883</v>
      </c>
      <c r="AH921" s="651">
        <f>Data2025!W920</f>
        <v>0</v>
      </c>
      <c r="AI921" s="61">
        <v>295</v>
      </c>
    </row>
    <row r="922" spans="1:35" ht="16.5" thickTop="1" thickBot="1">
      <c r="A922" s="636">
        <f>Data2025!G921</f>
        <v>0</v>
      </c>
      <c r="B922" s="637">
        <f>Data2025!K921</f>
        <v>0</v>
      </c>
      <c r="C922" s="638">
        <f>Data2025!D921</f>
        <v>0</v>
      </c>
      <c r="D922" s="639">
        <f>Data2025!C921</f>
        <v>0</v>
      </c>
      <c r="E922" s="265">
        <f>Data2025!E921</f>
        <v>0</v>
      </c>
      <c r="F922" s="640">
        <f>Data2025!F921</f>
        <v>0</v>
      </c>
      <c r="G922" s="265">
        <f>Data2025!H921</f>
        <v>0</v>
      </c>
      <c r="H922" s="265">
        <f t="shared" si="46"/>
        <v>0</v>
      </c>
      <c r="I922" s="641">
        <f>Data2025!J921</f>
        <v>0</v>
      </c>
      <c r="J922" s="381">
        <f>Data2025!L921</f>
        <v>0</v>
      </c>
      <c r="K922" s="381">
        <f>Data2025!M921</f>
        <v>0</v>
      </c>
      <c r="L922" s="642">
        <f>Data2025!N921</f>
        <v>0</v>
      </c>
      <c r="M922" s="642">
        <f>Data2025!O921</f>
        <v>0</v>
      </c>
      <c r="N922" s="643">
        <f>Data2025!P921</f>
        <v>0</v>
      </c>
      <c r="O922" s="644">
        <f>Data2025!Q921</f>
        <v>0</v>
      </c>
      <c r="P922" s="645" t="s">
        <v>2699</v>
      </c>
      <c r="Q922" s="646" t="e">
        <f>VLOOKUP(K922,Sheet1!$C$1:$D$101,2,)</f>
        <v>#N/A</v>
      </c>
      <c r="R922" s="496">
        <v>2000000</v>
      </c>
      <c r="S922" s="504">
        <v>2002000</v>
      </c>
      <c r="T922" s="648">
        <f>Data2025!T921</f>
        <v>0</v>
      </c>
      <c r="U922" s="497" t="s">
        <v>2531</v>
      </c>
      <c r="V922" s="648">
        <f>Data2025!V921</f>
        <v>0</v>
      </c>
      <c r="W922" s="648">
        <f>Data2025!X921</f>
        <v>0</v>
      </c>
      <c r="Y922" s="268" t="str">
        <f t="shared" si="47"/>
        <v>Jasa Tenaga TU</v>
      </c>
      <c r="Z922" s="649" t="str">
        <f t="shared" si="48"/>
        <v>Jasa Tenaga TU</v>
      </c>
      <c r="AA922" s="498" t="s">
        <v>3373</v>
      </c>
      <c r="AB922" s="499">
        <v>2000000</v>
      </c>
      <c r="AC922" s="499">
        <v>2000000</v>
      </c>
      <c r="AD922" s="496">
        <v>2000000</v>
      </c>
      <c r="AE922" s="500">
        <v>1801801.8018018019</v>
      </c>
      <c r="AF922" s="500">
        <v>2000000</v>
      </c>
      <c r="AG922" s="805" t="s">
        <v>3883</v>
      </c>
      <c r="AH922" s="651">
        <f>Data2025!W921</f>
        <v>0</v>
      </c>
      <c r="AI922" s="61">
        <v>296</v>
      </c>
    </row>
    <row r="923" spans="1:35" ht="16.5" thickTop="1" thickBot="1">
      <c r="A923" s="636">
        <f>Data2025!G922</f>
        <v>0</v>
      </c>
      <c r="B923" s="637">
        <f>Data2025!K922</f>
        <v>0</v>
      </c>
      <c r="C923" s="638">
        <f>Data2025!D922</f>
        <v>0</v>
      </c>
      <c r="D923" s="639">
        <f>Data2025!C922</f>
        <v>0</v>
      </c>
      <c r="E923" s="265">
        <f>Data2025!E922</f>
        <v>0</v>
      </c>
      <c r="F923" s="640">
        <f>Data2025!F922</f>
        <v>0</v>
      </c>
      <c r="G923" s="265">
        <f>Data2025!H922</f>
        <v>0</v>
      </c>
      <c r="H923" s="265">
        <f t="shared" si="46"/>
        <v>0</v>
      </c>
      <c r="I923" s="641">
        <f>Data2025!J922</f>
        <v>0</v>
      </c>
      <c r="J923" s="381">
        <f>Data2025!L922</f>
        <v>0</v>
      </c>
      <c r="K923" s="381">
        <f>Data2025!M922</f>
        <v>0</v>
      </c>
      <c r="L923" s="642">
        <f>Data2025!N922</f>
        <v>0</v>
      </c>
      <c r="M923" s="642">
        <f>Data2025!O922</f>
        <v>0</v>
      </c>
      <c r="N923" s="643">
        <f>Data2025!P922</f>
        <v>0</v>
      </c>
      <c r="O923" s="644">
        <f>Data2025!Q922</f>
        <v>0</v>
      </c>
      <c r="P923" s="645" t="s">
        <v>2699</v>
      </c>
      <c r="Q923" s="646" t="e">
        <f>VLOOKUP(K923,Sheet1!$C$1:$D$101,2,)</f>
        <v>#N/A</v>
      </c>
      <c r="R923" s="496">
        <v>2000000</v>
      </c>
      <c r="S923" s="504">
        <v>2002000</v>
      </c>
      <c r="T923" s="648">
        <f>Data2025!T922</f>
        <v>0</v>
      </c>
      <c r="U923" s="497" t="s">
        <v>2531</v>
      </c>
      <c r="V923" s="648">
        <f>Data2025!V922</f>
        <v>0</v>
      </c>
      <c r="W923" s="648">
        <f>Data2025!X922</f>
        <v>0</v>
      </c>
      <c r="Y923" s="268" t="str">
        <f t="shared" si="47"/>
        <v>Jasa Tenaga TU</v>
      </c>
      <c r="Z923" s="649" t="str">
        <f t="shared" si="48"/>
        <v>Jasa Tenaga TU</v>
      </c>
      <c r="AA923" s="498" t="s">
        <v>3373</v>
      </c>
      <c r="AB923" s="499">
        <v>2000000</v>
      </c>
      <c r="AC923" s="499">
        <v>2000000</v>
      </c>
      <c r="AD923" s="496">
        <v>2000000</v>
      </c>
      <c r="AE923" s="500">
        <v>1801801.8018018019</v>
      </c>
      <c r="AF923" s="500">
        <v>2000000</v>
      </c>
      <c r="AG923" s="805" t="s">
        <v>3883</v>
      </c>
      <c r="AH923" s="651">
        <f>Data2025!W922</f>
        <v>0</v>
      </c>
      <c r="AI923" s="61">
        <v>297</v>
      </c>
    </row>
    <row r="924" spans="1:35" ht="16.5" thickTop="1" thickBot="1">
      <c r="A924" s="636">
        <f>Data2025!G923</f>
        <v>0</v>
      </c>
      <c r="B924" s="637">
        <f>Data2025!K923</f>
        <v>0</v>
      </c>
      <c r="C924" s="638">
        <f>Data2025!D923</f>
        <v>0</v>
      </c>
      <c r="D924" s="639">
        <f>Data2025!C923</f>
        <v>0</v>
      </c>
      <c r="E924" s="265">
        <f>Data2025!E923</f>
        <v>0</v>
      </c>
      <c r="F924" s="640">
        <f>Data2025!F923</f>
        <v>0</v>
      </c>
      <c r="G924" s="265">
        <f>Data2025!H923</f>
        <v>0</v>
      </c>
      <c r="H924" s="265">
        <f t="shared" si="46"/>
        <v>0</v>
      </c>
      <c r="I924" s="641">
        <f>Data2025!J923</f>
        <v>0</v>
      </c>
      <c r="J924" s="381">
        <f>Data2025!L923</f>
        <v>0</v>
      </c>
      <c r="K924" s="381">
        <f>Data2025!M923</f>
        <v>0</v>
      </c>
      <c r="L924" s="642">
        <f>Data2025!N923</f>
        <v>0</v>
      </c>
      <c r="M924" s="642">
        <f>Data2025!O923</f>
        <v>0</v>
      </c>
      <c r="N924" s="643">
        <f>Data2025!P923</f>
        <v>0</v>
      </c>
      <c r="O924" s="644">
        <f>Data2025!Q923</f>
        <v>0</v>
      </c>
      <c r="P924" s="645" t="s">
        <v>2672</v>
      </c>
      <c r="Q924" s="646" t="e">
        <f>VLOOKUP(K924,Sheet1!$C$1:$D$101,2,)</f>
        <v>#N/A</v>
      </c>
      <c r="R924" s="267">
        <v>1000000</v>
      </c>
      <c r="S924" s="647">
        <v>1002000</v>
      </c>
      <c r="T924" s="648">
        <f>Data2025!T923</f>
        <v>0</v>
      </c>
      <c r="U924" s="268" t="s">
        <v>2531</v>
      </c>
      <c r="V924" s="648">
        <f>Data2025!V923</f>
        <v>0</v>
      </c>
      <c r="W924" s="648">
        <f>Data2025!X923</f>
        <v>0</v>
      </c>
      <c r="Y924" s="268" t="str">
        <f t="shared" si="47"/>
        <v>Jasa Tenaga Operator</v>
      </c>
      <c r="Z924" s="649" t="str">
        <f t="shared" si="48"/>
        <v>Jasa Tenaga Operator</v>
      </c>
      <c r="AA924" s="650" t="s">
        <v>3373</v>
      </c>
      <c r="AB924" s="269">
        <v>1000000</v>
      </c>
      <c r="AC924" s="269">
        <v>1000000</v>
      </c>
      <c r="AD924" s="267">
        <v>1000000</v>
      </c>
      <c r="AE924" s="270">
        <v>900900.90090090095</v>
      </c>
      <c r="AF924" s="270">
        <v>1000000</v>
      </c>
      <c r="AG924" s="805" t="s">
        <v>3883</v>
      </c>
      <c r="AH924" s="651">
        <f>Data2025!W923</f>
        <v>0</v>
      </c>
      <c r="AI924" s="61">
        <v>298</v>
      </c>
    </row>
    <row r="925" spans="1:35" ht="16.5" thickTop="1" thickBot="1">
      <c r="A925" s="636">
        <f>Data2025!G924</f>
        <v>0</v>
      </c>
      <c r="B925" s="637">
        <f>Data2025!K924</f>
        <v>0</v>
      </c>
      <c r="C925" s="638">
        <f>Data2025!D924</f>
        <v>0</v>
      </c>
      <c r="D925" s="639">
        <f>Data2025!C924</f>
        <v>0</v>
      </c>
      <c r="E925" s="265">
        <f>Data2025!E924</f>
        <v>0</v>
      </c>
      <c r="F925" s="640">
        <f>Data2025!F924</f>
        <v>0</v>
      </c>
      <c r="G925" s="265">
        <f>Data2025!H924</f>
        <v>0</v>
      </c>
      <c r="H925" s="265">
        <f t="shared" si="46"/>
        <v>0</v>
      </c>
      <c r="I925" s="641">
        <f>Data2025!J924</f>
        <v>0</v>
      </c>
      <c r="J925" s="381">
        <f>Data2025!L924</f>
        <v>0</v>
      </c>
      <c r="K925" s="381">
        <f>Data2025!M924</f>
        <v>0</v>
      </c>
      <c r="L925" s="642">
        <f>Data2025!N924</f>
        <v>0</v>
      </c>
      <c r="M925" s="642">
        <f>Data2025!O924</f>
        <v>0</v>
      </c>
      <c r="N925" s="643">
        <f>Data2025!P924</f>
        <v>0</v>
      </c>
      <c r="O925" s="644">
        <f>Data2025!Q924</f>
        <v>0</v>
      </c>
      <c r="P925" s="645" t="s">
        <v>2713</v>
      </c>
      <c r="Q925" s="646" t="e">
        <f>VLOOKUP(K925,Sheet1!$C$1:$D$101,2,)</f>
        <v>#N/A</v>
      </c>
      <c r="R925" s="496">
        <v>1000000</v>
      </c>
      <c r="S925" s="504">
        <v>1002000</v>
      </c>
      <c r="T925" s="648">
        <f>Data2025!T924</f>
        <v>0</v>
      </c>
      <c r="U925" s="497" t="s">
        <v>2531</v>
      </c>
      <c r="V925" s="648">
        <f>Data2025!V924</f>
        <v>0</v>
      </c>
      <c r="W925" s="648">
        <f>Data2025!X924</f>
        <v>0</v>
      </c>
      <c r="Y925" s="268" t="str">
        <f t="shared" si="47"/>
        <v>Jasa Tenaga Kebersihan</v>
      </c>
      <c r="Z925" s="649" t="str">
        <f t="shared" si="48"/>
        <v>Jasa Tenaga Kebersihan</v>
      </c>
      <c r="AA925" s="498" t="s">
        <v>3373</v>
      </c>
      <c r="AB925" s="499">
        <v>1000000</v>
      </c>
      <c r="AC925" s="499">
        <v>1000000</v>
      </c>
      <c r="AD925" s="496">
        <v>1000000</v>
      </c>
      <c r="AE925" s="500">
        <v>900900.90090090095</v>
      </c>
      <c r="AF925" s="500">
        <v>1000000</v>
      </c>
      <c r="AG925" s="805" t="s">
        <v>3883</v>
      </c>
      <c r="AH925" s="651">
        <f>Data2025!W924</f>
        <v>0</v>
      </c>
      <c r="AI925" s="61">
        <v>299</v>
      </c>
    </row>
    <row r="926" spans="1:35" ht="16.5" thickTop="1" thickBot="1">
      <c r="A926" s="636">
        <f>Data2025!G925</f>
        <v>0</v>
      </c>
      <c r="B926" s="637">
        <f>Data2025!K925</f>
        <v>0</v>
      </c>
      <c r="C926" s="638">
        <f>Data2025!D925</f>
        <v>0</v>
      </c>
      <c r="D926" s="639">
        <f>Data2025!C925</f>
        <v>0</v>
      </c>
      <c r="E926" s="265">
        <f>Data2025!E925</f>
        <v>0</v>
      </c>
      <c r="F926" s="640">
        <f>Data2025!F925</f>
        <v>0</v>
      </c>
      <c r="G926" s="265">
        <f>Data2025!H925</f>
        <v>0</v>
      </c>
      <c r="H926" s="265">
        <f t="shared" si="46"/>
        <v>0</v>
      </c>
      <c r="I926" s="641">
        <f>Data2025!J925</f>
        <v>0</v>
      </c>
      <c r="J926" s="381">
        <f>Data2025!L925</f>
        <v>0</v>
      </c>
      <c r="K926" s="381">
        <f>Data2025!M925</f>
        <v>0</v>
      </c>
      <c r="L926" s="642">
        <f>Data2025!N925</f>
        <v>0</v>
      </c>
      <c r="M926" s="642">
        <f>Data2025!O925</f>
        <v>0</v>
      </c>
      <c r="N926" s="643">
        <f>Data2025!P925</f>
        <v>0</v>
      </c>
      <c r="O926" s="644">
        <f>Data2025!Q925</f>
        <v>0</v>
      </c>
      <c r="P926" s="645" t="s">
        <v>2713</v>
      </c>
      <c r="Q926" s="646" t="e">
        <f>VLOOKUP(K926,Sheet1!$C$1:$D$101,2,)</f>
        <v>#N/A</v>
      </c>
      <c r="R926" s="496">
        <v>1000000</v>
      </c>
      <c r="S926" s="504">
        <v>1002000</v>
      </c>
      <c r="T926" s="648">
        <f>Data2025!T925</f>
        <v>0</v>
      </c>
      <c r="U926" s="497" t="s">
        <v>2531</v>
      </c>
      <c r="V926" s="648">
        <f>Data2025!V925</f>
        <v>0</v>
      </c>
      <c r="W926" s="648">
        <f>Data2025!X925</f>
        <v>0</v>
      </c>
      <c r="Y926" s="268" t="str">
        <f t="shared" si="47"/>
        <v>Jasa Tenaga Kebersihan</v>
      </c>
      <c r="Z926" s="649" t="str">
        <f t="shared" si="48"/>
        <v>Jasa Tenaga Kebersihan</v>
      </c>
      <c r="AA926" s="498" t="s">
        <v>3373</v>
      </c>
      <c r="AB926" s="499">
        <v>1000000</v>
      </c>
      <c r="AC926" s="499">
        <v>1000000</v>
      </c>
      <c r="AD926" s="496">
        <v>1000000</v>
      </c>
      <c r="AE926" s="500">
        <v>900900.90090090095</v>
      </c>
      <c r="AF926" s="500">
        <v>1000000</v>
      </c>
      <c r="AG926" s="805" t="s">
        <v>3883</v>
      </c>
      <c r="AH926" s="651">
        <f>Data2025!W925</f>
        <v>0</v>
      </c>
      <c r="AI926" s="61">
        <v>300</v>
      </c>
    </row>
    <row r="927" spans="1:35" ht="16.5" thickTop="1" thickBot="1">
      <c r="A927" s="636">
        <f>Data2025!G926</f>
        <v>0</v>
      </c>
      <c r="B927" s="637">
        <f>Data2025!K926</f>
        <v>0</v>
      </c>
      <c r="C927" s="638">
        <f>Data2025!D926</f>
        <v>0</v>
      </c>
      <c r="D927" s="639">
        <f>Data2025!C926</f>
        <v>0</v>
      </c>
      <c r="E927" s="265">
        <f>Data2025!E926</f>
        <v>0</v>
      </c>
      <c r="F927" s="640">
        <f>Data2025!F926</f>
        <v>0</v>
      </c>
      <c r="G927" s="265">
        <f>Data2025!H926</f>
        <v>0</v>
      </c>
      <c r="H927" s="265">
        <f t="shared" si="46"/>
        <v>0</v>
      </c>
      <c r="I927" s="641">
        <f>Data2025!J926</f>
        <v>0</v>
      </c>
      <c r="J927" s="381">
        <f>Data2025!L926</f>
        <v>0</v>
      </c>
      <c r="K927" s="381">
        <f>Data2025!M926</f>
        <v>0</v>
      </c>
      <c r="L927" s="642">
        <f>Data2025!N926</f>
        <v>0</v>
      </c>
      <c r="M927" s="642">
        <f>Data2025!O926</f>
        <v>0</v>
      </c>
      <c r="N927" s="643">
        <f>Data2025!P926</f>
        <v>0</v>
      </c>
      <c r="O927" s="644">
        <f>Data2025!Q926</f>
        <v>0</v>
      </c>
      <c r="P927" s="645" t="s">
        <v>2713</v>
      </c>
      <c r="Q927" s="646" t="e">
        <f>VLOOKUP(K927,Sheet1!$C$1:$D$101,2,)</f>
        <v>#N/A</v>
      </c>
      <c r="R927" s="496">
        <v>1000000</v>
      </c>
      <c r="S927" s="504">
        <v>1002000</v>
      </c>
      <c r="T927" s="648">
        <f>Data2025!T926</f>
        <v>0</v>
      </c>
      <c r="U927" s="497" t="s">
        <v>2531</v>
      </c>
      <c r="V927" s="648">
        <f>Data2025!V926</f>
        <v>0</v>
      </c>
      <c r="W927" s="648">
        <f>Data2025!X926</f>
        <v>0</v>
      </c>
      <c r="Y927" s="268" t="str">
        <f t="shared" si="47"/>
        <v>Jasa Tenaga Kebersihan</v>
      </c>
      <c r="Z927" s="649" t="str">
        <f t="shared" si="48"/>
        <v>Jasa Tenaga Kebersihan</v>
      </c>
      <c r="AA927" s="498" t="s">
        <v>3373</v>
      </c>
      <c r="AB927" s="499">
        <v>1000000</v>
      </c>
      <c r="AC927" s="499">
        <v>1000000</v>
      </c>
      <c r="AD927" s="496">
        <v>1000000</v>
      </c>
      <c r="AE927" s="500">
        <v>900900.90090090095</v>
      </c>
      <c r="AF927" s="500">
        <v>1000000</v>
      </c>
      <c r="AG927" s="805" t="s">
        <v>3883</v>
      </c>
      <c r="AH927" s="651">
        <f>Data2025!W926</f>
        <v>0</v>
      </c>
      <c r="AI927" s="61">
        <v>301</v>
      </c>
    </row>
    <row r="928" spans="1:35" ht="16.5" thickTop="1" thickBot="1">
      <c r="A928" s="636">
        <f>Data2025!G927</f>
        <v>0</v>
      </c>
      <c r="B928" s="637">
        <f>Data2025!K927</f>
        <v>0</v>
      </c>
      <c r="C928" s="638">
        <f>Data2025!D927</f>
        <v>0</v>
      </c>
      <c r="D928" s="639">
        <f>Data2025!C927</f>
        <v>0</v>
      </c>
      <c r="E928" s="265">
        <f>Data2025!E927</f>
        <v>0</v>
      </c>
      <c r="F928" s="640">
        <f>Data2025!F927</f>
        <v>0</v>
      </c>
      <c r="G928" s="265">
        <f>Data2025!H927</f>
        <v>0</v>
      </c>
      <c r="H928" s="265">
        <f t="shared" si="46"/>
        <v>0</v>
      </c>
      <c r="I928" s="641">
        <f>Data2025!J927</f>
        <v>0</v>
      </c>
      <c r="J928" s="381">
        <f>Data2025!L927</f>
        <v>0</v>
      </c>
      <c r="K928" s="381">
        <f>Data2025!M927</f>
        <v>0</v>
      </c>
      <c r="L928" s="642">
        <f>Data2025!N927</f>
        <v>0</v>
      </c>
      <c r="M928" s="642">
        <f>Data2025!O927</f>
        <v>0</v>
      </c>
      <c r="N928" s="643">
        <f>Data2025!P927</f>
        <v>0</v>
      </c>
      <c r="O928" s="644">
        <f>Data2025!Q927</f>
        <v>0</v>
      </c>
      <c r="P928" s="645" t="s">
        <v>2664</v>
      </c>
      <c r="Q928" s="646" t="e">
        <f>VLOOKUP(K928,Sheet1!$C$1:$D$101,2,)</f>
        <v>#N/A</v>
      </c>
      <c r="R928" s="267">
        <v>2000000</v>
      </c>
      <c r="S928" s="647">
        <v>2002000</v>
      </c>
      <c r="T928" s="648">
        <f>Data2025!T927</f>
        <v>0</v>
      </c>
      <c r="U928" s="268" t="s">
        <v>2531</v>
      </c>
      <c r="V928" s="648">
        <f>Data2025!V927</f>
        <v>0</v>
      </c>
      <c r="W928" s="648">
        <f>Data2025!X927</f>
        <v>0</v>
      </c>
      <c r="Y928" s="268" t="str">
        <f t="shared" si="47"/>
        <v>Jasa PLN</v>
      </c>
      <c r="Z928" s="649" t="str">
        <f t="shared" si="48"/>
        <v>Jasa PLN</v>
      </c>
      <c r="AA928" s="650" t="s">
        <v>3373</v>
      </c>
      <c r="AB928" s="269">
        <v>2000000</v>
      </c>
      <c r="AC928" s="269">
        <v>2000000</v>
      </c>
      <c r="AD928" s="267">
        <v>2000000</v>
      </c>
      <c r="AE928" s="270">
        <v>1801801.8018018019</v>
      </c>
      <c r="AF928" s="270">
        <v>2000000</v>
      </c>
      <c r="AG928" s="805" t="s">
        <v>3883</v>
      </c>
      <c r="AH928" s="651">
        <f>Data2025!W927</f>
        <v>0</v>
      </c>
      <c r="AI928" s="61">
        <v>302</v>
      </c>
    </row>
    <row r="929" spans="1:35" ht="16.5" thickTop="1" thickBot="1">
      <c r="A929" s="636">
        <f>Data2025!G928</f>
        <v>0</v>
      </c>
      <c r="B929" s="637">
        <f>Data2025!K928</f>
        <v>0</v>
      </c>
      <c r="C929" s="638">
        <f>Data2025!D928</f>
        <v>0</v>
      </c>
      <c r="D929" s="639">
        <f>Data2025!C928</f>
        <v>0</v>
      </c>
      <c r="E929" s="265">
        <f>Data2025!E928</f>
        <v>0</v>
      </c>
      <c r="F929" s="640">
        <f>Data2025!F928</f>
        <v>0</v>
      </c>
      <c r="G929" s="265">
        <f>Data2025!H928</f>
        <v>0</v>
      </c>
      <c r="H929" s="265">
        <f t="shared" si="46"/>
        <v>0</v>
      </c>
      <c r="I929" s="641">
        <f>Data2025!J928</f>
        <v>0</v>
      </c>
      <c r="J929" s="381">
        <f>Data2025!L928</f>
        <v>0</v>
      </c>
      <c r="K929" s="381">
        <f>Data2025!M928</f>
        <v>0</v>
      </c>
      <c r="L929" s="642">
        <f>Data2025!N928</f>
        <v>0</v>
      </c>
      <c r="M929" s="642">
        <f>Data2025!O928</f>
        <v>0</v>
      </c>
      <c r="N929" s="643">
        <f>Data2025!P928</f>
        <v>0</v>
      </c>
      <c r="O929" s="644">
        <f>Data2025!Q928</f>
        <v>0</v>
      </c>
      <c r="P929" s="645" t="s">
        <v>2668</v>
      </c>
      <c r="Q929" s="646" t="e">
        <f>VLOOKUP(K929,Sheet1!$C$1:$D$101,2,)</f>
        <v>#N/A</v>
      </c>
      <c r="R929" s="267">
        <v>1176600</v>
      </c>
      <c r="S929" s="647">
        <v>1502000</v>
      </c>
      <c r="T929" s="648">
        <f>Data2025!T928</f>
        <v>0</v>
      </c>
      <c r="U929" s="268" t="s">
        <v>2531</v>
      </c>
      <c r="V929" s="648">
        <f>Data2025!V928</f>
        <v>0</v>
      </c>
      <c r="W929" s="648">
        <f>Data2025!X928</f>
        <v>0</v>
      </c>
      <c r="Y929" s="268" t="str">
        <f t="shared" si="47"/>
        <v>Jasa Internet</v>
      </c>
      <c r="Z929" s="649" t="str">
        <f t="shared" si="48"/>
        <v>Jasa Internet</v>
      </c>
      <c r="AA929" s="650" t="s">
        <v>3373</v>
      </c>
      <c r="AB929" s="269">
        <v>1500000</v>
      </c>
      <c r="AC929" s="269">
        <v>1500000</v>
      </c>
      <c r="AD929" s="267">
        <v>1176600</v>
      </c>
      <c r="AE929" s="270">
        <v>1060000</v>
      </c>
      <c r="AF929" s="270">
        <v>1176600</v>
      </c>
      <c r="AG929" s="805" t="s">
        <v>3883</v>
      </c>
      <c r="AH929" s="651">
        <f>Data2025!W928</f>
        <v>0</v>
      </c>
      <c r="AI929" s="61">
        <v>303</v>
      </c>
    </row>
    <row r="930" spans="1:35" ht="16.5" thickTop="1" thickBot="1">
      <c r="A930" s="636">
        <f>Data2025!G929</f>
        <v>0</v>
      </c>
      <c r="B930" s="637">
        <f>Data2025!K929</f>
        <v>0</v>
      </c>
      <c r="C930" s="638">
        <f>Data2025!D929</f>
        <v>0</v>
      </c>
      <c r="D930" s="639">
        <f>Data2025!C929</f>
        <v>0</v>
      </c>
      <c r="E930" s="265">
        <f>Data2025!E929</f>
        <v>0</v>
      </c>
      <c r="F930" s="640">
        <f>Data2025!F929</f>
        <v>0</v>
      </c>
      <c r="G930" s="265">
        <f>Data2025!H929</f>
        <v>0</v>
      </c>
      <c r="H930" s="265">
        <f t="shared" si="46"/>
        <v>0</v>
      </c>
      <c r="I930" s="641">
        <f>Data2025!J929</f>
        <v>0</v>
      </c>
      <c r="J930" s="381">
        <f>Data2025!L929</f>
        <v>0</v>
      </c>
      <c r="K930" s="381">
        <f>Data2025!M929</f>
        <v>0</v>
      </c>
      <c r="L930" s="642">
        <f>Data2025!N929</f>
        <v>0</v>
      </c>
      <c r="M930" s="642">
        <f>Data2025!O929</f>
        <v>0</v>
      </c>
      <c r="N930" s="643">
        <f>Data2025!P929</f>
        <v>0</v>
      </c>
      <c r="O930" s="644">
        <f>Data2025!Q929</f>
        <v>0</v>
      </c>
      <c r="P930" s="645" t="s">
        <v>2675</v>
      </c>
      <c r="Q930" s="646" t="e">
        <f>VLOOKUP(K930,Sheet1!$C$1:$D$101,2,)</f>
        <v>#N/A</v>
      </c>
      <c r="R930" s="267">
        <v>1575000</v>
      </c>
      <c r="S930" s="647">
        <v>11136650</v>
      </c>
      <c r="T930" s="648">
        <f>Data2025!T929</f>
        <v>0</v>
      </c>
      <c r="U930" s="268" t="s">
        <v>538</v>
      </c>
      <c r="V930" s="648">
        <f>Data2025!V929</f>
        <v>0</v>
      </c>
      <c r="W930" s="648">
        <f>Data2025!X929</f>
        <v>0</v>
      </c>
      <c r="X930" s="268" t="s">
        <v>541</v>
      </c>
      <c r="Y930" s="268" t="str">
        <f t="shared" si="47"/>
        <v>Penggandaan</v>
      </c>
      <c r="Z930" s="649" t="str">
        <f t="shared" si="48"/>
        <v>Penggandaan</v>
      </c>
      <c r="AA930" s="650" t="s">
        <v>3368</v>
      </c>
      <c r="AB930" s="269">
        <v>350</v>
      </c>
      <c r="AC930" s="269">
        <v>1658650</v>
      </c>
      <c r="AD930" s="267">
        <v>1575000</v>
      </c>
      <c r="AE930" s="270">
        <v>1418918.9189189191</v>
      </c>
      <c r="AF930" s="270">
        <v>1575000</v>
      </c>
      <c r="AG930" s="805" t="s">
        <v>3883</v>
      </c>
      <c r="AH930" s="651">
        <f>Data2025!W929</f>
        <v>0</v>
      </c>
      <c r="AI930" s="61">
        <v>304</v>
      </c>
    </row>
    <row r="931" spans="1:35" ht="16.5" thickTop="1" thickBot="1">
      <c r="A931" s="636">
        <f>Data2025!G930</f>
        <v>0</v>
      </c>
      <c r="B931" s="637">
        <f>Data2025!K930</f>
        <v>0</v>
      </c>
      <c r="C931" s="638">
        <f>Data2025!D930</f>
        <v>0</v>
      </c>
      <c r="D931" s="639">
        <f>Data2025!C930</f>
        <v>0</v>
      </c>
      <c r="E931" s="265">
        <f>Data2025!E930</f>
        <v>0</v>
      </c>
      <c r="F931" s="640">
        <f>Data2025!F930</f>
        <v>0</v>
      </c>
      <c r="G931" s="265">
        <f>Data2025!H930</f>
        <v>0</v>
      </c>
      <c r="H931" s="265">
        <f t="shared" si="46"/>
        <v>0</v>
      </c>
      <c r="I931" s="641">
        <f>Data2025!J930</f>
        <v>0</v>
      </c>
      <c r="J931" s="381">
        <f>Data2025!L930</f>
        <v>0</v>
      </c>
      <c r="K931" s="381">
        <f>Data2025!M930</f>
        <v>0</v>
      </c>
      <c r="L931" s="642">
        <f>Data2025!N930</f>
        <v>0</v>
      </c>
      <c r="M931" s="642">
        <f>Data2025!O930</f>
        <v>0</v>
      </c>
      <c r="N931" s="643">
        <f>Data2025!P930</f>
        <v>0</v>
      </c>
      <c r="O931" s="644">
        <f>Data2025!Q930</f>
        <v>0</v>
      </c>
      <c r="P931" s="645" t="s">
        <v>280</v>
      </c>
      <c r="Q931" s="646" t="e">
        <f>VLOOKUP(K931,Sheet1!$C$1:$D$101,2,)</f>
        <v>#N/A</v>
      </c>
      <c r="R931" s="267">
        <v>900000</v>
      </c>
      <c r="S931" s="647">
        <v>1020000</v>
      </c>
      <c r="T931" s="648">
        <f>Data2025!T930</f>
        <v>0</v>
      </c>
      <c r="U931" s="268" t="s">
        <v>2531</v>
      </c>
      <c r="V931" s="648">
        <f>Data2025!V930</f>
        <v>0</v>
      </c>
      <c r="W931" s="648">
        <f>Data2025!X930</f>
        <v>0</v>
      </c>
      <c r="X931" s="268" t="s">
        <v>2529</v>
      </c>
      <c r="Y931" s="268" t="str">
        <f t="shared" si="47"/>
        <v>Kudapan</v>
      </c>
      <c r="Z931" s="649" t="str">
        <f t="shared" si="48"/>
        <v>Kudapan</v>
      </c>
      <c r="AA931" s="650" t="s">
        <v>3363</v>
      </c>
      <c r="AB931" s="269">
        <v>15000</v>
      </c>
      <c r="AC931" s="269">
        <v>900000</v>
      </c>
      <c r="AD931" s="267">
        <v>900000</v>
      </c>
      <c r="AE931" s="270">
        <v>810810.81081081077</v>
      </c>
      <c r="AF931" s="270">
        <v>900000</v>
      </c>
      <c r="AG931" s="805" t="s">
        <v>3883</v>
      </c>
      <c r="AH931" s="651">
        <f>Data2025!W930</f>
        <v>0</v>
      </c>
      <c r="AI931" s="61">
        <v>305</v>
      </c>
    </row>
    <row r="932" spans="1:35" ht="16.5" thickTop="1" thickBot="1">
      <c r="A932" s="636">
        <f>Data2025!G931</f>
        <v>0</v>
      </c>
      <c r="B932" s="637">
        <f>Data2025!K931</f>
        <v>0</v>
      </c>
      <c r="C932" s="638">
        <f>Data2025!D931</f>
        <v>0</v>
      </c>
      <c r="D932" s="639">
        <f>Data2025!C931</f>
        <v>0</v>
      </c>
      <c r="E932" s="265">
        <f>Data2025!E931</f>
        <v>0</v>
      </c>
      <c r="F932" s="640">
        <f>Data2025!F931</f>
        <v>0</v>
      </c>
      <c r="G932" s="265">
        <f>Data2025!H931</f>
        <v>0</v>
      </c>
      <c r="H932" s="265">
        <f t="shared" si="46"/>
        <v>0</v>
      </c>
      <c r="I932" s="641">
        <f>Data2025!J931</f>
        <v>0</v>
      </c>
      <c r="J932" s="381">
        <f>Data2025!L931</f>
        <v>0</v>
      </c>
      <c r="K932" s="381">
        <f>Data2025!M931</f>
        <v>0</v>
      </c>
      <c r="L932" s="642">
        <f>Data2025!N931</f>
        <v>0</v>
      </c>
      <c r="M932" s="642">
        <f>Data2025!O931</f>
        <v>0</v>
      </c>
      <c r="N932" s="643">
        <f>Data2025!P931</f>
        <v>0</v>
      </c>
      <c r="O932" s="644">
        <f>Data2025!Q931</f>
        <v>0</v>
      </c>
      <c r="P932" s="645" t="s">
        <v>2609</v>
      </c>
      <c r="Q932" s="646" t="e">
        <f>VLOOKUP(K932,Sheet1!$C$1:$D$101,2,)</f>
        <v>#N/A</v>
      </c>
      <c r="R932" s="496">
        <v>205500</v>
      </c>
      <c r="S932" s="504">
        <v>235500</v>
      </c>
      <c r="T932" s="648">
        <f>Data2025!T931</f>
        <v>0</v>
      </c>
      <c r="U932" s="497" t="s">
        <v>538</v>
      </c>
      <c r="V932" s="648">
        <f>Data2025!V931</f>
        <v>0</v>
      </c>
      <c r="W932" s="648">
        <f>Data2025!X931</f>
        <v>0</v>
      </c>
      <c r="X932" s="497" t="s">
        <v>541</v>
      </c>
      <c r="Y932" s="268" t="str">
        <f t="shared" si="47"/>
        <v>Alat Kebersihan</v>
      </c>
      <c r="Z932" s="649" t="str">
        <f t="shared" si="48"/>
        <v>Alat Kebersihan</v>
      </c>
      <c r="AA932" s="498" t="s">
        <v>3363</v>
      </c>
      <c r="AB932" s="499">
        <v>13700</v>
      </c>
      <c r="AC932" s="499">
        <v>205500</v>
      </c>
      <c r="AD932" s="496">
        <v>205500</v>
      </c>
      <c r="AE932" s="500">
        <v>185135.13513513515</v>
      </c>
      <c r="AF932" s="500">
        <v>205500</v>
      </c>
      <c r="AG932" s="805" t="s">
        <v>3883</v>
      </c>
      <c r="AH932" s="651">
        <f>Data2025!W931</f>
        <v>0</v>
      </c>
      <c r="AI932" s="61">
        <v>306</v>
      </c>
    </row>
    <row r="933" spans="1:35" ht="16.5" thickTop="1" thickBot="1">
      <c r="A933" s="636">
        <f>Data2025!G932</f>
        <v>0</v>
      </c>
      <c r="B933" s="637">
        <f>Data2025!K932</f>
        <v>0</v>
      </c>
      <c r="C933" s="638">
        <f>Data2025!D932</f>
        <v>0</v>
      </c>
      <c r="D933" s="639">
        <f>Data2025!C932</f>
        <v>0</v>
      </c>
      <c r="E933" s="265">
        <f>Data2025!E932</f>
        <v>0</v>
      </c>
      <c r="F933" s="640">
        <f>Data2025!F932</f>
        <v>0</v>
      </c>
      <c r="G933" s="265">
        <f>Data2025!H932</f>
        <v>0</v>
      </c>
      <c r="H933" s="265">
        <f t="shared" si="46"/>
        <v>0</v>
      </c>
      <c r="I933" s="641">
        <f>Data2025!J932</f>
        <v>0</v>
      </c>
      <c r="J933" s="381">
        <f>Data2025!L932</f>
        <v>0</v>
      </c>
      <c r="K933" s="381">
        <f>Data2025!M932</f>
        <v>0</v>
      </c>
      <c r="L933" s="642">
        <f>Data2025!N932</f>
        <v>0</v>
      </c>
      <c r="M933" s="642">
        <f>Data2025!O932</f>
        <v>0</v>
      </c>
      <c r="N933" s="643">
        <f>Data2025!P932</f>
        <v>0</v>
      </c>
      <c r="O933" s="644">
        <f>Data2025!Q932</f>
        <v>0</v>
      </c>
      <c r="P933" s="645" t="s">
        <v>2609</v>
      </c>
      <c r="Q933" s="646" t="e">
        <f>VLOOKUP(K933,Sheet1!$C$1:$D$101,2,)</f>
        <v>#N/A</v>
      </c>
      <c r="R933" s="496">
        <v>150000</v>
      </c>
      <c r="S933" s="504">
        <v>174000</v>
      </c>
      <c r="T933" s="648">
        <f>Data2025!T932</f>
        <v>0</v>
      </c>
      <c r="U933" s="497" t="s">
        <v>538</v>
      </c>
      <c r="V933" s="648">
        <f>Data2025!V932</f>
        <v>0</v>
      </c>
      <c r="W933" s="648">
        <f>Data2025!X932</f>
        <v>0</v>
      </c>
      <c r="X933" s="497" t="s">
        <v>541</v>
      </c>
      <c r="Y933" s="268" t="str">
        <f t="shared" si="47"/>
        <v>Alat Kebersihan</v>
      </c>
      <c r="Z933" s="649" t="str">
        <f t="shared" si="48"/>
        <v>Alat Kebersihan</v>
      </c>
      <c r="AA933" s="498" t="s">
        <v>3363</v>
      </c>
      <c r="AB933" s="499">
        <v>12500</v>
      </c>
      <c r="AC933" s="499">
        <v>150000</v>
      </c>
      <c r="AD933" s="496">
        <v>150000</v>
      </c>
      <c r="AE933" s="500">
        <v>135135.13513513515</v>
      </c>
      <c r="AF933" s="500">
        <v>150000</v>
      </c>
      <c r="AG933" s="805" t="s">
        <v>3883</v>
      </c>
      <c r="AH933" s="651">
        <f>Data2025!W932</f>
        <v>0</v>
      </c>
      <c r="AI933" s="61">
        <v>306</v>
      </c>
    </row>
    <row r="934" spans="1:35" ht="16.5" thickTop="1" thickBot="1">
      <c r="A934" s="636">
        <f>Data2025!G933</f>
        <v>0</v>
      </c>
      <c r="B934" s="637">
        <f>Data2025!K933</f>
        <v>0</v>
      </c>
      <c r="C934" s="638">
        <f>Data2025!D933</f>
        <v>0</v>
      </c>
      <c r="D934" s="639">
        <f>Data2025!C933</f>
        <v>0</v>
      </c>
      <c r="E934" s="265">
        <f>Data2025!E933</f>
        <v>0</v>
      </c>
      <c r="F934" s="640">
        <f>Data2025!F933</f>
        <v>0</v>
      </c>
      <c r="G934" s="265">
        <f>Data2025!H933</f>
        <v>0</v>
      </c>
      <c r="H934" s="265">
        <f t="shared" si="46"/>
        <v>0</v>
      </c>
      <c r="I934" s="641">
        <f>Data2025!J933</f>
        <v>0</v>
      </c>
      <c r="J934" s="381">
        <f>Data2025!L933</f>
        <v>0</v>
      </c>
      <c r="K934" s="381">
        <f>Data2025!M933</f>
        <v>0</v>
      </c>
      <c r="L934" s="642">
        <f>Data2025!N933</f>
        <v>0</v>
      </c>
      <c r="M934" s="642">
        <f>Data2025!O933</f>
        <v>0</v>
      </c>
      <c r="N934" s="643">
        <f>Data2025!P933</f>
        <v>0</v>
      </c>
      <c r="O934" s="644">
        <f>Data2025!Q933</f>
        <v>0</v>
      </c>
      <c r="P934" s="645" t="s">
        <v>2609</v>
      </c>
      <c r="Q934" s="646" t="e">
        <f>VLOOKUP(K934,Sheet1!$C$1:$D$101,2,)</f>
        <v>#N/A</v>
      </c>
      <c r="R934" s="496">
        <v>45000</v>
      </c>
      <c r="S934" s="504">
        <v>51000</v>
      </c>
      <c r="T934" s="648">
        <f>Data2025!T933</f>
        <v>0</v>
      </c>
      <c r="U934" s="497" t="s">
        <v>538</v>
      </c>
      <c r="V934" s="648">
        <f>Data2025!V933</f>
        <v>0</v>
      </c>
      <c r="W934" s="648">
        <f>Data2025!X933</f>
        <v>0</v>
      </c>
      <c r="X934" s="497" t="s">
        <v>541</v>
      </c>
      <c r="Y934" s="268" t="str">
        <f t="shared" si="47"/>
        <v>Alat Kebersihan</v>
      </c>
      <c r="Z934" s="649" t="str">
        <f t="shared" si="48"/>
        <v>Alat Kebersihan</v>
      </c>
      <c r="AA934" s="498" t="s">
        <v>3363</v>
      </c>
      <c r="AB934" s="499">
        <v>15000</v>
      </c>
      <c r="AC934" s="499">
        <v>45000</v>
      </c>
      <c r="AD934" s="496">
        <v>45000</v>
      </c>
      <c r="AE934" s="500">
        <v>40540.54054054054</v>
      </c>
      <c r="AF934" s="500">
        <v>45000</v>
      </c>
      <c r="AG934" s="805" t="s">
        <v>3883</v>
      </c>
      <c r="AH934" s="651">
        <f>Data2025!W933</f>
        <v>0</v>
      </c>
      <c r="AI934" s="61">
        <v>306</v>
      </c>
    </row>
    <row r="935" spans="1:35" ht="16.5" thickTop="1" thickBot="1">
      <c r="A935" s="636">
        <f>Data2025!G934</f>
        <v>0</v>
      </c>
      <c r="B935" s="637">
        <f>Data2025!K934</f>
        <v>0</v>
      </c>
      <c r="C935" s="638">
        <f>Data2025!D934</f>
        <v>0</v>
      </c>
      <c r="D935" s="639">
        <f>Data2025!C934</f>
        <v>0</v>
      </c>
      <c r="E935" s="265">
        <f>Data2025!E934</f>
        <v>0</v>
      </c>
      <c r="F935" s="640">
        <f>Data2025!F934</f>
        <v>0</v>
      </c>
      <c r="G935" s="265">
        <f>Data2025!H934</f>
        <v>0</v>
      </c>
      <c r="H935" s="265">
        <f t="shared" si="46"/>
        <v>0</v>
      </c>
      <c r="I935" s="641">
        <f>Data2025!J934</f>
        <v>0</v>
      </c>
      <c r="J935" s="381">
        <f>Data2025!L934</f>
        <v>0</v>
      </c>
      <c r="K935" s="381">
        <f>Data2025!M934</f>
        <v>0</v>
      </c>
      <c r="L935" s="642">
        <f>Data2025!N934</f>
        <v>0</v>
      </c>
      <c r="M935" s="642">
        <f>Data2025!O934</f>
        <v>0</v>
      </c>
      <c r="N935" s="643">
        <f>Data2025!P934</f>
        <v>0</v>
      </c>
      <c r="O935" s="644">
        <f>Data2025!Q934</f>
        <v>0</v>
      </c>
      <c r="P935" s="645" t="s">
        <v>2609</v>
      </c>
      <c r="Q935" s="646" t="e">
        <f>VLOOKUP(K935,Sheet1!$C$1:$D$101,2,)</f>
        <v>#N/A</v>
      </c>
      <c r="R935" s="496">
        <v>300000</v>
      </c>
      <c r="S935" s="504">
        <v>320000</v>
      </c>
      <c r="T935" s="648">
        <f>Data2025!T934</f>
        <v>0</v>
      </c>
      <c r="U935" s="497" t="s">
        <v>538</v>
      </c>
      <c r="V935" s="648">
        <f>Data2025!V934</f>
        <v>0</v>
      </c>
      <c r="W935" s="648">
        <f>Data2025!X934</f>
        <v>0</v>
      </c>
      <c r="X935" s="497" t="s">
        <v>541</v>
      </c>
      <c r="Y935" s="268" t="str">
        <f t="shared" si="47"/>
        <v>Alat Kebersihan</v>
      </c>
      <c r="Z935" s="649" t="str">
        <f t="shared" si="48"/>
        <v>Alat Kebersihan</v>
      </c>
      <c r="AA935" s="498" t="s">
        <v>3367</v>
      </c>
      <c r="AB935" s="499">
        <v>30000</v>
      </c>
      <c r="AC935" s="499">
        <v>300000</v>
      </c>
      <c r="AD935" s="496">
        <v>300000</v>
      </c>
      <c r="AE935" s="500">
        <v>270270.2702702703</v>
      </c>
      <c r="AF935" s="500">
        <v>300000</v>
      </c>
      <c r="AG935" s="805" t="s">
        <v>3883</v>
      </c>
      <c r="AH935" s="651">
        <f>Data2025!W934</f>
        <v>0</v>
      </c>
      <c r="AI935" s="61">
        <v>306</v>
      </c>
    </row>
    <row r="936" spans="1:35" ht="16.5" thickTop="1" thickBot="1">
      <c r="A936" s="636">
        <f>Data2025!G935</f>
        <v>0</v>
      </c>
      <c r="B936" s="637">
        <f>Data2025!K935</f>
        <v>0</v>
      </c>
      <c r="C936" s="638">
        <f>Data2025!D935</f>
        <v>0</v>
      </c>
      <c r="D936" s="639">
        <f>Data2025!C935</f>
        <v>0</v>
      </c>
      <c r="E936" s="265">
        <f>Data2025!E935</f>
        <v>0</v>
      </c>
      <c r="F936" s="640">
        <f>Data2025!F935</f>
        <v>0</v>
      </c>
      <c r="G936" s="265">
        <f>Data2025!H935</f>
        <v>0</v>
      </c>
      <c r="H936" s="265">
        <f t="shared" si="46"/>
        <v>0</v>
      </c>
      <c r="I936" s="641">
        <f>Data2025!J935</f>
        <v>0</v>
      </c>
      <c r="J936" s="381">
        <f>Data2025!L935</f>
        <v>0</v>
      </c>
      <c r="K936" s="381">
        <f>Data2025!M935</f>
        <v>0</v>
      </c>
      <c r="L936" s="642">
        <f>Data2025!N935</f>
        <v>0</v>
      </c>
      <c r="M936" s="642">
        <f>Data2025!O935</f>
        <v>0</v>
      </c>
      <c r="N936" s="643">
        <f>Data2025!P935</f>
        <v>0</v>
      </c>
      <c r="O936" s="644">
        <f>Data2025!Q935</f>
        <v>0</v>
      </c>
      <c r="P936" s="645" t="s">
        <v>2609</v>
      </c>
      <c r="Q936" s="646" t="e">
        <f>VLOOKUP(K936,Sheet1!$C$1:$D$101,2,)</f>
        <v>#N/A</v>
      </c>
      <c r="R936" s="496">
        <v>121000</v>
      </c>
      <c r="S936" s="504">
        <v>141000</v>
      </c>
      <c r="T936" s="648">
        <f>Data2025!T935</f>
        <v>0</v>
      </c>
      <c r="U936" s="497" t="s">
        <v>538</v>
      </c>
      <c r="V936" s="648">
        <f>Data2025!V935</f>
        <v>0</v>
      </c>
      <c r="W936" s="648">
        <f>Data2025!X935</f>
        <v>0</v>
      </c>
      <c r="X936" s="497" t="s">
        <v>541</v>
      </c>
      <c r="Y936" s="268" t="str">
        <f t="shared" si="47"/>
        <v>Alat Kebersihan</v>
      </c>
      <c r="Z936" s="649" t="str">
        <f t="shared" si="48"/>
        <v>Alat Kebersihan</v>
      </c>
      <c r="AA936" s="498" t="s">
        <v>3363</v>
      </c>
      <c r="AB936" s="499">
        <v>12100</v>
      </c>
      <c r="AC936" s="499">
        <v>121000</v>
      </c>
      <c r="AD936" s="496">
        <v>121000</v>
      </c>
      <c r="AE936" s="500">
        <v>109009.00900900901</v>
      </c>
      <c r="AF936" s="500">
        <v>121000</v>
      </c>
      <c r="AG936" s="805" t="s">
        <v>3883</v>
      </c>
      <c r="AH936" s="651">
        <f>Data2025!W935</f>
        <v>0</v>
      </c>
      <c r="AI936" s="61">
        <v>306</v>
      </c>
    </row>
    <row r="937" spans="1:35" ht="16.5" thickTop="1" thickBot="1">
      <c r="A937" s="636">
        <f>Data2025!G936</f>
        <v>0</v>
      </c>
      <c r="B937" s="637">
        <f>Data2025!K936</f>
        <v>0</v>
      </c>
      <c r="C937" s="638">
        <f>Data2025!D936</f>
        <v>0</v>
      </c>
      <c r="D937" s="639">
        <f>Data2025!C936</f>
        <v>0</v>
      </c>
      <c r="E937" s="265">
        <f>Data2025!E936</f>
        <v>0</v>
      </c>
      <c r="F937" s="640">
        <f>Data2025!F936</f>
        <v>0</v>
      </c>
      <c r="G937" s="265">
        <f>Data2025!H936</f>
        <v>0</v>
      </c>
      <c r="H937" s="265">
        <f t="shared" si="46"/>
        <v>0</v>
      </c>
      <c r="I937" s="641">
        <f>Data2025!J936</f>
        <v>0</v>
      </c>
      <c r="J937" s="381">
        <f>Data2025!L936</f>
        <v>0</v>
      </c>
      <c r="K937" s="381">
        <f>Data2025!M936</f>
        <v>0</v>
      </c>
      <c r="L937" s="642">
        <f>Data2025!N936</f>
        <v>0</v>
      </c>
      <c r="M937" s="642">
        <f>Data2025!O936</f>
        <v>0</v>
      </c>
      <c r="N937" s="643">
        <f>Data2025!P936</f>
        <v>0</v>
      </c>
      <c r="O937" s="644">
        <f>Data2025!Q936</f>
        <v>0</v>
      </c>
      <c r="P937" s="645" t="s">
        <v>2609</v>
      </c>
      <c r="Q937" s="646" t="e">
        <f>VLOOKUP(K937,Sheet1!$C$1:$D$101,2,)</f>
        <v>#N/A</v>
      </c>
      <c r="R937" s="496">
        <v>350000</v>
      </c>
      <c r="S937" s="504">
        <v>360000</v>
      </c>
      <c r="T937" s="648">
        <f>Data2025!T936</f>
        <v>0</v>
      </c>
      <c r="U937" s="497" t="s">
        <v>538</v>
      </c>
      <c r="V937" s="648">
        <f>Data2025!V936</f>
        <v>0</v>
      </c>
      <c r="W937" s="648">
        <f>Data2025!X936</f>
        <v>0</v>
      </c>
      <c r="X937" s="497" t="s">
        <v>541</v>
      </c>
      <c r="Y937" s="268" t="str">
        <f t="shared" si="47"/>
        <v>Alat Kebersihan</v>
      </c>
      <c r="Z937" s="649" t="str">
        <f t="shared" si="48"/>
        <v>Alat Kebersihan</v>
      </c>
      <c r="AA937" s="498" t="s">
        <v>3371</v>
      </c>
      <c r="AB937" s="499">
        <v>70000</v>
      </c>
      <c r="AC937" s="499">
        <v>350000</v>
      </c>
      <c r="AD937" s="496">
        <v>350000</v>
      </c>
      <c r="AE937" s="500">
        <v>315315.31531531533</v>
      </c>
      <c r="AF937" s="500">
        <v>350000</v>
      </c>
      <c r="AG937" s="805" t="s">
        <v>3883</v>
      </c>
      <c r="AH937" s="651">
        <f>Data2025!W936</f>
        <v>0</v>
      </c>
      <c r="AI937" s="61">
        <v>306</v>
      </c>
    </row>
    <row r="938" spans="1:35" ht="16.5" thickTop="1" thickBot="1">
      <c r="A938" s="636">
        <f>Data2025!G937</f>
        <v>0</v>
      </c>
      <c r="B938" s="637">
        <f>Data2025!K937</f>
        <v>0</v>
      </c>
      <c r="C938" s="638">
        <f>Data2025!D937</f>
        <v>0</v>
      </c>
      <c r="D938" s="639">
        <f>Data2025!C937</f>
        <v>0</v>
      </c>
      <c r="E938" s="265">
        <f>Data2025!E937</f>
        <v>0</v>
      </c>
      <c r="F938" s="640">
        <f>Data2025!F937</f>
        <v>0</v>
      </c>
      <c r="G938" s="265">
        <f>Data2025!H937</f>
        <v>0</v>
      </c>
      <c r="H938" s="265">
        <f t="shared" si="46"/>
        <v>0</v>
      </c>
      <c r="I938" s="641">
        <f>Data2025!J937</f>
        <v>0</v>
      </c>
      <c r="J938" s="381">
        <f>Data2025!L937</f>
        <v>0</v>
      </c>
      <c r="K938" s="381">
        <f>Data2025!M937</f>
        <v>0</v>
      </c>
      <c r="L938" s="642">
        <f>Data2025!N937</f>
        <v>0</v>
      </c>
      <c r="M938" s="642">
        <f>Data2025!O937</f>
        <v>0</v>
      </c>
      <c r="N938" s="643">
        <f>Data2025!P937</f>
        <v>0</v>
      </c>
      <c r="O938" s="644">
        <f>Data2025!Q937</f>
        <v>0</v>
      </c>
      <c r="P938" s="645" t="s">
        <v>2609</v>
      </c>
      <c r="Q938" s="646" t="e">
        <f>VLOOKUP(K938,Sheet1!$C$1:$D$101,2,)</f>
        <v>#N/A</v>
      </c>
      <c r="R938" s="496">
        <v>335000</v>
      </c>
      <c r="S938" s="504">
        <v>345000</v>
      </c>
      <c r="T938" s="648">
        <f>Data2025!T937</f>
        <v>0</v>
      </c>
      <c r="U938" s="497" t="s">
        <v>538</v>
      </c>
      <c r="V938" s="648">
        <f>Data2025!V937</f>
        <v>0</v>
      </c>
      <c r="W938" s="648">
        <f>Data2025!X937</f>
        <v>0</v>
      </c>
      <c r="X938" s="497" t="s">
        <v>541</v>
      </c>
      <c r="Y938" s="268" t="str">
        <f t="shared" si="47"/>
        <v>Alat Kebersihan</v>
      </c>
      <c r="Z938" s="649" t="str">
        <f t="shared" si="48"/>
        <v>Alat Kebersihan</v>
      </c>
      <c r="AA938" s="498" t="s">
        <v>3367</v>
      </c>
      <c r="AB938" s="499">
        <v>67000</v>
      </c>
      <c r="AC938" s="499">
        <v>335000</v>
      </c>
      <c r="AD938" s="496">
        <v>335000</v>
      </c>
      <c r="AE938" s="500">
        <v>301801.80180180183</v>
      </c>
      <c r="AF938" s="500">
        <v>335000</v>
      </c>
      <c r="AG938" s="805" t="s">
        <v>3883</v>
      </c>
      <c r="AH938" s="651">
        <f>Data2025!W937</f>
        <v>0</v>
      </c>
      <c r="AI938" s="61">
        <v>306</v>
      </c>
    </row>
    <row r="939" spans="1:35" ht="16.5" thickTop="1" thickBot="1">
      <c r="A939" s="636">
        <f>Data2025!G938</f>
        <v>0</v>
      </c>
      <c r="B939" s="637">
        <f>Data2025!K938</f>
        <v>0</v>
      </c>
      <c r="C939" s="638">
        <f>Data2025!D938</f>
        <v>0</v>
      </c>
      <c r="D939" s="639">
        <f>Data2025!C938</f>
        <v>0</v>
      </c>
      <c r="E939" s="265">
        <f>Data2025!E938</f>
        <v>0</v>
      </c>
      <c r="F939" s="640">
        <f>Data2025!F938</f>
        <v>0</v>
      </c>
      <c r="G939" s="265">
        <f>Data2025!H938</f>
        <v>0</v>
      </c>
      <c r="H939" s="265">
        <f t="shared" si="46"/>
        <v>0</v>
      </c>
      <c r="I939" s="641">
        <f>Data2025!J938</f>
        <v>0</v>
      </c>
      <c r="J939" s="381">
        <f>Data2025!L938</f>
        <v>0</v>
      </c>
      <c r="K939" s="381">
        <f>Data2025!M938</f>
        <v>0</v>
      </c>
      <c r="L939" s="642">
        <f>Data2025!N938</f>
        <v>0</v>
      </c>
      <c r="M939" s="642">
        <f>Data2025!O938</f>
        <v>0</v>
      </c>
      <c r="N939" s="643">
        <f>Data2025!P938</f>
        <v>0</v>
      </c>
      <c r="O939" s="644">
        <f>Data2025!Q938</f>
        <v>0</v>
      </c>
      <c r="P939" s="645" t="s">
        <v>2609</v>
      </c>
      <c r="Q939" s="646" t="e">
        <f>VLOOKUP(K939,Sheet1!$C$1:$D$101,2,)</f>
        <v>#N/A</v>
      </c>
      <c r="R939" s="496">
        <v>60000</v>
      </c>
      <c r="S939" s="504">
        <v>70000</v>
      </c>
      <c r="T939" s="648">
        <f>Data2025!T938</f>
        <v>0</v>
      </c>
      <c r="U939" s="497" t="s">
        <v>538</v>
      </c>
      <c r="V939" s="648">
        <f>Data2025!V938</f>
        <v>0</v>
      </c>
      <c r="W939" s="648">
        <f>Data2025!X938</f>
        <v>0</v>
      </c>
      <c r="X939" s="497" t="s">
        <v>541</v>
      </c>
      <c r="Y939" s="268" t="str">
        <f t="shared" si="47"/>
        <v>Alat Kebersihan</v>
      </c>
      <c r="Z939" s="649" t="str">
        <f t="shared" si="48"/>
        <v>Alat Kebersihan</v>
      </c>
      <c r="AA939" s="498" t="s">
        <v>3363</v>
      </c>
      <c r="AB939" s="499">
        <v>12000</v>
      </c>
      <c r="AC939" s="499">
        <v>60000</v>
      </c>
      <c r="AD939" s="496">
        <v>60000</v>
      </c>
      <c r="AE939" s="500">
        <v>54054.054054054053</v>
      </c>
      <c r="AF939" s="500">
        <v>60000</v>
      </c>
      <c r="AG939" s="805" t="s">
        <v>3883</v>
      </c>
      <c r="AH939" s="651">
        <f>Data2025!W938</f>
        <v>0</v>
      </c>
      <c r="AI939" s="61">
        <v>306</v>
      </c>
    </row>
    <row r="940" spans="1:35" ht="16.5" thickTop="1" thickBot="1">
      <c r="A940" s="636">
        <f>Data2025!G939</f>
        <v>0</v>
      </c>
      <c r="B940" s="637">
        <f>Data2025!K939</f>
        <v>0</v>
      </c>
      <c r="C940" s="638">
        <f>Data2025!D939</f>
        <v>0</v>
      </c>
      <c r="D940" s="639">
        <f>Data2025!C939</f>
        <v>0</v>
      </c>
      <c r="E940" s="265">
        <f>Data2025!E939</f>
        <v>0</v>
      </c>
      <c r="F940" s="640">
        <f>Data2025!F939</f>
        <v>0</v>
      </c>
      <c r="G940" s="265">
        <f>Data2025!H939</f>
        <v>0</v>
      </c>
      <c r="H940" s="265">
        <f t="shared" si="46"/>
        <v>0</v>
      </c>
      <c r="I940" s="641">
        <f>Data2025!J939</f>
        <v>0</v>
      </c>
      <c r="J940" s="381">
        <f>Data2025!L939</f>
        <v>0</v>
      </c>
      <c r="K940" s="381">
        <f>Data2025!M939</f>
        <v>0</v>
      </c>
      <c r="L940" s="642">
        <f>Data2025!N939</f>
        <v>0</v>
      </c>
      <c r="M940" s="642">
        <f>Data2025!O939</f>
        <v>0</v>
      </c>
      <c r="N940" s="643">
        <f>Data2025!P939</f>
        <v>0</v>
      </c>
      <c r="O940" s="644">
        <f>Data2025!Q939</f>
        <v>0</v>
      </c>
      <c r="P940" s="645" t="s">
        <v>2609</v>
      </c>
      <c r="Q940" s="646" t="e">
        <f>VLOOKUP(K940,Sheet1!$C$1:$D$101,2,)</f>
        <v>#N/A</v>
      </c>
      <c r="R940" s="496">
        <v>60000</v>
      </c>
      <c r="S940" s="504">
        <v>70000</v>
      </c>
      <c r="T940" s="648">
        <f>Data2025!T939</f>
        <v>0</v>
      </c>
      <c r="U940" s="497" t="s">
        <v>538</v>
      </c>
      <c r="V940" s="648">
        <f>Data2025!V939</f>
        <v>0</v>
      </c>
      <c r="W940" s="648">
        <f>Data2025!X939</f>
        <v>0</v>
      </c>
      <c r="X940" s="497" t="s">
        <v>541</v>
      </c>
      <c r="Y940" s="268" t="str">
        <f t="shared" si="47"/>
        <v>Alat Kebersihan</v>
      </c>
      <c r="Z940" s="649" t="str">
        <f t="shared" si="48"/>
        <v>Alat Kebersihan</v>
      </c>
      <c r="AA940" s="498" t="s">
        <v>3363</v>
      </c>
      <c r="AB940" s="499">
        <v>12000</v>
      </c>
      <c r="AC940" s="499">
        <v>60000</v>
      </c>
      <c r="AD940" s="496">
        <v>60000</v>
      </c>
      <c r="AE940" s="500">
        <v>54054.054054054053</v>
      </c>
      <c r="AF940" s="500">
        <v>60000</v>
      </c>
      <c r="AG940" s="805" t="s">
        <v>3883</v>
      </c>
      <c r="AH940" s="651">
        <f>Data2025!W939</f>
        <v>0</v>
      </c>
      <c r="AI940" s="61">
        <v>306</v>
      </c>
    </row>
    <row r="941" spans="1:35" ht="16.5" thickTop="1" thickBot="1">
      <c r="A941" s="636">
        <f>Data2025!G940</f>
        <v>0</v>
      </c>
      <c r="B941" s="637">
        <f>Data2025!K940</f>
        <v>0</v>
      </c>
      <c r="C941" s="638">
        <f>Data2025!D940</f>
        <v>0</v>
      </c>
      <c r="D941" s="639">
        <f>Data2025!C940</f>
        <v>0</v>
      </c>
      <c r="E941" s="265">
        <f>Data2025!E940</f>
        <v>0</v>
      </c>
      <c r="F941" s="640">
        <f>Data2025!F940</f>
        <v>0</v>
      </c>
      <c r="G941" s="265">
        <f>Data2025!H940</f>
        <v>0</v>
      </c>
      <c r="H941" s="265">
        <f t="shared" si="46"/>
        <v>0</v>
      </c>
      <c r="I941" s="641">
        <f>Data2025!J940</f>
        <v>0</v>
      </c>
      <c r="J941" s="381">
        <f>Data2025!L940</f>
        <v>0</v>
      </c>
      <c r="K941" s="381">
        <f>Data2025!M940</f>
        <v>0</v>
      </c>
      <c r="L941" s="642">
        <f>Data2025!N940</f>
        <v>0</v>
      </c>
      <c r="M941" s="642">
        <f>Data2025!O940</f>
        <v>0</v>
      </c>
      <c r="N941" s="643">
        <f>Data2025!P940</f>
        <v>0</v>
      </c>
      <c r="O941" s="644">
        <f>Data2025!Q940</f>
        <v>0</v>
      </c>
      <c r="P941" s="645" t="s">
        <v>3182</v>
      </c>
      <c r="Q941" s="646" t="e">
        <f>VLOOKUP(K941,Sheet1!$C$1:$D$101,2,)</f>
        <v>#N/A</v>
      </c>
      <c r="R941" s="496">
        <v>1281400</v>
      </c>
      <c r="S941" s="504">
        <v>1202400</v>
      </c>
      <c r="T941" s="648">
        <f>Data2025!T940</f>
        <v>0</v>
      </c>
      <c r="U941" s="497" t="s">
        <v>538</v>
      </c>
      <c r="V941" s="648">
        <f>Data2025!V940</f>
        <v>0</v>
      </c>
      <c r="W941" s="648">
        <f>Data2025!X940</f>
        <v>0</v>
      </c>
      <c r="X941" s="497" t="s">
        <v>541</v>
      </c>
      <c r="Y941" s="268" t="str">
        <f t="shared" si="47"/>
        <v>Listrik</v>
      </c>
      <c r="Z941" s="649" t="str">
        <f t="shared" si="48"/>
        <v>Listrik</v>
      </c>
      <c r="AA941" s="498" t="s">
        <v>3379</v>
      </c>
      <c r="AB941" s="499">
        <v>1200400</v>
      </c>
      <c r="AC941" s="499">
        <v>1200400</v>
      </c>
      <c r="AD941" s="496">
        <v>1281400</v>
      </c>
      <c r="AE941" s="500">
        <v>1154414.4144144144</v>
      </c>
      <c r="AF941" s="500">
        <v>1281400</v>
      </c>
      <c r="AG941" s="805" t="s">
        <v>3883</v>
      </c>
      <c r="AH941" s="651">
        <f>Data2025!W940</f>
        <v>0</v>
      </c>
      <c r="AI941" s="61">
        <v>307</v>
      </c>
    </row>
    <row r="942" spans="1:35" ht="16.5" thickTop="1" thickBot="1">
      <c r="A942" s="636">
        <f>Data2025!G941</f>
        <v>0</v>
      </c>
      <c r="B942" s="637">
        <f>Data2025!K941</f>
        <v>0</v>
      </c>
      <c r="C942" s="638">
        <f>Data2025!D941</f>
        <v>0</v>
      </c>
      <c r="D942" s="639">
        <f>Data2025!C941</f>
        <v>0</v>
      </c>
      <c r="E942" s="265">
        <f>Data2025!E941</f>
        <v>0</v>
      </c>
      <c r="F942" s="640">
        <f>Data2025!F941</f>
        <v>0</v>
      </c>
      <c r="G942" s="265">
        <f>Data2025!H941</f>
        <v>0</v>
      </c>
      <c r="H942" s="265">
        <f t="shared" si="46"/>
        <v>0</v>
      </c>
      <c r="I942" s="641">
        <f>Data2025!J941</f>
        <v>0</v>
      </c>
      <c r="J942" s="381">
        <f>Data2025!L941</f>
        <v>0</v>
      </c>
      <c r="K942" s="381">
        <f>Data2025!M941</f>
        <v>0</v>
      </c>
      <c r="L942" s="642">
        <f>Data2025!N941</f>
        <v>0</v>
      </c>
      <c r="M942" s="642">
        <f>Data2025!O941</f>
        <v>0</v>
      </c>
      <c r="N942" s="643">
        <f>Data2025!P941</f>
        <v>0</v>
      </c>
      <c r="O942" s="644">
        <f>Data2025!Q941</f>
        <v>0</v>
      </c>
      <c r="P942" s="645" t="s">
        <v>710</v>
      </c>
      <c r="Q942" s="646" t="e">
        <f>VLOOKUP(K942,Sheet1!$C$1:$D$101,2,)</f>
        <v>#N/A</v>
      </c>
      <c r="R942" s="496">
        <v>25000</v>
      </c>
      <c r="S942" s="504">
        <v>35000</v>
      </c>
      <c r="T942" s="648">
        <f>Data2025!T941</f>
        <v>0</v>
      </c>
      <c r="U942" s="497" t="s">
        <v>538</v>
      </c>
      <c r="V942" s="648">
        <f>Data2025!V941</f>
        <v>0</v>
      </c>
      <c r="W942" s="648">
        <f>Data2025!X941</f>
        <v>0</v>
      </c>
      <c r="X942" s="497" t="s">
        <v>541</v>
      </c>
      <c r="Y942" s="268" t="str">
        <f t="shared" si="47"/>
        <v>Alat Tulis Kantor (ATK)</v>
      </c>
      <c r="Z942" s="649" t="str">
        <f t="shared" si="48"/>
        <v>Alat Tulis Kantor (ATK)</v>
      </c>
      <c r="AA942" s="498" t="s">
        <v>3362</v>
      </c>
      <c r="AB942" s="499">
        <v>5000</v>
      </c>
      <c r="AC942" s="499">
        <v>25000</v>
      </c>
      <c r="AD942" s="496">
        <v>25000</v>
      </c>
      <c r="AE942" s="500">
        <v>22522.522522522522</v>
      </c>
      <c r="AF942" s="500">
        <v>25000</v>
      </c>
      <c r="AG942" s="805" t="s">
        <v>3883</v>
      </c>
      <c r="AH942" s="651">
        <f>Data2025!W941</f>
        <v>0</v>
      </c>
      <c r="AI942" s="61">
        <v>308</v>
      </c>
    </row>
    <row r="943" spans="1:35" ht="16.5" thickTop="1" thickBot="1">
      <c r="A943" s="636">
        <f>Data2025!G942</f>
        <v>0</v>
      </c>
      <c r="B943" s="637">
        <f>Data2025!K942</f>
        <v>0</v>
      </c>
      <c r="C943" s="638">
        <f>Data2025!D942</f>
        <v>0</v>
      </c>
      <c r="D943" s="639">
        <f>Data2025!C942</f>
        <v>0</v>
      </c>
      <c r="E943" s="265">
        <f>Data2025!E942</f>
        <v>0</v>
      </c>
      <c r="F943" s="640">
        <f>Data2025!F942</f>
        <v>0</v>
      </c>
      <c r="G943" s="265">
        <f>Data2025!H942</f>
        <v>0</v>
      </c>
      <c r="H943" s="265">
        <f t="shared" si="46"/>
        <v>0</v>
      </c>
      <c r="I943" s="641">
        <f>Data2025!J942</f>
        <v>0</v>
      </c>
      <c r="J943" s="381">
        <f>Data2025!L942</f>
        <v>0</v>
      </c>
      <c r="K943" s="381">
        <f>Data2025!M942</f>
        <v>0</v>
      </c>
      <c r="L943" s="642">
        <f>Data2025!N942</f>
        <v>0</v>
      </c>
      <c r="M943" s="642">
        <f>Data2025!O942</f>
        <v>0</v>
      </c>
      <c r="N943" s="643">
        <f>Data2025!P942</f>
        <v>0</v>
      </c>
      <c r="O943" s="644">
        <f>Data2025!Q942</f>
        <v>0</v>
      </c>
      <c r="P943" s="645" t="s">
        <v>710</v>
      </c>
      <c r="Q943" s="646" t="e">
        <f>VLOOKUP(K943,Sheet1!$C$1:$D$101,2,)</f>
        <v>#N/A</v>
      </c>
      <c r="R943" s="496">
        <v>70800</v>
      </c>
      <c r="S943" s="504">
        <v>74800</v>
      </c>
      <c r="T943" s="648">
        <f>Data2025!T942</f>
        <v>0</v>
      </c>
      <c r="U943" s="497" t="s">
        <v>538</v>
      </c>
      <c r="V943" s="648">
        <f>Data2025!V942</f>
        <v>0</v>
      </c>
      <c r="W943" s="648">
        <f>Data2025!X942</f>
        <v>0</v>
      </c>
      <c r="X943" s="497" t="s">
        <v>541</v>
      </c>
      <c r="Y943" s="268" t="str">
        <f t="shared" si="47"/>
        <v>Alat Tulis Kantor (ATK)</v>
      </c>
      <c r="Z943" s="649" t="str">
        <f t="shared" si="48"/>
        <v>Alat Tulis Kantor (ATK)</v>
      </c>
      <c r="AA943" s="498" t="s">
        <v>3363</v>
      </c>
      <c r="AB943" s="499">
        <v>35400</v>
      </c>
      <c r="AC943" s="499">
        <v>70800</v>
      </c>
      <c r="AD943" s="496">
        <v>70800</v>
      </c>
      <c r="AE943" s="500">
        <v>63783.783783783787</v>
      </c>
      <c r="AF943" s="500">
        <v>70800</v>
      </c>
      <c r="AG943" s="805" t="s">
        <v>3883</v>
      </c>
      <c r="AH943" s="651">
        <f>Data2025!W942</f>
        <v>0</v>
      </c>
      <c r="AI943" s="61">
        <v>308</v>
      </c>
    </row>
    <row r="944" spans="1:35" ht="16.5" thickTop="1" thickBot="1">
      <c r="A944" s="636">
        <f>Data2025!G943</f>
        <v>0</v>
      </c>
      <c r="B944" s="637">
        <f>Data2025!K943</f>
        <v>0</v>
      </c>
      <c r="C944" s="638">
        <f>Data2025!D943</f>
        <v>0</v>
      </c>
      <c r="D944" s="639">
        <f>Data2025!C943</f>
        <v>0</v>
      </c>
      <c r="E944" s="265">
        <f>Data2025!E943</f>
        <v>0</v>
      </c>
      <c r="F944" s="640">
        <f>Data2025!F943</f>
        <v>0</v>
      </c>
      <c r="G944" s="265">
        <f>Data2025!H943</f>
        <v>0</v>
      </c>
      <c r="H944" s="265">
        <f t="shared" si="46"/>
        <v>0</v>
      </c>
      <c r="I944" s="641">
        <f>Data2025!J943</f>
        <v>0</v>
      </c>
      <c r="J944" s="381">
        <f>Data2025!L943</f>
        <v>0</v>
      </c>
      <c r="K944" s="381">
        <f>Data2025!M943</f>
        <v>0</v>
      </c>
      <c r="L944" s="642">
        <f>Data2025!N943</f>
        <v>0</v>
      </c>
      <c r="M944" s="642">
        <f>Data2025!O943</f>
        <v>0</v>
      </c>
      <c r="N944" s="643">
        <f>Data2025!P943</f>
        <v>0</v>
      </c>
      <c r="O944" s="644">
        <f>Data2025!Q943</f>
        <v>0</v>
      </c>
      <c r="P944" s="645" t="s">
        <v>710</v>
      </c>
      <c r="Q944" s="646" t="e">
        <f>VLOOKUP(K944,Sheet1!$C$1:$D$101,2,)</f>
        <v>#N/A</v>
      </c>
      <c r="R944" s="496">
        <v>240000</v>
      </c>
      <c r="S944" s="504">
        <v>256000</v>
      </c>
      <c r="T944" s="648">
        <f>Data2025!T943</f>
        <v>0</v>
      </c>
      <c r="U944" s="497" t="s">
        <v>538</v>
      </c>
      <c r="V944" s="648">
        <f>Data2025!V943</f>
        <v>0</v>
      </c>
      <c r="W944" s="648">
        <f>Data2025!X943</f>
        <v>0</v>
      </c>
      <c r="X944" s="497" t="s">
        <v>541</v>
      </c>
      <c r="Y944" s="268" t="str">
        <f t="shared" si="47"/>
        <v>Alat Tulis Kantor (ATK)</v>
      </c>
      <c r="Z944" s="649" t="str">
        <f t="shared" si="48"/>
        <v>Alat Tulis Kantor (ATK)</v>
      </c>
      <c r="AA944" s="498" t="s">
        <v>3367</v>
      </c>
      <c r="AB944" s="499">
        <v>30000</v>
      </c>
      <c r="AC944" s="499">
        <v>240000</v>
      </c>
      <c r="AD944" s="496">
        <v>240000</v>
      </c>
      <c r="AE944" s="500">
        <v>216216.21621621621</v>
      </c>
      <c r="AF944" s="500">
        <v>240000</v>
      </c>
      <c r="AG944" s="805" t="s">
        <v>3883</v>
      </c>
      <c r="AH944" s="651">
        <f>Data2025!W943</f>
        <v>0</v>
      </c>
      <c r="AI944" s="61">
        <v>308</v>
      </c>
    </row>
    <row r="945" spans="1:35" ht="16.5" thickTop="1" thickBot="1">
      <c r="A945" s="636">
        <f>Data2025!G944</f>
        <v>0</v>
      </c>
      <c r="B945" s="637">
        <f>Data2025!K944</f>
        <v>0</v>
      </c>
      <c r="C945" s="638">
        <f>Data2025!D944</f>
        <v>0</v>
      </c>
      <c r="D945" s="639">
        <f>Data2025!C944</f>
        <v>0</v>
      </c>
      <c r="E945" s="265">
        <f>Data2025!E944</f>
        <v>0</v>
      </c>
      <c r="F945" s="640">
        <f>Data2025!F944</f>
        <v>0</v>
      </c>
      <c r="G945" s="265">
        <f>Data2025!H944</f>
        <v>0</v>
      </c>
      <c r="H945" s="265">
        <f t="shared" si="46"/>
        <v>0</v>
      </c>
      <c r="I945" s="641">
        <f>Data2025!J944</f>
        <v>0</v>
      </c>
      <c r="J945" s="381">
        <f>Data2025!L944</f>
        <v>0</v>
      </c>
      <c r="K945" s="381">
        <f>Data2025!M944</f>
        <v>0</v>
      </c>
      <c r="L945" s="642">
        <f>Data2025!N944</f>
        <v>0</v>
      </c>
      <c r="M945" s="642">
        <f>Data2025!O944</f>
        <v>0</v>
      </c>
      <c r="N945" s="643">
        <f>Data2025!P944</f>
        <v>0</v>
      </c>
      <c r="O945" s="644">
        <f>Data2025!Q944</f>
        <v>0</v>
      </c>
      <c r="P945" s="645" t="s">
        <v>710</v>
      </c>
      <c r="Q945" s="646" t="e">
        <f>VLOOKUP(K945,Sheet1!$C$1:$D$101,2,)</f>
        <v>#N/A</v>
      </c>
      <c r="R945" s="496">
        <v>55000</v>
      </c>
      <c r="S945" s="504">
        <v>65000</v>
      </c>
      <c r="T945" s="648">
        <f>Data2025!T944</f>
        <v>0</v>
      </c>
      <c r="U945" s="497" t="s">
        <v>538</v>
      </c>
      <c r="V945" s="648">
        <f>Data2025!V944</f>
        <v>0</v>
      </c>
      <c r="W945" s="648">
        <f>Data2025!X944</f>
        <v>0</v>
      </c>
      <c r="X945" s="497" t="s">
        <v>541</v>
      </c>
      <c r="Y945" s="268" t="str">
        <f t="shared" si="47"/>
        <v>Alat Tulis Kantor (ATK)</v>
      </c>
      <c r="Z945" s="649" t="str">
        <f t="shared" si="48"/>
        <v>Alat Tulis Kantor (ATK)</v>
      </c>
      <c r="AA945" s="498" t="s">
        <v>3362</v>
      </c>
      <c r="AB945" s="499">
        <v>11000</v>
      </c>
      <c r="AC945" s="499">
        <v>55000</v>
      </c>
      <c r="AD945" s="496">
        <v>55000</v>
      </c>
      <c r="AE945" s="500">
        <v>49549.549549549549</v>
      </c>
      <c r="AF945" s="500">
        <v>55000</v>
      </c>
      <c r="AG945" s="805" t="s">
        <v>3883</v>
      </c>
      <c r="AH945" s="651">
        <f>Data2025!W944</f>
        <v>0</v>
      </c>
      <c r="AI945" s="61">
        <v>308</v>
      </c>
    </row>
    <row r="946" spans="1:35" ht="16.5" thickTop="1" thickBot="1">
      <c r="A946" s="636">
        <f>Data2025!G945</f>
        <v>0</v>
      </c>
      <c r="B946" s="637">
        <f>Data2025!K945</f>
        <v>0</v>
      </c>
      <c r="C946" s="638">
        <f>Data2025!D945</f>
        <v>0</v>
      </c>
      <c r="D946" s="639">
        <f>Data2025!C945</f>
        <v>0</v>
      </c>
      <c r="E946" s="265">
        <f>Data2025!E945</f>
        <v>0</v>
      </c>
      <c r="F946" s="640">
        <f>Data2025!F945</f>
        <v>0</v>
      </c>
      <c r="G946" s="265">
        <f>Data2025!H945</f>
        <v>0</v>
      </c>
      <c r="H946" s="265">
        <f t="shared" si="46"/>
        <v>0</v>
      </c>
      <c r="I946" s="641">
        <f>Data2025!J945</f>
        <v>0</v>
      </c>
      <c r="J946" s="381">
        <f>Data2025!L945</f>
        <v>0</v>
      </c>
      <c r="K946" s="381">
        <f>Data2025!M945</f>
        <v>0</v>
      </c>
      <c r="L946" s="642">
        <f>Data2025!N945</f>
        <v>0</v>
      </c>
      <c r="M946" s="642">
        <f>Data2025!O945</f>
        <v>0</v>
      </c>
      <c r="N946" s="643">
        <f>Data2025!P945</f>
        <v>0</v>
      </c>
      <c r="O946" s="644">
        <f>Data2025!Q945</f>
        <v>0</v>
      </c>
      <c r="P946" s="645" t="s">
        <v>710</v>
      </c>
      <c r="Q946" s="646" t="e">
        <f>VLOOKUP(K946,Sheet1!$C$1:$D$101,2,)</f>
        <v>#N/A</v>
      </c>
      <c r="R946" s="496">
        <v>240000</v>
      </c>
      <c r="S946" s="504">
        <v>244000</v>
      </c>
      <c r="T946" s="648">
        <f>Data2025!T945</f>
        <v>0</v>
      </c>
      <c r="U946" s="497" t="s">
        <v>538</v>
      </c>
      <c r="V946" s="648">
        <f>Data2025!V945</f>
        <v>0</v>
      </c>
      <c r="W946" s="648">
        <f>Data2025!X945</f>
        <v>0</v>
      </c>
      <c r="X946" s="497" t="s">
        <v>541</v>
      </c>
      <c r="Y946" s="268" t="str">
        <f t="shared" si="47"/>
        <v>Alat Tulis Kantor (ATK)</v>
      </c>
      <c r="Z946" s="649" t="str">
        <f t="shared" si="48"/>
        <v>Alat Tulis Kantor (ATK)</v>
      </c>
      <c r="AA946" s="498" t="s">
        <v>3364</v>
      </c>
      <c r="AB946" s="499">
        <v>120000</v>
      </c>
      <c r="AC946" s="499">
        <v>240000</v>
      </c>
      <c r="AD946" s="496">
        <v>240000</v>
      </c>
      <c r="AE946" s="500">
        <v>216216.21621621621</v>
      </c>
      <c r="AF946" s="500">
        <v>240000</v>
      </c>
      <c r="AG946" s="805" t="s">
        <v>3883</v>
      </c>
      <c r="AH946" s="651">
        <f>Data2025!W945</f>
        <v>0</v>
      </c>
      <c r="AI946" s="61">
        <v>308</v>
      </c>
    </row>
    <row r="947" spans="1:35" ht="16.5" thickTop="1" thickBot="1">
      <c r="A947" s="636">
        <f>Data2025!G946</f>
        <v>0</v>
      </c>
      <c r="B947" s="637">
        <f>Data2025!K946</f>
        <v>0</v>
      </c>
      <c r="C947" s="638">
        <f>Data2025!D946</f>
        <v>0</v>
      </c>
      <c r="D947" s="639">
        <f>Data2025!C946</f>
        <v>0</v>
      </c>
      <c r="E947" s="265">
        <f>Data2025!E946</f>
        <v>0</v>
      </c>
      <c r="F947" s="640">
        <f>Data2025!F946</f>
        <v>0</v>
      </c>
      <c r="G947" s="265">
        <f>Data2025!H946</f>
        <v>0</v>
      </c>
      <c r="H947" s="265">
        <f t="shared" si="46"/>
        <v>0</v>
      </c>
      <c r="I947" s="641">
        <f>Data2025!J946</f>
        <v>0</v>
      </c>
      <c r="J947" s="381">
        <f>Data2025!L946</f>
        <v>0</v>
      </c>
      <c r="K947" s="381">
        <f>Data2025!M946</f>
        <v>0</v>
      </c>
      <c r="L947" s="642">
        <f>Data2025!N946</f>
        <v>0</v>
      </c>
      <c r="M947" s="642">
        <f>Data2025!O946</f>
        <v>0</v>
      </c>
      <c r="N947" s="643">
        <f>Data2025!P946</f>
        <v>0</v>
      </c>
      <c r="O947" s="644">
        <f>Data2025!Q946</f>
        <v>0</v>
      </c>
      <c r="P947" s="645" t="s">
        <v>710</v>
      </c>
      <c r="Q947" s="646" t="e">
        <f>VLOOKUP(K947,Sheet1!$C$1:$D$101,2,)</f>
        <v>#N/A</v>
      </c>
      <c r="R947" s="496">
        <v>75000</v>
      </c>
      <c r="S947" s="504">
        <v>85000</v>
      </c>
      <c r="T947" s="648">
        <f>Data2025!T946</f>
        <v>0</v>
      </c>
      <c r="U947" s="497" t="s">
        <v>538</v>
      </c>
      <c r="V947" s="648">
        <f>Data2025!V946</f>
        <v>0</v>
      </c>
      <c r="W947" s="648">
        <f>Data2025!X946</f>
        <v>0</v>
      </c>
      <c r="X947" s="497" t="s">
        <v>541</v>
      </c>
      <c r="Y947" s="268" t="str">
        <f t="shared" si="47"/>
        <v>Alat Tulis Kantor (ATK)</v>
      </c>
      <c r="Z947" s="649" t="str">
        <f t="shared" si="48"/>
        <v>Alat Tulis Kantor (ATK)</v>
      </c>
      <c r="AA947" s="498" t="s">
        <v>3363</v>
      </c>
      <c r="AB947" s="499">
        <v>15000</v>
      </c>
      <c r="AC947" s="499">
        <v>75000</v>
      </c>
      <c r="AD947" s="496">
        <v>75000</v>
      </c>
      <c r="AE947" s="500">
        <v>67567.567567567574</v>
      </c>
      <c r="AF947" s="500">
        <v>75000</v>
      </c>
      <c r="AG947" s="805" t="s">
        <v>3883</v>
      </c>
      <c r="AH947" s="651">
        <f>Data2025!W946</f>
        <v>0</v>
      </c>
      <c r="AI947" s="61">
        <v>308</v>
      </c>
    </row>
    <row r="948" spans="1:35" ht="16.5" thickTop="1" thickBot="1">
      <c r="A948" s="636">
        <f>Data2025!G947</f>
        <v>0</v>
      </c>
      <c r="B948" s="637">
        <f>Data2025!K947</f>
        <v>0</v>
      </c>
      <c r="C948" s="638">
        <f>Data2025!D947</f>
        <v>0</v>
      </c>
      <c r="D948" s="639">
        <f>Data2025!C947</f>
        <v>0</v>
      </c>
      <c r="E948" s="265">
        <f>Data2025!E947</f>
        <v>0</v>
      </c>
      <c r="F948" s="640">
        <f>Data2025!F947</f>
        <v>0</v>
      </c>
      <c r="G948" s="265">
        <f>Data2025!H947</f>
        <v>0</v>
      </c>
      <c r="H948" s="265">
        <f t="shared" si="46"/>
        <v>0</v>
      </c>
      <c r="I948" s="641">
        <f>Data2025!J947</f>
        <v>0</v>
      </c>
      <c r="J948" s="381">
        <f>Data2025!L947</f>
        <v>0</v>
      </c>
      <c r="K948" s="381">
        <f>Data2025!M947</f>
        <v>0</v>
      </c>
      <c r="L948" s="642">
        <f>Data2025!N947</f>
        <v>0</v>
      </c>
      <c r="M948" s="642">
        <f>Data2025!O947</f>
        <v>0</v>
      </c>
      <c r="N948" s="643">
        <f>Data2025!P947</f>
        <v>0</v>
      </c>
      <c r="O948" s="644">
        <f>Data2025!Q947</f>
        <v>0</v>
      </c>
      <c r="P948" s="645" t="s">
        <v>710</v>
      </c>
      <c r="Q948" s="646" t="e">
        <f>VLOOKUP(K948,Sheet1!$C$1:$D$101,2,)</f>
        <v>#N/A</v>
      </c>
      <c r="R948" s="496">
        <v>87500</v>
      </c>
      <c r="S948" s="504">
        <v>89500</v>
      </c>
      <c r="T948" s="648">
        <f>Data2025!T947</f>
        <v>0</v>
      </c>
      <c r="U948" s="497" t="s">
        <v>538</v>
      </c>
      <c r="V948" s="648">
        <f>Data2025!V947</f>
        <v>0</v>
      </c>
      <c r="W948" s="648">
        <f>Data2025!X947</f>
        <v>0</v>
      </c>
      <c r="X948" s="497" t="s">
        <v>541</v>
      </c>
      <c r="Y948" s="268" t="str">
        <f t="shared" si="47"/>
        <v>Alat Tulis Kantor (ATK)</v>
      </c>
      <c r="Z948" s="649" t="str">
        <f t="shared" si="48"/>
        <v>Alat Tulis Kantor (ATK)</v>
      </c>
      <c r="AA948" s="498" t="s">
        <v>3370</v>
      </c>
      <c r="AB948" s="499">
        <v>87500</v>
      </c>
      <c r="AC948" s="499">
        <v>87500</v>
      </c>
      <c r="AD948" s="496">
        <v>87500</v>
      </c>
      <c r="AE948" s="500">
        <v>78828.828828828831</v>
      </c>
      <c r="AF948" s="500">
        <v>87500</v>
      </c>
      <c r="AG948" s="805" t="s">
        <v>3883</v>
      </c>
      <c r="AH948" s="651">
        <f>Data2025!W947</f>
        <v>0</v>
      </c>
      <c r="AI948" s="61">
        <v>308</v>
      </c>
    </row>
    <row r="949" spans="1:35" ht="16.5" thickTop="1" thickBot="1">
      <c r="A949" s="636">
        <f>Data2025!G948</f>
        <v>0</v>
      </c>
      <c r="B949" s="637">
        <f>Data2025!K948</f>
        <v>0</v>
      </c>
      <c r="C949" s="638">
        <f>Data2025!D948</f>
        <v>0</v>
      </c>
      <c r="D949" s="639">
        <f>Data2025!C948</f>
        <v>0</v>
      </c>
      <c r="E949" s="265">
        <f>Data2025!E948</f>
        <v>0</v>
      </c>
      <c r="F949" s="640">
        <f>Data2025!F948</f>
        <v>0</v>
      </c>
      <c r="G949" s="265">
        <f>Data2025!H948</f>
        <v>0</v>
      </c>
      <c r="H949" s="265">
        <f t="shared" si="46"/>
        <v>0</v>
      </c>
      <c r="I949" s="641">
        <f>Data2025!J948</f>
        <v>0</v>
      </c>
      <c r="J949" s="381">
        <f>Data2025!L948</f>
        <v>0</v>
      </c>
      <c r="K949" s="381">
        <f>Data2025!M948</f>
        <v>0</v>
      </c>
      <c r="L949" s="642">
        <f>Data2025!N948</f>
        <v>0</v>
      </c>
      <c r="M949" s="642">
        <f>Data2025!O948</f>
        <v>0</v>
      </c>
      <c r="N949" s="643">
        <f>Data2025!P948</f>
        <v>0</v>
      </c>
      <c r="O949" s="644">
        <f>Data2025!Q948</f>
        <v>0</v>
      </c>
      <c r="P949" s="645" t="s">
        <v>710</v>
      </c>
      <c r="Q949" s="646" t="e">
        <f>VLOOKUP(K949,Sheet1!$C$1:$D$101,2,)</f>
        <v>#N/A</v>
      </c>
      <c r="R949" s="496">
        <v>440000</v>
      </c>
      <c r="S949" s="504">
        <v>448000</v>
      </c>
      <c r="T949" s="648">
        <f>Data2025!T948</f>
        <v>0</v>
      </c>
      <c r="U949" s="497" t="s">
        <v>538</v>
      </c>
      <c r="V949" s="648">
        <f>Data2025!V948</f>
        <v>0</v>
      </c>
      <c r="W949" s="648">
        <f>Data2025!X948</f>
        <v>0</v>
      </c>
      <c r="X949" s="497" t="s">
        <v>541</v>
      </c>
      <c r="Y949" s="268" t="str">
        <f t="shared" si="47"/>
        <v>Alat Tulis Kantor (ATK)</v>
      </c>
      <c r="Z949" s="649" t="str">
        <f t="shared" si="48"/>
        <v>Alat Tulis Kantor (ATK)</v>
      </c>
      <c r="AA949" s="498" t="s">
        <v>3367</v>
      </c>
      <c r="AB949" s="499">
        <v>110000</v>
      </c>
      <c r="AC949" s="499">
        <v>440000</v>
      </c>
      <c r="AD949" s="496">
        <v>440000</v>
      </c>
      <c r="AE949" s="500">
        <v>396396.39639639639</v>
      </c>
      <c r="AF949" s="500">
        <v>440000</v>
      </c>
      <c r="AG949" s="805" t="s">
        <v>3883</v>
      </c>
      <c r="AH949" s="651">
        <f>Data2025!W948</f>
        <v>0</v>
      </c>
      <c r="AI949" s="61">
        <v>308</v>
      </c>
    </row>
    <row r="950" spans="1:35" ht="16.5" thickTop="1" thickBot="1">
      <c r="A950" s="636">
        <f>Data2025!G949</f>
        <v>0</v>
      </c>
      <c r="B950" s="637">
        <f>Data2025!K949</f>
        <v>0</v>
      </c>
      <c r="C950" s="638">
        <f>Data2025!D949</f>
        <v>0</v>
      </c>
      <c r="D950" s="639">
        <f>Data2025!C949</f>
        <v>0</v>
      </c>
      <c r="E950" s="265">
        <f>Data2025!E949</f>
        <v>0</v>
      </c>
      <c r="F950" s="640">
        <f>Data2025!F949</f>
        <v>0</v>
      </c>
      <c r="G950" s="265">
        <f>Data2025!H949</f>
        <v>0</v>
      </c>
      <c r="H950" s="265">
        <f t="shared" si="46"/>
        <v>0</v>
      </c>
      <c r="I950" s="641">
        <f>Data2025!J949</f>
        <v>0</v>
      </c>
      <c r="J950" s="381">
        <f>Data2025!L949</f>
        <v>0</v>
      </c>
      <c r="K950" s="381">
        <f>Data2025!M949</f>
        <v>0</v>
      </c>
      <c r="L950" s="642">
        <f>Data2025!N949</f>
        <v>0</v>
      </c>
      <c r="M950" s="642">
        <f>Data2025!O949</f>
        <v>0</v>
      </c>
      <c r="N950" s="643">
        <f>Data2025!P949</f>
        <v>0</v>
      </c>
      <c r="O950" s="644">
        <f>Data2025!Q949</f>
        <v>0</v>
      </c>
      <c r="P950" s="645" t="s">
        <v>710</v>
      </c>
      <c r="Q950" s="646" t="e">
        <f>VLOOKUP(K950,Sheet1!$C$1:$D$101,2,)</f>
        <v>#N/A</v>
      </c>
      <c r="R950" s="496">
        <v>80000</v>
      </c>
      <c r="S950" s="504">
        <v>84000</v>
      </c>
      <c r="T950" s="648">
        <f>Data2025!T949</f>
        <v>0</v>
      </c>
      <c r="U950" s="497" t="s">
        <v>538</v>
      </c>
      <c r="V950" s="648">
        <f>Data2025!V949</f>
        <v>0</v>
      </c>
      <c r="W950" s="648">
        <f>Data2025!X949</f>
        <v>0</v>
      </c>
      <c r="X950" s="497" t="s">
        <v>541</v>
      </c>
      <c r="Y950" s="268" t="str">
        <f t="shared" si="47"/>
        <v>Alat Tulis Kantor (ATK)</v>
      </c>
      <c r="Z950" s="649" t="str">
        <f t="shared" si="48"/>
        <v>Alat Tulis Kantor (ATK)</v>
      </c>
      <c r="AA950" s="498" t="s">
        <v>3362</v>
      </c>
      <c r="AB950" s="499">
        <v>40000</v>
      </c>
      <c r="AC950" s="499">
        <v>80000</v>
      </c>
      <c r="AD950" s="496">
        <v>80000</v>
      </c>
      <c r="AE950" s="500">
        <v>72072.072072072071</v>
      </c>
      <c r="AF950" s="500">
        <v>80000</v>
      </c>
      <c r="AG950" s="805" t="s">
        <v>3883</v>
      </c>
      <c r="AH950" s="651">
        <f>Data2025!W949</f>
        <v>0</v>
      </c>
      <c r="AI950" s="61">
        <v>308</v>
      </c>
    </row>
    <row r="951" spans="1:35" ht="16.5" thickTop="1" thickBot="1">
      <c r="A951" s="636">
        <f>Data2025!G950</f>
        <v>0</v>
      </c>
      <c r="B951" s="637">
        <f>Data2025!K950</f>
        <v>0</v>
      </c>
      <c r="C951" s="638">
        <f>Data2025!D950</f>
        <v>0</v>
      </c>
      <c r="D951" s="639">
        <f>Data2025!C950</f>
        <v>0</v>
      </c>
      <c r="E951" s="265">
        <f>Data2025!E950</f>
        <v>0</v>
      </c>
      <c r="F951" s="640">
        <f>Data2025!F950</f>
        <v>0</v>
      </c>
      <c r="G951" s="265">
        <f>Data2025!H950</f>
        <v>0</v>
      </c>
      <c r="H951" s="265">
        <f t="shared" si="46"/>
        <v>0</v>
      </c>
      <c r="I951" s="641">
        <f>Data2025!J950</f>
        <v>0</v>
      </c>
      <c r="J951" s="381">
        <f>Data2025!L950</f>
        <v>0</v>
      </c>
      <c r="K951" s="381">
        <f>Data2025!M950</f>
        <v>0</v>
      </c>
      <c r="L951" s="642">
        <f>Data2025!N950</f>
        <v>0</v>
      </c>
      <c r="M951" s="642">
        <f>Data2025!O950</f>
        <v>0</v>
      </c>
      <c r="N951" s="643">
        <f>Data2025!P950</f>
        <v>0</v>
      </c>
      <c r="O951" s="644">
        <f>Data2025!Q950</f>
        <v>0</v>
      </c>
      <c r="P951" s="645" t="s">
        <v>710</v>
      </c>
      <c r="Q951" s="646" t="e">
        <f>VLOOKUP(K951,Sheet1!$C$1:$D$101,2,)</f>
        <v>#N/A</v>
      </c>
      <c r="R951" s="496">
        <v>396000</v>
      </c>
      <c r="S951" s="504">
        <v>420000</v>
      </c>
      <c r="T951" s="648">
        <f>Data2025!T950</f>
        <v>0</v>
      </c>
      <c r="U951" s="497" t="s">
        <v>538</v>
      </c>
      <c r="V951" s="648">
        <f>Data2025!V950</f>
        <v>0</v>
      </c>
      <c r="W951" s="648">
        <f>Data2025!X950</f>
        <v>0</v>
      </c>
      <c r="X951" s="497" t="s">
        <v>541</v>
      </c>
      <c r="Y951" s="268" t="str">
        <f t="shared" si="47"/>
        <v>Alat Tulis Kantor (ATK)</v>
      </c>
      <c r="Z951" s="649" t="str">
        <f t="shared" si="48"/>
        <v>Alat Tulis Kantor (ATK)</v>
      </c>
      <c r="AA951" s="498" t="s">
        <v>3367</v>
      </c>
      <c r="AB951" s="499">
        <v>33000</v>
      </c>
      <c r="AC951" s="499">
        <v>396000</v>
      </c>
      <c r="AD951" s="496">
        <v>396000</v>
      </c>
      <c r="AE951" s="500">
        <v>356756.75675675675</v>
      </c>
      <c r="AF951" s="500">
        <v>396000</v>
      </c>
      <c r="AG951" s="805" t="s">
        <v>3883</v>
      </c>
      <c r="AH951" s="651">
        <f>Data2025!W950</f>
        <v>0</v>
      </c>
      <c r="AI951" s="61">
        <v>308</v>
      </c>
    </row>
    <row r="952" spans="1:35" ht="16.5" thickTop="1" thickBot="1">
      <c r="A952" s="636">
        <f>Data2025!G951</f>
        <v>0</v>
      </c>
      <c r="B952" s="637">
        <f>Data2025!K951</f>
        <v>0</v>
      </c>
      <c r="C952" s="638">
        <f>Data2025!D951</f>
        <v>0</v>
      </c>
      <c r="D952" s="639">
        <f>Data2025!C951</f>
        <v>0</v>
      </c>
      <c r="E952" s="265">
        <f>Data2025!E951</f>
        <v>0</v>
      </c>
      <c r="F952" s="640">
        <f>Data2025!F951</f>
        <v>0</v>
      </c>
      <c r="G952" s="265">
        <f>Data2025!H951</f>
        <v>0</v>
      </c>
      <c r="H952" s="265">
        <f t="shared" si="46"/>
        <v>0</v>
      </c>
      <c r="I952" s="641">
        <f>Data2025!J951</f>
        <v>0</v>
      </c>
      <c r="J952" s="381">
        <f>Data2025!L951</f>
        <v>0</v>
      </c>
      <c r="K952" s="381">
        <f>Data2025!M951</f>
        <v>0</v>
      </c>
      <c r="L952" s="642">
        <f>Data2025!N951</f>
        <v>0</v>
      </c>
      <c r="M952" s="642">
        <f>Data2025!O951</f>
        <v>0</v>
      </c>
      <c r="N952" s="643">
        <f>Data2025!P951</f>
        <v>0</v>
      </c>
      <c r="O952" s="644">
        <f>Data2025!Q951</f>
        <v>0</v>
      </c>
      <c r="P952" s="645" t="s">
        <v>710</v>
      </c>
      <c r="Q952" s="646" t="e">
        <f>VLOOKUP(K952,Sheet1!$C$1:$D$101,2,)</f>
        <v>#N/A</v>
      </c>
      <c r="R952" s="496">
        <v>125000</v>
      </c>
      <c r="S952" s="504">
        <v>135000</v>
      </c>
      <c r="T952" s="648">
        <f>Data2025!T951</f>
        <v>0</v>
      </c>
      <c r="U952" s="497" t="s">
        <v>538</v>
      </c>
      <c r="V952" s="648">
        <f>Data2025!V951</f>
        <v>0</v>
      </c>
      <c r="W952" s="648">
        <f>Data2025!X951</f>
        <v>0</v>
      </c>
      <c r="X952" s="497" t="s">
        <v>541</v>
      </c>
      <c r="Y952" s="268" t="str">
        <f t="shared" si="47"/>
        <v>Alat Tulis Kantor (ATK)</v>
      </c>
      <c r="Z952" s="649" t="str">
        <f t="shared" si="48"/>
        <v>Alat Tulis Kantor (ATK)</v>
      </c>
      <c r="AA952" s="498" t="s">
        <v>3368</v>
      </c>
      <c r="AB952" s="499">
        <v>25000</v>
      </c>
      <c r="AC952" s="499">
        <v>125000</v>
      </c>
      <c r="AD952" s="496">
        <v>125000</v>
      </c>
      <c r="AE952" s="500">
        <v>112612.61261261262</v>
      </c>
      <c r="AF952" s="500">
        <v>125000</v>
      </c>
      <c r="AG952" s="805" t="s">
        <v>3883</v>
      </c>
      <c r="AH952" s="651">
        <f>Data2025!W951</f>
        <v>0</v>
      </c>
      <c r="AI952" s="61">
        <v>308</v>
      </c>
    </row>
    <row r="953" spans="1:35" ht="16.5" thickTop="1" thickBot="1">
      <c r="A953" s="636">
        <f>Data2025!G952</f>
        <v>0</v>
      </c>
      <c r="B953" s="637">
        <f>Data2025!K952</f>
        <v>0</v>
      </c>
      <c r="C953" s="638">
        <f>Data2025!D952</f>
        <v>0</v>
      </c>
      <c r="D953" s="639">
        <f>Data2025!C952</f>
        <v>0</v>
      </c>
      <c r="E953" s="265">
        <f>Data2025!E952</f>
        <v>0</v>
      </c>
      <c r="F953" s="640">
        <f>Data2025!F952</f>
        <v>0</v>
      </c>
      <c r="G953" s="265">
        <f>Data2025!H952</f>
        <v>0</v>
      </c>
      <c r="H953" s="265">
        <f t="shared" si="46"/>
        <v>0</v>
      </c>
      <c r="I953" s="641">
        <f>Data2025!J952</f>
        <v>0</v>
      </c>
      <c r="J953" s="381">
        <f>Data2025!L952</f>
        <v>0</v>
      </c>
      <c r="K953" s="381">
        <f>Data2025!M952</f>
        <v>0</v>
      </c>
      <c r="L953" s="642">
        <f>Data2025!N952</f>
        <v>0</v>
      </c>
      <c r="M953" s="642">
        <f>Data2025!O952</f>
        <v>0</v>
      </c>
      <c r="N953" s="643">
        <f>Data2025!P952</f>
        <v>0</v>
      </c>
      <c r="O953" s="644">
        <f>Data2025!Q952</f>
        <v>0</v>
      </c>
      <c r="P953" s="645" t="s">
        <v>710</v>
      </c>
      <c r="Q953" s="646" t="e">
        <f>VLOOKUP(K953,Sheet1!$C$1:$D$101,2,)</f>
        <v>#N/A</v>
      </c>
      <c r="R953" s="496">
        <v>209000</v>
      </c>
      <c r="S953" s="504">
        <v>229000</v>
      </c>
      <c r="T953" s="648">
        <f>Data2025!T952</f>
        <v>0</v>
      </c>
      <c r="U953" s="497" t="s">
        <v>538</v>
      </c>
      <c r="V953" s="648">
        <f>Data2025!V952</f>
        <v>0</v>
      </c>
      <c r="W953" s="648">
        <f>Data2025!X952</f>
        <v>0</v>
      </c>
      <c r="X953" s="497" t="s">
        <v>541</v>
      </c>
      <c r="Y953" s="268" t="str">
        <f t="shared" si="47"/>
        <v>Alat Tulis Kantor (ATK)</v>
      </c>
      <c r="Z953" s="649" t="str">
        <f t="shared" si="48"/>
        <v>Alat Tulis Kantor (ATK)</v>
      </c>
      <c r="AA953" s="498" t="s">
        <v>3363</v>
      </c>
      <c r="AB953" s="499">
        <v>20900</v>
      </c>
      <c r="AC953" s="499">
        <v>209000</v>
      </c>
      <c r="AD953" s="496">
        <v>209000</v>
      </c>
      <c r="AE953" s="500">
        <v>188288.28828828828</v>
      </c>
      <c r="AF953" s="500">
        <v>209000</v>
      </c>
      <c r="AG953" s="805" t="s">
        <v>3883</v>
      </c>
      <c r="AH953" s="651">
        <f>Data2025!W952</f>
        <v>0</v>
      </c>
      <c r="AI953" s="61">
        <v>308</v>
      </c>
    </row>
    <row r="954" spans="1:35" ht="16.5" thickTop="1" thickBot="1">
      <c r="A954" s="636">
        <f>Data2025!G953</f>
        <v>0</v>
      </c>
      <c r="B954" s="637">
        <f>Data2025!K953</f>
        <v>0</v>
      </c>
      <c r="C954" s="638">
        <f>Data2025!D953</f>
        <v>0</v>
      </c>
      <c r="D954" s="639">
        <f>Data2025!C953</f>
        <v>0</v>
      </c>
      <c r="E954" s="265">
        <f>Data2025!E953</f>
        <v>0</v>
      </c>
      <c r="F954" s="640">
        <f>Data2025!F953</f>
        <v>0</v>
      </c>
      <c r="G954" s="265">
        <f>Data2025!H953</f>
        <v>0</v>
      </c>
      <c r="H954" s="265">
        <f t="shared" si="46"/>
        <v>0</v>
      </c>
      <c r="I954" s="641">
        <f>Data2025!J953</f>
        <v>0</v>
      </c>
      <c r="J954" s="381">
        <f>Data2025!L953</f>
        <v>0</v>
      </c>
      <c r="K954" s="381">
        <f>Data2025!M953</f>
        <v>0</v>
      </c>
      <c r="L954" s="642">
        <f>Data2025!N953</f>
        <v>0</v>
      </c>
      <c r="M954" s="642">
        <f>Data2025!O953</f>
        <v>0</v>
      </c>
      <c r="N954" s="643">
        <f>Data2025!P953</f>
        <v>0</v>
      </c>
      <c r="O954" s="644">
        <f>Data2025!Q953</f>
        <v>0</v>
      </c>
      <c r="P954" s="645" t="s">
        <v>710</v>
      </c>
      <c r="Q954" s="646" t="e">
        <f>VLOOKUP(K954,Sheet1!$C$1:$D$101,2,)</f>
        <v>#N/A</v>
      </c>
      <c r="R954" s="496">
        <v>440000</v>
      </c>
      <c r="S954" s="504">
        <v>448000</v>
      </c>
      <c r="T954" s="648">
        <f>Data2025!T953</f>
        <v>0</v>
      </c>
      <c r="U954" s="497" t="s">
        <v>538</v>
      </c>
      <c r="V954" s="648">
        <f>Data2025!V953</f>
        <v>0</v>
      </c>
      <c r="W954" s="648">
        <f>Data2025!X953</f>
        <v>0</v>
      </c>
      <c r="X954" s="497" t="s">
        <v>541</v>
      </c>
      <c r="Y954" s="268" t="str">
        <f t="shared" si="47"/>
        <v>Alat Tulis Kantor (ATK)</v>
      </c>
      <c r="Z954" s="649" t="str">
        <f t="shared" si="48"/>
        <v>Alat Tulis Kantor (ATK)</v>
      </c>
      <c r="AA954" s="498" t="s">
        <v>3367</v>
      </c>
      <c r="AB954" s="499">
        <v>110000</v>
      </c>
      <c r="AC954" s="499">
        <v>440000</v>
      </c>
      <c r="AD954" s="496">
        <v>440000</v>
      </c>
      <c r="AE954" s="500">
        <v>396396.39639639639</v>
      </c>
      <c r="AF954" s="500">
        <v>440000</v>
      </c>
      <c r="AG954" s="805" t="s">
        <v>3883</v>
      </c>
      <c r="AH954" s="651">
        <f>Data2025!W953</f>
        <v>0</v>
      </c>
      <c r="AI954" s="61">
        <v>308</v>
      </c>
    </row>
    <row r="955" spans="1:35" ht="16.5" thickTop="1" thickBot="1">
      <c r="A955" s="636">
        <f>Data2025!G954</f>
        <v>0</v>
      </c>
      <c r="B955" s="637">
        <f>Data2025!K954</f>
        <v>0</v>
      </c>
      <c r="C955" s="638">
        <f>Data2025!D954</f>
        <v>0</v>
      </c>
      <c r="D955" s="639">
        <f>Data2025!C954</f>
        <v>0</v>
      </c>
      <c r="E955" s="265">
        <f>Data2025!E954</f>
        <v>0</v>
      </c>
      <c r="F955" s="640">
        <f>Data2025!F954</f>
        <v>0</v>
      </c>
      <c r="G955" s="265">
        <f>Data2025!H954</f>
        <v>0</v>
      </c>
      <c r="H955" s="265">
        <f t="shared" si="46"/>
        <v>0</v>
      </c>
      <c r="I955" s="641">
        <f>Data2025!J954</f>
        <v>0</v>
      </c>
      <c r="J955" s="381">
        <f>Data2025!L954</f>
        <v>0</v>
      </c>
      <c r="K955" s="381">
        <f>Data2025!M954</f>
        <v>0</v>
      </c>
      <c r="L955" s="642">
        <f>Data2025!N954</f>
        <v>0</v>
      </c>
      <c r="M955" s="642">
        <f>Data2025!O954</f>
        <v>0</v>
      </c>
      <c r="N955" s="643">
        <f>Data2025!P954</f>
        <v>0</v>
      </c>
      <c r="O955" s="644">
        <f>Data2025!Q954</f>
        <v>0</v>
      </c>
      <c r="P955" s="645" t="s">
        <v>710</v>
      </c>
      <c r="Q955" s="646" t="e">
        <f>VLOOKUP(K955,Sheet1!$C$1:$D$101,2,)</f>
        <v>#N/A</v>
      </c>
      <c r="R955" s="496">
        <v>485000</v>
      </c>
      <c r="S955" s="504">
        <v>505000</v>
      </c>
      <c r="T955" s="648">
        <f>Data2025!T954</f>
        <v>0</v>
      </c>
      <c r="U955" s="497" t="s">
        <v>538</v>
      </c>
      <c r="V955" s="648">
        <f>Data2025!V954</f>
        <v>0</v>
      </c>
      <c r="W955" s="648">
        <f>Data2025!X954</f>
        <v>0</v>
      </c>
      <c r="X955" s="497" t="s">
        <v>541</v>
      </c>
      <c r="Y955" s="268" t="str">
        <f t="shared" si="47"/>
        <v>Alat Tulis Kantor (ATK)</v>
      </c>
      <c r="Z955" s="649" t="str">
        <f t="shared" si="48"/>
        <v>Alat Tulis Kantor (ATK)</v>
      </c>
      <c r="AA955" s="498" t="s">
        <v>3369</v>
      </c>
      <c r="AB955" s="499">
        <v>48500</v>
      </c>
      <c r="AC955" s="499">
        <v>485000</v>
      </c>
      <c r="AD955" s="496">
        <v>485000</v>
      </c>
      <c r="AE955" s="500">
        <v>436936.93693693692</v>
      </c>
      <c r="AF955" s="500">
        <v>485000</v>
      </c>
      <c r="AG955" s="805" t="s">
        <v>3883</v>
      </c>
      <c r="AH955" s="651">
        <f>Data2025!W954</f>
        <v>0</v>
      </c>
      <c r="AI955" s="61">
        <v>308</v>
      </c>
    </row>
    <row r="956" spans="1:35" ht="16.5" thickTop="1" thickBot="1">
      <c r="A956" s="636">
        <f>Data2025!G955</f>
        <v>0</v>
      </c>
      <c r="B956" s="637">
        <f>Data2025!K955</f>
        <v>0</v>
      </c>
      <c r="C956" s="638">
        <f>Data2025!D955</f>
        <v>0</v>
      </c>
      <c r="D956" s="639">
        <f>Data2025!C955</f>
        <v>0</v>
      </c>
      <c r="E956" s="265">
        <f>Data2025!E955</f>
        <v>0</v>
      </c>
      <c r="F956" s="640">
        <f>Data2025!F955</f>
        <v>0</v>
      </c>
      <c r="G956" s="265">
        <f>Data2025!H955</f>
        <v>0</v>
      </c>
      <c r="H956" s="265">
        <f t="shared" si="46"/>
        <v>0</v>
      </c>
      <c r="I956" s="641">
        <f>Data2025!J955</f>
        <v>0</v>
      </c>
      <c r="J956" s="381">
        <f>Data2025!L955</f>
        <v>0</v>
      </c>
      <c r="K956" s="381">
        <f>Data2025!M955</f>
        <v>0</v>
      </c>
      <c r="L956" s="642">
        <f>Data2025!N955</f>
        <v>0</v>
      </c>
      <c r="M956" s="642">
        <f>Data2025!O955</f>
        <v>0</v>
      </c>
      <c r="N956" s="643">
        <f>Data2025!P955</f>
        <v>0</v>
      </c>
      <c r="O956" s="644">
        <f>Data2025!Q955</f>
        <v>0</v>
      </c>
      <c r="P956" s="645" t="s">
        <v>710</v>
      </c>
      <c r="Q956" s="646" t="e">
        <f>VLOOKUP(K956,Sheet1!$C$1:$D$101,2,)</f>
        <v>#N/A</v>
      </c>
      <c r="R956" s="496">
        <v>325000</v>
      </c>
      <c r="S956" s="504">
        <v>335000</v>
      </c>
      <c r="T956" s="648">
        <f>Data2025!T955</f>
        <v>0</v>
      </c>
      <c r="U956" s="497" t="s">
        <v>538</v>
      </c>
      <c r="V956" s="648">
        <f>Data2025!V955</f>
        <v>0</v>
      </c>
      <c r="W956" s="648">
        <f>Data2025!X955</f>
        <v>0</v>
      </c>
      <c r="X956" s="497" t="s">
        <v>541</v>
      </c>
      <c r="Y956" s="268" t="str">
        <f t="shared" si="47"/>
        <v>Alat Tulis Kantor (ATK)</v>
      </c>
      <c r="Z956" s="649" t="str">
        <f t="shared" si="48"/>
        <v>Alat Tulis Kantor (ATK)</v>
      </c>
      <c r="AA956" s="498" t="s">
        <v>3365</v>
      </c>
      <c r="AB956" s="499">
        <v>65000</v>
      </c>
      <c r="AC956" s="499">
        <v>325000</v>
      </c>
      <c r="AD956" s="496">
        <v>325000</v>
      </c>
      <c r="AE956" s="500">
        <v>292792.79279279278</v>
      </c>
      <c r="AF956" s="500">
        <v>325000</v>
      </c>
      <c r="AG956" s="805" t="s">
        <v>3883</v>
      </c>
      <c r="AH956" s="651">
        <f>Data2025!W955</f>
        <v>0</v>
      </c>
      <c r="AI956" s="61">
        <v>308</v>
      </c>
    </row>
    <row r="957" spans="1:35" ht="16.5" thickTop="1" thickBot="1">
      <c r="A957" s="636">
        <f>Data2025!G956</f>
        <v>0</v>
      </c>
      <c r="B957" s="637">
        <f>Data2025!K956</f>
        <v>0</v>
      </c>
      <c r="C957" s="638">
        <f>Data2025!D956</f>
        <v>0</v>
      </c>
      <c r="D957" s="639">
        <f>Data2025!C956</f>
        <v>0</v>
      </c>
      <c r="E957" s="265">
        <f>Data2025!E956</f>
        <v>0</v>
      </c>
      <c r="F957" s="640">
        <f>Data2025!F956</f>
        <v>0</v>
      </c>
      <c r="G957" s="265">
        <f>Data2025!H956</f>
        <v>0</v>
      </c>
      <c r="H957" s="265">
        <f t="shared" si="46"/>
        <v>0</v>
      </c>
      <c r="I957" s="641">
        <f>Data2025!J956</f>
        <v>0</v>
      </c>
      <c r="J957" s="381">
        <f>Data2025!L956</f>
        <v>0</v>
      </c>
      <c r="K957" s="381">
        <f>Data2025!M956</f>
        <v>0</v>
      </c>
      <c r="L957" s="642">
        <f>Data2025!N956</f>
        <v>0</v>
      </c>
      <c r="M957" s="642">
        <f>Data2025!O956</f>
        <v>0</v>
      </c>
      <c r="N957" s="643">
        <f>Data2025!P956</f>
        <v>0</v>
      </c>
      <c r="O957" s="644">
        <f>Data2025!Q956</f>
        <v>0</v>
      </c>
      <c r="P957" s="645" t="s">
        <v>710</v>
      </c>
      <c r="Q957" s="646" t="e">
        <f>VLOOKUP(K957,Sheet1!$C$1:$D$101,2,)</f>
        <v>#N/A</v>
      </c>
      <c r="R957" s="496">
        <v>48000</v>
      </c>
      <c r="S957" s="504">
        <v>50000</v>
      </c>
      <c r="T957" s="648">
        <f>Data2025!T956</f>
        <v>0</v>
      </c>
      <c r="U957" s="497" t="s">
        <v>538</v>
      </c>
      <c r="V957" s="648">
        <f>Data2025!V956</f>
        <v>0</v>
      </c>
      <c r="W957" s="648">
        <f>Data2025!X956</f>
        <v>0</v>
      </c>
      <c r="X957" s="497" t="s">
        <v>541</v>
      </c>
      <c r="Y957" s="268" t="str">
        <f t="shared" si="47"/>
        <v>Alat Tulis Kantor (ATK)</v>
      </c>
      <c r="Z957" s="649" t="str">
        <f t="shared" si="48"/>
        <v>Alat Tulis Kantor (ATK)</v>
      </c>
      <c r="AA957" s="498" t="s">
        <v>3362</v>
      </c>
      <c r="AB957" s="499">
        <v>48000</v>
      </c>
      <c r="AC957" s="499">
        <v>48000</v>
      </c>
      <c r="AD957" s="496">
        <v>48000</v>
      </c>
      <c r="AE957" s="500">
        <v>43243.243243243247</v>
      </c>
      <c r="AF957" s="500">
        <v>48000</v>
      </c>
      <c r="AG957" s="805" t="s">
        <v>3883</v>
      </c>
      <c r="AH957" s="651">
        <f>Data2025!W956</f>
        <v>0</v>
      </c>
      <c r="AI957" s="61">
        <v>308</v>
      </c>
    </row>
    <row r="958" spans="1:35" ht="16.5" thickTop="1" thickBot="1">
      <c r="A958" s="636">
        <f>Data2025!G957</f>
        <v>0</v>
      </c>
      <c r="B958" s="637">
        <f>Data2025!K957</f>
        <v>0</v>
      </c>
      <c r="C958" s="638">
        <f>Data2025!D957</f>
        <v>0</v>
      </c>
      <c r="D958" s="639">
        <f>Data2025!C957</f>
        <v>0</v>
      </c>
      <c r="E958" s="265">
        <f>Data2025!E957</f>
        <v>0</v>
      </c>
      <c r="F958" s="640">
        <f>Data2025!F957</f>
        <v>0</v>
      </c>
      <c r="G958" s="265">
        <f>Data2025!H957</f>
        <v>0</v>
      </c>
      <c r="H958" s="265">
        <f t="shared" si="46"/>
        <v>0</v>
      </c>
      <c r="I958" s="641">
        <f>Data2025!J957</f>
        <v>0</v>
      </c>
      <c r="J958" s="381">
        <f>Data2025!L957</f>
        <v>0</v>
      </c>
      <c r="K958" s="381">
        <f>Data2025!M957</f>
        <v>0</v>
      </c>
      <c r="L958" s="642">
        <f>Data2025!N957</f>
        <v>0</v>
      </c>
      <c r="M958" s="642">
        <f>Data2025!O957</f>
        <v>0</v>
      </c>
      <c r="N958" s="643">
        <f>Data2025!P957</f>
        <v>0</v>
      </c>
      <c r="O958" s="644">
        <f>Data2025!Q957</f>
        <v>0</v>
      </c>
      <c r="P958" s="645" t="s">
        <v>710</v>
      </c>
      <c r="Q958" s="646" t="e">
        <f>VLOOKUP(K958,Sheet1!$C$1:$D$101,2,)</f>
        <v>#N/A</v>
      </c>
      <c r="R958" s="496">
        <v>300000</v>
      </c>
      <c r="S958" s="504">
        <v>310000</v>
      </c>
      <c r="T958" s="648">
        <f>Data2025!T957</f>
        <v>0</v>
      </c>
      <c r="U958" s="497" t="s">
        <v>538</v>
      </c>
      <c r="V958" s="648">
        <f>Data2025!V957</f>
        <v>0</v>
      </c>
      <c r="W958" s="648">
        <f>Data2025!X957</f>
        <v>0</v>
      </c>
      <c r="X958" s="497" t="s">
        <v>541</v>
      </c>
      <c r="Y958" s="268" t="str">
        <f t="shared" si="47"/>
        <v>Alat Tulis Kantor (ATK)</v>
      </c>
      <c r="Z958" s="649" t="str">
        <f t="shared" si="48"/>
        <v>Alat Tulis Kantor (ATK)</v>
      </c>
      <c r="AA958" s="498" t="s">
        <v>3365</v>
      </c>
      <c r="AB958" s="499">
        <v>60000</v>
      </c>
      <c r="AC958" s="499">
        <v>300000</v>
      </c>
      <c r="AD958" s="496">
        <v>300000</v>
      </c>
      <c r="AE958" s="500">
        <v>270270.2702702703</v>
      </c>
      <c r="AF958" s="500">
        <v>300000</v>
      </c>
      <c r="AG958" s="805" t="s">
        <v>3883</v>
      </c>
      <c r="AH958" s="651">
        <f>Data2025!W957</f>
        <v>0</v>
      </c>
      <c r="AI958" s="61">
        <v>308</v>
      </c>
    </row>
    <row r="959" spans="1:35" ht="16.5" thickTop="1" thickBot="1">
      <c r="A959" s="636">
        <f>Data2025!G958</f>
        <v>0</v>
      </c>
      <c r="B959" s="637">
        <f>Data2025!K958</f>
        <v>0</v>
      </c>
      <c r="C959" s="638">
        <f>Data2025!D958</f>
        <v>0</v>
      </c>
      <c r="D959" s="639">
        <f>Data2025!C958</f>
        <v>0</v>
      </c>
      <c r="E959" s="265">
        <f>Data2025!E958</f>
        <v>0</v>
      </c>
      <c r="F959" s="640">
        <f>Data2025!F958</f>
        <v>0</v>
      </c>
      <c r="G959" s="265">
        <f>Data2025!H958</f>
        <v>0</v>
      </c>
      <c r="H959" s="265">
        <f t="shared" si="46"/>
        <v>0</v>
      </c>
      <c r="I959" s="641">
        <f>Data2025!J958</f>
        <v>0</v>
      </c>
      <c r="J959" s="381">
        <f>Data2025!L958</f>
        <v>0</v>
      </c>
      <c r="K959" s="381">
        <f>Data2025!M958</f>
        <v>0</v>
      </c>
      <c r="L959" s="642">
        <f>Data2025!N958</f>
        <v>0</v>
      </c>
      <c r="M959" s="642">
        <f>Data2025!O958</f>
        <v>0</v>
      </c>
      <c r="N959" s="643">
        <f>Data2025!P958</f>
        <v>0</v>
      </c>
      <c r="O959" s="644">
        <f>Data2025!Q958</f>
        <v>0</v>
      </c>
      <c r="P959" s="645" t="s">
        <v>710</v>
      </c>
      <c r="Q959" s="646" t="e">
        <f>VLOOKUP(K959,Sheet1!$C$1:$D$101,2,)</f>
        <v>#N/A</v>
      </c>
      <c r="R959" s="496">
        <v>50000</v>
      </c>
      <c r="S959" s="504">
        <v>54000</v>
      </c>
      <c r="T959" s="648">
        <f>Data2025!T958</f>
        <v>0</v>
      </c>
      <c r="U959" s="497" t="s">
        <v>538</v>
      </c>
      <c r="V959" s="648">
        <f>Data2025!V958</f>
        <v>0</v>
      </c>
      <c r="W959" s="648">
        <f>Data2025!X958</f>
        <v>0</v>
      </c>
      <c r="X959" s="497" t="s">
        <v>541</v>
      </c>
      <c r="Y959" s="268" t="str">
        <f t="shared" si="47"/>
        <v>Alat Tulis Kantor (ATK)</v>
      </c>
      <c r="Z959" s="649" t="str">
        <f t="shared" si="48"/>
        <v>Alat Tulis Kantor (ATK)</v>
      </c>
      <c r="AA959" s="498" t="s">
        <v>3363</v>
      </c>
      <c r="AB959" s="499">
        <v>25000</v>
      </c>
      <c r="AC959" s="499">
        <v>50000</v>
      </c>
      <c r="AD959" s="496">
        <v>50000</v>
      </c>
      <c r="AE959" s="500">
        <v>45045.045045045044</v>
      </c>
      <c r="AF959" s="500">
        <v>50000</v>
      </c>
      <c r="AG959" s="805" t="s">
        <v>3883</v>
      </c>
      <c r="AH959" s="651">
        <f>Data2025!W958</f>
        <v>0</v>
      </c>
      <c r="AI959" s="61">
        <v>308</v>
      </c>
    </row>
    <row r="960" spans="1:35" ht="16.5" thickTop="1" thickBot="1">
      <c r="A960" s="636">
        <f>Data2025!G959</f>
        <v>0</v>
      </c>
      <c r="B960" s="637">
        <f>Data2025!K959</f>
        <v>0</v>
      </c>
      <c r="C960" s="638">
        <f>Data2025!D959</f>
        <v>0</v>
      </c>
      <c r="D960" s="639">
        <f>Data2025!C959</f>
        <v>0</v>
      </c>
      <c r="E960" s="265">
        <f>Data2025!E959</f>
        <v>0</v>
      </c>
      <c r="F960" s="640">
        <f>Data2025!F959</f>
        <v>0</v>
      </c>
      <c r="G960" s="265">
        <f>Data2025!H959</f>
        <v>0</v>
      </c>
      <c r="H960" s="265">
        <f t="shared" si="46"/>
        <v>0</v>
      </c>
      <c r="I960" s="641">
        <f>Data2025!J959</f>
        <v>0</v>
      </c>
      <c r="J960" s="381">
        <f>Data2025!L959</f>
        <v>0</v>
      </c>
      <c r="K960" s="381">
        <f>Data2025!M959</f>
        <v>0</v>
      </c>
      <c r="L960" s="642">
        <f>Data2025!N959</f>
        <v>0</v>
      </c>
      <c r="M960" s="642">
        <f>Data2025!O959</f>
        <v>0</v>
      </c>
      <c r="N960" s="643">
        <f>Data2025!P959</f>
        <v>0</v>
      </c>
      <c r="O960" s="644">
        <f>Data2025!Q959</f>
        <v>0</v>
      </c>
      <c r="P960" s="645" t="s">
        <v>710</v>
      </c>
      <c r="Q960" s="646" t="e">
        <f>VLOOKUP(K960,Sheet1!$C$1:$D$101,2,)</f>
        <v>#N/A</v>
      </c>
      <c r="R960" s="496">
        <v>550000</v>
      </c>
      <c r="S960" s="504">
        <v>750000</v>
      </c>
      <c r="T960" s="648">
        <f>Data2025!T959</f>
        <v>0</v>
      </c>
      <c r="U960" s="497" t="s">
        <v>538</v>
      </c>
      <c r="V960" s="648">
        <f>Data2025!V959</f>
        <v>0</v>
      </c>
      <c r="W960" s="648">
        <f>Data2025!X959</f>
        <v>0</v>
      </c>
      <c r="X960" s="497" t="s">
        <v>541</v>
      </c>
      <c r="Y960" s="268" t="str">
        <f t="shared" si="47"/>
        <v>Alat Tulis Kantor (ATK)</v>
      </c>
      <c r="Z960" s="649" t="str">
        <f t="shared" si="48"/>
        <v>Alat Tulis Kantor (ATK)</v>
      </c>
      <c r="AA960" s="498" t="s">
        <v>3363</v>
      </c>
      <c r="AB960" s="499">
        <v>5500</v>
      </c>
      <c r="AC960" s="499">
        <v>550000</v>
      </c>
      <c r="AD960" s="496">
        <v>550000</v>
      </c>
      <c r="AE960" s="500">
        <v>495495.4954954955</v>
      </c>
      <c r="AF960" s="500">
        <v>550000</v>
      </c>
      <c r="AG960" s="805" t="s">
        <v>3883</v>
      </c>
      <c r="AH960" s="651">
        <f>Data2025!W959</f>
        <v>0</v>
      </c>
      <c r="AI960" s="61">
        <v>308</v>
      </c>
    </row>
    <row r="961" spans="1:35" ht="16.5" thickTop="1" thickBot="1">
      <c r="A961" s="636">
        <f>Data2025!G960</f>
        <v>0</v>
      </c>
      <c r="B961" s="637">
        <f>Data2025!K960</f>
        <v>0</v>
      </c>
      <c r="C961" s="638">
        <f>Data2025!D960</f>
        <v>0</v>
      </c>
      <c r="D961" s="639">
        <f>Data2025!C960</f>
        <v>0</v>
      </c>
      <c r="E961" s="265">
        <f>Data2025!E960</f>
        <v>0</v>
      </c>
      <c r="F961" s="640">
        <f>Data2025!F960</f>
        <v>0</v>
      </c>
      <c r="G961" s="265">
        <f>Data2025!H960</f>
        <v>0</v>
      </c>
      <c r="H961" s="265">
        <f t="shared" si="46"/>
        <v>0</v>
      </c>
      <c r="I961" s="641">
        <f>Data2025!J960</f>
        <v>0</v>
      </c>
      <c r="J961" s="381">
        <f>Data2025!L960</f>
        <v>0</v>
      </c>
      <c r="K961" s="381">
        <f>Data2025!M960</f>
        <v>0</v>
      </c>
      <c r="L961" s="642">
        <f>Data2025!N960</f>
        <v>0</v>
      </c>
      <c r="M961" s="642">
        <f>Data2025!O960</f>
        <v>0</v>
      </c>
      <c r="N961" s="643">
        <f>Data2025!P960</f>
        <v>0</v>
      </c>
      <c r="O961" s="644">
        <f>Data2025!Q960</f>
        <v>0</v>
      </c>
      <c r="P961" s="645" t="s">
        <v>710</v>
      </c>
      <c r="Q961" s="646" t="e">
        <f>VLOOKUP(K961,Sheet1!$C$1:$D$101,2,)</f>
        <v>#N/A</v>
      </c>
      <c r="R961" s="496">
        <v>235000</v>
      </c>
      <c r="S961" s="504">
        <v>237000</v>
      </c>
      <c r="T961" s="648">
        <f>Data2025!T960</f>
        <v>0</v>
      </c>
      <c r="U961" s="497" t="s">
        <v>538</v>
      </c>
      <c r="V961" s="648">
        <f>Data2025!V960</f>
        <v>0</v>
      </c>
      <c r="W961" s="648">
        <f>Data2025!X960</f>
        <v>0</v>
      </c>
      <c r="X961" s="497" t="s">
        <v>541</v>
      </c>
      <c r="Y961" s="268" t="str">
        <f t="shared" si="47"/>
        <v>Alat Tulis Kantor (ATK)</v>
      </c>
      <c r="Z961" s="649" t="str">
        <f t="shared" si="48"/>
        <v>Alat Tulis Kantor (ATK)</v>
      </c>
      <c r="AA961" s="498" t="s">
        <v>3364</v>
      </c>
      <c r="AB961" s="499">
        <v>235000</v>
      </c>
      <c r="AC961" s="499">
        <v>235000</v>
      </c>
      <c r="AD961" s="496">
        <v>235000</v>
      </c>
      <c r="AE961" s="500">
        <v>211711.71171171172</v>
      </c>
      <c r="AF961" s="500">
        <v>235000</v>
      </c>
      <c r="AG961" s="805" t="s">
        <v>3883</v>
      </c>
      <c r="AH961" s="651">
        <f>Data2025!W960</f>
        <v>0</v>
      </c>
      <c r="AI961" s="61">
        <v>308</v>
      </c>
    </row>
    <row r="962" spans="1:35" ht="16.5" thickTop="1" thickBot="1">
      <c r="A962" s="636">
        <f>Data2025!G961</f>
        <v>0</v>
      </c>
      <c r="B962" s="637">
        <f>Data2025!K961</f>
        <v>0</v>
      </c>
      <c r="C962" s="638">
        <f>Data2025!D961</f>
        <v>0</v>
      </c>
      <c r="D962" s="639">
        <f>Data2025!C961</f>
        <v>0</v>
      </c>
      <c r="E962" s="265">
        <f>Data2025!E961</f>
        <v>0</v>
      </c>
      <c r="F962" s="640">
        <f>Data2025!F961</f>
        <v>0</v>
      </c>
      <c r="G962" s="265">
        <f>Data2025!H961</f>
        <v>0</v>
      </c>
      <c r="H962" s="265">
        <f t="shared" si="46"/>
        <v>0</v>
      </c>
      <c r="I962" s="641">
        <f>Data2025!J961</f>
        <v>0</v>
      </c>
      <c r="J962" s="381">
        <f>Data2025!L961</f>
        <v>0</v>
      </c>
      <c r="K962" s="381">
        <f>Data2025!M961</f>
        <v>0</v>
      </c>
      <c r="L962" s="642">
        <f>Data2025!N961</f>
        <v>0</v>
      </c>
      <c r="M962" s="642">
        <f>Data2025!O961</f>
        <v>0</v>
      </c>
      <c r="N962" s="643">
        <f>Data2025!P961</f>
        <v>0</v>
      </c>
      <c r="O962" s="644">
        <f>Data2025!Q961</f>
        <v>0</v>
      </c>
      <c r="P962" s="645" t="s">
        <v>710</v>
      </c>
      <c r="Q962" s="646" t="e">
        <f>VLOOKUP(K962,Sheet1!$C$1:$D$101,2,)</f>
        <v>#N/A</v>
      </c>
      <c r="R962" s="496">
        <v>50000</v>
      </c>
      <c r="S962" s="504">
        <v>60000</v>
      </c>
      <c r="T962" s="648">
        <f>Data2025!T961</f>
        <v>0</v>
      </c>
      <c r="U962" s="497" t="s">
        <v>538</v>
      </c>
      <c r="V962" s="648">
        <f>Data2025!V961</f>
        <v>0</v>
      </c>
      <c r="W962" s="648">
        <f>Data2025!X961</f>
        <v>0</v>
      </c>
      <c r="X962" s="497" t="s">
        <v>541</v>
      </c>
      <c r="Y962" s="268" t="str">
        <f t="shared" si="47"/>
        <v>Alat Tulis Kantor (ATK)</v>
      </c>
      <c r="Z962" s="649" t="str">
        <f t="shared" si="48"/>
        <v>Alat Tulis Kantor (ATK)</v>
      </c>
      <c r="AA962" s="498" t="s">
        <v>3363</v>
      </c>
      <c r="AB962" s="499">
        <v>10000</v>
      </c>
      <c r="AC962" s="499">
        <v>50000</v>
      </c>
      <c r="AD962" s="496">
        <v>50000</v>
      </c>
      <c r="AE962" s="500">
        <v>45045.045045045044</v>
      </c>
      <c r="AF962" s="500">
        <v>50000</v>
      </c>
      <c r="AG962" s="805" t="s">
        <v>3883</v>
      </c>
      <c r="AH962" s="651">
        <f>Data2025!W961</f>
        <v>0</v>
      </c>
      <c r="AI962" s="61">
        <v>308</v>
      </c>
    </row>
    <row r="963" spans="1:35" ht="16.5" thickTop="1" thickBot="1">
      <c r="A963" s="636">
        <f>Data2025!G962</f>
        <v>0</v>
      </c>
      <c r="B963" s="637">
        <f>Data2025!K962</f>
        <v>0</v>
      </c>
      <c r="C963" s="638">
        <f>Data2025!D962</f>
        <v>0</v>
      </c>
      <c r="D963" s="639">
        <f>Data2025!C962</f>
        <v>0</v>
      </c>
      <c r="E963" s="265">
        <f>Data2025!E962</f>
        <v>0</v>
      </c>
      <c r="F963" s="640">
        <f>Data2025!F962</f>
        <v>0</v>
      </c>
      <c r="G963" s="265">
        <f>Data2025!H962</f>
        <v>0</v>
      </c>
      <c r="H963" s="265">
        <f t="shared" si="46"/>
        <v>0</v>
      </c>
      <c r="I963" s="641">
        <f>Data2025!J962</f>
        <v>0</v>
      </c>
      <c r="J963" s="381">
        <f>Data2025!L962</f>
        <v>0</v>
      </c>
      <c r="K963" s="381">
        <f>Data2025!M962</f>
        <v>0</v>
      </c>
      <c r="L963" s="642">
        <f>Data2025!N962</f>
        <v>0</v>
      </c>
      <c r="M963" s="642">
        <f>Data2025!O962</f>
        <v>0</v>
      </c>
      <c r="N963" s="643">
        <f>Data2025!P962</f>
        <v>0</v>
      </c>
      <c r="O963" s="644">
        <f>Data2025!Q962</f>
        <v>0</v>
      </c>
      <c r="P963" s="645" t="s">
        <v>710</v>
      </c>
      <c r="Q963" s="646" t="e">
        <f>VLOOKUP(K963,Sheet1!$C$1:$D$101,2,)</f>
        <v>#N/A</v>
      </c>
      <c r="R963" s="496">
        <v>30000</v>
      </c>
      <c r="S963" s="504">
        <v>40000</v>
      </c>
      <c r="T963" s="648">
        <f>Data2025!T962</f>
        <v>0</v>
      </c>
      <c r="U963" s="497" t="s">
        <v>538</v>
      </c>
      <c r="V963" s="648">
        <f>Data2025!V962</f>
        <v>0</v>
      </c>
      <c r="W963" s="648">
        <f>Data2025!X962</f>
        <v>0</v>
      </c>
      <c r="X963" s="497" t="s">
        <v>541</v>
      </c>
      <c r="Y963" s="268" t="str">
        <f t="shared" si="47"/>
        <v>Alat Tulis Kantor (ATK)</v>
      </c>
      <c r="Z963" s="649" t="str">
        <f t="shared" si="48"/>
        <v>Alat Tulis Kantor (ATK)</v>
      </c>
      <c r="AA963" s="498" t="s">
        <v>3362</v>
      </c>
      <c r="AB963" s="499">
        <v>6000</v>
      </c>
      <c r="AC963" s="499">
        <v>30000</v>
      </c>
      <c r="AD963" s="496">
        <v>30000</v>
      </c>
      <c r="AE963" s="500">
        <v>27027.027027027027</v>
      </c>
      <c r="AF963" s="500">
        <v>30000</v>
      </c>
      <c r="AG963" s="805" t="s">
        <v>3883</v>
      </c>
      <c r="AH963" s="651">
        <f>Data2025!W962</f>
        <v>0</v>
      </c>
      <c r="AI963" s="61">
        <v>308</v>
      </c>
    </row>
    <row r="964" spans="1:35" ht="16.5" thickTop="1" thickBot="1">
      <c r="A964" s="636">
        <f>Data2025!G963</f>
        <v>0</v>
      </c>
      <c r="B964" s="637">
        <f>Data2025!K963</f>
        <v>0</v>
      </c>
      <c r="C964" s="638">
        <f>Data2025!D963</f>
        <v>0</v>
      </c>
      <c r="D964" s="639">
        <f>Data2025!C963</f>
        <v>0</v>
      </c>
      <c r="E964" s="265">
        <f>Data2025!E963</f>
        <v>0</v>
      </c>
      <c r="F964" s="640">
        <f>Data2025!F963</f>
        <v>0</v>
      </c>
      <c r="G964" s="265">
        <f>Data2025!H963</f>
        <v>0</v>
      </c>
      <c r="H964" s="265">
        <f t="shared" si="46"/>
        <v>0</v>
      </c>
      <c r="I964" s="641">
        <f>Data2025!J963</f>
        <v>0</v>
      </c>
      <c r="J964" s="381">
        <f>Data2025!L963</f>
        <v>0</v>
      </c>
      <c r="K964" s="381">
        <f>Data2025!M963</f>
        <v>0</v>
      </c>
      <c r="L964" s="642">
        <f>Data2025!N963</f>
        <v>0</v>
      </c>
      <c r="M964" s="642">
        <f>Data2025!O963</f>
        <v>0</v>
      </c>
      <c r="N964" s="643">
        <f>Data2025!P963</f>
        <v>0</v>
      </c>
      <c r="O964" s="644">
        <f>Data2025!Q963</f>
        <v>0</v>
      </c>
      <c r="P964" s="645" t="s">
        <v>710</v>
      </c>
      <c r="Q964" s="646" t="e">
        <f>VLOOKUP(K964,Sheet1!$C$1:$D$101,2,)</f>
        <v>#N/A</v>
      </c>
      <c r="R964" s="496">
        <v>125000</v>
      </c>
      <c r="S964" s="504">
        <v>135000</v>
      </c>
      <c r="T964" s="648">
        <f>Data2025!T963</f>
        <v>0</v>
      </c>
      <c r="U964" s="497" t="s">
        <v>538</v>
      </c>
      <c r="V964" s="648">
        <f>Data2025!V963</f>
        <v>0</v>
      </c>
      <c r="W964" s="648">
        <f>Data2025!X963</f>
        <v>0</v>
      </c>
      <c r="X964" s="497" t="s">
        <v>541</v>
      </c>
      <c r="Y964" s="268" t="str">
        <f t="shared" si="47"/>
        <v>Alat Tulis Kantor (ATK)</v>
      </c>
      <c r="Z964" s="649" t="str">
        <f t="shared" si="48"/>
        <v>Alat Tulis Kantor (ATK)</v>
      </c>
      <c r="AA964" s="498" t="s">
        <v>3363</v>
      </c>
      <c r="AB964" s="499">
        <v>25000</v>
      </c>
      <c r="AC964" s="499">
        <v>125000</v>
      </c>
      <c r="AD964" s="496">
        <v>125000</v>
      </c>
      <c r="AE964" s="500">
        <v>112612.61261261262</v>
      </c>
      <c r="AF964" s="500">
        <v>125000</v>
      </c>
      <c r="AG964" s="805" t="s">
        <v>3883</v>
      </c>
      <c r="AH964" s="651">
        <f>Data2025!W963</f>
        <v>0</v>
      </c>
      <c r="AI964" s="61">
        <v>308</v>
      </c>
    </row>
    <row r="965" spans="1:35" ht="16.5" thickTop="1" thickBot="1">
      <c r="A965" s="636">
        <f>Data2025!G964</f>
        <v>0</v>
      </c>
      <c r="B965" s="637">
        <f>Data2025!K964</f>
        <v>0</v>
      </c>
      <c r="C965" s="638">
        <f>Data2025!D964</f>
        <v>0</v>
      </c>
      <c r="D965" s="639">
        <f>Data2025!C964</f>
        <v>0</v>
      </c>
      <c r="E965" s="265">
        <f>Data2025!E964</f>
        <v>0</v>
      </c>
      <c r="F965" s="640">
        <f>Data2025!F964</f>
        <v>0</v>
      </c>
      <c r="G965" s="265">
        <f>Data2025!H964</f>
        <v>0</v>
      </c>
      <c r="H965" s="265">
        <f t="shared" ref="H965:H1028" si="49">G965</f>
        <v>0</v>
      </c>
      <c r="I965" s="641">
        <f>Data2025!J964</f>
        <v>0</v>
      </c>
      <c r="J965" s="381">
        <f>Data2025!L964</f>
        <v>0</v>
      </c>
      <c r="K965" s="381">
        <f>Data2025!M964</f>
        <v>0</v>
      </c>
      <c r="L965" s="642">
        <f>Data2025!N964</f>
        <v>0</v>
      </c>
      <c r="M965" s="642">
        <f>Data2025!O964</f>
        <v>0</v>
      </c>
      <c r="N965" s="643">
        <f>Data2025!P964</f>
        <v>0</v>
      </c>
      <c r="O965" s="644">
        <f>Data2025!Q964</f>
        <v>0</v>
      </c>
      <c r="P965" s="645" t="s">
        <v>710</v>
      </c>
      <c r="Q965" s="646" t="e">
        <f>VLOOKUP(K965,Sheet1!$C$1:$D$101,2,)</f>
        <v>#N/A</v>
      </c>
      <c r="R965" s="496">
        <v>297000</v>
      </c>
      <c r="S965" s="504">
        <v>309000</v>
      </c>
      <c r="T965" s="648">
        <f>Data2025!T964</f>
        <v>0</v>
      </c>
      <c r="U965" s="497" t="s">
        <v>538</v>
      </c>
      <c r="V965" s="648">
        <f>Data2025!V964</f>
        <v>0</v>
      </c>
      <c r="W965" s="648">
        <f>Data2025!X964</f>
        <v>0</v>
      </c>
      <c r="X965" s="497" t="s">
        <v>541</v>
      </c>
      <c r="Y965" s="268" t="str">
        <f t="shared" ref="Y965:Y1028" si="50">P965</f>
        <v>Alat Tulis Kantor (ATK)</v>
      </c>
      <c r="Z965" s="649" t="str">
        <f t="shared" ref="Z965:Z1028" si="51">Y965</f>
        <v>Alat Tulis Kantor (ATK)</v>
      </c>
      <c r="AA965" s="498" t="s">
        <v>3363</v>
      </c>
      <c r="AB965" s="499">
        <v>49500</v>
      </c>
      <c r="AC965" s="499">
        <v>297000</v>
      </c>
      <c r="AD965" s="496">
        <v>297000</v>
      </c>
      <c r="AE965" s="500">
        <v>267567.56756756757</v>
      </c>
      <c r="AF965" s="500">
        <v>297000</v>
      </c>
      <c r="AG965" s="805" t="s">
        <v>3883</v>
      </c>
      <c r="AH965" s="651">
        <f>Data2025!W964</f>
        <v>0</v>
      </c>
      <c r="AI965" s="61">
        <v>308</v>
      </c>
    </row>
    <row r="966" spans="1:35" ht="16.5" thickTop="1" thickBot="1">
      <c r="A966" s="636">
        <f>Data2025!G965</f>
        <v>0</v>
      </c>
      <c r="B966" s="637">
        <f>Data2025!K965</f>
        <v>0</v>
      </c>
      <c r="C966" s="638">
        <f>Data2025!D965</f>
        <v>0</v>
      </c>
      <c r="D966" s="639">
        <f>Data2025!C965</f>
        <v>0</v>
      </c>
      <c r="E966" s="265">
        <f>Data2025!E965</f>
        <v>0</v>
      </c>
      <c r="F966" s="640">
        <f>Data2025!F965</f>
        <v>0</v>
      </c>
      <c r="G966" s="265">
        <f>Data2025!H965</f>
        <v>0</v>
      </c>
      <c r="H966" s="265">
        <f t="shared" si="49"/>
        <v>0</v>
      </c>
      <c r="I966" s="641">
        <f>Data2025!J965</f>
        <v>0</v>
      </c>
      <c r="J966" s="381">
        <f>Data2025!L965</f>
        <v>0</v>
      </c>
      <c r="K966" s="381">
        <f>Data2025!M965</f>
        <v>0</v>
      </c>
      <c r="L966" s="642">
        <f>Data2025!N965</f>
        <v>0</v>
      </c>
      <c r="M966" s="642">
        <f>Data2025!O965</f>
        <v>0</v>
      </c>
      <c r="N966" s="643">
        <f>Data2025!P965</f>
        <v>0</v>
      </c>
      <c r="O966" s="644">
        <f>Data2025!Q965</f>
        <v>0</v>
      </c>
      <c r="P966" s="645" t="s">
        <v>710</v>
      </c>
      <c r="Q966" s="646" t="e">
        <f>VLOOKUP(K966,Sheet1!$C$1:$D$101,2,)</f>
        <v>#N/A</v>
      </c>
      <c r="R966" s="496">
        <v>160000</v>
      </c>
      <c r="S966" s="504">
        <v>164000</v>
      </c>
      <c r="T966" s="648">
        <f>Data2025!T965</f>
        <v>0</v>
      </c>
      <c r="U966" s="497" t="s">
        <v>538</v>
      </c>
      <c r="V966" s="648">
        <f>Data2025!V965</f>
        <v>0</v>
      </c>
      <c r="W966" s="648">
        <f>Data2025!X965</f>
        <v>0</v>
      </c>
      <c r="X966" s="497" t="s">
        <v>541</v>
      </c>
      <c r="Y966" s="268" t="str">
        <f t="shared" si="50"/>
        <v>Alat Tulis Kantor (ATK)</v>
      </c>
      <c r="Z966" s="649" t="str">
        <f t="shared" si="51"/>
        <v>Alat Tulis Kantor (ATK)</v>
      </c>
      <c r="AA966" s="498" t="s">
        <v>3362</v>
      </c>
      <c r="AB966" s="499">
        <v>80000</v>
      </c>
      <c r="AC966" s="499">
        <v>160000</v>
      </c>
      <c r="AD966" s="496">
        <v>160000</v>
      </c>
      <c r="AE966" s="500">
        <v>144144.14414414414</v>
      </c>
      <c r="AF966" s="500">
        <v>160000</v>
      </c>
      <c r="AG966" s="805" t="s">
        <v>3883</v>
      </c>
      <c r="AH966" s="651">
        <f>Data2025!W965</f>
        <v>0</v>
      </c>
      <c r="AI966" s="61">
        <v>308</v>
      </c>
    </row>
    <row r="967" spans="1:35" ht="16.5" thickTop="1" thickBot="1">
      <c r="A967" s="636">
        <f>Data2025!G966</f>
        <v>0</v>
      </c>
      <c r="B967" s="637">
        <f>Data2025!K966</f>
        <v>0</v>
      </c>
      <c r="C967" s="638">
        <f>Data2025!D966</f>
        <v>0</v>
      </c>
      <c r="D967" s="639">
        <f>Data2025!C966</f>
        <v>0</v>
      </c>
      <c r="E967" s="265">
        <f>Data2025!E966</f>
        <v>0</v>
      </c>
      <c r="F967" s="640">
        <f>Data2025!F966</f>
        <v>0</v>
      </c>
      <c r="G967" s="265">
        <f>Data2025!H966</f>
        <v>0</v>
      </c>
      <c r="H967" s="265">
        <f t="shared" si="49"/>
        <v>0</v>
      </c>
      <c r="I967" s="641">
        <f>Data2025!J966</f>
        <v>0</v>
      </c>
      <c r="J967" s="381">
        <f>Data2025!L966</f>
        <v>0</v>
      </c>
      <c r="K967" s="381">
        <f>Data2025!M966</f>
        <v>0</v>
      </c>
      <c r="L967" s="642">
        <f>Data2025!N966</f>
        <v>0</v>
      </c>
      <c r="M967" s="642">
        <f>Data2025!O966</f>
        <v>0</v>
      </c>
      <c r="N967" s="643">
        <f>Data2025!P966</f>
        <v>0</v>
      </c>
      <c r="O967" s="644">
        <f>Data2025!Q966</f>
        <v>0</v>
      </c>
      <c r="P967" s="645" t="s">
        <v>710</v>
      </c>
      <c r="Q967" s="646" t="e">
        <f>VLOOKUP(K967,Sheet1!$C$1:$D$101,2,)</f>
        <v>#N/A</v>
      </c>
      <c r="R967" s="496">
        <v>200000</v>
      </c>
      <c r="S967" s="504">
        <v>220000</v>
      </c>
      <c r="T967" s="648">
        <f>Data2025!T966</f>
        <v>0</v>
      </c>
      <c r="U967" s="497" t="s">
        <v>538</v>
      </c>
      <c r="V967" s="648">
        <f>Data2025!V966</f>
        <v>0</v>
      </c>
      <c r="W967" s="648">
        <f>Data2025!X966</f>
        <v>0</v>
      </c>
      <c r="X967" s="497" t="s">
        <v>541</v>
      </c>
      <c r="Y967" s="268" t="str">
        <f t="shared" si="50"/>
        <v>Alat Tulis Kantor (ATK)</v>
      </c>
      <c r="Z967" s="649" t="str">
        <f t="shared" si="51"/>
        <v>Alat Tulis Kantor (ATK)</v>
      </c>
      <c r="AA967" s="498" t="s">
        <v>3362</v>
      </c>
      <c r="AB967" s="499">
        <v>20000</v>
      </c>
      <c r="AC967" s="499">
        <v>200000</v>
      </c>
      <c r="AD967" s="496">
        <v>200000</v>
      </c>
      <c r="AE967" s="500">
        <v>180180.18018018018</v>
      </c>
      <c r="AF967" s="500">
        <v>200000</v>
      </c>
      <c r="AG967" s="805" t="s">
        <v>3883</v>
      </c>
      <c r="AH967" s="651">
        <f>Data2025!W966</f>
        <v>0</v>
      </c>
      <c r="AI967" s="61">
        <v>308</v>
      </c>
    </row>
    <row r="968" spans="1:35" ht="16.5" thickTop="1" thickBot="1">
      <c r="A968" s="636">
        <f>Data2025!G967</f>
        <v>0</v>
      </c>
      <c r="B968" s="637">
        <f>Data2025!K967</f>
        <v>0</v>
      </c>
      <c r="C968" s="638">
        <f>Data2025!D967</f>
        <v>0</v>
      </c>
      <c r="D968" s="639">
        <f>Data2025!C967</f>
        <v>0</v>
      </c>
      <c r="E968" s="265">
        <f>Data2025!E967</f>
        <v>0</v>
      </c>
      <c r="F968" s="640">
        <f>Data2025!F967</f>
        <v>0</v>
      </c>
      <c r="G968" s="265">
        <f>Data2025!H967</f>
        <v>0</v>
      </c>
      <c r="H968" s="265">
        <f t="shared" si="49"/>
        <v>0</v>
      </c>
      <c r="I968" s="641">
        <f>Data2025!J967</f>
        <v>0</v>
      </c>
      <c r="J968" s="381">
        <f>Data2025!L967</f>
        <v>0</v>
      </c>
      <c r="K968" s="381">
        <f>Data2025!M967</f>
        <v>0</v>
      </c>
      <c r="L968" s="642">
        <f>Data2025!N967</f>
        <v>0</v>
      </c>
      <c r="M968" s="642">
        <f>Data2025!O967</f>
        <v>0</v>
      </c>
      <c r="N968" s="643">
        <f>Data2025!P967</f>
        <v>0</v>
      </c>
      <c r="O968" s="644">
        <f>Data2025!Q967</f>
        <v>0</v>
      </c>
      <c r="P968" s="645" t="s">
        <v>710</v>
      </c>
      <c r="Q968" s="646" t="e">
        <f>VLOOKUP(K968,Sheet1!$C$1:$D$101,2,)</f>
        <v>#N/A</v>
      </c>
      <c r="R968" s="496">
        <v>10000</v>
      </c>
      <c r="S968" s="504">
        <v>14000</v>
      </c>
      <c r="T968" s="648">
        <f>Data2025!T967</f>
        <v>0</v>
      </c>
      <c r="U968" s="497" t="s">
        <v>538</v>
      </c>
      <c r="V968" s="648">
        <f>Data2025!V967</f>
        <v>0</v>
      </c>
      <c r="W968" s="648">
        <f>Data2025!X967</f>
        <v>0</v>
      </c>
      <c r="X968" s="497" t="s">
        <v>541</v>
      </c>
      <c r="Y968" s="268" t="str">
        <f t="shared" si="50"/>
        <v>Alat Tulis Kantor (ATK)</v>
      </c>
      <c r="Z968" s="649" t="str">
        <f t="shared" si="51"/>
        <v>Alat Tulis Kantor (ATK)</v>
      </c>
      <c r="AA968" s="498" t="s">
        <v>3362</v>
      </c>
      <c r="AB968" s="499">
        <v>5000</v>
      </c>
      <c r="AC968" s="499">
        <v>10000</v>
      </c>
      <c r="AD968" s="496">
        <v>10000</v>
      </c>
      <c r="AE968" s="500">
        <v>9009.0090090090089</v>
      </c>
      <c r="AF968" s="500">
        <v>10000</v>
      </c>
      <c r="AG968" s="805" t="s">
        <v>3883</v>
      </c>
      <c r="AH968" s="651">
        <f>Data2025!W967</f>
        <v>0</v>
      </c>
      <c r="AI968" s="61">
        <v>308</v>
      </c>
    </row>
    <row r="969" spans="1:35" ht="16.5" thickTop="1" thickBot="1">
      <c r="A969" s="636">
        <f>Data2025!G968</f>
        <v>0</v>
      </c>
      <c r="B969" s="637">
        <f>Data2025!K968</f>
        <v>0</v>
      </c>
      <c r="C969" s="638">
        <f>Data2025!D968</f>
        <v>0</v>
      </c>
      <c r="D969" s="639">
        <f>Data2025!C968</f>
        <v>0</v>
      </c>
      <c r="E969" s="265">
        <f>Data2025!E968</f>
        <v>0</v>
      </c>
      <c r="F969" s="640">
        <f>Data2025!F968</f>
        <v>0</v>
      </c>
      <c r="G969" s="265">
        <f>Data2025!H968</f>
        <v>0</v>
      </c>
      <c r="H969" s="265">
        <f t="shared" si="49"/>
        <v>0</v>
      </c>
      <c r="I969" s="641">
        <f>Data2025!J968</f>
        <v>0</v>
      </c>
      <c r="J969" s="381">
        <f>Data2025!L968</f>
        <v>0</v>
      </c>
      <c r="K969" s="381">
        <f>Data2025!M968</f>
        <v>0</v>
      </c>
      <c r="L969" s="642">
        <f>Data2025!N968</f>
        <v>0</v>
      </c>
      <c r="M969" s="642">
        <f>Data2025!O968</f>
        <v>0</v>
      </c>
      <c r="N969" s="643">
        <f>Data2025!P968</f>
        <v>0</v>
      </c>
      <c r="O969" s="644">
        <f>Data2025!Q968</f>
        <v>0</v>
      </c>
      <c r="P969" s="645" t="s">
        <v>710</v>
      </c>
      <c r="Q969" s="646" t="e">
        <f>VLOOKUP(K969,Sheet1!$C$1:$D$101,2,)</f>
        <v>#N/A</v>
      </c>
      <c r="R969" s="496">
        <v>40000</v>
      </c>
      <c r="S969" s="504">
        <v>44000</v>
      </c>
      <c r="T969" s="648">
        <f>Data2025!T968</f>
        <v>0</v>
      </c>
      <c r="U969" s="497" t="s">
        <v>538</v>
      </c>
      <c r="V969" s="648">
        <f>Data2025!V968</f>
        <v>0</v>
      </c>
      <c r="W969" s="648">
        <f>Data2025!X968</f>
        <v>0</v>
      </c>
      <c r="X969" s="497" t="s">
        <v>541</v>
      </c>
      <c r="Y969" s="268" t="str">
        <f t="shared" si="50"/>
        <v>Alat Tulis Kantor (ATK)</v>
      </c>
      <c r="Z969" s="649" t="str">
        <f t="shared" si="51"/>
        <v>Alat Tulis Kantor (ATK)</v>
      </c>
      <c r="AA969" s="498" t="s">
        <v>3363</v>
      </c>
      <c r="AB969" s="499">
        <v>20000</v>
      </c>
      <c r="AC969" s="499">
        <v>40000</v>
      </c>
      <c r="AD969" s="496">
        <v>40000</v>
      </c>
      <c r="AE969" s="500">
        <v>36036.036036036036</v>
      </c>
      <c r="AF969" s="500">
        <v>40000</v>
      </c>
      <c r="AG969" s="805" t="s">
        <v>3883</v>
      </c>
      <c r="AH969" s="651">
        <f>Data2025!W968</f>
        <v>0</v>
      </c>
      <c r="AI969" s="61">
        <v>308</v>
      </c>
    </row>
    <row r="970" spans="1:35" ht="16.5" thickTop="1" thickBot="1">
      <c r="A970" s="636">
        <f>Data2025!G969</f>
        <v>0</v>
      </c>
      <c r="B970" s="637">
        <f>Data2025!K969</f>
        <v>0</v>
      </c>
      <c r="C970" s="638">
        <f>Data2025!D969</f>
        <v>0</v>
      </c>
      <c r="D970" s="639">
        <f>Data2025!C969</f>
        <v>0</v>
      </c>
      <c r="E970" s="265">
        <f>Data2025!E969</f>
        <v>0</v>
      </c>
      <c r="F970" s="640">
        <f>Data2025!F969</f>
        <v>0</v>
      </c>
      <c r="G970" s="265">
        <f>Data2025!H969</f>
        <v>0</v>
      </c>
      <c r="H970" s="265">
        <f t="shared" si="49"/>
        <v>0</v>
      </c>
      <c r="I970" s="641">
        <f>Data2025!J969</f>
        <v>0</v>
      </c>
      <c r="J970" s="381">
        <f>Data2025!L969</f>
        <v>0</v>
      </c>
      <c r="K970" s="381">
        <f>Data2025!M969</f>
        <v>0</v>
      </c>
      <c r="L970" s="642">
        <f>Data2025!N969</f>
        <v>0</v>
      </c>
      <c r="M970" s="642">
        <f>Data2025!O969</f>
        <v>0</v>
      </c>
      <c r="N970" s="643">
        <f>Data2025!P969</f>
        <v>0</v>
      </c>
      <c r="O970" s="644">
        <f>Data2025!Q969</f>
        <v>0</v>
      </c>
      <c r="P970" s="645" t="s">
        <v>710</v>
      </c>
      <c r="Q970" s="646" t="e">
        <f>VLOOKUP(K970,Sheet1!$C$1:$D$101,2,)</f>
        <v>#N/A</v>
      </c>
      <c r="R970" s="496">
        <v>37500</v>
      </c>
      <c r="S970" s="504">
        <v>47500</v>
      </c>
      <c r="T970" s="648">
        <f>Data2025!T969</f>
        <v>0</v>
      </c>
      <c r="U970" s="497" t="s">
        <v>538</v>
      </c>
      <c r="V970" s="648">
        <f>Data2025!V969</f>
        <v>0</v>
      </c>
      <c r="W970" s="648">
        <f>Data2025!X969</f>
        <v>0</v>
      </c>
      <c r="X970" s="497" t="s">
        <v>541</v>
      </c>
      <c r="Y970" s="268" t="str">
        <f t="shared" si="50"/>
        <v>Alat Tulis Kantor (ATK)</v>
      </c>
      <c r="Z970" s="649" t="str">
        <f t="shared" si="51"/>
        <v>Alat Tulis Kantor (ATK)</v>
      </c>
      <c r="AA970" s="498" t="s">
        <v>3362</v>
      </c>
      <c r="AB970" s="499">
        <v>7500</v>
      </c>
      <c r="AC970" s="499">
        <v>37500</v>
      </c>
      <c r="AD970" s="496">
        <v>37500</v>
      </c>
      <c r="AE970" s="500">
        <v>33783.783783783787</v>
      </c>
      <c r="AF970" s="500">
        <v>37500</v>
      </c>
      <c r="AG970" s="805" t="s">
        <v>3883</v>
      </c>
      <c r="AH970" s="651">
        <f>Data2025!W969</f>
        <v>0</v>
      </c>
      <c r="AI970" s="61">
        <v>308</v>
      </c>
    </row>
    <row r="971" spans="1:35" ht="16.5" thickTop="1" thickBot="1">
      <c r="A971" s="636">
        <f>Data2025!G970</f>
        <v>0</v>
      </c>
      <c r="B971" s="637">
        <f>Data2025!K970</f>
        <v>0</v>
      </c>
      <c r="C971" s="638">
        <f>Data2025!D970</f>
        <v>0</v>
      </c>
      <c r="D971" s="639">
        <f>Data2025!C970</f>
        <v>0</v>
      </c>
      <c r="E971" s="265">
        <f>Data2025!E970</f>
        <v>0</v>
      </c>
      <c r="F971" s="640">
        <f>Data2025!F970</f>
        <v>0</v>
      </c>
      <c r="G971" s="265">
        <f>Data2025!H970</f>
        <v>0</v>
      </c>
      <c r="H971" s="265">
        <f t="shared" si="49"/>
        <v>0</v>
      </c>
      <c r="I971" s="641">
        <f>Data2025!J970</f>
        <v>0</v>
      </c>
      <c r="J971" s="381">
        <f>Data2025!L970</f>
        <v>0</v>
      </c>
      <c r="K971" s="381">
        <f>Data2025!M970</f>
        <v>0</v>
      </c>
      <c r="L971" s="642">
        <f>Data2025!N970</f>
        <v>0</v>
      </c>
      <c r="M971" s="642">
        <f>Data2025!O970</f>
        <v>0</v>
      </c>
      <c r="N971" s="643">
        <f>Data2025!P970</f>
        <v>0</v>
      </c>
      <c r="O971" s="644">
        <f>Data2025!Q970</f>
        <v>0</v>
      </c>
      <c r="P971" s="645" t="s">
        <v>710</v>
      </c>
      <c r="Q971" s="646" t="e">
        <f>VLOOKUP(K971,Sheet1!$C$1:$D$101,2,)</f>
        <v>#N/A</v>
      </c>
      <c r="R971" s="496">
        <v>95000</v>
      </c>
      <c r="S971" s="504">
        <v>97000</v>
      </c>
      <c r="T971" s="648">
        <f>Data2025!T970</f>
        <v>0</v>
      </c>
      <c r="U971" s="497" t="s">
        <v>538</v>
      </c>
      <c r="V971" s="648">
        <f>Data2025!V970</f>
        <v>0</v>
      </c>
      <c r="W971" s="648">
        <f>Data2025!X970</f>
        <v>0</v>
      </c>
      <c r="X971" s="497" t="s">
        <v>541</v>
      </c>
      <c r="Y971" s="268" t="str">
        <f t="shared" si="50"/>
        <v>Alat Tulis Kantor (ATK)</v>
      </c>
      <c r="Z971" s="649" t="str">
        <f t="shared" si="51"/>
        <v>Alat Tulis Kantor (ATK)</v>
      </c>
      <c r="AA971" s="498" t="s">
        <v>3364</v>
      </c>
      <c r="AB971" s="499">
        <v>95000</v>
      </c>
      <c r="AC971" s="499">
        <v>95000</v>
      </c>
      <c r="AD971" s="496">
        <v>95000</v>
      </c>
      <c r="AE971" s="500">
        <v>85585.585585585592</v>
      </c>
      <c r="AF971" s="500">
        <v>95000</v>
      </c>
      <c r="AG971" s="805" t="s">
        <v>3883</v>
      </c>
      <c r="AH971" s="651">
        <f>Data2025!W970</f>
        <v>0</v>
      </c>
      <c r="AI971" s="61">
        <v>308</v>
      </c>
    </row>
    <row r="972" spans="1:35" ht="16.5" thickTop="1" thickBot="1">
      <c r="A972" s="636">
        <f>Data2025!G971</f>
        <v>0</v>
      </c>
      <c r="B972" s="637">
        <f>Data2025!K971</f>
        <v>0</v>
      </c>
      <c r="C972" s="638">
        <f>Data2025!D971</f>
        <v>0</v>
      </c>
      <c r="D972" s="639">
        <f>Data2025!C971</f>
        <v>0</v>
      </c>
      <c r="E972" s="265">
        <f>Data2025!E971</f>
        <v>0</v>
      </c>
      <c r="F972" s="640">
        <f>Data2025!F971</f>
        <v>0</v>
      </c>
      <c r="G972" s="265">
        <f>Data2025!H971</f>
        <v>0</v>
      </c>
      <c r="H972" s="265">
        <f t="shared" si="49"/>
        <v>0</v>
      </c>
      <c r="I972" s="641">
        <f>Data2025!J971</f>
        <v>0</v>
      </c>
      <c r="J972" s="381">
        <f>Data2025!L971</f>
        <v>0</v>
      </c>
      <c r="K972" s="381">
        <f>Data2025!M971</f>
        <v>0</v>
      </c>
      <c r="L972" s="642">
        <f>Data2025!N971</f>
        <v>0</v>
      </c>
      <c r="M972" s="642">
        <f>Data2025!O971</f>
        <v>0</v>
      </c>
      <c r="N972" s="643">
        <f>Data2025!P971</f>
        <v>0</v>
      </c>
      <c r="O972" s="644">
        <f>Data2025!Q971</f>
        <v>0</v>
      </c>
      <c r="P972" s="645" t="s">
        <v>710</v>
      </c>
      <c r="Q972" s="646" t="e">
        <f>VLOOKUP(K972,Sheet1!$C$1:$D$101,2,)</f>
        <v>#N/A</v>
      </c>
      <c r="R972" s="496">
        <v>77500</v>
      </c>
      <c r="S972" s="504">
        <v>87500</v>
      </c>
      <c r="T972" s="648">
        <f>Data2025!T971</f>
        <v>0</v>
      </c>
      <c r="U972" s="497" t="s">
        <v>538</v>
      </c>
      <c r="V972" s="648">
        <f>Data2025!V971</f>
        <v>0</v>
      </c>
      <c r="W972" s="648">
        <f>Data2025!X971</f>
        <v>0</v>
      </c>
      <c r="X972" s="497" t="s">
        <v>541</v>
      </c>
      <c r="Y972" s="268" t="str">
        <f t="shared" si="50"/>
        <v>Alat Tulis Kantor (ATK)</v>
      </c>
      <c r="Z972" s="649" t="str">
        <f t="shared" si="51"/>
        <v>Alat Tulis Kantor (ATK)</v>
      </c>
      <c r="AA972" s="498" t="s">
        <v>3363</v>
      </c>
      <c r="AB972" s="499">
        <v>15500</v>
      </c>
      <c r="AC972" s="499">
        <v>77500</v>
      </c>
      <c r="AD972" s="496">
        <v>77500</v>
      </c>
      <c r="AE972" s="500">
        <v>69819.819819819822</v>
      </c>
      <c r="AF972" s="500">
        <v>77500</v>
      </c>
      <c r="AG972" s="805" t="s">
        <v>3883</v>
      </c>
      <c r="AH972" s="651">
        <f>Data2025!W971</f>
        <v>0</v>
      </c>
      <c r="AI972" s="61">
        <v>308</v>
      </c>
    </row>
    <row r="973" spans="1:35" ht="16.5" thickTop="1" thickBot="1">
      <c r="A973" s="636">
        <f>Data2025!G972</f>
        <v>0</v>
      </c>
      <c r="B973" s="637">
        <f>Data2025!K972</f>
        <v>0</v>
      </c>
      <c r="C973" s="638">
        <f>Data2025!D972</f>
        <v>0</v>
      </c>
      <c r="D973" s="639">
        <f>Data2025!C972</f>
        <v>0</v>
      </c>
      <c r="E973" s="265">
        <f>Data2025!E972</f>
        <v>0</v>
      </c>
      <c r="F973" s="640">
        <f>Data2025!F972</f>
        <v>0</v>
      </c>
      <c r="G973" s="265">
        <f>Data2025!H972</f>
        <v>0</v>
      </c>
      <c r="H973" s="265">
        <f t="shared" si="49"/>
        <v>0</v>
      </c>
      <c r="I973" s="641">
        <f>Data2025!J972</f>
        <v>0</v>
      </c>
      <c r="J973" s="381">
        <f>Data2025!L972</f>
        <v>0</v>
      </c>
      <c r="K973" s="381">
        <f>Data2025!M972</f>
        <v>0</v>
      </c>
      <c r="L973" s="642">
        <f>Data2025!N972</f>
        <v>0</v>
      </c>
      <c r="M973" s="642">
        <f>Data2025!O972</f>
        <v>0</v>
      </c>
      <c r="N973" s="643">
        <f>Data2025!P972</f>
        <v>0</v>
      </c>
      <c r="O973" s="644">
        <f>Data2025!Q972</f>
        <v>0</v>
      </c>
      <c r="P973" s="645" t="s">
        <v>710</v>
      </c>
      <c r="Q973" s="646" t="e">
        <f>VLOOKUP(K973,Sheet1!$C$1:$D$101,2,)</f>
        <v>#N/A</v>
      </c>
      <c r="R973" s="496">
        <v>40000</v>
      </c>
      <c r="S973" s="504">
        <v>44000</v>
      </c>
      <c r="T973" s="648">
        <f>Data2025!T972</f>
        <v>0</v>
      </c>
      <c r="U973" s="497" t="s">
        <v>538</v>
      </c>
      <c r="V973" s="648">
        <f>Data2025!V972</f>
        <v>0</v>
      </c>
      <c r="W973" s="648">
        <f>Data2025!X972</f>
        <v>0</v>
      </c>
      <c r="X973" s="497" t="s">
        <v>541</v>
      </c>
      <c r="Y973" s="268" t="str">
        <f t="shared" si="50"/>
        <v>Alat Tulis Kantor (ATK)</v>
      </c>
      <c r="Z973" s="649" t="str">
        <f t="shared" si="51"/>
        <v>Alat Tulis Kantor (ATK)</v>
      </c>
      <c r="AA973" s="498" t="s">
        <v>3364</v>
      </c>
      <c r="AB973" s="499">
        <v>20000</v>
      </c>
      <c r="AC973" s="499">
        <v>40000</v>
      </c>
      <c r="AD973" s="496">
        <v>40000</v>
      </c>
      <c r="AE973" s="500">
        <v>36036.036036036036</v>
      </c>
      <c r="AF973" s="500">
        <v>40000</v>
      </c>
      <c r="AG973" s="805" t="s">
        <v>3883</v>
      </c>
      <c r="AH973" s="651">
        <f>Data2025!W972</f>
        <v>0</v>
      </c>
      <c r="AI973" s="61">
        <v>308</v>
      </c>
    </row>
    <row r="974" spans="1:35" ht="16.5" thickTop="1" thickBot="1">
      <c r="A974" s="636">
        <f>Data2025!G973</f>
        <v>0</v>
      </c>
      <c r="B974" s="637">
        <f>Data2025!K973</f>
        <v>0</v>
      </c>
      <c r="C974" s="638">
        <f>Data2025!D973</f>
        <v>0</v>
      </c>
      <c r="D974" s="639">
        <f>Data2025!C973</f>
        <v>0</v>
      </c>
      <c r="E974" s="265">
        <f>Data2025!E973</f>
        <v>0</v>
      </c>
      <c r="F974" s="640">
        <f>Data2025!F973</f>
        <v>0</v>
      </c>
      <c r="G974" s="265">
        <f>Data2025!H973</f>
        <v>0</v>
      </c>
      <c r="H974" s="265">
        <f t="shared" si="49"/>
        <v>0</v>
      </c>
      <c r="I974" s="641">
        <f>Data2025!J973</f>
        <v>0</v>
      </c>
      <c r="J974" s="381">
        <f>Data2025!L973</f>
        <v>0</v>
      </c>
      <c r="K974" s="381">
        <f>Data2025!M973</f>
        <v>0</v>
      </c>
      <c r="L974" s="642">
        <f>Data2025!N973</f>
        <v>0</v>
      </c>
      <c r="M974" s="642">
        <f>Data2025!O973</f>
        <v>0</v>
      </c>
      <c r="N974" s="643">
        <f>Data2025!P973</f>
        <v>0</v>
      </c>
      <c r="O974" s="644">
        <f>Data2025!Q973</f>
        <v>0</v>
      </c>
      <c r="P974" s="645" t="s">
        <v>710</v>
      </c>
      <c r="Q974" s="646" t="e">
        <f>VLOOKUP(K974,Sheet1!$C$1:$D$101,2,)</f>
        <v>#N/A</v>
      </c>
      <c r="R974" s="496">
        <v>50000</v>
      </c>
      <c r="S974" s="504">
        <v>58000</v>
      </c>
      <c r="T974" s="648">
        <f>Data2025!T973</f>
        <v>0</v>
      </c>
      <c r="U974" s="497" t="s">
        <v>538</v>
      </c>
      <c r="V974" s="648">
        <f>Data2025!V973</f>
        <v>0</v>
      </c>
      <c r="W974" s="648">
        <f>Data2025!X973</f>
        <v>0</v>
      </c>
      <c r="X974" s="497" t="s">
        <v>541</v>
      </c>
      <c r="Y974" s="268" t="str">
        <f t="shared" si="50"/>
        <v>Alat Tulis Kantor (ATK)</v>
      </c>
      <c r="Z974" s="649" t="str">
        <f t="shared" si="51"/>
        <v>Alat Tulis Kantor (ATK)</v>
      </c>
      <c r="AA974" s="498" t="s">
        <v>3363</v>
      </c>
      <c r="AB974" s="499">
        <v>12500</v>
      </c>
      <c r="AC974" s="499">
        <v>50000</v>
      </c>
      <c r="AD974" s="496">
        <v>50000</v>
      </c>
      <c r="AE974" s="500">
        <v>45045.045045045044</v>
      </c>
      <c r="AF974" s="500">
        <v>50000</v>
      </c>
      <c r="AG974" s="805" t="s">
        <v>3883</v>
      </c>
      <c r="AH974" s="651">
        <f>Data2025!W973</f>
        <v>0</v>
      </c>
      <c r="AI974" s="61">
        <v>308</v>
      </c>
    </row>
    <row r="975" spans="1:35" ht="16.5" thickTop="1" thickBot="1">
      <c r="A975" s="636">
        <f>Data2025!G974</f>
        <v>0</v>
      </c>
      <c r="B975" s="637">
        <f>Data2025!K974</f>
        <v>0</v>
      </c>
      <c r="C975" s="638">
        <f>Data2025!D974</f>
        <v>0</v>
      </c>
      <c r="D975" s="639">
        <f>Data2025!C974</f>
        <v>0</v>
      </c>
      <c r="E975" s="265">
        <f>Data2025!E974</f>
        <v>0</v>
      </c>
      <c r="F975" s="640">
        <f>Data2025!F974</f>
        <v>0</v>
      </c>
      <c r="G975" s="265">
        <f>Data2025!H974</f>
        <v>0</v>
      </c>
      <c r="H975" s="265">
        <f t="shared" si="49"/>
        <v>0</v>
      </c>
      <c r="I975" s="641">
        <f>Data2025!J974</f>
        <v>0</v>
      </c>
      <c r="J975" s="381">
        <f>Data2025!L974</f>
        <v>0</v>
      </c>
      <c r="K975" s="381">
        <f>Data2025!M974</f>
        <v>0</v>
      </c>
      <c r="L975" s="642">
        <f>Data2025!N974</f>
        <v>0</v>
      </c>
      <c r="M975" s="642">
        <f>Data2025!O974</f>
        <v>0</v>
      </c>
      <c r="N975" s="643">
        <f>Data2025!P974</f>
        <v>0</v>
      </c>
      <c r="O975" s="644">
        <f>Data2025!Q974</f>
        <v>0</v>
      </c>
      <c r="P975" s="645" t="s">
        <v>710</v>
      </c>
      <c r="Q975" s="646" t="e">
        <f>VLOOKUP(K975,Sheet1!$C$1:$D$101,2,)</f>
        <v>#N/A</v>
      </c>
      <c r="R975" s="496">
        <v>426000</v>
      </c>
      <c r="S975" s="504">
        <v>450000</v>
      </c>
      <c r="T975" s="648">
        <f>Data2025!T974</f>
        <v>0</v>
      </c>
      <c r="U975" s="497" t="s">
        <v>538</v>
      </c>
      <c r="V975" s="648">
        <f>Data2025!V974</f>
        <v>0</v>
      </c>
      <c r="W975" s="648">
        <f>Data2025!X974</f>
        <v>0</v>
      </c>
      <c r="X975" s="497" t="s">
        <v>541</v>
      </c>
      <c r="Y975" s="268" t="str">
        <f t="shared" si="50"/>
        <v>Alat Tulis Kantor (ATK)</v>
      </c>
      <c r="Z975" s="649" t="str">
        <f t="shared" si="51"/>
        <v>Alat Tulis Kantor (ATK)</v>
      </c>
      <c r="AA975" s="498" t="s">
        <v>3363</v>
      </c>
      <c r="AB975" s="499">
        <v>35500</v>
      </c>
      <c r="AC975" s="499">
        <v>426000</v>
      </c>
      <c r="AD975" s="496">
        <v>426000</v>
      </c>
      <c r="AE975" s="500">
        <v>383783.78378378379</v>
      </c>
      <c r="AF975" s="500">
        <v>426000</v>
      </c>
      <c r="AG975" s="805" t="s">
        <v>3883</v>
      </c>
      <c r="AH975" s="651">
        <f>Data2025!W974</f>
        <v>0</v>
      </c>
      <c r="AI975" s="61">
        <v>308</v>
      </c>
    </row>
    <row r="976" spans="1:35" ht="16.5" thickTop="1" thickBot="1">
      <c r="A976" s="636">
        <f>Data2025!G975</f>
        <v>0</v>
      </c>
      <c r="B976" s="637">
        <f>Data2025!K975</f>
        <v>0</v>
      </c>
      <c r="C976" s="638">
        <f>Data2025!D975</f>
        <v>0</v>
      </c>
      <c r="D976" s="639">
        <f>Data2025!C975</f>
        <v>0</v>
      </c>
      <c r="E976" s="265">
        <f>Data2025!E975</f>
        <v>0</v>
      </c>
      <c r="F976" s="640">
        <f>Data2025!F975</f>
        <v>0</v>
      </c>
      <c r="G976" s="265">
        <f>Data2025!H975</f>
        <v>0</v>
      </c>
      <c r="H976" s="265">
        <f t="shared" si="49"/>
        <v>0</v>
      </c>
      <c r="I976" s="641">
        <f>Data2025!J975</f>
        <v>0</v>
      </c>
      <c r="J976" s="381">
        <f>Data2025!L975</f>
        <v>0</v>
      </c>
      <c r="K976" s="381">
        <f>Data2025!M975</f>
        <v>0</v>
      </c>
      <c r="L976" s="642">
        <f>Data2025!N975</f>
        <v>0</v>
      </c>
      <c r="M976" s="642">
        <f>Data2025!O975</f>
        <v>0</v>
      </c>
      <c r="N976" s="643">
        <f>Data2025!P975</f>
        <v>0</v>
      </c>
      <c r="O976" s="644">
        <f>Data2025!Q975</f>
        <v>0</v>
      </c>
      <c r="P976" s="645" t="s">
        <v>710</v>
      </c>
      <c r="Q976" s="646" t="e">
        <f>VLOOKUP(K976,Sheet1!$C$1:$D$101,2,)</f>
        <v>#N/A</v>
      </c>
      <c r="R976" s="496">
        <v>120000</v>
      </c>
      <c r="S976" s="504">
        <v>124000</v>
      </c>
      <c r="T976" s="648">
        <f>Data2025!T975</f>
        <v>0</v>
      </c>
      <c r="U976" s="497" t="s">
        <v>538</v>
      </c>
      <c r="V976" s="648">
        <f>Data2025!V975</f>
        <v>0</v>
      </c>
      <c r="W976" s="648">
        <f>Data2025!X975</f>
        <v>0</v>
      </c>
      <c r="X976" s="497" t="s">
        <v>541</v>
      </c>
      <c r="Y976" s="268" t="str">
        <f t="shared" si="50"/>
        <v>Alat Tulis Kantor (ATK)</v>
      </c>
      <c r="Z976" s="649" t="str">
        <f t="shared" si="51"/>
        <v>Alat Tulis Kantor (ATK)</v>
      </c>
      <c r="AA976" s="498" t="s">
        <v>3365</v>
      </c>
      <c r="AB976" s="499">
        <v>60000</v>
      </c>
      <c r="AC976" s="499">
        <v>120000</v>
      </c>
      <c r="AD976" s="496">
        <v>120000</v>
      </c>
      <c r="AE976" s="500">
        <v>108108.10810810811</v>
      </c>
      <c r="AF976" s="500">
        <v>120000</v>
      </c>
      <c r="AG976" s="805" t="s">
        <v>3883</v>
      </c>
      <c r="AH976" s="651">
        <f>Data2025!W975</f>
        <v>0</v>
      </c>
      <c r="AI976" s="61">
        <v>308</v>
      </c>
    </row>
    <row r="977" spans="1:35" ht="16.5" thickTop="1" thickBot="1">
      <c r="A977" s="636">
        <f>Data2025!G976</f>
        <v>0</v>
      </c>
      <c r="B977" s="637">
        <f>Data2025!K976</f>
        <v>0</v>
      </c>
      <c r="C977" s="638">
        <f>Data2025!D976</f>
        <v>0</v>
      </c>
      <c r="D977" s="639">
        <f>Data2025!C976</f>
        <v>0</v>
      </c>
      <c r="E977" s="265">
        <f>Data2025!E976</f>
        <v>0</v>
      </c>
      <c r="F977" s="640">
        <f>Data2025!F976</f>
        <v>0</v>
      </c>
      <c r="G977" s="265">
        <f>Data2025!H976</f>
        <v>0</v>
      </c>
      <c r="H977" s="265">
        <f t="shared" si="49"/>
        <v>0</v>
      </c>
      <c r="I977" s="641">
        <f>Data2025!J976</f>
        <v>0</v>
      </c>
      <c r="J977" s="381">
        <f>Data2025!L976</f>
        <v>0</v>
      </c>
      <c r="K977" s="381">
        <f>Data2025!M976</f>
        <v>0</v>
      </c>
      <c r="L977" s="642">
        <f>Data2025!N976</f>
        <v>0</v>
      </c>
      <c r="M977" s="642">
        <f>Data2025!O976</f>
        <v>0</v>
      </c>
      <c r="N977" s="643">
        <f>Data2025!P976</f>
        <v>0</v>
      </c>
      <c r="O977" s="644">
        <f>Data2025!Q976</f>
        <v>0</v>
      </c>
      <c r="P977" s="645" t="s">
        <v>710</v>
      </c>
      <c r="Q977" s="646" t="e">
        <f>VLOOKUP(K977,Sheet1!$C$1:$D$101,2,)</f>
        <v>#N/A</v>
      </c>
      <c r="R977" s="496">
        <v>45000</v>
      </c>
      <c r="S977" s="504">
        <v>47000</v>
      </c>
      <c r="T977" s="648">
        <f>Data2025!T976</f>
        <v>0</v>
      </c>
      <c r="U977" s="497" t="s">
        <v>538</v>
      </c>
      <c r="V977" s="648">
        <f>Data2025!V976</f>
        <v>0</v>
      </c>
      <c r="W977" s="648">
        <f>Data2025!X976</f>
        <v>0</v>
      </c>
      <c r="X977" s="497" t="s">
        <v>541</v>
      </c>
      <c r="Y977" s="268" t="str">
        <f t="shared" si="50"/>
        <v>Alat Tulis Kantor (ATK)</v>
      </c>
      <c r="Z977" s="649" t="str">
        <f t="shared" si="51"/>
        <v>Alat Tulis Kantor (ATK)</v>
      </c>
      <c r="AA977" s="498" t="s">
        <v>3365</v>
      </c>
      <c r="AB977" s="499">
        <v>45000</v>
      </c>
      <c r="AC977" s="499">
        <v>45000</v>
      </c>
      <c r="AD977" s="496">
        <v>45000</v>
      </c>
      <c r="AE977" s="500">
        <v>40540.54054054054</v>
      </c>
      <c r="AF977" s="500">
        <v>45000</v>
      </c>
      <c r="AG977" s="805" t="s">
        <v>3883</v>
      </c>
      <c r="AH977" s="651">
        <f>Data2025!W976</f>
        <v>0</v>
      </c>
      <c r="AI977" s="61">
        <v>308</v>
      </c>
    </row>
    <row r="978" spans="1:35" ht="16.5" thickTop="1" thickBot="1">
      <c r="A978" s="636">
        <f>Data2025!G977</f>
        <v>0</v>
      </c>
      <c r="B978" s="637">
        <f>Data2025!K977</f>
        <v>0</v>
      </c>
      <c r="C978" s="638">
        <f>Data2025!D977</f>
        <v>0</v>
      </c>
      <c r="D978" s="639">
        <f>Data2025!C977</f>
        <v>0</v>
      </c>
      <c r="E978" s="265">
        <f>Data2025!E977</f>
        <v>0</v>
      </c>
      <c r="F978" s="640">
        <f>Data2025!F977</f>
        <v>0</v>
      </c>
      <c r="G978" s="265">
        <f>Data2025!H977</f>
        <v>0</v>
      </c>
      <c r="H978" s="265">
        <f t="shared" si="49"/>
        <v>0</v>
      </c>
      <c r="I978" s="641">
        <f>Data2025!J977</f>
        <v>0</v>
      </c>
      <c r="J978" s="381">
        <f>Data2025!L977</f>
        <v>0</v>
      </c>
      <c r="K978" s="381">
        <f>Data2025!M977</f>
        <v>0</v>
      </c>
      <c r="L978" s="642">
        <f>Data2025!N977</f>
        <v>0</v>
      </c>
      <c r="M978" s="642">
        <f>Data2025!O977</f>
        <v>0</v>
      </c>
      <c r="N978" s="643">
        <f>Data2025!P977</f>
        <v>0</v>
      </c>
      <c r="O978" s="644">
        <f>Data2025!Q977</f>
        <v>0</v>
      </c>
      <c r="P978" s="645" t="s">
        <v>710</v>
      </c>
      <c r="Q978" s="646" t="e">
        <f>VLOOKUP(K978,Sheet1!$C$1:$D$101,2,)</f>
        <v>#N/A</v>
      </c>
      <c r="R978" s="496">
        <v>510000</v>
      </c>
      <c r="S978" s="504">
        <v>522000</v>
      </c>
      <c r="T978" s="648">
        <f>Data2025!T977</f>
        <v>0</v>
      </c>
      <c r="U978" s="497" t="s">
        <v>538</v>
      </c>
      <c r="V978" s="648">
        <f>Data2025!V977</f>
        <v>0</v>
      </c>
      <c r="W978" s="648">
        <f>Data2025!X977</f>
        <v>0</v>
      </c>
      <c r="X978" s="497" t="s">
        <v>541</v>
      </c>
      <c r="Y978" s="268" t="str">
        <f t="shared" si="50"/>
        <v>Alat Tulis Kantor (ATK)</v>
      </c>
      <c r="Z978" s="649" t="str">
        <f t="shared" si="51"/>
        <v>Alat Tulis Kantor (ATK)</v>
      </c>
      <c r="AA978" s="498" t="s">
        <v>3367</v>
      </c>
      <c r="AB978" s="499">
        <v>85000</v>
      </c>
      <c r="AC978" s="499">
        <v>510000</v>
      </c>
      <c r="AD978" s="496">
        <v>510000</v>
      </c>
      <c r="AE978" s="500">
        <v>459459.45945945947</v>
      </c>
      <c r="AF978" s="500">
        <v>510000</v>
      </c>
      <c r="AG978" s="805" t="s">
        <v>3883</v>
      </c>
      <c r="AH978" s="651">
        <f>Data2025!W977</f>
        <v>0</v>
      </c>
      <c r="AI978" s="61">
        <v>308</v>
      </c>
    </row>
    <row r="979" spans="1:35" ht="16.5" thickTop="1" thickBot="1">
      <c r="A979" s="636">
        <f>Data2025!G978</f>
        <v>0</v>
      </c>
      <c r="B979" s="637">
        <f>Data2025!K978</f>
        <v>0</v>
      </c>
      <c r="C979" s="638">
        <f>Data2025!D978</f>
        <v>0</v>
      </c>
      <c r="D979" s="639">
        <f>Data2025!C978</f>
        <v>0</v>
      </c>
      <c r="E979" s="265">
        <f>Data2025!E978</f>
        <v>0</v>
      </c>
      <c r="F979" s="640">
        <f>Data2025!F978</f>
        <v>0</v>
      </c>
      <c r="G979" s="265">
        <f>Data2025!H978</f>
        <v>0</v>
      </c>
      <c r="H979" s="265">
        <f t="shared" si="49"/>
        <v>0</v>
      </c>
      <c r="I979" s="641">
        <f>Data2025!J978</f>
        <v>0</v>
      </c>
      <c r="J979" s="381">
        <f>Data2025!L978</f>
        <v>0</v>
      </c>
      <c r="K979" s="381">
        <f>Data2025!M978</f>
        <v>0</v>
      </c>
      <c r="L979" s="642">
        <f>Data2025!N978</f>
        <v>0</v>
      </c>
      <c r="M979" s="642">
        <f>Data2025!O978</f>
        <v>0</v>
      </c>
      <c r="N979" s="643">
        <f>Data2025!P978</f>
        <v>0</v>
      </c>
      <c r="O979" s="644">
        <f>Data2025!Q978</f>
        <v>0</v>
      </c>
      <c r="P979" s="645" t="s">
        <v>710</v>
      </c>
      <c r="Q979" s="646" t="e">
        <f>VLOOKUP(K979,Sheet1!$C$1:$D$101,2,)</f>
        <v>#N/A</v>
      </c>
      <c r="R979" s="496">
        <v>40000</v>
      </c>
      <c r="S979" s="504">
        <v>44000</v>
      </c>
      <c r="T979" s="648">
        <f>Data2025!T978</f>
        <v>0</v>
      </c>
      <c r="U979" s="497" t="s">
        <v>538</v>
      </c>
      <c r="V979" s="648">
        <f>Data2025!V978</f>
        <v>0</v>
      </c>
      <c r="W979" s="648">
        <f>Data2025!X978</f>
        <v>0</v>
      </c>
      <c r="X979" s="497" t="s">
        <v>541</v>
      </c>
      <c r="Y979" s="268" t="str">
        <f t="shared" si="50"/>
        <v>Alat Tulis Kantor (ATK)</v>
      </c>
      <c r="Z979" s="649" t="str">
        <f t="shared" si="51"/>
        <v>Alat Tulis Kantor (ATK)</v>
      </c>
      <c r="AA979" s="498" t="s">
        <v>3363</v>
      </c>
      <c r="AB979" s="499">
        <v>20000</v>
      </c>
      <c r="AC979" s="499">
        <v>40000</v>
      </c>
      <c r="AD979" s="496">
        <v>40000</v>
      </c>
      <c r="AE979" s="500">
        <v>36036.036036036036</v>
      </c>
      <c r="AF979" s="500">
        <v>40000</v>
      </c>
      <c r="AG979" s="805" t="s">
        <v>3883</v>
      </c>
      <c r="AH979" s="651">
        <f>Data2025!W978</f>
        <v>0</v>
      </c>
      <c r="AI979" s="61">
        <v>308</v>
      </c>
    </row>
    <row r="980" spans="1:35" ht="16.5" thickTop="1" thickBot="1">
      <c r="A980" s="636">
        <f>Data2025!G979</f>
        <v>0</v>
      </c>
      <c r="B980" s="637">
        <f>Data2025!K979</f>
        <v>0</v>
      </c>
      <c r="C980" s="638">
        <f>Data2025!D979</f>
        <v>0</v>
      </c>
      <c r="D980" s="639">
        <f>Data2025!C979</f>
        <v>0</v>
      </c>
      <c r="E980" s="265">
        <f>Data2025!E979</f>
        <v>0</v>
      </c>
      <c r="F980" s="640">
        <f>Data2025!F979</f>
        <v>0</v>
      </c>
      <c r="G980" s="265">
        <f>Data2025!H979</f>
        <v>0</v>
      </c>
      <c r="H980" s="265">
        <f t="shared" si="49"/>
        <v>0</v>
      </c>
      <c r="I980" s="641">
        <f>Data2025!J979</f>
        <v>0</v>
      </c>
      <c r="J980" s="381">
        <f>Data2025!L979</f>
        <v>0</v>
      </c>
      <c r="K980" s="381">
        <f>Data2025!M979</f>
        <v>0</v>
      </c>
      <c r="L980" s="642">
        <f>Data2025!N979</f>
        <v>0</v>
      </c>
      <c r="M980" s="642">
        <f>Data2025!O979</f>
        <v>0</v>
      </c>
      <c r="N980" s="643">
        <f>Data2025!P979</f>
        <v>0</v>
      </c>
      <c r="O980" s="644">
        <f>Data2025!Q979</f>
        <v>0</v>
      </c>
      <c r="P980" s="645" t="s">
        <v>710</v>
      </c>
      <c r="Q980" s="646" t="e">
        <f>VLOOKUP(K980,Sheet1!$C$1:$D$101,2,)</f>
        <v>#N/A</v>
      </c>
      <c r="R980" s="496">
        <v>40000</v>
      </c>
      <c r="S980" s="504">
        <v>44000</v>
      </c>
      <c r="T980" s="648">
        <f>Data2025!T979</f>
        <v>0</v>
      </c>
      <c r="U980" s="497" t="s">
        <v>538</v>
      </c>
      <c r="V980" s="648">
        <f>Data2025!V979</f>
        <v>0</v>
      </c>
      <c r="W980" s="648">
        <f>Data2025!X979</f>
        <v>0</v>
      </c>
      <c r="X980" s="497" t="s">
        <v>541</v>
      </c>
      <c r="Y980" s="268" t="str">
        <f t="shared" si="50"/>
        <v>Alat Tulis Kantor (ATK)</v>
      </c>
      <c r="Z980" s="649" t="str">
        <f t="shared" si="51"/>
        <v>Alat Tulis Kantor (ATK)</v>
      </c>
      <c r="AA980" s="498" t="s">
        <v>3366</v>
      </c>
      <c r="AB980" s="499">
        <v>20000</v>
      </c>
      <c r="AC980" s="499">
        <v>40000</v>
      </c>
      <c r="AD980" s="496">
        <v>40000</v>
      </c>
      <c r="AE980" s="500">
        <v>36036.036036036036</v>
      </c>
      <c r="AF980" s="500">
        <v>40000</v>
      </c>
      <c r="AG980" s="805" t="s">
        <v>3883</v>
      </c>
      <c r="AH980" s="651">
        <f>Data2025!W979</f>
        <v>0</v>
      </c>
      <c r="AI980" s="61">
        <v>308</v>
      </c>
    </row>
    <row r="981" spans="1:35" ht="16.5" thickTop="1" thickBot="1">
      <c r="A981" s="636">
        <f>Data2025!G980</f>
        <v>0</v>
      </c>
      <c r="B981" s="637">
        <f>Data2025!K980</f>
        <v>0</v>
      </c>
      <c r="C981" s="638">
        <f>Data2025!D980</f>
        <v>0</v>
      </c>
      <c r="D981" s="639">
        <f>Data2025!C980</f>
        <v>0</v>
      </c>
      <c r="E981" s="265">
        <f>Data2025!E980</f>
        <v>0</v>
      </c>
      <c r="F981" s="640">
        <f>Data2025!F980</f>
        <v>0</v>
      </c>
      <c r="G981" s="265">
        <f>Data2025!H980</f>
        <v>0</v>
      </c>
      <c r="H981" s="265">
        <f t="shared" si="49"/>
        <v>0</v>
      </c>
      <c r="I981" s="641">
        <f>Data2025!J980</f>
        <v>0</v>
      </c>
      <c r="J981" s="381">
        <f>Data2025!L980</f>
        <v>0</v>
      </c>
      <c r="K981" s="381">
        <f>Data2025!M980</f>
        <v>0</v>
      </c>
      <c r="L981" s="642">
        <f>Data2025!N980</f>
        <v>0</v>
      </c>
      <c r="M981" s="642">
        <f>Data2025!O980</f>
        <v>0</v>
      </c>
      <c r="N981" s="643">
        <f>Data2025!P980</f>
        <v>0</v>
      </c>
      <c r="O981" s="644">
        <f>Data2025!Q980</f>
        <v>0</v>
      </c>
      <c r="P981" s="645" t="s">
        <v>710</v>
      </c>
      <c r="Q981" s="646" t="e">
        <f>VLOOKUP(K981,Sheet1!$C$1:$D$101,2,)</f>
        <v>#N/A</v>
      </c>
      <c r="R981" s="496">
        <v>69000</v>
      </c>
      <c r="S981" s="504">
        <v>75000</v>
      </c>
      <c r="T981" s="648">
        <f>Data2025!T980</f>
        <v>0</v>
      </c>
      <c r="U981" s="497" t="s">
        <v>538</v>
      </c>
      <c r="V981" s="648">
        <f>Data2025!V980</f>
        <v>0</v>
      </c>
      <c r="W981" s="648">
        <f>Data2025!X980</f>
        <v>0</v>
      </c>
      <c r="X981" s="497" t="s">
        <v>541</v>
      </c>
      <c r="Y981" s="268" t="str">
        <f t="shared" si="50"/>
        <v>Alat Tulis Kantor (ATK)</v>
      </c>
      <c r="Z981" s="649" t="str">
        <f t="shared" si="51"/>
        <v>Alat Tulis Kantor (ATK)</v>
      </c>
      <c r="AA981" s="498" t="s">
        <v>3365</v>
      </c>
      <c r="AB981" s="499">
        <v>23000</v>
      </c>
      <c r="AC981" s="499">
        <v>69000</v>
      </c>
      <c r="AD981" s="496">
        <v>69000</v>
      </c>
      <c r="AE981" s="500">
        <v>62162.16216216216</v>
      </c>
      <c r="AF981" s="500">
        <v>69000</v>
      </c>
      <c r="AG981" s="805" t="s">
        <v>3883</v>
      </c>
      <c r="AH981" s="651">
        <f>Data2025!W980</f>
        <v>0</v>
      </c>
      <c r="AI981" s="61">
        <v>308</v>
      </c>
    </row>
    <row r="982" spans="1:35" ht="16.5" thickTop="1" thickBot="1">
      <c r="A982" s="636">
        <f>Data2025!G981</f>
        <v>0</v>
      </c>
      <c r="B982" s="637">
        <f>Data2025!K981</f>
        <v>0</v>
      </c>
      <c r="C982" s="638">
        <f>Data2025!D981</f>
        <v>0</v>
      </c>
      <c r="D982" s="639">
        <f>Data2025!C981</f>
        <v>0</v>
      </c>
      <c r="E982" s="265">
        <f>Data2025!E981</f>
        <v>0</v>
      </c>
      <c r="F982" s="640">
        <f>Data2025!F981</f>
        <v>0</v>
      </c>
      <c r="G982" s="265">
        <f>Data2025!H981</f>
        <v>0</v>
      </c>
      <c r="H982" s="265">
        <f t="shared" si="49"/>
        <v>0</v>
      </c>
      <c r="I982" s="641">
        <f>Data2025!J981</f>
        <v>0</v>
      </c>
      <c r="J982" s="381">
        <f>Data2025!L981</f>
        <v>0</v>
      </c>
      <c r="K982" s="381">
        <f>Data2025!M981</f>
        <v>0</v>
      </c>
      <c r="L982" s="642">
        <f>Data2025!N981</f>
        <v>0</v>
      </c>
      <c r="M982" s="642">
        <f>Data2025!O981</f>
        <v>0</v>
      </c>
      <c r="N982" s="643">
        <f>Data2025!P981</f>
        <v>0</v>
      </c>
      <c r="O982" s="644">
        <f>Data2025!Q981</f>
        <v>0</v>
      </c>
      <c r="P982" s="645" t="s">
        <v>710</v>
      </c>
      <c r="Q982" s="646" t="e">
        <f>VLOOKUP(K982,Sheet1!$C$1:$D$101,2,)</f>
        <v>#N/A</v>
      </c>
      <c r="R982" s="496">
        <v>165000</v>
      </c>
      <c r="S982" s="504">
        <v>185000</v>
      </c>
      <c r="T982" s="648">
        <f>Data2025!T981</f>
        <v>0</v>
      </c>
      <c r="U982" s="497" t="s">
        <v>538</v>
      </c>
      <c r="V982" s="648">
        <f>Data2025!V981</f>
        <v>0</v>
      </c>
      <c r="W982" s="648">
        <f>Data2025!X981</f>
        <v>0</v>
      </c>
      <c r="X982" s="497" t="s">
        <v>541</v>
      </c>
      <c r="Y982" s="268" t="str">
        <f t="shared" si="50"/>
        <v>Alat Tulis Kantor (ATK)</v>
      </c>
      <c r="Z982" s="649" t="str">
        <f t="shared" si="51"/>
        <v>Alat Tulis Kantor (ATK)</v>
      </c>
      <c r="AA982" s="498" t="s">
        <v>3362</v>
      </c>
      <c r="AB982" s="499">
        <v>16500</v>
      </c>
      <c r="AC982" s="499">
        <v>165000</v>
      </c>
      <c r="AD982" s="496">
        <v>165000</v>
      </c>
      <c r="AE982" s="500">
        <v>148648.64864864864</v>
      </c>
      <c r="AF982" s="500">
        <v>165000</v>
      </c>
      <c r="AG982" s="805" t="s">
        <v>3883</v>
      </c>
      <c r="AH982" s="651">
        <f>Data2025!W981</f>
        <v>0</v>
      </c>
      <c r="AI982" s="61">
        <v>308</v>
      </c>
    </row>
    <row r="983" spans="1:35" ht="16.5" thickTop="1" thickBot="1">
      <c r="A983" s="636">
        <f>Data2025!G982</f>
        <v>0</v>
      </c>
      <c r="B983" s="637">
        <f>Data2025!K982</f>
        <v>0</v>
      </c>
      <c r="C983" s="638">
        <f>Data2025!D982</f>
        <v>0</v>
      </c>
      <c r="D983" s="639">
        <f>Data2025!C982</f>
        <v>0</v>
      </c>
      <c r="E983" s="265">
        <f>Data2025!E982</f>
        <v>0</v>
      </c>
      <c r="F983" s="640">
        <f>Data2025!F982</f>
        <v>0</v>
      </c>
      <c r="G983" s="265">
        <f>Data2025!H982</f>
        <v>0</v>
      </c>
      <c r="H983" s="265">
        <f t="shared" si="49"/>
        <v>0</v>
      </c>
      <c r="I983" s="641">
        <f>Data2025!J982</f>
        <v>0</v>
      </c>
      <c r="J983" s="381">
        <f>Data2025!L982</f>
        <v>0</v>
      </c>
      <c r="K983" s="381">
        <f>Data2025!M982</f>
        <v>0</v>
      </c>
      <c r="L983" s="642">
        <f>Data2025!N982</f>
        <v>0</v>
      </c>
      <c r="M983" s="642">
        <f>Data2025!O982</f>
        <v>0</v>
      </c>
      <c r="N983" s="643">
        <f>Data2025!P982</f>
        <v>0</v>
      </c>
      <c r="O983" s="644">
        <f>Data2025!Q982</f>
        <v>0</v>
      </c>
      <c r="P983" s="645" t="s">
        <v>710</v>
      </c>
      <c r="Q983" s="646" t="e">
        <f>VLOOKUP(K983,Sheet1!$C$1:$D$101,2,)</f>
        <v>#N/A</v>
      </c>
      <c r="R983" s="496">
        <v>239200</v>
      </c>
      <c r="S983" s="504">
        <v>247200</v>
      </c>
      <c r="T983" s="648">
        <f>Data2025!T982</f>
        <v>0</v>
      </c>
      <c r="U983" s="497" t="s">
        <v>538</v>
      </c>
      <c r="V983" s="648">
        <f>Data2025!V982</f>
        <v>0</v>
      </c>
      <c r="W983" s="648">
        <f>Data2025!X982</f>
        <v>0</v>
      </c>
      <c r="X983" s="497" t="s">
        <v>541</v>
      </c>
      <c r="Y983" s="268" t="str">
        <f t="shared" si="50"/>
        <v>Alat Tulis Kantor (ATK)</v>
      </c>
      <c r="Z983" s="649" t="str">
        <f t="shared" si="51"/>
        <v>Alat Tulis Kantor (ATK)</v>
      </c>
      <c r="AA983" s="498" t="s">
        <v>3363</v>
      </c>
      <c r="AB983" s="499">
        <v>59800</v>
      </c>
      <c r="AC983" s="499">
        <v>239200</v>
      </c>
      <c r="AD983" s="496">
        <v>239200</v>
      </c>
      <c r="AE983" s="500">
        <v>215495.4954954955</v>
      </c>
      <c r="AF983" s="500">
        <v>239200</v>
      </c>
      <c r="AG983" s="805" t="s">
        <v>3883</v>
      </c>
      <c r="AH983" s="651">
        <f>Data2025!W982</f>
        <v>0</v>
      </c>
      <c r="AI983" s="61">
        <v>308</v>
      </c>
    </row>
    <row r="984" spans="1:35" ht="16.5" thickTop="1" thickBot="1">
      <c r="A984" s="636">
        <f>Data2025!G983</f>
        <v>0</v>
      </c>
      <c r="B984" s="637">
        <f>Data2025!K983</f>
        <v>0</v>
      </c>
      <c r="C984" s="638">
        <f>Data2025!D983</f>
        <v>0</v>
      </c>
      <c r="D984" s="639">
        <f>Data2025!C983</f>
        <v>0</v>
      </c>
      <c r="E984" s="265">
        <f>Data2025!E983</f>
        <v>0</v>
      </c>
      <c r="F984" s="640">
        <f>Data2025!F983</f>
        <v>0</v>
      </c>
      <c r="G984" s="265">
        <f>Data2025!H983</f>
        <v>0</v>
      </c>
      <c r="H984" s="265">
        <f t="shared" si="49"/>
        <v>0</v>
      </c>
      <c r="I984" s="641">
        <f>Data2025!J983</f>
        <v>0</v>
      </c>
      <c r="J984" s="381">
        <f>Data2025!L983</f>
        <v>0</v>
      </c>
      <c r="K984" s="381">
        <f>Data2025!M983</f>
        <v>0</v>
      </c>
      <c r="L984" s="642">
        <f>Data2025!N983</f>
        <v>0</v>
      </c>
      <c r="M984" s="642">
        <f>Data2025!O983</f>
        <v>0</v>
      </c>
      <c r="N984" s="643">
        <f>Data2025!P983</f>
        <v>0</v>
      </c>
      <c r="O984" s="644">
        <f>Data2025!Q983</f>
        <v>0</v>
      </c>
      <c r="P984" s="645" t="s">
        <v>710</v>
      </c>
      <c r="Q984" s="646" t="e">
        <f>VLOOKUP(K984,Sheet1!$C$1:$D$101,2,)</f>
        <v>#N/A</v>
      </c>
      <c r="R984" s="496">
        <v>180000</v>
      </c>
      <c r="S984" s="504">
        <v>184000</v>
      </c>
      <c r="T984" s="648">
        <f>Data2025!T983</f>
        <v>0</v>
      </c>
      <c r="U984" s="497" t="s">
        <v>538</v>
      </c>
      <c r="V984" s="648">
        <f>Data2025!V983</f>
        <v>0</v>
      </c>
      <c r="W984" s="648">
        <f>Data2025!X983</f>
        <v>0</v>
      </c>
      <c r="X984" s="497" t="s">
        <v>541</v>
      </c>
      <c r="Y984" s="268" t="str">
        <f t="shared" si="50"/>
        <v>Alat Tulis Kantor (ATK)</v>
      </c>
      <c r="Z984" s="649" t="str">
        <f t="shared" si="51"/>
        <v>Alat Tulis Kantor (ATK)</v>
      </c>
      <c r="AA984" s="498" t="s">
        <v>3369</v>
      </c>
      <c r="AB984" s="499">
        <v>90000</v>
      </c>
      <c r="AC984" s="499">
        <v>180000</v>
      </c>
      <c r="AD984" s="496">
        <v>180000</v>
      </c>
      <c r="AE984" s="500">
        <v>162162.16216216216</v>
      </c>
      <c r="AF984" s="500">
        <v>180000</v>
      </c>
      <c r="AG984" s="805" t="s">
        <v>3883</v>
      </c>
      <c r="AH984" s="651">
        <f>Data2025!W983</f>
        <v>0</v>
      </c>
      <c r="AI984" s="61">
        <v>308</v>
      </c>
    </row>
    <row r="985" spans="1:35" ht="16.5" thickTop="1" thickBot="1">
      <c r="A985" s="636">
        <f>Data2025!G984</f>
        <v>0</v>
      </c>
      <c r="B985" s="637">
        <f>Data2025!K984</f>
        <v>0</v>
      </c>
      <c r="C985" s="638">
        <f>Data2025!D984</f>
        <v>0</v>
      </c>
      <c r="D985" s="639">
        <f>Data2025!C984</f>
        <v>0</v>
      </c>
      <c r="E985" s="265">
        <f>Data2025!E984</f>
        <v>0</v>
      </c>
      <c r="F985" s="640">
        <f>Data2025!F984</f>
        <v>0</v>
      </c>
      <c r="G985" s="265">
        <f>Data2025!H984</f>
        <v>0</v>
      </c>
      <c r="H985" s="265">
        <f t="shared" si="49"/>
        <v>0</v>
      </c>
      <c r="I985" s="641">
        <f>Data2025!J984</f>
        <v>0</v>
      </c>
      <c r="J985" s="381">
        <f>Data2025!L984</f>
        <v>0</v>
      </c>
      <c r="K985" s="381">
        <f>Data2025!M984</f>
        <v>0</v>
      </c>
      <c r="L985" s="642">
        <f>Data2025!N984</f>
        <v>0</v>
      </c>
      <c r="M985" s="642">
        <f>Data2025!O984</f>
        <v>0</v>
      </c>
      <c r="N985" s="643">
        <f>Data2025!P984</f>
        <v>0</v>
      </c>
      <c r="O985" s="644">
        <f>Data2025!Q984</f>
        <v>0</v>
      </c>
      <c r="P985" s="645" t="s">
        <v>710</v>
      </c>
      <c r="Q985" s="646" t="e">
        <f>VLOOKUP(K985,Sheet1!$C$1:$D$101,2,)</f>
        <v>#N/A</v>
      </c>
      <c r="R985" s="496">
        <v>60000</v>
      </c>
      <c r="S985" s="504">
        <v>66000</v>
      </c>
      <c r="T985" s="648">
        <f>Data2025!T984</f>
        <v>0</v>
      </c>
      <c r="U985" s="497" t="s">
        <v>538</v>
      </c>
      <c r="V985" s="648">
        <f>Data2025!V984</f>
        <v>0</v>
      </c>
      <c r="W985" s="648">
        <f>Data2025!X984</f>
        <v>0</v>
      </c>
      <c r="X985" s="497" t="s">
        <v>541</v>
      </c>
      <c r="Y985" s="268" t="str">
        <f t="shared" si="50"/>
        <v>Alat Tulis Kantor (ATK)</v>
      </c>
      <c r="Z985" s="649" t="str">
        <f t="shared" si="51"/>
        <v>Alat Tulis Kantor (ATK)</v>
      </c>
      <c r="AA985" s="498" t="s">
        <v>3363</v>
      </c>
      <c r="AB985" s="499">
        <v>20000</v>
      </c>
      <c r="AC985" s="499">
        <v>60000</v>
      </c>
      <c r="AD985" s="496">
        <v>60000</v>
      </c>
      <c r="AE985" s="500">
        <v>54054.054054054053</v>
      </c>
      <c r="AF985" s="500">
        <v>60000</v>
      </c>
      <c r="AG985" s="805" t="s">
        <v>3883</v>
      </c>
      <c r="AH985" s="651">
        <f>Data2025!W984</f>
        <v>0</v>
      </c>
      <c r="AI985" s="61">
        <v>308</v>
      </c>
    </row>
    <row r="986" spans="1:35" ht="16.5" thickTop="1" thickBot="1">
      <c r="A986" s="636">
        <f>Data2025!G985</f>
        <v>0</v>
      </c>
      <c r="B986" s="637">
        <f>Data2025!K985</f>
        <v>0</v>
      </c>
      <c r="C986" s="638">
        <f>Data2025!D985</f>
        <v>0</v>
      </c>
      <c r="D986" s="639">
        <f>Data2025!C985</f>
        <v>0</v>
      </c>
      <c r="E986" s="265">
        <f>Data2025!E985</f>
        <v>0</v>
      </c>
      <c r="F986" s="640">
        <f>Data2025!F985</f>
        <v>0</v>
      </c>
      <c r="G986" s="265">
        <f>Data2025!H985</f>
        <v>0</v>
      </c>
      <c r="H986" s="265">
        <f t="shared" si="49"/>
        <v>0</v>
      </c>
      <c r="I986" s="641">
        <f>Data2025!J985</f>
        <v>0</v>
      </c>
      <c r="J986" s="381">
        <f>Data2025!L985</f>
        <v>0</v>
      </c>
      <c r="K986" s="381">
        <f>Data2025!M985</f>
        <v>0</v>
      </c>
      <c r="L986" s="642">
        <f>Data2025!N985</f>
        <v>0</v>
      </c>
      <c r="M986" s="642">
        <f>Data2025!O985</f>
        <v>0</v>
      </c>
      <c r="N986" s="643">
        <f>Data2025!P985</f>
        <v>0</v>
      </c>
      <c r="O986" s="644">
        <f>Data2025!Q985</f>
        <v>0</v>
      </c>
      <c r="P986" s="645" t="s">
        <v>710</v>
      </c>
      <c r="Q986" s="646" t="e">
        <f>VLOOKUP(K986,Sheet1!$C$1:$D$101,2,)</f>
        <v>#N/A</v>
      </c>
      <c r="R986" s="496">
        <v>500000</v>
      </c>
      <c r="S986" s="504">
        <v>520000</v>
      </c>
      <c r="T986" s="648">
        <f>Data2025!T985</f>
        <v>0</v>
      </c>
      <c r="U986" s="497" t="s">
        <v>538</v>
      </c>
      <c r="V986" s="648">
        <f>Data2025!V985</f>
        <v>0</v>
      </c>
      <c r="W986" s="648">
        <f>Data2025!X985</f>
        <v>0</v>
      </c>
      <c r="X986" s="497" t="s">
        <v>541</v>
      </c>
      <c r="Y986" s="268" t="str">
        <f t="shared" si="50"/>
        <v>Alat Tulis Kantor (ATK)</v>
      </c>
      <c r="Z986" s="649" t="str">
        <f t="shared" si="51"/>
        <v>Alat Tulis Kantor (ATK)</v>
      </c>
      <c r="AA986" s="498" t="s">
        <v>3365</v>
      </c>
      <c r="AB986" s="499">
        <v>50000</v>
      </c>
      <c r="AC986" s="499">
        <v>500000</v>
      </c>
      <c r="AD986" s="496">
        <v>500000</v>
      </c>
      <c r="AE986" s="500">
        <v>450450.45045045047</v>
      </c>
      <c r="AF986" s="500">
        <v>500000</v>
      </c>
      <c r="AG986" s="805" t="s">
        <v>3883</v>
      </c>
      <c r="AH986" s="651">
        <f>Data2025!W985</f>
        <v>0</v>
      </c>
      <c r="AI986" s="61">
        <v>308</v>
      </c>
    </row>
    <row r="987" spans="1:35" ht="16.5" thickTop="1" thickBot="1">
      <c r="A987" s="636">
        <f>Data2025!G986</f>
        <v>0</v>
      </c>
      <c r="B987" s="637">
        <f>Data2025!K986</f>
        <v>0</v>
      </c>
      <c r="C987" s="638">
        <f>Data2025!D986</f>
        <v>0</v>
      </c>
      <c r="D987" s="639">
        <f>Data2025!C986</f>
        <v>0</v>
      </c>
      <c r="E987" s="265">
        <f>Data2025!E986</f>
        <v>0</v>
      </c>
      <c r="F987" s="640">
        <f>Data2025!F986</f>
        <v>0</v>
      </c>
      <c r="G987" s="265">
        <f>Data2025!H986</f>
        <v>0</v>
      </c>
      <c r="H987" s="265">
        <f t="shared" si="49"/>
        <v>0</v>
      </c>
      <c r="I987" s="641">
        <f>Data2025!J986</f>
        <v>0</v>
      </c>
      <c r="J987" s="381">
        <f>Data2025!L986</f>
        <v>0</v>
      </c>
      <c r="K987" s="381">
        <f>Data2025!M986</f>
        <v>0</v>
      </c>
      <c r="L987" s="642">
        <f>Data2025!N986</f>
        <v>0</v>
      </c>
      <c r="M987" s="642">
        <f>Data2025!O986</f>
        <v>0</v>
      </c>
      <c r="N987" s="643">
        <f>Data2025!P986</f>
        <v>0</v>
      </c>
      <c r="O987" s="644">
        <f>Data2025!Q986</f>
        <v>0</v>
      </c>
      <c r="P987" s="645" t="s">
        <v>710</v>
      </c>
      <c r="Q987" s="646" t="e">
        <f>VLOOKUP(K987,Sheet1!$C$1:$D$101,2,)</f>
        <v>#N/A</v>
      </c>
      <c r="R987" s="496">
        <v>155000</v>
      </c>
      <c r="S987" s="504">
        <v>165000</v>
      </c>
      <c r="T987" s="648">
        <f>Data2025!T986</f>
        <v>0</v>
      </c>
      <c r="U987" s="497" t="s">
        <v>538</v>
      </c>
      <c r="V987" s="648">
        <f>Data2025!V986</f>
        <v>0</v>
      </c>
      <c r="W987" s="648">
        <f>Data2025!X986</f>
        <v>0</v>
      </c>
      <c r="X987" s="497" t="s">
        <v>541</v>
      </c>
      <c r="Y987" s="268" t="str">
        <f t="shared" si="50"/>
        <v>Alat Tulis Kantor (ATK)</v>
      </c>
      <c r="Z987" s="649" t="str">
        <f t="shared" si="51"/>
        <v>Alat Tulis Kantor (ATK)</v>
      </c>
      <c r="AA987" s="498" t="s">
        <v>3365</v>
      </c>
      <c r="AB987" s="499">
        <v>31000</v>
      </c>
      <c r="AC987" s="499">
        <v>155000</v>
      </c>
      <c r="AD987" s="496">
        <v>155000</v>
      </c>
      <c r="AE987" s="500">
        <v>139639.63963963964</v>
      </c>
      <c r="AF987" s="500">
        <v>155000</v>
      </c>
      <c r="AG987" s="805" t="s">
        <v>3883</v>
      </c>
      <c r="AH987" s="651">
        <f>Data2025!W986</f>
        <v>0</v>
      </c>
      <c r="AI987" s="61">
        <v>308</v>
      </c>
    </row>
    <row r="988" spans="1:35" ht="16.5" thickTop="1" thickBot="1">
      <c r="A988" s="636">
        <f>Data2025!G987</f>
        <v>0</v>
      </c>
      <c r="B988" s="637">
        <f>Data2025!K987</f>
        <v>0</v>
      </c>
      <c r="C988" s="638">
        <f>Data2025!D987</f>
        <v>0</v>
      </c>
      <c r="D988" s="639">
        <f>Data2025!C987</f>
        <v>0</v>
      </c>
      <c r="E988" s="265">
        <f>Data2025!E987</f>
        <v>0</v>
      </c>
      <c r="F988" s="640">
        <f>Data2025!F987</f>
        <v>0</v>
      </c>
      <c r="G988" s="265">
        <f>Data2025!H987</f>
        <v>0</v>
      </c>
      <c r="H988" s="265">
        <f t="shared" si="49"/>
        <v>0</v>
      </c>
      <c r="I988" s="641">
        <f>Data2025!J987</f>
        <v>0</v>
      </c>
      <c r="J988" s="381">
        <f>Data2025!L987</f>
        <v>0</v>
      </c>
      <c r="K988" s="381">
        <f>Data2025!M987</f>
        <v>0</v>
      </c>
      <c r="L988" s="642">
        <f>Data2025!N987</f>
        <v>0</v>
      </c>
      <c r="M988" s="642">
        <f>Data2025!O987</f>
        <v>0</v>
      </c>
      <c r="N988" s="643">
        <f>Data2025!P987</f>
        <v>0</v>
      </c>
      <c r="O988" s="644">
        <f>Data2025!Q987</f>
        <v>0</v>
      </c>
      <c r="P988" s="645" t="s">
        <v>710</v>
      </c>
      <c r="Q988" s="646" t="e">
        <f>VLOOKUP(K988,Sheet1!$C$1:$D$101,2,)</f>
        <v>#N/A</v>
      </c>
      <c r="R988" s="496">
        <v>440000</v>
      </c>
      <c r="S988" s="504">
        <v>448000</v>
      </c>
      <c r="T988" s="648">
        <f>Data2025!T987</f>
        <v>0</v>
      </c>
      <c r="U988" s="497" t="s">
        <v>538</v>
      </c>
      <c r="V988" s="648">
        <f>Data2025!V987</f>
        <v>0</v>
      </c>
      <c r="W988" s="648">
        <f>Data2025!X987</f>
        <v>0</v>
      </c>
      <c r="X988" s="497" t="s">
        <v>541</v>
      </c>
      <c r="Y988" s="268" t="str">
        <f t="shared" si="50"/>
        <v>Alat Tulis Kantor (ATK)</v>
      </c>
      <c r="Z988" s="649" t="str">
        <f t="shared" si="51"/>
        <v>Alat Tulis Kantor (ATK)</v>
      </c>
      <c r="AA988" s="498" t="s">
        <v>3367</v>
      </c>
      <c r="AB988" s="499">
        <v>110000</v>
      </c>
      <c r="AC988" s="499">
        <v>440000</v>
      </c>
      <c r="AD988" s="496">
        <v>440000</v>
      </c>
      <c r="AE988" s="500">
        <v>396396.39639639639</v>
      </c>
      <c r="AF988" s="500">
        <v>440000</v>
      </c>
      <c r="AG988" s="805" t="s">
        <v>3883</v>
      </c>
      <c r="AH988" s="651">
        <f>Data2025!W987</f>
        <v>0</v>
      </c>
      <c r="AI988" s="61">
        <v>308</v>
      </c>
    </row>
    <row r="989" spans="1:35" ht="16.5" thickTop="1" thickBot="1">
      <c r="A989" s="636">
        <f>Data2025!G988</f>
        <v>0</v>
      </c>
      <c r="B989" s="637">
        <f>Data2025!K988</f>
        <v>0</v>
      </c>
      <c r="C989" s="638">
        <f>Data2025!D988</f>
        <v>0</v>
      </c>
      <c r="D989" s="639">
        <f>Data2025!C988</f>
        <v>0</v>
      </c>
      <c r="E989" s="265">
        <f>Data2025!E988</f>
        <v>0</v>
      </c>
      <c r="F989" s="640">
        <f>Data2025!F988</f>
        <v>0</v>
      </c>
      <c r="G989" s="265">
        <f>Data2025!H988</f>
        <v>0</v>
      </c>
      <c r="H989" s="265">
        <f t="shared" si="49"/>
        <v>0</v>
      </c>
      <c r="I989" s="641">
        <f>Data2025!J988</f>
        <v>0</v>
      </c>
      <c r="J989" s="381">
        <f>Data2025!L988</f>
        <v>0</v>
      </c>
      <c r="K989" s="381">
        <f>Data2025!M988</f>
        <v>0</v>
      </c>
      <c r="L989" s="642">
        <f>Data2025!N988</f>
        <v>0</v>
      </c>
      <c r="M989" s="642">
        <f>Data2025!O988</f>
        <v>0</v>
      </c>
      <c r="N989" s="643">
        <f>Data2025!P988</f>
        <v>0</v>
      </c>
      <c r="O989" s="644">
        <f>Data2025!Q988</f>
        <v>0</v>
      </c>
      <c r="P989" s="645" t="s">
        <v>710</v>
      </c>
      <c r="Q989" s="646" t="e">
        <f>VLOOKUP(K989,Sheet1!$C$1:$D$101,2,)</f>
        <v>#N/A</v>
      </c>
      <c r="R989" s="496">
        <v>30000</v>
      </c>
      <c r="S989" s="504">
        <v>34000</v>
      </c>
      <c r="T989" s="648">
        <f>Data2025!T988</f>
        <v>0</v>
      </c>
      <c r="U989" s="497" t="s">
        <v>538</v>
      </c>
      <c r="V989" s="648">
        <f>Data2025!V988</f>
        <v>0</v>
      </c>
      <c r="W989" s="648">
        <f>Data2025!X988</f>
        <v>0</v>
      </c>
      <c r="X989" s="497" t="s">
        <v>541</v>
      </c>
      <c r="Y989" s="268" t="str">
        <f t="shared" si="50"/>
        <v>Alat Tulis Kantor (ATK)</v>
      </c>
      <c r="Z989" s="649" t="str">
        <f t="shared" si="51"/>
        <v>Alat Tulis Kantor (ATK)</v>
      </c>
      <c r="AA989" s="498" t="s">
        <v>3363</v>
      </c>
      <c r="AB989" s="499">
        <v>15000</v>
      </c>
      <c r="AC989" s="499">
        <v>30000</v>
      </c>
      <c r="AD989" s="496">
        <v>30000</v>
      </c>
      <c r="AE989" s="500">
        <v>27027.027027027027</v>
      </c>
      <c r="AF989" s="500">
        <v>30000</v>
      </c>
      <c r="AG989" s="805" t="s">
        <v>3883</v>
      </c>
      <c r="AH989" s="651">
        <f>Data2025!W988</f>
        <v>0</v>
      </c>
      <c r="AI989" s="61">
        <v>308</v>
      </c>
    </row>
    <row r="990" spans="1:35" ht="16.5" thickTop="1" thickBot="1">
      <c r="A990" s="636">
        <f>Data2025!G989</f>
        <v>0</v>
      </c>
      <c r="B990" s="637">
        <f>Data2025!K989</f>
        <v>0</v>
      </c>
      <c r="C990" s="638">
        <f>Data2025!D989</f>
        <v>0</v>
      </c>
      <c r="D990" s="639">
        <f>Data2025!C989</f>
        <v>0</v>
      </c>
      <c r="E990" s="265">
        <f>Data2025!E989</f>
        <v>0</v>
      </c>
      <c r="F990" s="640">
        <f>Data2025!F989</f>
        <v>0</v>
      </c>
      <c r="G990" s="265">
        <f>Data2025!H989</f>
        <v>0</v>
      </c>
      <c r="H990" s="265">
        <f t="shared" si="49"/>
        <v>0</v>
      </c>
      <c r="I990" s="641">
        <f>Data2025!J989</f>
        <v>0</v>
      </c>
      <c r="J990" s="381">
        <f>Data2025!L989</f>
        <v>0</v>
      </c>
      <c r="K990" s="381">
        <f>Data2025!M989</f>
        <v>0</v>
      </c>
      <c r="L990" s="642">
        <f>Data2025!N989</f>
        <v>0</v>
      </c>
      <c r="M990" s="642">
        <f>Data2025!O989</f>
        <v>0</v>
      </c>
      <c r="N990" s="643">
        <f>Data2025!P989</f>
        <v>0</v>
      </c>
      <c r="O990" s="644">
        <f>Data2025!Q989</f>
        <v>0</v>
      </c>
      <c r="P990" s="645" t="s">
        <v>710</v>
      </c>
      <c r="Q990" s="646" t="e">
        <f>VLOOKUP(K990,Sheet1!$C$1:$D$101,2,)</f>
        <v>#N/A</v>
      </c>
      <c r="R990" s="496">
        <v>2000000</v>
      </c>
      <c r="S990" s="504">
        <v>2080000</v>
      </c>
      <c r="T990" s="648">
        <f>Data2025!T989</f>
        <v>0</v>
      </c>
      <c r="U990" s="497" t="s">
        <v>538</v>
      </c>
      <c r="V990" s="648">
        <f>Data2025!V989</f>
        <v>0</v>
      </c>
      <c r="W990" s="648">
        <f>Data2025!X989</f>
        <v>0</v>
      </c>
      <c r="X990" s="497" t="s">
        <v>541</v>
      </c>
      <c r="Y990" s="268" t="str">
        <f t="shared" si="50"/>
        <v>Alat Tulis Kantor (ATK)</v>
      </c>
      <c r="Z990" s="649" t="str">
        <f t="shared" si="51"/>
        <v>Alat Tulis Kantor (ATK)</v>
      </c>
      <c r="AA990" s="498" t="s">
        <v>3369</v>
      </c>
      <c r="AB990" s="499">
        <v>50000</v>
      </c>
      <c r="AC990" s="499">
        <v>2000000</v>
      </c>
      <c r="AD990" s="496">
        <v>2000000</v>
      </c>
      <c r="AE990" s="500">
        <v>1801801.8018018019</v>
      </c>
      <c r="AF990" s="500">
        <v>2000000</v>
      </c>
      <c r="AG990" s="805" t="s">
        <v>3883</v>
      </c>
      <c r="AH990" s="651">
        <f>Data2025!W989</f>
        <v>0</v>
      </c>
      <c r="AI990" s="61">
        <v>308</v>
      </c>
    </row>
    <row r="991" spans="1:35" ht="16.5" thickTop="1" thickBot="1">
      <c r="A991" s="636">
        <f>Data2025!G990</f>
        <v>0</v>
      </c>
      <c r="B991" s="637">
        <f>Data2025!K990</f>
        <v>0</v>
      </c>
      <c r="C991" s="638">
        <f>Data2025!D990</f>
        <v>0</v>
      </c>
      <c r="D991" s="639">
        <f>Data2025!C990</f>
        <v>0</v>
      </c>
      <c r="E991" s="265">
        <f>Data2025!E990</f>
        <v>0</v>
      </c>
      <c r="F991" s="640">
        <f>Data2025!F990</f>
        <v>0</v>
      </c>
      <c r="G991" s="265">
        <f>Data2025!H990</f>
        <v>0</v>
      </c>
      <c r="H991" s="265">
        <f t="shared" si="49"/>
        <v>0</v>
      </c>
      <c r="I991" s="641">
        <f>Data2025!J990</f>
        <v>0</v>
      </c>
      <c r="J991" s="381">
        <f>Data2025!L990</f>
        <v>0</v>
      </c>
      <c r="K991" s="381">
        <f>Data2025!M990</f>
        <v>0</v>
      </c>
      <c r="L991" s="642">
        <f>Data2025!N990</f>
        <v>0</v>
      </c>
      <c r="M991" s="642">
        <f>Data2025!O990</f>
        <v>0</v>
      </c>
      <c r="N991" s="643">
        <f>Data2025!P990</f>
        <v>0</v>
      </c>
      <c r="O991" s="644">
        <f>Data2025!Q990</f>
        <v>0</v>
      </c>
      <c r="P991" s="645" t="s">
        <v>710</v>
      </c>
      <c r="Q991" s="646" t="e">
        <f>VLOOKUP(K991,Sheet1!$C$1:$D$101,2,)</f>
        <v>#N/A</v>
      </c>
      <c r="R991" s="496">
        <v>125000</v>
      </c>
      <c r="S991" s="504">
        <v>135000</v>
      </c>
      <c r="T991" s="648">
        <f>Data2025!T990</f>
        <v>0</v>
      </c>
      <c r="U991" s="497" t="s">
        <v>538</v>
      </c>
      <c r="V991" s="648">
        <f>Data2025!V990</f>
        <v>0</v>
      </c>
      <c r="W991" s="648">
        <f>Data2025!X990</f>
        <v>0</v>
      </c>
      <c r="X991" s="497" t="s">
        <v>541</v>
      </c>
      <c r="Y991" s="268" t="str">
        <f t="shared" si="50"/>
        <v>Alat Tulis Kantor (ATK)</v>
      </c>
      <c r="Z991" s="649" t="str">
        <f t="shared" si="51"/>
        <v>Alat Tulis Kantor (ATK)</v>
      </c>
      <c r="AA991" s="498" t="s">
        <v>3363</v>
      </c>
      <c r="AB991" s="499">
        <v>25000</v>
      </c>
      <c r="AC991" s="499">
        <v>125000</v>
      </c>
      <c r="AD991" s="496">
        <v>125000</v>
      </c>
      <c r="AE991" s="500">
        <v>112612.61261261262</v>
      </c>
      <c r="AF991" s="500">
        <v>125000</v>
      </c>
      <c r="AG991" s="805" t="s">
        <v>3883</v>
      </c>
      <c r="AH991" s="651">
        <f>Data2025!W990</f>
        <v>0</v>
      </c>
      <c r="AI991" s="61">
        <v>308</v>
      </c>
    </row>
    <row r="992" spans="1:35" ht="16.5" thickTop="1" thickBot="1">
      <c r="A992" s="636">
        <f>Data2025!G991</f>
        <v>0</v>
      </c>
      <c r="B992" s="637">
        <f>Data2025!K991</f>
        <v>0</v>
      </c>
      <c r="C992" s="638">
        <f>Data2025!D991</f>
        <v>0</v>
      </c>
      <c r="D992" s="639">
        <f>Data2025!C991</f>
        <v>0</v>
      </c>
      <c r="E992" s="265">
        <f>Data2025!E991</f>
        <v>0</v>
      </c>
      <c r="F992" s="640">
        <f>Data2025!F991</f>
        <v>0</v>
      </c>
      <c r="G992" s="265">
        <f>Data2025!H991</f>
        <v>0</v>
      </c>
      <c r="H992" s="265">
        <f t="shared" si="49"/>
        <v>0</v>
      </c>
      <c r="I992" s="641">
        <f>Data2025!J991</f>
        <v>0</v>
      </c>
      <c r="J992" s="381">
        <f>Data2025!L991</f>
        <v>0</v>
      </c>
      <c r="K992" s="381">
        <f>Data2025!M991</f>
        <v>0</v>
      </c>
      <c r="L992" s="642">
        <f>Data2025!N991</f>
        <v>0</v>
      </c>
      <c r="M992" s="642">
        <f>Data2025!O991</f>
        <v>0</v>
      </c>
      <c r="N992" s="643">
        <f>Data2025!P991</f>
        <v>0</v>
      </c>
      <c r="O992" s="644">
        <f>Data2025!Q991</f>
        <v>0</v>
      </c>
      <c r="P992" s="645" t="s">
        <v>710</v>
      </c>
      <c r="Q992" s="646" t="e">
        <f>VLOOKUP(K992,Sheet1!$C$1:$D$101,2,)</f>
        <v>#N/A</v>
      </c>
      <c r="R992" s="496">
        <v>114000</v>
      </c>
      <c r="S992" s="504">
        <v>124000</v>
      </c>
      <c r="T992" s="648">
        <f>Data2025!T991</f>
        <v>0</v>
      </c>
      <c r="U992" s="497" t="s">
        <v>538</v>
      </c>
      <c r="V992" s="648">
        <f>Data2025!V991</f>
        <v>0</v>
      </c>
      <c r="W992" s="648">
        <f>Data2025!X991</f>
        <v>0</v>
      </c>
      <c r="X992" s="497" t="s">
        <v>541</v>
      </c>
      <c r="Y992" s="268" t="str">
        <f t="shared" si="50"/>
        <v>Alat Tulis Kantor (ATK)</v>
      </c>
      <c r="Z992" s="649" t="str">
        <f t="shared" si="51"/>
        <v>Alat Tulis Kantor (ATK)</v>
      </c>
      <c r="AA992" s="498" t="s">
        <v>3363</v>
      </c>
      <c r="AB992" s="499">
        <v>22800</v>
      </c>
      <c r="AC992" s="499">
        <v>114000</v>
      </c>
      <c r="AD992" s="496">
        <v>114000</v>
      </c>
      <c r="AE992" s="500">
        <v>102702.70270270271</v>
      </c>
      <c r="AF992" s="500">
        <v>114000</v>
      </c>
      <c r="AG992" s="805" t="s">
        <v>3883</v>
      </c>
      <c r="AH992" s="651">
        <f>Data2025!W991</f>
        <v>0</v>
      </c>
      <c r="AI992" s="61">
        <v>308</v>
      </c>
    </row>
    <row r="993" spans="1:35" ht="16.5" thickTop="1" thickBot="1">
      <c r="A993" s="636">
        <f>Data2025!G992</f>
        <v>0</v>
      </c>
      <c r="B993" s="637">
        <f>Data2025!K992</f>
        <v>0</v>
      </c>
      <c r="C993" s="638">
        <f>Data2025!D992</f>
        <v>0</v>
      </c>
      <c r="D993" s="639">
        <f>Data2025!C992</f>
        <v>0</v>
      </c>
      <c r="E993" s="265">
        <f>Data2025!E992</f>
        <v>0</v>
      </c>
      <c r="F993" s="640">
        <f>Data2025!F992</f>
        <v>0</v>
      </c>
      <c r="G993" s="265">
        <f>Data2025!H992</f>
        <v>0</v>
      </c>
      <c r="H993" s="265">
        <f t="shared" si="49"/>
        <v>0</v>
      </c>
      <c r="I993" s="641">
        <f>Data2025!J992</f>
        <v>0</v>
      </c>
      <c r="J993" s="381">
        <f>Data2025!L992</f>
        <v>0</v>
      </c>
      <c r="K993" s="381">
        <f>Data2025!M992</f>
        <v>0</v>
      </c>
      <c r="L993" s="642">
        <f>Data2025!N992</f>
        <v>0</v>
      </c>
      <c r="M993" s="642">
        <f>Data2025!O992</f>
        <v>0</v>
      </c>
      <c r="N993" s="643">
        <f>Data2025!P992</f>
        <v>0</v>
      </c>
      <c r="O993" s="644">
        <f>Data2025!Q992</f>
        <v>0</v>
      </c>
      <c r="P993" s="645" t="s">
        <v>710</v>
      </c>
      <c r="Q993" s="646" t="e">
        <f>VLOOKUP(K993,Sheet1!$C$1:$D$101,2,)</f>
        <v>#N/A</v>
      </c>
      <c r="R993" s="496">
        <v>550000</v>
      </c>
      <c r="S993" s="504">
        <v>750000</v>
      </c>
      <c r="T993" s="648">
        <f>Data2025!T992</f>
        <v>0</v>
      </c>
      <c r="U993" s="497" t="s">
        <v>538</v>
      </c>
      <c r="V993" s="648">
        <f>Data2025!V992</f>
        <v>0</v>
      </c>
      <c r="W993" s="648">
        <f>Data2025!X992</f>
        <v>0</v>
      </c>
      <c r="X993" s="497" t="s">
        <v>541</v>
      </c>
      <c r="Y993" s="268" t="str">
        <f t="shared" si="50"/>
        <v>Alat Tulis Kantor (ATK)</v>
      </c>
      <c r="Z993" s="649" t="str">
        <f t="shared" si="51"/>
        <v>Alat Tulis Kantor (ATK)</v>
      </c>
      <c r="AA993" s="498" t="s">
        <v>3363</v>
      </c>
      <c r="AB993" s="499">
        <v>5500</v>
      </c>
      <c r="AC993" s="499">
        <v>550000</v>
      </c>
      <c r="AD993" s="496">
        <v>550000</v>
      </c>
      <c r="AE993" s="500">
        <v>495495.4954954955</v>
      </c>
      <c r="AF993" s="500">
        <v>550000</v>
      </c>
      <c r="AG993" s="805" t="s">
        <v>3883</v>
      </c>
      <c r="AH993" s="651">
        <f>Data2025!W992</f>
        <v>0</v>
      </c>
      <c r="AI993" s="61">
        <v>308</v>
      </c>
    </row>
    <row r="994" spans="1:35" ht="16.5" thickTop="1" thickBot="1">
      <c r="A994" s="636">
        <f>Data2025!G993</f>
        <v>0</v>
      </c>
      <c r="B994" s="637">
        <f>Data2025!K993</f>
        <v>0</v>
      </c>
      <c r="C994" s="638">
        <f>Data2025!D993</f>
        <v>0</v>
      </c>
      <c r="D994" s="639">
        <f>Data2025!C993</f>
        <v>0</v>
      </c>
      <c r="E994" s="265">
        <f>Data2025!E993</f>
        <v>0</v>
      </c>
      <c r="F994" s="640">
        <f>Data2025!F993</f>
        <v>0</v>
      </c>
      <c r="G994" s="265">
        <f>Data2025!H993</f>
        <v>0</v>
      </c>
      <c r="H994" s="265">
        <f t="shared" si="49"/>
        <v>0</v>
      </c>
      <c r="I994" s="641">
        <f>Data2025!J993</f>
        <v>0</v>
      </c>
      <c r="J994" s="381">
        <f>Data2025!L993</f>
        <v>0</v>
      </c>
      <c r="K994" s="381">
        <f>Data2025!M993</f>
        <v>0</v>
      </c>
      <c r="L994" s="642">
        <f>Data2025!N993</f>
        <v>0</v>
      </c>
      <c r="M994" s="642">
        <f>Data2025!O993</f>
        <v>0</v>
      </c>
      <c r="N994" s="643">
        <f>Data2025!P993</f>
        <v>0</v>
      </c>
      <c r="O994" s="644">
        <f>Data2025!Q993</f>
        <v>0</v>
      </c>
      <c r="P994" s="645" t="s">
        <v>280</v>
      </c>
      <c r="Q994" s="646" t="e">
        <f>VLOOKUP(K994,Sheet1!$C$1:$D$101,2,)</f>
        <v>#N/A</v>
      </c>
      <c r="R994" s="267">
        <v>900000</v>
      </c>
      <c r="S994" s="647">
        <v>1020000</v>
      </c>
      <c r="T994" s="648">
        <f>Data2025!T993</f>
        <v>0</v>
      </c>
      <c r="U994" s="268" t="s">
        <v>2531</v>
      </c>
      <c r="V994" s="648">
        <f>Data2025!V993</f>
        <v>0</v>
      </c>
      <c r="W994" s="648">
        <f>Data2025!X993</f>
        <v>0</v>
      </c>
      <c r="X994" s="268" t="s">
        <v>2529</v>
      </c>
      <c r="Y994" s="268" t="str">
        <f t="shared" si="50"/>
        <v>Kudapan</v>
      </c>
      <c r="Z994" s="649" t="str">
        <f t="shared" si="51"/>
        <v>Kudapan</v>
      </c>
      <c r="AA994" s="650" t="s">
        <v>3363</v>
      </c>
      <c r="AB994" s="269">
        <v>15000</v>
      </c>
      <c r="AC994" s="269">
        <v>900000</v>
      </c>
      <c r="AD994" s="267">
        <v>900000</v>
      </c>
      <c r="AE994" s="270">
        <v>810810.81081081077</v>
      </c>
      <c r="AF994" s="270">
        <v>900000</v>
      </c>
      <c r="AG994" s="805" t="s">
        <v>3883</v>
      </c>
      <c r="AH994" s="651">
        <f>Data2025!W993</f>
        <v>0</v>
      </c>
      <c r="AI994" s="61">
        <v>309</v>
      </c>
    </row>
    <row r="995" spans="1:35" ht="16.5" thickTop="1" thickBot="1">
      <c r="A995" s="636">
        <f>Data2025!G994</f>
        <v>0</v>
      </c>
      <c r="B995" s="637">
        <f>Data2025!K994</f>
        <v>0</v>
      </c>
      <c r="C995" s="638">
        <f>Data2025!D994</f>
        <v>0</v>
      </c>
      <c r="D995" s="639">
        <f>Data2025!C994</f>
        <v>0</v>
      </c>
      <c r="E995" s="265">
        <f>Data2025!E994</f>
        <v>0</v>
      </c>
      <c r="F995" s="640">
        <f>Data2025!F994</f>
        <v>0</v>
      </c>
      <c r="G995" s="265">
        <f>Data2025!H994</f>
        <v>0</v>
      </c>
      <c r="H995" s="265">
        <f t="shared" si="49"/>
        <v>0</v>
      </c>
      <c r="I995" s="641">
        <f>Data2025!J994</f>
        <v>0</v>
      </c>
      <c r="J995" s="381">
        <f>Data2025!L994</f>
        <v>0</v>
      </c>
      <c r="K995" s="381">
        <f>Data2025!M994</f>
        <v>0</v>
      </c>
      <c r="L995" s="642">
        <f>Data2025!N994</f>
        <v>0</v>
      </c>
      <c r="M995" s="642">
        <f>Data2025!O994</f>
        <v>0</v>
      </c>
      <c r="N995" s="643">
        <f>Data2025!P994</f>
        <v>0</v>
      </c>
      <c r="O995" s="644">
        <f>Data2025!Q994</f>
        <v>0</v>
      </c>
      <c r="P995" s="645" t="s">
        <v>8</v>
      </c>
      <c r="Q995" s="646" t="e">
        <f>VLOOKUP(K995,Sheet1!$C$1:$D$101,2,)</f>
        <v>#N/A</v>
      </c>
      <c r="R995" s="267">
        <v>2400000</v>
      </c>
      <c r="S995" s="647">
        <v>2520000</v>
      </c>
      <c r="T995" s="648">
        <f>Data2025!T994</f>
        <v>0</v>
      </c>
      <c r="U995" s="268" t="s">
        <v>2520</v>
      </c>
      <c r="V995" s="648">
        <f>Data2025!V994</f>
        <v>0</v>
      </c>
      <c r="W995" s="648">
        <f>Data2025!X994</f>
        <v>0</v>
      </c>
      <c r="X995" s="268" t="s">
        <v>3391</v>
      </c>
      <c r="Y995" s="268" t="str">
        <f t="shared" si="50"/>
        <v>Konsumsi</v>
      </c>
      <c r="Z995" s="649" t="str">
        <f t="shared" si="51"/>
        <v>Konsumsi</v>
      </c>
      <c r="AA995" s="650" t="s">
        <v>3363</v>
      </c>
      <c r="AB995" s="269">
        <v>40000</v>
      </c>
      <c r="AC995" s="269">
        <v>2400000</v>
      </c>
      <c r="AD995" s="267">
        <v>2400000</v>
      </c>
      <c r="AE995" s="270">
        <v>2162162.1621621624</v>
      </c>
      <c r="AF995" s="270">
        <v>2400000</v>
      </c>
      <c r="AG995" s="805" t="s">
        <v>3883</v>
      </c>
      <c r="AH995" s="651">
        <f>Data2025!W994</f>
        <v>0</v>
      </c>
      <c r="AI995" s="61">
        <v>310</v>
      </c>
    </row>
    <row r="996" spans="1:35" ht="30" thickTop="1" thickBot="1">
      <c r="A996" s="636">
        <f>Data2025!G995</f>
        <v>0</v>
      </c>
      <c r="B996" s="637">
        <f>Data2025!K995</f>
        <v>0</v>
      </c>
      <c r="C996" s="638">
        <f>Data2025!D995</f>
        <v>0</v>
      </c>
      <c r="D996" s="639">
        <f>Data2025!C995</f>
        <v>0</v>
      </c>
      <c r="E996" s="265">
        <f>Data2025!E995</f>
        <v>0</v>
      </c>
      <c r="F996" s="640">
        <f>Data2025!F995</f>
        <v>0</v>
      </c>
      <c r="G996" s="265">
        <f>Data2025!H995</f>
        <v>0</v>
      </c>
      <c r="H996" s="265">
        <f t="shared" si="49"/>
        <v>0</v>
      </c>
      <c r="I996" s="641">
        <f>Data2025!J995</f>
        <v>0</v>
      </c>
      <c r="J996" s="381">
        <f>Data2025!L995</f>
        <v>0</v>
      </c>
      <c r="K996" s="381">
        <f>Data2025!M995</f>
        <v>0</v>
      </c>
      <c r="L996" s="642">
        <f>Data2025!N995</f>
        <v>0</v>
      </c>
      <c r="M996" s="642">
        <f>Data2025!O995</f>
        <v>0</v>
      </c>
      <c r="N996" s="643">
        <f>Data2025!P995</f>
        <v>0</v>
      </c>
      <c r="O996" s="644">
        <f>Data2025!Q995</f>
        <v>0</v>
      </c>
      <c r="P996" s="645" t="s">
        <v>2650</v>
      </c>
      <c r="Q996" s="646" t="e">
        <f>VLOOKUP(K996,Sheet1!$C$1:$D$101,2,)</f>
        <v>#N/A</v>
      </c>
      <c r="R996" s="267">
        <v>600000</v>
      </c>
      <c r="S996" s="647">
        <v>604000</v>
      </c>
      <c r="T996" s="648">
        <f>Data2025!T995</f>
        <v>0</v>
      </c>
      <c r="U996" s="268" t="s">
        <v>1040</v>
      </c>
      <c r="V996" s="648">
        <f>Data2025!V995</f>
        <v>0</v>
      </c>
      <c r="W996" s="648">
        <f>Data2025!X995</f>
        <v>0</v>
      </c>
      <c r="X996" s="523" t="s">
        <v>541</v>
      </c>
      <c r="Y996" s="268" t="str">
        <f t="shared" si="50"/>
        <v>Percetakan</v>
      </c>
      <c r="Z996" s="649" t="str">
        <f t="shared" si="51"/>
        <v>Percetakan</v>
      </c>
      <c r="AA996" s="650" t="s">
        <v>3363</v>
      </c>
      <c r="AB996" s="269">
        <v>300000</v>
      </c>
      <c r="AC996" s="269">
        <v>600000</v>
      </c>
      <c r="AD996" s="267">
        <v>600000</v>
      </c>
      <c r="AE996" s="270">
        <v>540540.54054054059</v>
      </c>
      <c r="AF996" s="270">
        <v>600000</v>
      </c>
      <c r="AG996" s="805" t="s">
        <v>3883</v>
      </c>
      <c r="AH996" s="651">
        <f>Data2025!W995</f>
        <v>0</v>
      </c>
      <c r="AI996" s="61">
        <v>311</v>
      </c>
    </row>
    <row r="997" spans="1:35" ht="16.5" thickTop="1" thickBot="1">
      <c r="A997" s="636">
        <f>Data2025!G996</f>
        <v>0</v>
      </c>
      <c r="B997" s="637">
        <f>Data2025!K996</f>
        <v>0</v>
      </c>
      <c r="C997" s="638">
        <f>Data2025!D996</f>
        <v>0</v>
      </c>
      <c r="D997" s="639">
        <f>Data2025!C996</f>
        <v>0</v>
      </c>
      <c r="E997" s="265">
        <f>Data2025!E996</f>
        <v>0</v>
      </c>
      <c r="F997" s="640">
        <f>Data2025!F996</f>
        <v>0</v>
      </c>
      <c r="G997" s="265">
        <f>Data2025!H996</f>
        <v>0</v>
      </c>
      <c r="H997" s="265">
        <f t="shared" si="49"/>
        <v>0</v>
      </c>
      <c r="I997" s="641">
        <f>Data2025!J996</f>
        <v>0</v>
      </c>
      <c r="J997" s="381">
        <f>Data2025!L996</f>
        <v>0</v>
      </c>
      <c r="K997" s="381">
        <f>Data2025!M996</f>
        <v>0</v>
      </c>
      <c r="L997" s="642">
        <f>Data2025!N996</f>
        <v>0</v>
      </c>
      <c r="M997" s="642">
        <f>Data2025!O996</f>
        <v>0</v>
      </c>
      <c r="N997" s="643">
        <f>Data2025!P996</f>
        <v>0</v>
      </c>
      <c r="O997" s="644">
        <f>Data2025!Q996</f>
        <v>0</v>
      </c>
      <c r="P997" s="645" t="s">
        <v>2664</v>
      </c>
      <c r="Q997" s="646" t="e">
        <f>VLOOKUP(K997,Sheet1!$C$1:$D$101,2,)</f>
        <v>#N/A</v>
      </c>
      <c r="R997" s="267">
        <v>2000000</v>
      </c>
      <c r="S997" s="647">
        <v>2002000</v>
      </c>
      <c r="T997" s="648">
        <f>Data2025!T996</f>
        <v>0</v>
      </c>
      <c r="U997" s="268" t="s">
        <v>2531</v>
      </c>
      <c r="V997" s="648">
        <f>Data2025!V996</f>
        <v>0</v>
      </c>
      <c r="W997" s="648">
        <f>Data2025!X996</f>
        <v>0</v>
      </c>
      <c r="Y997" s="268" t="str">
        <f t="shared" si="50"/>
        <v>Jasa PLN</v>
      </c>
      <c r="Z997" s="649" t="str">
        <f t="shared" si="51"/>
        <v>Jasa PLN</v>
      </c>
      <c r="AA997" s="650" t="s">
        <v>3373</v>
      </c>
      <c r="AB997" s="269">
        <v>2000000</v>
      </c>
      <c r="AC997" s="269">
        <v>2000000</v>
      </c>
      <c r="AD997" s="267">
        <v>2000000</v>
      </c>
      <c r="AE997" s="270">
        <v>1801801.8018018019</v>
      </c>
      <c r="AF997" s="270">
        <v>2000000</v>
      </c>
      <c r="AG997" s="805" t="s">
        <v>3883</v>
      </c>
      <c r="AH997" s="651">
        <f>Data2025!W996</f>
        <v>0</v>
      </c>
      <c r="AI997" s="61">
        <v>312</v>
      </c>
    </row>
    <row r="998" spans="1:35" ht="16.5" thickTop="1" thickBot="1">
      <c r="A998" s="636">
        <f>Data2025!G997</f>
        <v>0</v>
      </c>
      <c r="B998" s="637">
        <f>Data2025!K997</f>
        <v>0</v>
      </c>
      <c r="C998" s="638">
        <f>Data2025!D997</f>
        <v>0</v>
      </c>
      <c r="D998" s="639">
        <f>Data2025!C997</f>
        <v>0</v>
      </c>
      <c r="E998" s="265">
        <f>Data2025!E997</f>
        <v>0</v>
      </c>
      <c r="F998" s="640">
        <f>Data2025!F997</f>
        <v>0</v>
      </c>
      <c r="G998" s="265">
        <f>Data2025!H997</f>
        <v>0</v>
      </c>
      <c r="H998" s="265">
        <f t="shared" si="49"/>
        <v>0</v>
      </c>
      <c r="I998" s="641">
        <f>Data2025!J997</f>
        <v>0</v>
      </c>
      <c r="J998" s="381">
        <f>Data2025!L997</f>
        <v>0</v>
      </c>
      <c r="K998" s="381">
        <f>Data2025!M997</f>
        <v>0</v>
      </c>
      <c r="L998" s="642">
        <f>Data2025!N997</f>
        <v>0</v>
      </c>
      <c r="M998" s="642">
        <f>Data2025!O997</f>
        <v>0</v>
      </c>
      <c r="N998" s="643">
        <f>Data2025!P997</f>
        <v>0</v>
      </c>
      <c r="O998" s="644">
        <f>Data2025!Q997</f>
        <v>0</v>
      </c>
      <c r="P998" s="645" t="s">
        <v>2668</v>
      </c>
      <c r="Q998" s="646" t="e">
        <f>VLOOKUP(K998,Sheet1!$C$1:$D$101,2,)</f>
        <v>#N/A</v>
      </c>
      <c r="R998" s="267">
        <v>1233350</v>
      </c>
      <c r="S998" s="647">
        <v>1502000</v>
      </c>
      <c r="T998" s="648">
        <f>Data2025!T997</f>
        <v>0</v>
      </c>
      <c r="U998" s="268" t="s">
        <v>2531</v>
      </c>
      <c r="V998" s="648">
        <f>Data2025!V997</f>
        <v>0</v>
      </c>
      <c r="W998" s="648">
        <f>Data2025!X997</f>
        <v>0</v>
      </c>
      <c r="Y998" s="268" t="str">
        <f t="shared" si="50"/>
        <v>Jasa Internet</v>
      </c>
      <c r="Z998" s="649" t="str">
        <f t="shared" si="51"/>
        <v>Jasa Internet</v>
      </c>
      <c r="AA998" s="650" t="s">
        <v>3373</v>
      </c>
      <c r="AB998" s="269">
        <v>1500000</v>
      </c>
      <c r="AC998" s="269">
        <v>1500000</v>
      </c>
      <c r="AD998" s="267">
        <v>1233350</v>
      </c>
      <c r="AE998" s="270">
        <v>1111126.1261261262</v>
      </c>
      <c r="AF998" s="270">
        <v>1233350</v>
      </c>
      <c r="AG998" s="805" t="s">
        <v>3883</v>
      </c>
      <c r="AH998" s="651">
        <f>Data2025!W997</f>
        <v>0</v>
      </c>
      <c r="AI998" s="61">
        <v>313</v>
      </c>
    </row>
    <row r="999" spans="1:35" ht="16.5" thickTop="1" thickBot="1">
      <c r="A999" s="636">
        <f>Data2025!G998</f>
        <v>0</v>
      </c>
      <c r="B999" s="637">
        <f>Data2025!K998</f>
        <v>0</v>
      </c>
      <c r="C999" s="638">
        <f>Data2025!D998</f>
        <v>0</v>
      </c>
      <c r="D999" s="639">
        <f>Data2025!C998</f>
        <v>0</v>
      </c>
      <c r="E999" s="265">
        <f>Data2025!E998</f>
        <v>0</v>
      </c>
      <c r="F999" s="640">
        <f>Data2025!F998</f>
        <v>0</v>
      </c>
      <c r="G999" s="265">
        <f>Data2025!H998</f>
        <v>0</v>
      </c>
      <c r="H999" s="265">
        <f t="shared" si="49"/>
        <v>0</v>
      </c>
      <c r="I999" s="641">
        <f>Data2025!J998</f>
        <v>0</v>
      </c>
      <c r="J999" s="381">
        <f>Data2025!L998</f>
        <v>0</v>
      </c>
      <c r="K999" s="381">
        <f>Data2025!M998</f>
        <v>0</v>
      </c>
      <c r="L999" s="642">
        <f>Data2025!N998</f>
        <v>0</v>
      </c>
      <c r="M999" s="642">
        <f>Data2025!O998</f>
        <v>0</v>
      </c>
      <c r="N999" s="643">
        <f>Data2025!P998</f>
        <v>0</v>
      </c>
      <c r="O999" s="644">
        <f>Data2025!Q998</f>
        <v>0</v>
      </c>
      <c r="P999" s="645" t="s">
        <v>280</v>
      </c>
      <c r="Q999" s="646" t="e">
        <f>VLOOKUP(K999,Sheet1!$C$1:$D$101,2,)</f>
        <v>#N/A</v>
      </c>
      <c r="R999" s="267">
        <v>900000</v>
      </c>
      <c r="S999" s="647">
        <v>1360000</v>
      </c>
      <c r="T999" s="648">
        <f>Data2025!T998</f>
        <v>0</v>
      </c>
      <c r="U999" s="268" t="s">
        <v>2531</v>
      </c>
      <c r="V999" s="648">
        <f>Data2025!V998</f>
        <v>0</v>
      </c>
      <c r="W999" s="648">
        <f>Data2025!X998</f>
        <v>0</v>
      </c>
      <c r="X999" s="268" t="s">
        <v>2529</v>
      </c>
      <c r="Y999" s="268" t="str">
        <f t="shared" si="50"/>
        <v>Kudapan</v>
      </c>
      <c r="Z999" s="649" t="str">
        <f t="shared" si="51"/>
        <v>Kudapan</v>
      </c>
      <c r="AA999" s="650" t="s">
        <v>3362</v>
      </c>
      <c r="AB999" s="269">
        <v>15000</v>
      </c>
      <c r="AC999" s="269">
        <v>1200000</v>
      </c>
      <c r="AD999" s="267">
        <v>900000</v>
      </c>
      <c r="AE999" s="270">
        <v>810810.81081081077</v>
      </c>
      <c r="AF999" s="270">
        <v>900000</v>
      </c>
      <c r="AG999" s="805" t="s">
        <v>3883</v>
      </c>
      <c r="AH999" s="651">
        <f>Data2025!W998</f>
        <v>0</v>
      </c>
      <c r="AI999" s="61">
        <v>314</v>
      </c>
    </row>
    <row r="1000" spans="1:35" ht="16.5" thickTop="1" thickBot="1">
      <c r="A1000" s="636">
        <f>Data2025!G999</f>
        <v>0</v>
      </c>
      <c r="B1000" s="637">
        <f>Data2025!K999</f>
        <v>0</v>
      </c>
      <c r="C1000" s="638">
        <f>Data2025!D999</f>
        <v>0</v>
      </c>
      <c r="D1000" s="639">
        <f>Data2025!C999</f>
        <v>0</v>
      </c>
      <c r="E1000" s="265">
        <f>Data2025!E999</f>
        <v>0</v>
      </c>
      <c r="F1000" s="640">
        <f>Data2025!F999</f>
        <v>0</v>
      </c>
      <c r="G1000" s="265">
        <f>Data2025!H999</f>
        <v>0</v>
      </c>
      <c r="H1000" s="265">
        <f t="shared" si="49"/>
        <v>0</v>
      </c>
      <c r="I1000" s="641">
        <f>Data2025!J999</f>
        <v>0</v>
      </c>
      <c r="J1000" s="381">
        <f>Data2025!L999</f>
        <v>0</v>
      </c>
      <c r="K1000" s="381">
        <f>Data2025!M999</f>
        <v>0</v>
      </c>
      <c r="L1000" s="642">
        <f>Data2025!N999</f>
        <v>0</v>
      </c>
      <c r="M1000" s="642">
        <f>Data2025!O999</f>
        <v>0</v>
      </c>
      <c r="N1000" s="643">
        <f>Data2025!P999</f>
        <v>0</v>
      </c>
      <c r="O1000" s="644">
        <f>Data2025!Q999</f>
        <v>0</v>
      </c>
      <c r="P1000" s="645" t="s">
        <v>8</v>
      </c>
      <c r="Q1000" s="646" t="e">
        <f>VLOOKUP(K1000,Sheet1!$C$1:$D$101,2,)</f>
        <v>#N/A</v>
      </c>
      <c r="R1000" s="267">
        <v>2400000</v>
      </c>
      <c r="S1000" s="647">
        <v>3360000</v>
      </c>
      <c r="T1000" s="648">
        <f>Data2025!T999</f>
        <v>0</v>
      </c>
      <c r="U1000" s="268" t="s">
        <v>2520</v>
      </c>
      <c r="V1000" s="648">
        <f>Data2025!V999</f>
        <v>0</v>
      </c>
      <c r="W1000" s="648">
        <f>Data2025!X999</f>
        <v>0</v>
      </c>
      <c r="X1000" s="268" t="s">
        <v>3391</v>
      </c>
      <c r="Y1000" s="268" t="str">
        <f t="shared" si="50"/>
        <v>Konsumsi</v>
      </c>
      <c r="Z1000" s="649" t="str">
        <f t="shared" si="51"/>
        <v>Konsumsi</v>
      </c>
      <c r="AA1000" s="650" t="s">
        <v>3362</v>
      </c>
      <c r="AB1000" s="269">
        <v>40000</v>
      </c>
      <c r="AC1000" s="269">
        <v>3200000</v>
      </c>
      <c r="AD1000" s="267">
        <v>2400000</v>
      </c>
      <c r="AE1000" s="270">
        <v>2162162.1621621624</v>
      </c>
      <c r="AF1000" s="270">
        <v>2400000</v>
      </c>
      <c r="AG1000" s="805" t="s">
        <v>3883</v>
      </c>
      <c r="AH1000" s="651">
        <f>Data2025!W999</f>
        <v>0</v>
      </c>
      <c r="AI1000" s="61">
        <v>315</v>
      </c>
    </row>
    <row r="1001" spans="1:35" ht="16.5" thickTop="1" thickBot="1">
      <c r="A1001" s="636">
        <f>Data2025!G1000</f>
        <v>0</v>
      </c>
      <c r="B1001" s="637">
        <f>Data2025!K1000</f>
        <v>0</v>
      </c>
      <c r="C1001" s="638">
        <f>Data2025!D1000</f>
        <v>0</v>
      </c>
      <c r="D1001" s="639">
        <f>Data2025!C1000</f>
        <v>0</v>
      </c>
      <c r="E1001" s="265">
        <f>Data2025!E1000</f>
        <v>0</v>
      </c>
      <c r="F1001" s="640">
        <f>Data2025!F1000</f>
        <v>0</v>
      </c>
      <c r="G1001" s="265">
        <f>Data2025!H1000</f>
        <v>0</v>
      </c>
      <c r="H1001" s="265">
        <f t="shared" si="49"/>
        <v>0</v>
      </c>
      <c r="I1001" s="641">
        <f>Data2025!J1000</f>
        <v>0</v>
      </c>
      <c r="J1001" s="381">
        <f>Data2025!L1000</f>
        <v>0</v>
      </c>
      <c r="K1001" s="381">
        <f>Data2025!M1000</f>
        <v>0</v>
      </c>
      <c r="L1001" s="642">
        <f>Data2025!N1000</f>
        <v>0</v>
      </c>
      <c r="M1001" s="642">
        <f>Data2025!O1000</f>
        <v>0</v>
      </c>
      <c r="N1001" s="643">
        <f>Data2025!P1000</f>
        <v>0</v>
      </c>
      <c r="O1001" s="644">
        <f>Data2025!Q1000</f>
        <v>0</v>
      </c>
      <c r="P1001" s="645" t="s">
        <v>1545</v>
      </c>
      <c r="Q1001" s="646" t="e">
        <f>VLOOKUP(K1001,Sheet1!$C$1:$D$101,2,)</f>
        <v>#N/A</v>
      </c>
      <c r="R1001" s="267">
        <v>1250000</v>
      </c>
      <c r="S1001" s="647">
        <v>1300000</v>
      </c>
      <c r="T1001" s="648">
        <f>Data2025!T1000</f>
        <v>0</v>
      </c>
      <c r="U1001" s="268" t="s">
        <v>2531</v>
      </c>
      <c r="V1001" s="648">
        <f>Data2025!V1000</f>
        <v>0</v>
      </c>
      <c r="W1001" s="648">
        <f>Data2025!X1000</f>
        <v>0</v>
      </c>
      <c r="X1001" s="268" t="s">
        <v>2529</v>
      </c>
      <c r="Y1001" s="268" t="str">
        <f t="shared" si="50"/>
        <v>Air Mineral</v>
      </c>
      <c r="Z1001" s="649" t="str">
        <f t="shared" si="51"/>
        <v>Air Mineral</v>
      </c>
      <c r="AA1001" s="650" t="s">
        <v>3372</v>
      </c>
      <c r="AB1001" s="269">
        <v>50000</v>
      </c>
      <c r="AC1001" s="269">
        <v>1250000</v>
      </c>
      <c r="AD1001" s="267">
        <v>1250000</v>
      </c>
      <c r="AE1001" s="270">
        <v>1126126.1261261262</v>
      </c>
      <c r="AF1001" s="270">
        <v>1250000</v>
      </c>
      <c r="AG1001" s="805" t="s">
        <v>3883</v>
      </c>
      <c r="AH1001" s="651">
        <f>Data2025!W1000</f>
        <v>0</v>
      </c>
      <c r="AI1001" s="61">
        <v>316</v>
      </c>
    </row>
    <row r="1002" spans="1:35" ht="16.5" thickTop="1" thickBot="1">
      <c r="A1002" s="636">
        <f>Data2025!G1001</f>
        <v>0</v>
      </c>
      <c r="B1002" s="637">
        <f>Data2025!K1001</f>
        <v>0</v>
      </c>
      <c r="C1002" s="638">
        <f>Data2025!D1001</f>
        <v>0</v>
      </c>
      <c r="D1002" s="639">
        <f>Data2025!C1001</f>
        <v>0</v>
      </c>
      <c r="E1002" s="265">
        <f>Data2025!E1001</f>
        <v>0</v>
      </c>
      <c r="F1002" s="640">
        <f>Data2025!F1001</f>
        <v>0</v>
      </c>
      <c r="G1002" s="265">
        <f>Data2025!H1001</f>
        <v>0</v>
      </c>
      <c r="H1002" s="265">
        <f t="shared" si="49"/>
        <v>0</v>
      </c>
      <c r="I1002" s="641">
        <f>Data2025!J1001</f>
        <v>0</v>
      </c>
      <c r="J1002" s="381">
        <f>Data2025!L1001</f>
        <v>0</v>
      </c>
      <c r="K1002" s="381">
        <f>Data2025!M1001</f>
        <v>0</v>
      </c>
      <c r="L1002" s="642">
        <f>Data2025!N1001</f>
        <v>0</v>
      </c>
      <c r="M1002" s="642">
        <f>Data2025!O1001</f>
        <v>0</v>
      </c>
      <c r="N1002" s="643">
        <f>Data2025!P1001</f>
        <v>0</v>
      </c>
      <c r="O1002" s="644">
        <f>Data2025!Q1001</f>
        <v>0</v>
      </c>
      <c r="P1002" s="645" t="s">
        <v>2672</v>
      </c>
      <c r="Q1002" s="646" t="e">
        <f>VLOOKUP(K1002,Sheet1!$C$1:$D$101,2,)</f>
        <v>#N/A</v>
      </c>
      <c r="R1002" s="267">
        <v>1000000</v>
      </c>
      <c r="S1002" s="647">
        <v>1002000</v>
      </c>
      <c r="T1002" s="648">
        <f>Data2025!T1001</f>
        <v>0</v>
      </c>
      <c r="U1002" s="268" t="s">
        <v>2531</v>
      </c>
      <c r="V1002" s="648">
        <f>Data2025!V1001</f>
        <v>0</v>
      </c>
      <c r="W1002" s="648">
        <f>Data2025!X1001</f>
        <v>0</v>
      </c>
      <c r="Y1002" s="268" t="str">
        <f t="shared" si="50"/>
        <v>Jasa Tenaga Operator</v>
      </c>
      <c r="Z1002" s="649" t="str">
        <f t="shared" si="51"/>
        <v>Jasa Tenaga Operator</v>
      </c>
      <c r="AA1002" s="650" t="s">
        <v>3373</v>
      </c>
      <c r="AB1002" s="269">
        <v>1000000</v>
      </c>
      <c r="AC1002" s="269">
        <v>1000000</v>
      </c>
      <c r="AD1002" s="267">
        <v>1000000</v>
      </c>
      <c r="AE1002" s="270">
        <v>900900.90090090095</v>
      </c>
      <c r="AF1002" s="270">
        <v>1000000</v>
      </c>
      <c r="AG1002" s="805" t="s">
        <v>3883</v>
      </c>
      <c r="AH1002" s="651">
        <f>Data2025!W1001</f>
        <v>0</v>
      </c>
      <c r="AI1002" s="61">
        <v>317</v>
      </c>
    </row>
    <row r="1003" spans="1:35" ht="16.5" thickTop="1" thickBot="1">
      <c r="A1003" s="636">
        <f>Data2025!G1002</f>
        <v>0</v>
      </c>
      <c r="B1003" s="637">
        <f>Data2025!K1002</f>
        <v>0</v>
      </c>
      <c r="C1003" s="638">
        <f>Data2025!D1002</f>
        <v>0</v>
      </c>
      <c r="D1003" s="639">
        <f>Data2025!C1002</f>
        <v>0</v>
      </c>
      <c r="E1003" s="265">
        <f>Data2025!E1002</f>
        <v>0</v>
      </c>
      <c r="F1003" s="640">
        <f>Data2025!F1002</f>
        <v>0</v>
      </c>
      <c r="G1003" s="265">
        <f>Data2025!H1002</f>
        <v>0</v>
      </c>
      <c r="H1003" s="265">
        <f t="shared" si="49"/>
        <v>0</v>
      </c>
      <c r="I1003" s="641">
        <f>Data2025!J1002</f>
        <v>0</v>
      </c>
      <c r="J1003" s="381">
        <f>Data2025!L1002</f>
        <v>0</v>
      </c>
      <c r="K1003" s="381">
        <f>Data2025!M1002</f>
        <v>0</v>
      </c>
      <c r="L1003" s="642">
        <f>Data2025!N1002</f>
        <v>0</v>
      </c>
      <c r="M1003" s="642">
        <f>Data2025!O1002</f>
        <v>0</v>
      </c>
      <c r="N1003" s="643">
        <f>Data2025!P1002</f>
        <v>0</v>
      </c>
      <c r="O1003" s="644">
        <f>Data2025!Q1002</f>
        <v>0</v>
      </c>
      <c r="P1003" s="645" t="s">
        <v>2675</v>
      </c>
      <c r="Q1003" s="646" t="e">
        <f>VLOOKUP(K1003,Sheet1!$C$1:$D$101,2,)</f>
        <v>#N/A</v>
      </c>
      <c r="R1003" s="267">
        <v>1575000</v>
      </c>
      <c r="S1003" s="647">
        <v>11136650</v>
      </c>
      <c r="T1003" s="648">
        <f>Data2025!T1002</f>
        <v>0</v>
      </c>
      <c r="U1003" s="268" t="s">
        <v>538</v>
      </c>
      <c r="V1003" s="648">
        <f>Data2025!V1002</f>
        <v>0</v>
      </c>
      <c r="W1003" s="648">
        <f>Data2025!X1002</f>
        <v>0</v>
      </c>
      <c r="X1003" s="268" t="s">
        <v>541</v>
      </c>
      <c r="Y1003" s="268" t="str">
        <f t="shared" si="50"/>
        <v>Penggandaan</v>
      </c>
      <c r="Z1003" s="649" t="str">
        <f t="shared" si="51"/>
        <v>Penggandaan</v>
      </c>
      <c r="AA1003" s="650" t="s">
        <v>3368</v>
      </c>
      <c r="AB1003" s="269">
        <v>350</v>
      </c>
      <c r="AC1003" s="269">
        <v>1658650</v>
      </c>
      <c r="AD1003" s="267">
        <v>1575000</v>
      </c>
      <c r="AE1003" s="270">
        <v>1418918.9189189191</v>
      </c>
      <c r="AF1003" s="270">
        <v>1575000</v>
      </c>
      <c r="AG1003" s="805" t="s">
        <v>3883</v>
      </c>
      <c r="AH1003" s="651">
        <f>Data2025!W1002</f>
        <v>0</v>
      </c>
      <c r="AI1003" s="61">
        <v>318</v>
      </c>
    </row>
    <row r="1004" spans="1:35" ht="16.5" thickTop="1" thickBot="1">
      <c r="A1004" s="636">
        <f>Data2025!G1003</f>
        <v>0</v>
      </c>
      <c r="B1004" s="637">
        <f>Data2025!K1003</f>
        <v>0</v>
      </c>
      <c r="C1004" s="638">
        <f>Data2025!D1003</f>
        <v>0</v>
      </c>
      <c r="D1004" s="639">
        <f>Data2025!C1003</f>
        <v>0</v>
      </c>
      <c r="E1004" s="265">
        <f>Data2025!E1003</f>
        <v>0</v>
      </c>
      <c r="F1004" s="640">
        <f>Data2025!F1003</f>
        <v>0</v>
      </c>
      <c r="G1004" s="265">
        <f>Data2025!H1003</f>
        <v>0</v>
      </c>
      <c r="H1004" s="265">
        <f t="shared" si="49"/>
        <v>0</v>
      </c>
      <c r="I1004" s="641">
        <f>Data2025!J1003</f>
        <v>0</v>
      </c>
      <c r="J1004" s="381">
        <f>Data2025!L1003</f>
        <v>0</v>
      </c>
      <c r="K1004" s="381">
        <f>Data2025!M1003</f>
        <v>0</v>
      </c>
      <c r="L1004" s="642">
        <f>Data2025!N1003</f>
        <v>0</v>
      </c>
      <c r="M1004" s="642">
        <f>Data2025!O1003</f>
        <v>0</v>
      </c>
      <c r="N1004" s="643">
        <f>Data2025!P1003</f>
        <v>0</v>
      </c>
      <c r="O1004" s="644">
        <f>Data2025!Q1003</f>
        <v>0</v>
      </c>
      <c r="P1004" s="645" t="s">
        <v>2682</v>
      </c>
      <c r="Q1004" s="646" t="e">
        <f>VLOOKUP(K1004,Sheet1!$C$1:$D$101,2,)</f>
        <v>#N/A</v>
      </c>
      <c r="R1004" s="496">
        <v>2700000</v>
      </c>
      <c r="S1004" s="504">
        <v>2541000</v>
      </c>
      <c r="T1004" s="648">
        <f>Data2025!T1003</f>
        <v>0</v>
      </c>
      <c r="U1004" s="497" t="s">
        <v>2531</v>
      </c>
      <c r="V1004" s="648">
        <f>Data2025!V1003</f>
        <v>0</v>
      </c>
      <c r="W1004" s="648">
        <f>Data2025!X1003</f>
        <v>0</v>
      </c>
      <c r="Y1004" s="268" t="str">
        <f t="shared" si="50"/>
        <v>Jasa Tenaga Pengajar</v>
      </c>
      <c r="Z1004" s="649" t="str">
        <f t="shared" si="51"/>
        <v>Jasa Tenaga Pengajar</v>
      </c>
      <c r="AA1004" s="498" t="s">
        <v>3374</v>
      </c>
      <c r="AB1004" s="499">
        <v>75000</v>
      </c>
      <c r="AC1004" s="499">
        <v>2475000</v>
      </c>
      <c r="AD1004" s="496">
        <v>2700000</v>
      </c>
      <c r="AE1004" s="500">
        <v>2432432.4324324327</v>
      </c>
      <c r="AF1004" s="500">
        <v>2700000</v>
      </c>
      <c r="AG1004" s="805" t="s">
        <v>3883</v>
      </c>
      <c r="AH1004" s="651">
        <f>Data2025!W1003</f>
        <v>0</v>
      </c>
      <c r="AI1004" s="61">
        <v>319</v>
      </c>
    </row>
    <row r="1005" spans="1:35" ht="16.5" thickTop="1" thickBot="1">
      <c r="A1005" s="636">
        <f>Data2025!G1004</f>
        <v>0</v>
      </c>
      <c r="B1005" s="637">
        <f>Data2025!K1004</f>
        <v>0</v>
      </c>
      <c r="C1005" s="638">
        <f>Data2025!D1004</f>
        <v>0</v>
      </c>
      <c r="D1005" s="639">
        <f>Data2025!C1004</f>
        <v>0</v>
      </c>
      <c r="E1005" s="265">
        <f>Data2025!E1004</f>
        <v>0</v>
      </c>
      <c r="F1005" s="640">
        <f>Data2025!F1004</f>
        <v>0</v>
      </c>
      <c r="G1005" s="265">
        <f>Data2025!H1004</f>
        <v>0</v>
      </c>
      <c r="H1005" s="265">
        <f t="shared" si="49"/>
        <v>0</v>
      </c>
      <c r="I1005" s="641">
        <f>Data2025!J1004</f>
        <v>0</v>
      </c>
      <c r="J1005" s="381">
        <f>Data2025!L1004</f>
        <v>0</v>
      </c>
      <c r="K1005" s="381">
        <f>Data2025!M1004</f>
        <v>0</v>
      </c>
      <c r="L1005" s="642">
        <f>Data2025!N1004</f>
        <v>0</v>
      </c>
      <c r="M1005" s="642">
        <f>Data2025!O1004</f>
        <v>0</v>
      </c>
      <c r="N1005" s="643">
        <f>Data2025!P1004</f>
        <v>0</v>
      </c>
      <c r="O1005" s="644">
        <f>Data2025!Q1004</f>
        <v>0</v>
      </c>
      <c r="P1005" s="645" t="s">
        <v>2682</v>
      </c>
      <c r="Q1005" s="646" t="e">
        <f>VLOOKUP(K1005,Sheet1!$C$1:$D$101,2,)</f>
        <v>#N/A</v>
      </c>
      <c r="R1005" s="496">
        <v>2400000</v>
      </c>
      <c r="S1005" s="504">
        <v>2618000</v>
      </c>
      <c r="T1005" s="648">
        <f>Data2025!T1004</f>
        <v>0</v>
      </c>
      <c r="U1005" s="497" t="s">
        <v>2531</v>
      </c>
      <c r="V1005" s="648">
        <f>Data2025!V1004</f>
        <v>0</v>
      </c>
      <c r="W1005" s="648">
        <f>Data2025!X1004</f>
        <v>0</v>
      </c>
      <c r="Y1005" s="268" t="str">
        <f t="shared" si="50"/>
        <v>Jasa Tenaga Pengajar</v>
      </c>
      <c r="Z1005" s="649" t="str">
        <f t="shared" si="51"/>
        <v>Jasa Tenaga Pengajar</v>
      </c>
      <c r="AA1005" s="498" t="s">
        <v>3374</v>
      </c>
      <c r="AB1005" s="499">
        <v>75000</v>
      </c>
      <c r="AC1005" s="499">
        <v>2550000</v>
      </c>
      <c r="AD1005" s="496">
        <v>2400000</v>
      </c>
      <c r="AE1005" s="500">
        <v>2162162.1621621624</v>
      </c>
      <c r="AF1005" s="500">
        <v>2400000</v>
      </c>
      <c r="AG1005" s="805" t="s">
        <v>3883</v>
      </c>
      <c r="AH1005" s="651">
        <f>Data2025!W1004</f>
        <v>0</v>
      </c>
      <c r="AI1005" s="61">
        <v>320</v>
      </c>
    </row>
    <row r="1006" spans="1:35" ht="16.5" thickTop="1" thickBot="1">
      <c r="A1006" s="636">
        <f>Data2025!G1005</f>
        <v>0</v>
      </c>
      <c r="B1006" s="637">
        <f>Data2025!K1005</f>
        <v>0</v>
      </c>
      <c r="C1006" s="638">
        <f>Data2025!D1005</f>
        <v>0</v>
      </c>
      <c r="D1006" s="639">
        <f>Data2025!C1005</f>
        <v>0</v>
      </c>
      <c r="E1006" s="265">
        <f>Data2025!E1005</f>
        <v>0</v>
      </c>
      <c r="F1006" s="640">
        <f>Data2025!F1005</f>
        <v>0</v>
      </c>
      <c r="G1006" s="265">
        <f>Data2025!H1005</f>
        <v>0</v>
      </c>
      <c r="H1006" s="265">
        <f t="shared" si="49"/>
        <v>0</v>
      </c>
      <c r="I1006" s="641">
        <f>Data2025!J1005</f>
        <v>0</v>
      </c>
      <c r="J1006" s="381">
        <f>Data2025!L1005</f>
        <v>0</v>
      </c>
      <c r="K1006" s="381">
        <f>Data2025!M1005</f>
        <v>0</v>
      </c>
      <c r="L1006" s="642">
        <f>Data2025!N1005</f>
        <v>0</v>
      </c>
      <c r="M1006" s="642">
        <f>Data2025!O1005</f>
        <v>0</v>
      </c>
      <c r="N1006" s="643">
        <f>Data2025!P1005</f>
        <v>0</v>
      </c>
      <c r="O1006" s="644">
        <f>Data2025!Q1005</f>
        <v>0</v>
      </c>
      <c r="P1006" s="645" t="s">
        <v>2682</v>
      </c>
      <c r="Q1006" s="646" t="e">
        <f>VLOOKUP(K1006,Sheet1!$C$1:$D$101,2,)</f>
        <v>#N/A</v>
      </c>
      <c r="R1006" s="496">
        <v>2175000</v>
      </c>
      <c r="S1006" s="504">
        <v>2310000</v>
      </c>
      <c r="T1006" s="648">
        <f>Data2025!T1005</f>
        <v>0</v>
      </c>
      <c r="U1006" s="497" t="s">
        <v>2531</v>
      </c>
      <c r="V1006" s="648">
        <f>Data2025!V1005</f>
        <v>0</v>
      </c>
      <c r="W1006" s="648">
        <f>Data2025!X1005</f>
        <v>0</v>
      </c>
      <c r="Y1006" s="268" t="str">
        <f t="shared" si="50"/>
        <v>Jasa Tenaga Pengajar</v>
      </c>
      <c r="Z1006" s="649" t="str">
        <f t="shared" si="51"/>
        <v>Jasa Tenaga Pengajar</v>
      </c>
      <c r="AA1006" s="498" t="s">
        <v>3374</v>
      </c>
      <c r="AB1006" s="499">
        <v>75000</v>
      </c>
      <c r="AC1006" s="499">
        <v>2250000</v>
      </c>
      <c r="AD1006" s="496">
        <v>2175000</v>
      </c>
      <c r="AE1006" s="500">
        <v>1959459.4594594594</v>
      </c>
      <c r="AF1006" s="500">
        <v>2175000</v>
      </c>
      <c r="AG1006" s="805" t="s">
        <v>3883</v>
      </c>
      <c r="AH1006" s="651">
        <f>Data2025!W1005</f>
        <v>0</v>
      </c>
      <c r="AI1006" s="61">
        <v>321</v>
      </c>
    </row>
    <row r="1007" spans="1:35" ht="16.5" thickTop="1" thickBot="1">
      <c r="A1007" s="636">
        <f>Data2025!G1006</f>
        <v>0</v>
      </c>
      <c r="B1007" s="637">
        <f>Data2025!K1006</f>
        <v>0</v>
      </c>
      <c r="C1007" s="638">
        <f>Data2025!D1006</f>
        <v>0</v>
      </c>
      <c r="D1007" s="639">
        <f>Data2025!C1006</f>
        <v>0</v>
      </c>
      <c r="E1007" s="265">
        <f>Data2025!E1006</f>
        <v>0</v>
      </c>
      <c r="F1007" s="640">
        <f>Data2025!F1006</f>
        <v>0</v>
      </c>
      <c r="G1007" s="265">
        <f>Data2025!H1006</f>
        <v>0</v>
      </c>
      <c r="H1007" s="265">
        <f t="shared" si="49"/>
        <v>0</v>
      </c>
      <c r="I1007" s="641">
        <f>Data2025!J1006</f>
        <v>0</v>
      </c>
      <c r="J1007" s="381">
        <f>Data2025!L1006</f>
        <v>0</v>
      </c>
      <c r="K1007" s="381">
        <f>Data2025!M1006</f>
        <v>0</v>
      </c>
      <c r="L1007" s="642">
        <f>Data2025!N1006</f>
        <v>0</v>
      </c>
      <c r="M1007" s="642">
        <f>Data2025!O1006</f>
        <v>0</v>
      </c>
      <c r="N1007" s="643">
        <f>Data2025!P1006</f>
        <v>0</v>
      </c>
      <c r="O1007" s="644">
        <f>Data2025!Q1006</f>
        <v>0</v>
      </c>
      <c r="P1007" s="645" t="s">
        <v>2682</v>
      </c>
      <c r="Q1007" s="646" t="e">
        <f>VLOOKUP(K1007,Sheet1!$C$1:$D$101,2,)</f>
        <v>#N/A</v>
      </c>
      <c r="R1007" s="496">
        <v>2625000</v>
      </c>
      <c r="S1007" s="504">
        <v>2541000</v>
      </c>
      <c r="T1007" s="648">
        <f>Data2025!T1006</f>
        <v>0</v>
      </c>
      <c r="U1007" s="497" t="s">
        <v>2531</v>
      </c>
      <c r="V1007" s="648">
        <f>Data2025!V1006</f>
        <v>0</v>
      </c>
      <c r="W1007" s="648">
        <f>Data2025!X1006</f>
        <v>0</v>
      </c>
      <c r="Y1007" s="268" t="str">
        <f t="shared" si="50"/>
        <v>Jasa Tenaga Pengajar</v>
      </c>
      <c r="Z1007" s="649" t="str">
        <f t="shared" si="51"/>
        <v>Jasa Tenaga Pengajar</v>
      </c>
      <c r="AA1007" s="498" t="s">
        <v>3374</v>
      </c>
      <c r="AB1007" s="499">
        <v>75000</v>
      </c>
      <c r="AC1007" s="499">
        <v>2475000</v>
      </c>
      <c r="AD1007" s="496">
        <v>2625000</v>
      </c>
      <c r="AE1007" s="500">
        <v>2364864.8648648649</v>
      </c>
      <c r="AF1007" s="500">
        <v>2625000</v>
      </c>
      <c r="AG1007" s="805" t="s">
        <v>3883</v>
      </c>
      <c r="AH1007" s="651">
        <f>Data2025!W1006</f>
        <v>0</v>
      </c>
      <c r="AI1007" s="61">
        <v>322</v>
      </c>
    </row>
    <row r="1008" spans="1:35" ht="16.5" thickTop="1" thickBot="1">
      <c r="A1008" s="636">
        <f>Data2025!G1007</f>
        <v>0</v>
      </c>
      <c r="B1008" s="637">
        <f>Data2025!K1007</f>
        <v>0</v>
      </c>
      <c r="C1008" s="638">
        <f>Data2025!D1007</f>
        <v>0</v>
      </c>
      <c r="D1008" s="639">
        <f>Data2025!C1007</f>
        <v>0</v>
      </c>
      <c r="E1008" s="265">
        <f>Data2025!E1007</f>
        <v>0</v>
      </c>
      <c r="F1008" s="640">
        <f>Data2025!F1007</f>
        <v>0</v>
      </c>
      <c r="G1008" s="265">
        <f>Data2025!H1007</f>
        <v>0</v>
      </c>
      <c r="H1008" s="265">
        <f t="shared" si="49"/>
        <v>0</v>
      </c>
      <c r="I1008" s="641">
        <f>Data2025!J1007</f>
        <v>0</v>
      </c>
      <c r="J1008" s="381">
        <f>Data2025!L1007</f>
        <v>0</v>
      </c>
      <c r="K1008" s="381">
        <f>Data2025!M1007</f>
        <v>0</v>
      </c>
      <c r="L1008" s="642">
        <f>Data2025!N1007</f>
        <v>0</v>
      </c>
      <c r="M1008" s="642">
        <f>Data2025!O1007</f>
        <v>0</v>
      </c>
      <c r="N1008" s="643">
        <f>Data2025!P1007</f>
        <v>0</v>
      </c>
      <c r="O1008" s="644">
        <f>Data2025!Q1007</f>
        <v>0</v>
      </c>
      <c r="P1008" s="645" t="s">
        <v>2682</v>
      </c>
      <c r="Q1008" s="646" t="e">
        <f>VLOOKUP(K1008,Sheet1!$C$1:$D$101,2,)</f>
        <v>#N/A</v>
      </c>
      <c r="R1008" s="496">
        <v>2475000</v>
      </c>
      <c r="S1008" s="504">
        <v>2156000</v>
      </c>
      <c r="T1008" s="648">
        <f>Data2025!T1007</f>
        <v>0</v>
      </c>
      <c r="U1008" s="497" t="s">
        <v>2531</v>
      </c>
      <c r="V1008" s="648">
        <f>Data2025!V1007</f>
        <v>0</v>
      </c>
      <c r="W1008" s="648">
        <f>Data2025!X1007</f>
        <v>0</v>
      </c>
      <c r="Y1008" s="268" t="str">
        <f t="shared" si="50"/>
        <v>Jasa Tenaga Pengajar</v>
      </c>
      <c r="Z1008" s="649" t="str">
        <f t="shared" si="51"/>
        <v>Jasa Tenaga Pengajar</v>
      </c>
      <c r="AA1008" s="498" t="s">
        <v>3374</v>
      </c>
      <c r="AB1008" s="499">
        <v>75000</v>
      </c>
      <c r="AC1008" s="499">
        <v>2100000</v>
      </c>
      <c r="AD1008" s="496">
        <v>2475000</v>
      </c>
      <c r="AE1008" s="500">
        <v>2229729.7297297297</v>
      </c>
      <c r="AF1008" s="500">
        <v>2475000</v>
      </c>
      <c r="AG1008" s="805" t="s">
        <v>3883</v>
      </c>
      <c r="AH1008" s="651">
        <f>Data2025!W1007</f>
        <v>0</v>
      </c>
      <c r="AI1008" s="61">
        <v>323</v>
      </c>
    </row>
    <row r="1009" spans="1:35" ht="16.5" thickTop="1" thickBot="1">
      <c r="A1009" s="636">
        <f>Data2025!G1008</f>
        <v>0</v>
      </c>
      <c r="B1009" s="637">
        <f>Data2025!K1008</f>
        <v>0</v>
      </c>
      <c r="C1009" s="638">
        <f>Data2025!D1008</f>
        <v>0</v>
      </c>
      <c r="D1009" s="639">
        <f>Data2025!C1008</f>
        <v>0</v>
      </c>
      <c r="E1009" s="265">
        <f>Data2025!E1008</f>
        <v>0</v>
      </c>
      <c r="F1009" s="640">
        <f>Data2025!F1008</f>
        <v>0</v>
      </c>
      <c r="G1009" s="265">
        <f>Data2025!H1008</f>
        <v>0</v>
      </c>
      <c r="H1009" s="265">
        <f t="shared" si="49"/>
        <v>0</v>
      </c>
      <c r="I1009" s="641">
        <f>Data2025!J1008</f>
        <v>0</v>
      </c>
      <c r="J1009" s="381">
        <f>Data2025!L1008</f>
        <v>0</v>
      </c>
      <c r="K1009" s="381">
        <f>Data2025!M1008</f>
        <v>0</v>
      </c>
      <c r="L1009" s="642">
        <f>Data2025!N1008</f>
        <v>0</v>
      </c>
      <c r="M1009" s="642">
        <f>Data2025!O1008</f>
        <v>0</v>
      </c>
      <c r="N1009" s="643">
        <f>Data2025!P1008</f>
        <v>0</v>
      </c>
      <c r="O1009" s="644">
        <f>Data2025!Q1008</f>
        <v>0</v>
      </c>
      <c r="P1009" s="645" t="s">
        <v>2682</v>
      </c>
      <c r="Q1009" s="646" t="e">
        <f>VLOOKUP(K1009,Sheet1!$C$1:$D$101,2,)</f>
        <v>#N/A</v>
      </c>
      <c r="R1009" s="496">
        <v>1575000</v>
      </c>
      <c r="S1009" s="504">
        <v>2541000</v>
      </c>
      <c r="T1009" s="648">
        <f>Data2025!T1008</f>
        <v>0</v>
      </c>
      <c r="U1009" s="497" t="s">
        <v>2531</v>
      </c>
      <c r="V1009" s="648">
        <f>Data2025!V1008</f>
        <v>0</v>
      </c>
      <c r="W1009" s="648">
        <f>Data2025!X1008</f>
        <v>0</v>
      </c>
      <c r="Y1009" s="268" t="str">
        <f t="shared" si="50"/>
        <v>Jasa Tenaga Pengajar</v>
      </c>
      <c r="Z1009" s="649" t="str">
        <f t="shared" si="51"/>
        <v>Jasa Tenaga Pengajar</v>
      </c>
      <c r="AA1009" s="498" t="s">
        <v>3374</v>
      </c>
      <c r="AB1009" s="499">
        <v>75000</v>
      </c>
      <c r="AC1009" s="499">
        <v>2475000</v>
      </c>
      <c r="AD1009" s="496">
        <v>1575000</v>
      </c>
      <c r="AE1009" s="500">
        <v>1418918.9189189191</v>
      </c>
      <c r="AF1009" s="500">
        <v>1575000</v>
      </c>
      <c r="AG1009" s="805" t="s">
        <v>3883</v>
      </c>
      <c r="AH1009" s="651">
        <f>Data2025!W1008</f>
        <v>0</v>
      </c>
      <c r="AI1009" s="61">
        <v>324</v>
      </c>
    </row>
    <row r="1010" spans="1:35" ht="16.5" thickTop="1" thickBot="1">
      <c r="A1010" s="636">
        <f>Data2025!G1009</f>
        <v>0</v>
      </c>
      <c r="B1010" s="637">
        <f>Data2025!K1009</f>
        <v>0</v>
      </c>
      <c r="C1010" s="638">
        <f>Data2025!D1009</f>
        <v>0</v>
      </c>
      <c r="D1010" s="639">
        <f>Data2025!C1009</f>
        <v>0</v>
      </c>
      <c r="E1010" s="265">
        <f>Data2025!E1009</f>
        <v>0</v>
      </c>
      <c r="F1010" s="640">
        <f>Data2025!F1009</f>
        <v>0</v>
      </c>
      <c r="G1010" s="265">
        <f>Data2025!H1009</f>
        <v>0</v>
      </c>
      <c r="H1010" s="265">
        <f t="shared" si="49"/>
        <v>0</v>
      </c>
      <c r="I1010" s="641">
        <f>Data2025!J1009</f>
        <v>0</v>
      </c>
      <c r="J1010" s="381">
        <f>Data2025!L1009</f>
        <v>0</v>
      </c>
      <c r="K1010" s="381">
        <f>Data2025!M1009</f>
        <v>0</v>
      </c>
      <c r="L1010" s="642">
        <f>Data2025!N1009</f>
        <v>0</v>
      </c>
      <c r="M1010" s="642">
        <f>Data2025!O1009</f>
        <v>0</v>
      </c>
      <c r="N1010" s="643">
        <f>Data2025!P1009</f>
        <v>0</v>
      </c>
      <c r="O1010" s="644">
        <f>Data2025!Q1009</f>
        <v>0</v>
      </c>
      <c r="P1010" s="645" t="s">
        <v>2699</v>
      </c>
      <c r="Q1010" s="646" t="e">
        <f>VLOOKUP(K1010,Sheet1!$C$1:$D$101,2,)</f>
        <v>#N/A</v>
      </c>
      <c r="R1010" s="496">
        <v>2000000</v>
      </c>
      <c r="S1010" s="504">
        <v>2002000</v>
      </c>
      <c r="T1010" s="648">
        <f>Data2025!T1009</f>
        <v>0</v>
      </c>
      <c r="U1010" s="497" t="s">
        <v>2531</v>
      </c>
      <c r="V1010" s="648">
        <f>Data2025!V1009</f>
        <v>0</v>
      </c>
      <c r="W1010" s="648">
        <f>Data2025!X1009</f>
        <v>0</v>
      </c>
      <c r="Y1010" s="268" t="str">
        <f t="shared" si="50"/>
        <v>Jasa Tenaga TU</v>
      </c>
      <c r="Z1010" s="649" t="str">
        <f t="shared" si="51"/>
        <v>Jasa Tenaga TU</v>
      </c>
      <c r="AA1010" s="498" t="s">
        <v>3373</v>
      </c>
      <c r="AB1010" s="499">
        <v>2000000</v>
      </c>
      <c r="AC1010" s="499">
        <v>2000000</v>
      </c>
      <c r="AD1010" s="496">
        <v>2000000</v>
      </c>
      <c r="AE1010" s="500">
        <v>1801801.8018018019</v>
      </c>
      <c r="AF1010" s="500">
        <v>2000000</v>
      </c>
      <c r="AG1010" s="805" t="s">
        <v>3883</v>
      </c>
      <c r="AH1010" s="651">
        <f>Data2025!W1009</f>
        <v>0</v>
      </c>
      <c r="AI1010" s="61">
        <v>325</v>
      </c>
    </row>
    <row r="1011" spans="1:35" ht="16.5" thickTop="1" thickBot="1">
      <c r="A1011" s="636">
        <f>Data2025!G1010</f>
        <v>0</v>
      </c>
      <c r="B1011" s="637">
        <f>Data2025!K1010</f>
        <v>0</v>
      </c>
      <c r="C1011" s="638">
        <f>Data2025!D1010</f>
        <v>0</v>
      </c>
      <c r="D1011" s="639">
        <f>Data2025!C1010</f>
        <v>0</v>
      </c>
      <c r="E1011" s="265">
        <f>Data2025!E1010</f>
        <v>0</v>
      </c>
      <c r="F1011" s="640">
        <f>Data2025!F1010</f>
        <v>0</v>
      </c>
      <c r="G1011" s="265">
        <f>Data2025!H1010</f>
        <v>0</v>
      </c>
      <c r="H1011" s="265">
        <f t="shared" si="49"/>
        <v>0</v>
      </c>
      <c r="I1011" s="641">
        <f>Data2025!J1010</f>
        <v>0</v>
      </c>
      <c r="J1011" s="381">
        <f>Data2025!L1010</f>
        <v>0</v>
      </c>
      <c r="K1011" s="381">
        <f>Data2025!M1010</f>
        <v>0</v>
      </c>
      <c r="L1011" s="642">
        <f>Data2025!N1010</f>
        <v>0</v>
      </c>
      <c r="M1011" s="642">
        <f>Data2025!O1010</f>
        <v>0</v>
      </c>
      <c r="N1011" s="643">
        <f>Data2025!P1010</f>
        <v>0</v>
      </c>
      <c r="O1011" s="644">
        <f>Data2025!Q1010</f>
        <v>0</v>
      </c>
      <c r="P1011" s="645" t="s">
        <v>2699</v>
      </c>
      <c r="Q1011" s="646" t="e">
        <f>VLOOKUP(K1011,Sheet1!$C$1:$D$101,2,)</f>
        <v>#N/A</v>
      </c>
      <c r="R1011" s="496">
        <v>2000000</v>
      </c>
      <c r="S1011" s="504">
        <v>2002000</v>
      </c>
      <c r="T1011" s="648">
        <f>Data2025!T1010</f>
        <v>0</v>
      </c>
      <c r="U1011" s="497" t="s">
        <v>2531</v>
      </c>
      <c r="V1011" s="648">
        <f>Data2025!V1010</f>
        <v>0</v>
      </c>
      <c r="W1011" s="648">
        <f>Data2025!X1010</f>
        <v>0</v>
      </c>
      <c r="Y1011" s="268" t="str">
        <f t="shared" si="50"/>
        <v>Jasa Tenaga TU</v>
      </c>
      <c r="Z1011" s="649" t="str">
        <f t="shared" si="51"/>
        <v>Jasa Tenaga TU</v>
      </c>
      <c r="AA1011" s="498" t="s">
        <v>3373</v>
      </c>
      <c r="AB1011" s="499">
        <v>2000000</v>
      </c>
      <c r="AC1011" s="499">
        <v>2000000</v>
      </c>
      <c r="AD1011" s="496">
        <v>2000000</v>
      </c>
      <c r="AE1011" s="500">
        <v>1801801.8018018019</v>
      </c>
      <c r="AF1011" s="500">
        <v>2000000</v>
      </c>
      <c r="AG1011" s="805" t="s">
        <v>3883</v>
      </c>
      <c r="AH1011" s="651">
        <f>Data2025!W1010</f>
        <v>0</v>
      </c>
      <c r="AI1011" s="61">
        <v>326</v>
      </c>
    </row>
    <row r="1012" spans="1:35" ht="16.5" thickTop="1" thickBot="1">
      <c r="A1012" s="636">
        <f>Data2025!G1011</f>
        <v>0</v>
      </c>
      <c r="B1012" s="637">
        <f>Data2025!K1011</f>
        <v>0</v>
      </c>
      <c r="C1012" s="638">
        <f>Data2025!D1011</f>
        <v>0</v>
      </c>
      <c r="D1012" s="639">
        <f>Data2025!C1011</f>
        <v>0</v>
      </c>
      <c r="E1012" s="265">
        <f>Data2025!E1011</f>
        <v>0</v>
      </c>
      <c r="F1012" s="640">
        <f>Data2025!F1011</f>
        <v>0</v>
      </c>
      <c r="G1012" s="265">
        <f>Data2025!H1011</f>
        <v>0</v>
      </c>
      <c r="H1012" s="265">
        <f t="shared" si="49"/>
        <v>0</v>
      </c>
      <c r="I1012" s="641">
        <f>Data2025!J1011</f>
        <v>0</v>
      </c>
      <c r="J1012" s="381">
        <f>Data2025!L1011</f>
        <v>0</v>
      </c>
      <c r="K1012" s="381">
        <f>Data2025!M1011</f>
        <v>0</v>
      </c>
      <c r="L1012" s="642">
        <f>Data2025!N1011</f>
        <v>0</v>
      </c>
      <c r="M1012" s="642">
        <f>Data2025!O1011</f>
        <v>0</v>
      </c>
      <c r="N1012" s="643">
        <f>Data2025!P1011</f>
        <v>0</v>
      </c>
      <c r="O1012" s="644">
        <f>Data2025!Q1011</f>
        <v>0</v>
      </c>
      <c r="P1012" s="645" t="s">
        <v>2699</v>
      </c>
      <c r="Q1012" s="646" t="e">
        <f>VLOOKUP(K1012,Sheet1!$C$1:$D$101,2,)</f>
        <v>#N/A</v>
      </c>
      <c r="R1012" s="496">
        <v>2000000</v>
      </c>
      <c r="S1012" s="504">
        <v>2002000</v>
      </c>
      <c r="T1012" s="648">
        <f>Data2025!T1011</f>
        <v>0</v>
      </c>
      <c r="U1012" s="497" t="s">
        <v>2531</v>
      </c>
      <c r="V1012" s="648">
        <f>Data2025!V1011</f>
        <v>0</v>
      </c>
      <c r="W1012" s="648">
        <f>Data2025!X1011</f>
        <v>0</v>
      </c>
      <c r="Y1012" s="268" t="str">
        <f t="shared" si="50"/>
        <v>Jasa Tenaga TU</v>
      </c>
      <c r="Z1012" s="649" t="str">
        <f t="shared" si="51"/>
        <v>Jasa Tenaga TU</v>
      </c>
      <c r="AA1012" s="498" t="s">
        <v>3373</v>
      </c>
      <c r="AB1012" s="499">
        <v>2000000</v>
      </c>
      <c r="AC1012" s="499">
        <v>2000000</v>
      </c>
      <c r="AD1012" s="496">
        <v>2000000</v>
      </c>
      <c r="AE1012" s="500">
        <v>1801801.8018018019</v>
      </c>
      <c r="AF1012" s="500">
        <v>2000000</v>
      </c>
      <c r="AG1012" s="805" t="s">
        <v>3883</v>
      </c>
      <c r="AH1012" s="651">
        <f>Data2025!W1011</f>
        <v>0</v>
      </c>
      <c r="AI1012" s="61">
        <v>327</v>
      </c>
    </row>
    <row r="1013" spans="1:35" ht="16.5" thickTop="1" thickBot="1">
      <c r="A1013" s="636">
        <f>Data2025!G1012</f>
        <v>0</v>
      </c>
      <c r="B1013" s="637">
        <f>Data2025!K1012</f>
        <v>0</v>
      </c>
      <c r="C1013" s="638">
        <f>Data2025!D1012</f>
        <v>0</v>
      </c>
      <c r="D1013" s="639">
        <f>Data2025!C1012</f>
        <v>0</v>
      </c>
      <c r="E1013" s="265">
        <f>Data2025!E1012</f>
        <v>0</v>
      </c>
      <c r="F1013" s="640">
        <f>Data2025!F1012</f>
        <v>0</v>
      </c>
      <c r="G1013" s="265">
        <f>Data2025!H1012</f>
        <v>0</v>
      </c>
      <c r="H1013" s="265">
        <f t="shared" si="49"/>
        <v>0</v>
      </c>
      <c r="I1013" s="641">
        <f>Data2025!J1012</f>
        <v>0</v>
      </c>
      <c r="J1013" s="381">
        <f>Data2025!L1012</f>
        <v>0</v>
      </c>
      <c r="K1013" s="381">
        <f>Data2025!M1012</f>
        <v>0</v>
      </c>
      <c r="L1013" s="642">
        <f>Data2025!N1012</f>
        <v>0</v>
      </c>
      <c r="M1013" s="642">
        <f>Data2025!O1012</f>
        <v>0</v>
      </c>
      <c r="N1013" s="643">
        <f>Data2025!P1012</f>
        <v>0</v>
      </c>
      <c r="O1013" s="644">
        <f>Data2025!Q1012</f>
        <v>0</v>
      </c>
      <c r="P1013" s="645" t="s">
        <v>2699</v>
      </c>
      <c r="Q1013" s="646" t="e">
        <f>VLOOKUP(K1013,Sheet1!$C$1:$D$101,2,)</f>
        <v>#N/A</v>
      </c>
      <c r="R1013" s="496">
        <v>2000000</v>
      </c>
      <c r="S1013" s="504">
        <v>2002000</v>
      </c>
      <c r="T1013" s="648">
        <f>Data2025!T1012</f>
        <v>0</v>
      </c>
      <c r="U1013" s="497" t="s">
        <v>2531</v>
      </c>
      <c r="V1013" s="648">
        <f>Data2025!V1012</f>
        <v>0</v>
      </c>
      <c r="W1013" s="648">
        <f>Data2025!X1012</f>
        <v>0</v>
      </c>
      <c r="Y1013" s="268" t="str">
        <f t="shared" si="50"/>
        <v>Jasa Tenaga TU</v>
      </c>
      <c r="Z1013" s="649" t="str">
        <f t="shared" si="51"/>
        <v>Jasa Tenaga TU</v>
      </c>
      <c r="AA1013" s="498" t="s">
        <v>3373</v>
      </c>
      <c r="AB1013" s="499">
        <v>2000000</v>
      </c>
      <c r="AC1013" s="499">
        <v>2000000</v>
      </c>
      <c r="AD1013" s="496">
        <v>2000000</v>
      </c>
      <c r="AE1013" s="500">
        <v>1801801.8018018019</v>
      </c>
      <c r="AF1013" s="500">
        <v>2000000</v>
      </c>
      <c r="AG1013" s="805" t="s">
        <v>3883</v>
      </c>
      <c r="AH1013" s="651">
        <f>Data2025!W1012</f>
        <v>0</v>
      </c>
      <c r="AI1013" s="61">
        <v>328</v>
      </c>
    </row>
    <row r="1014" spans="1:35" ht="16.5" thickTop="1" thickBot="1">
      <c r="A1014" s="636">
        <f>Data2025!G1013</f>
        <v>0</v>
      </c>
      <c r="B1014" s="637">
        <f>Data2025!K1013</f>
        <v>0</v>
      </c>
      <c r="C1014" s="638">
        <f>Data2025!D1013</f>
        <v>0</v>
      </c>
      <c r="D1014" s="639">
        <f>Data2025!C1013</f>
        <v>0</v>
      </c>
      <c r="E1014" s="265">
        <f>Data2025!E1013</f>
        <v>0</v>
      </c>
      <c r="F1014" s="640">
        <f>Data2025!F1013</f>
        <v>0</v>
      </c>
      <c r="G1014" s="265">
        <f>Data2025!H1013</f>
        <v>0</v>
      </c>
      <c r="H1014" s="265">
        <f t="shared" si="49"/>
        <v>0</v>
      </c>
      <c r="I1014" s="641">
        <f>Data2025!J1013</f>
        <v>0</v>
      </c>
      <c r="J1014" s="381">
        <f>Data2025!L1013</f>
        <v>0</v>
      </c>
      <c r="K1014" s="381">
        <f>Data2025!M1013</f>
        <v>0</v>
      </c>
      <c r="L1014" s="642">
        <f>Data2025!N1013</f>
        <v>0</v>
      </c>
      <c r="M1014" s="642">
        <f>Data2025!O1013</f>
        <v>0</v>
      </c>
      <c r="N1014" s="643">
        <f>Data2025!P1013</f>
        <v>0</v>
      </c>
      <c r="O1014" s="644">
        <f>Data2025!Q1013</f>
        <v>0</v>
      </c>
      <c r="P1014" s="645" t="s">
        <v>2699</v>
      </c>
      <c r="Q1014" s="646" t="e">
        <f>VLOOKUP(K1014,Sheet1!$C$1:$D$101,2,)</f>
        <v>#N/A</v>
      </c>
      <c r="R1014" s="496">
        <v>2000000</v>
      </c>
      <c r="S1014" s="504">
        <v>2002000</v>
      </c>
      <c r="T1014" s="648">
        <f>Data2025!T1013</f>
        <v>0</v>
      </c>
      <c r="U1014" s="497" t="s">
        <v>2531</v>
      </c>
      <c r="V1014" s="648">
        <f>Data2025!V1013</f>
        <v>0</v>
      </c>
      <c r="W1014" s="648">
        <f>Data2025!X1013</f>
        <v>0</v>
      </c>
      <c r="Y1014" s="268" t="str">
        <f t="shared" si="50"/>
        <v>Jasa Tenaga TU</v>
      </c>
      <c r="Z1014" s="649" t="str">
        <f t="shared" si="51"/>
        <v>Jasa Tenaga TU</v>
      </c>
      <c r="AA1014" s="498" t="s">
        <v>3373</v>
      </c>
      <c r="AB1014" s="499">
        <v>2000000</v>
      </c>
      <c r="AC1014" s="499">
        <v>2000000</v>
      </c>
      <c r="AD1014" s="496">
        <v>2000000</v>
      </c>
      <c r="AE1014" s="500">
        <v>1801801.8018018019</v>
      </c>
      <c r="AF1014" s="500">
        <v>2000000</v>
      </c>
      <c r="AG1014" s="805" t="s">
        <v>3883</v>
      </c>
      <c r="AH1014" s="651">
        <f>Data2025!W1013</f>
        <v>0</v>
      </c>
      <c r="AI1014" s="61">
        <v>329</v>
      </c>
    </row>
    <row r="1015" spans="1:35" ht="16.5" thickTop="1" thickBot="1">
      <c r="A1015" s="636">
        <f>Data2025!G1014</f>
        <v>0</v>
      </c>
      <c r="B1015" s="637">
        <f>Data2025!K1014</f>
        <v>0</v>
      </c>
      <c r="C1015" s="638">
        <f>Data2025!D1014</f>
        <v>0</v>
      </c>
      <c r="D1015" s="639">
        <f>Data2025!C1014</f>
        <v>0</v>
      </c>
      <c r="E1015" s="265">
        <f>Data2025!E1014</f>
        <v>0</v>
      </c>
      <c r="F1015" s="640">
        <f>Data2025!F1014</f>
        <v>0</v>
      </c>
      <c r="G1015" s="265">
        <f>Data2025!H1014</f>
        <v>0</v>
      </c>
      <c r="H1015" s="265">
        <f t="shared" si="49"/>
        <v>0</v>
      </c>
      <c r="I1015" s="641">
        <f>Data2025!J1014</f>
        <v>0</v>
      </c>
      <c r="J1015" s="381">
        <f>Data2025!L1014</f>
        <v>0</v>
      </c>
      <c r="K1015" s="381">
        <f>Data2025!M1014</f>
        <v>0</v>
      </c>
      <c r="L1015" s="642">
        <f>Data2025!N1014</f>
        <v>0</v>
      </c>
      <c r="M1015" s="642">
        <f>Data2025!O1014</f>
        <v>0</v>
      </c>
      <c r="N1015" s="643">
        <f>Data2025!P1014</f>
        <v>0</v>
      </c>
      <c r="O1015" s="644">
        <f>Data2025!Q1014</f>
        <v>0</v>
      </c>
      <c r="P1015" s="645" t="s">
        <v>2699</v>
      </c>
      <c r="Q1015" s="646" t="e">
        <f>VLOOKUP(K1015,Sheet1!$C$1:$D$101,2,)</f>
        <v>#N/A</v>
      </c>
      <c r="R1015" s="496">
        <v>2000000</v>
      </c>
      <c r="S1015" s="504">
        <v>2002000</v>
      </c>
      <c r="T1015" s="648">
        <f>Data2025!T1014</f>
        <v>0</v>
      </c>
      <c r="U1015" s="497" t="s">
        <v>2531</v>
      </c>
      <c r="V1015" s="648">
        <f>Data2025!V1014</f>
        <v>0</v>
      </c>
      <c r="W1015" s="648">
        <f>Data2025!X1014</f>
        <v>0</v>
      </c>
      <c r="Y1015" s="268" t="str">
        <f t="shared" si="50"/>
        <v>Jasa Tenaga TU</v>
      </c>
      <c r="Z1015" s="649" t="str">
        <f t="shared" si="51"/>
        <v>Jasa Tenaga TU</v>
      </c>
      <c r="AA1015" s="498" t="s">
        <v>3373</v>
      </c>
      <c r="AB1015" s="499">
        <v>2000000</v>
      </c>
      <c r="AC1015" s="499">
        <v>2000000</v>
      </c>
      <c r="AD1015" s="496">
        <v>2000000</v>
      </c>
      <c r="AE1015" s="500">
        <v>1801801.8018018019</v>
      </c>
      <c r="AF1015" s="500">
        <v>2000000</v>
      </c>
      <c r="AG1015" s="805" t="s">
        <v>3883</v>
      </c>
      <c r="AH1015" s="651">
        <f>Data2025!W1014</f>
        <v>0</v>
      </c>
      <c r="AI1015" s="61">
        <v>330</v>
      </c>
    </row>
    <row r="1016" spans="1:35" ht="16.5" thickTop="1" thickBot="1">
      <c r="A1016" s="636">
        <f>Data2025!G1015</f>
        <v>0</v>
      </c>
      <c r="B1016" s="637">
        <f>Data2025!K1015</f>
        <v>0</v>
      </c>
      <c r="C1016" s="638">
        <f>Data2025!D1015</f>
        <v>0</v>
      </c>
      <c r="D1016" s="639">
        <f>Data2025!C1015</f>
        <v>0</v>
      </c>
      <c r="E1016" s="265">
        <f>Data2025!E1015</f>
        <v>0</v>
      </c>
      <c r="F1016" s="640">
        <f>Data2025!F1015</f>
        <v>0</v>
      </c>
      <c r="G1016" s="265">
        <f>Data2025!H1015</f>
        <v>0</v>
      </c>
      <c r="H1016" s="265">
        <f t="shared" si="49"/>
        <v>0</v>
      </c>
      <c r="I1016" s="641">
        <f>Data2025!J1015</f>
        <v>0</v>
      </c>
      <c r="J1016" s="381">
        <f>Data2025!L1015</f>
        <v>0</v>
      </c>
      <c r="K1016" s="381">
        <f>Data2025!M1015</f>
        <v>0</v>
      </c>
      <c r="L1016" s="642">
        <f>Data2025!N1015</f>
        <v>0</v>
      </c>
      <c r="M1016" s="642">
        <f>Data2025!O1015</f>
        <v>0</v>
      </c>
      <c r="N1016" s="643">
        <f>Data2025!P1015</f>
        <v>0</v>
      </c>
      <c r="O1016" s="644">
        <f>Data2025!Q1015</f>
        <v>0</v>
      </c>
      <c r="P1016" s="645" t="s">
        <v>2699</v>
      </c>
      <c r="Q1016" s="646" t="e">
        <f>VLOOKUP(K1016,Sheet1!$C$1:$D$101,2,)</f>
        <v>#N/A</v>
      </c>
      <c r="R1016" s="496">
        <v>2000000</v>
      </c>
      <c r="S1016" s="504">
        <v>2002000</v>
      </c>
      <c r="T1016" s="648">
        <f>Data2025!T1015</f>
        <v>0</v>
      </c>
      <c r="U1016" s="497" t="s">
        <v>2531</v>
      </c>
      <c r="V1016" s="648">
        <f>Data2025!V1015</f>
        <v>0</v>
      </c>
      <c r="W1016" s="648">
        <f>Data2025!X1015</f>
        <v>0</v>
      </c>
      <c r="Y1016" s="268" t="str">
        <f t="shared" si="50"/>
        <v>Jasa Tenaga TU</v>
      </c>
      <c r="Z1016" s="649" t="str">
        <f t="shared" si="51"/>
        <v>Jasa Tenaga TU</v>
      </c>
      <c r="AA1016" s="498" t="s">
        <v>3373</v>
      </c>
      <c r="AB1016" s="499">
        <v>2000000</v>
      </c>
      <c r="AC1016" s="499">
        <v>2000000</v>
      </c>
      <c r="AD1016" s="496">
        <v>2000000</v>
      </c>
      <c r="AE1016" s="500">
        <v>1801801.8018018019</v>
      </c>
      <c r="AF1016" s="500">
        <v>2000000</v>
      </c>
      <c r="AG1016" s="805" t="s">
        <v>3883</v>
      </c>
      <c r="AH1016" s="651">
        <f>Data2025!W1015</f>
        <v>0</v>
      </c>
      <c r="AI1016" s="61">
        <v>331</v>
      </c>
    </row>
    <row r="1017" spans="1:35" ht="16.5" thickTop="1" thickBot="1">
      <c r="A1017" s="636">
        <f>Data2025!G1016</f>
        <v>0</v>
      </c>
      <c r="B1017" s="637">
        <f>Data2025!K1016</f>
        <v>0</v>
      </c>
      <c r="C1017" s="638">
        <f>Data2025!D1016</f>
        <v>0</v>
      </c>
      <c r="D1017" s="639">
        <f>Data2025!C1016</f>
        <v>0</v>
      </c>
      <c r="E1017" s="265">
        <f>Data2025!E1016</f>
        <v>0</v>
      </c>
      <c r="F1017" s="640">
        <f>Data2025!F1016</f>
        <v>0</v>
      </c>
      <c r="G1017" s="265">
        <f>Data2025!H1016</f>
        <v>0</v>
      </c>
      <c r="H1017" s="265">
        <f t="shared" si="49"/>
        <v>0</v>
      </c>
      <c r="I1017" s="641">
        <f>Data2025!J1016</f>
        <v>0</v>
      </c>
      <c r="J1017" s="381">
        <f>Data2025!L1016</f>
        <v>0</v>
      </c>
      <c r="K1017" s="381">
        <f>Data2025!M1016</f>
        <v>0</v>
      </c>
      <c r="L1017" s="642">
        <f>Data2025!N1016</f>
        <v>0</v>
      </c>
      <c r="M1017" s="642">
        <f>Data2025!O1016</f>
        <v>0</v>
      </c>
      <c r="N1017" s="643">
        <f>Data2025!P1016</f>
        <v>0</v>
      </c>
      <c r="O1017" s="644">
        <f>Data2025!Q1016</f>
        <v>0</v>
      </c>
      <c r="P1017" s="645" t="s">
        <v>2699</v>
      </c>
      <c r="Q1017" s="646" t="e">
        <f>VLOOKUP(K1017,Sheet1!$C$1:$D$101,2,)</f>
        <v>#N/A</v>
      </c>
      <c r="R1017" s="496">
        <v>2000000</v>
      </c>
      <c r="S1017" s="504">
        <v>2002000</v>
      </c>
      <c r="T1017" s="648">
        <f>Data2025!T1016</f>
        <v>0</v>
      </c>
      <c r="U1017" s="497" t="s">
        <v>2531</v>
      </c>
      <c r="V1017" s="648">
        <f>Data2025!V1016</f>
        <v>0</v>
      </c>
      <c r="W1017" s="648">
        <f>Data2025!X1016</f>
        <v>0</v>
      </c>
      <c r="Y1017" s="268" t="str">
        <f t="shared" si="50"/>
        <v>Jasa Tenaga TU</v>
      </c>
      <c r="Z1017" s="649" t="str">
        <f t="shared" si="51"/>
        <v>Jasa Tenaga TU</v>
      </c>
      <c r="AA1017" s="498" t="s">
        <v>3373</v>
      </c>
      <c r="AB1017" s="499">
        <v>2000000</v>
      </c>
      <c r="AC1017" s="499">
        <v>2000000</v>
      </c>
      <c r="AD1017" s="496">
        <v>2000000</v>
      </c>
      <c r="AE1017" s="500">
        <v>1801801.8018018019</v>
      </c>
      <c r="AF1017" s="500">
        <v>2000000</v>
      </c>
      <c r="AG1017" s="805" t="s">
        <v>3883</v>
      </c>
      <c r="AH1017" s="651">
        <f>Data2025!W1016</f>
        <v>0</v>
      </c>
      <c r="AI1017" s="61">
        <v>332</v>
      </c>
    </row>
    <row r="1018" spans="1:35" ht="16.5" thickTop="1" thickBot="1">
      <c r="A1018" s="636">
        <f>Data2025!G1017</f>
        <v>0</v>
      </c>
      <c r="B1018" s="637">
        <f>Data2025!K1017</f>
        <v>0</v>
      </c>
      <c r="C1018" s="638">
        <f>Data2025!D1017</f>
        <v>0</v>
      </c>
      <c r="D1018" s="639">
        <f>Data2025!C1017</f>
        <v>0</v>
      </c>
      <c r="E1018" s="265">
        <f>Data2025!E1017</f>
        <v>0</v>
      </c>
      <c r="F1018" s="640">
        <f>Data2025!F1017</f>
        <v>0</v>
      </c>
      <c r="G1018" s="265">
        <f>Data2025!H1017</f>
        <v>0</v>
      </c>
      <c r="H1018" s="265">
        <f t="shared" si="49"/>
        <v>0</v>
      </c>
      <c r="I1018" s="641">
        <f>Data2025!J1017</f>
        <v>0</v>
      </c>
      <c r="J1018" s="381">
        <f>Data2025!L1017</f>
        <v>0</v>
      </c>
      <c r="K1018" s="381">
        <f>Data2025!M1017</f>
        <v>0</v>
      </c>
      <c r="L1018" s="642">
        <f>Data2025!N1017</f>
        <v>0</v>
      </c>
      <c r="M1018" s="642">
        <f>Data2025!O1017</f>
        <v>0</v>
      </c>
      <c r="N1018" s="643">
        <f>Data2025!P1017</f>
        <v>0</v>
      </c>
      <c r="O1018" s="644">
        <f>Data2025!Q1017</f>
        <v>0</v>
      </c>
      <c r="P1018" s="645" t="s">
        <v>2713</v>
      </c>
      <c r="Q1018" s="646" t="e">
        <f>VLOOKUP(K1018,Sheet1!$C$1:$D$101,2,)</f>
        <v>#N/A</v>
      </c>
      <c r="R1018" s="496">
        <v>1000000</v>
      </c>
      <c r="S1018" s="504">
        <v>1002000</v>
      </c>
      <c r="T1018" s="648">
        <f>Data2025!T1017</f>
        <v>0</v>
      </c>
      <c r="U1018" s="497" t="s">
        <v>2531</v>
      </c>
      <c r="V1018" s="648">
        <f>Data2025!V1017</f>
        <v>0</v>
      </c>
      <c r="W1018" s="648">
        <f>Data2025!X1017</f>
        <v>0</v>
      </c>
      <c r="Y1018" s="268" t="str">
        <f t="shared" si="50"/>
        <v>Jasa Tenaga Kebersihan</v>
      </c>
      <c r="Z1018" s="649" t="str">
        <f t="shared" si="51"/>
        <v>Jasa Tenaga Kebersihan</v>
      </c>
      <c r="AA1018" s="498" t="s">
        <v>3373</v>
      </c>
      <c r="AB1018" s="499">
        <v>1000000</v>
      </c>
      <c r="AC1018" s="499">
        <v>1000000</v>
      </c>
      <c r="AD1018" s="496">
        <v>1000000</v>
      </c>
      <c r="AE1018" s="500">
        <v>900900.90090090095</v>
      </c>
      <c r="AF1018" s="500">
        <v>1000000</v>
      </c>
      <c r="AG1018" s="805" t="s">
        <v>3883</v>
      </c>
      <c r="AH1018" s="651">
        <f>Data2025!W1017</f>
        <v>0</v>
      </c>
      <c r="AI1018" s="61">
        <v>333</v>
      </c>
    </row>
    <row r="1019" spans="1:35" ht="16.5" thickTop="1" thickBot="1">
      <c r="A1019" s="636">
        <f>Data2025!G1018</f>
        <v>0</v>
      </c>
      <c r="B1019" s="637">
        <f>Data2025!K1018</f>
        <v>0</v>
      </c>
      <c r="C1019" s="638">
        <f>Data2025!D1018</f>
        <v>0</v>
      </c>
      <c r="D1019" s="639">
        <f>Data2025!C1018</f>
        <v>0</v>
      </c>
      <c r="E1019" s="265">
        <f>Data2025!E1018</f>
        <v>0</v>
      </c>
      <c r="F1019" s="640">
        <f>Data2025!F1018</f>
        <v>0</v>
      </c>
      <c r="G1019" s="265">
        <f>Data2025!H1018</f>
        <v>0</v>
      </c>
      <c r="H1019" s="265">
        <f t="shared" si="49"/>
        <v>0</v>
      </c>
      <c r="I1019" s="641">
        <f>Data2025!J1018</f>
        <v>0</v>
      </c>
      <c r="J1019" s="381">
        <f>Data2025!L1018</f>
        <v>0</v>
      </c>
      <c r="K1019" s="381">
        <f>Data2025!M1018</f>
        <v>0</v>
      </c>
      <c r="L1019" s="642">
        <f>Data2025!N1018</f>
        <v>0</v>
      </c>
      <c r="M1019" s="642">
        <f>Data2025!O1018</f>
        <v>0</v>
      </c>
      <c r="N1019" s="643">
        <f>Data2025!P1018</f>
        <v>0</v>
      </c>
      <c r="O1019" s="644">
        <f>Data2025!Q1018</f>
        <v>0</v>
      </c>
      <c r="P1019" s="645" t="s">
        <v>280</v>
      </c>
      <c r="Q1019" s="646" t="e">
        <f>VLOOKUP(K1019,Sheet1!$C$1:$D$101,2,)</f>
        <v>#N/A</v>
      </c>
      <c r="R1019" s="267">
        <v>900000</v>
      </c>
      <c r="S1019" s="647">
        <v>1020000</v>
      </c>
      <c r="T1019" s="648">
        <f>Data2025!T1018</f>
        <v>0</v>
      </c>
      <c r="U1019" s="268" t="s">
        <v>2531</v>
      </c>
      <c r="V1019" s="648">
        <f>Data2025!V1018</f>
        <v>0</v>
      </c>
      <c r="W1019" s="648">
        <f>Data2025!X1018</f>
        <v>0</v>
      </c>
      <c r="X1019" s="268" t="s">
        <v>2529</v>
      </c>
      <c r="Y1019" s="268" t="str">
        <f t="shared" si="50"/>
        <v>Kudapan</v>
      </c>
      <c r="Z1019" s="649" t="str">
        <f t="shared" si="51"/>
        <v>Kudapan</v>
      </c>
      <c r="AA1019" s="650" t="s">
        <v>3363</v>
      </c>
      <c r="AB1019" s="269">
        <v>15000</v>
      </c>
      <c r="AC1019" s="269">
        <v>900000</v>
      </c>
      <c r="AD1019" s="267">
        <v>900000</v>
      </c>
      <c r="AE1019" s="270">
        <v>810810.81081081077</v>
      </c>
      <c r="AF1019" s="270">
        <v>900000</v>
      </c>
      <c r="AG1019" s="805" t="s">
        <v>3883</v>
      </c>
      <c r="AH1019" s="651">
        <f>Data2025!W1018</f>
        <v>0</v>
      </c>
      <c r="AI1019" s="61">
        <v>334</v>
      </c>
    </row>
    <row r="1020" spans="1:35" ht="16.5" thickTop="1" thickBot="1">
      <c r="A1020" s="636">
        <f>Data2025!G1019</f>
        <v>0</v>
      </c>
      <c r="B1020" s="637">
        <f>Data2025!K1019</f>
        <v>0</v>
      </c>
      <c r="C1020" s="638">
        <f>Data2025!D1019</f>
        <v>0</v>
      </c>
      <c r="D1020" s="639">
        <f>Data2025!C1019</f>
        <v>0</v>
      </c>
      <c r="E1020" s="265">
        <f>Data2025!E1019</f>
        <v>0</v>
      </c>
      <c r="F1020" s="640">
        <f>Data2025!F1019</f>
        <v>0</v>
      </c>
      <c r="G1020" s="265">
        <f>Data2025!H1019</f>
        <v>0</v>
      </c>
      <c r="H1020" s="265">
        <f t="shared" si="49"/>
        <v>0</v>
      </c>
      <c r="I1020" s="641">
        <f>Data2025!J1019</f>
        <v>0</v>
      </c>
      <c r="J1020" s="381">
        <f>Data2025!L1019</f>
        <v>0</v>
      </c>
      <c r="K1020" s="381">
        <f>Data2025!M1019</f>
        <v>0</v>
      </c>
      <c r="L1020" s="642">
        <f>Data2025!N1019</f>
        <v>0</v>
      </c>
      <c r="M1020" s="642">
        <f>Data2025!O1019</f>
        <v>0</v>
      </c>
      <c r="N1020" s="643">
        <f>Data2025!P1019</f>
        <v>0</v>
      </c>
      <c r="O1020" s="644">
        <f>Data2025!Q1019</f>
        <v>0</v>
      </c>
      <c r="P1020" s="645" t="s">
        <v>710</v>
      </c>
      <c r="Q1020" s="646" t="e">
        <f>VLOOKUP(K1020,Sheet1!$C$1:$D$101,2,)</f>
        <v>#N/A</v>
      </c>
      <c r="R1020" s="496">
        <v>25000</v>
      </c>
      <c r="S1020" s="504">
        <v>35000</v>
      </c>
      <c r="T1020" s="648">
        <f>Data2025!T1019</f>
        <v>0</v>
      </c>
      <c r="U1020" s="497" t="s">
        <v>538</v>
      </c>
      <c r="V1020" s="648">
        <f>Data2025!V1019</f>
        <v>0</v>
      </c>
      <c r="W1020" s="648">
        <f>Data2025!X1019</f>
        <v>0</v>
      </c>
      <c r="X1020" s="497" t="s">
        <v>541</v>
      </c>
      <c r="Y1020" s="268" t="str">
        <f t="shared" si="50"/>
        <v>Alat Tulis Kantor (ATK)</v>
      </c>
      <c r="Z1020" s="649" t="str">
        <f t="shared" si="51"/>
        <v>Alat Tulis Kantor (ATK)</v>
      </c>
      <c r="AA1020" s="498" t="s">
        <v>3362</v>
      </c>
      <c r="AB1020" s="499">
        <v>5000</v>
      </c>
      <c r="AC1020" s="499">
        <v>25000</v>
      </c>
      <c r="AD1020" s="496">
        <v>25000</v>
      </c>
      <c r="AE1020" s="500">
        <v>22522.522522522522</v>
      </c>
      <c r="AF1020" s="500">
        <v>25000</v>
      </c>
      <c r="AG1020" s="805" t="s">
        <v>3883</v>
      </c>
      <c r="AH1020" s="651">
        <f>Data2025!W1019</f>
        <v>0</v>
      </c>
      <c r="AI1020" s="61">
        <v>335</v>
      </c>
    </row>
    <row r="1021" spans="1:35" ht="16.5" thickTop="1" thickBot="1">
      <c r="A1021" s="636">
        <f>Data2025!G1020</f>
        <v>0</v>
      </c>
      <c r="B1021" s="637">
        <f>Data2025!K1020</f>
        <v>0</v>
      </c>
      <c r="C1021" s="638">
        <f>Data2025!D1020</f>
        <v>0</v>
      </c>
      <c r="D1021" s="639">
        <f>Data2025!C1020</f>
        <v>0</v>
      </c>
      <c r="E1021" s="265">
        <f>Data2025!E1020</f>
        <v>0</v>
      </c>
      <c r="F1021" s="640">
        <f>Data2025!F1020</f>
        <v>0</v>
      </c>
      <c r="G1021" s="265">
        <f>Data2025!H1020</f>
        <v>0</v>
      </c>
      <c r="H1021" s="265">
        <f t="shared" si="49"/>
        <v>0</v>
      </c>
      <c r="I1021" s="641">
        <f>Data2025!J1020</f>
        <v>0</v>
      </c>
      <c r="J1021" s="381">
        <f>Data2025!L1020</f>
        <v>0</v>
      </c>
      <c r="K1021" s="381">
        <f>Data2025!M1020</f>
        <v>0</v>
      </c>
      <c r="L1021" s="642">
        <f>Data2025!N1020</f>
        <v>0</v>
      </c>
      <c r="M1021" s="642">
        <f>Data2025!O1020</f>
        <v>0</v>
      </c>
      <c r="N1021" s="643">
        <f>Data2025!P1020</f>
        <v>0</v>
      </c>
      <c r="O1021" s="644">
        <f>Data2025!Q1020</f>
        <v>0</v>
      </c>
      <c r="P1021" s="645" t="s">
        <v>710</v>
      </c>
      <c r="Q1021" s="646" t="e">
        <f>VLOOKUP(K1021,Sheet1!$C$1:$D$101,2,)</f>
        <v>#N/A</v>
      </c>
      <c r="R1021" s="496">
        <v>240000</v>
      </c>
      <c r="S1021" s="504">
        <v>256000</v>
      </c>
      <c r="T1021" s="648">
        <f>Data2025!T1020</f>
        <v>0</v>
      </c>
      <c r="U1021" s="497" t="s">
        <v>538</v>
      </c>
      <c r="V1021" s="648">
        <f>Data2025!V1020</f>
        <v>0</v>
      </c>
      <c r="W1021" s="648">
        <f>Data2025!X1020</f>
        <v>0</v>
      </c>
      <c r="X1021" s="497" t="s">
        <v>541</v>
      </c>
      <c r="Y1021" s="268" t="str">
        <f t="shared" si="50"/>
        <v>Alat Tulis Kantor (ATK)</v>
      </c>
      <c r="Z1021" s="649" t="str">
        <f t="shared" si="51"/>
        <v>Alat Tulis Kantor (ATK)</v>
      </c>
      <c r="AA1021" s="498" t="s">
        <v>3367</v>
      </c>
      <c r="AB1021" s="499">
        <v>30000</v>
      </c>
      <c r="AC1021" s="499">
        <v>240000</v>
      </c>
      <c r="AD1021" s="496">
        <v>240000</v>
      </c>
      <c r="AE1021" s="500">
        <v>216216.21621621621</v>
      </c>
      <c r="AF1021" s="500">
        <v>240000</v>
      </c>
      <c r="AG1021" s="805" t="s">
        <v>3883</v>
      </c>
      <c r="AH1021" s="651">
        <f>Data2025!W1020</f>
        <v>0</v>
      </c>
      <c r="AI1021" s="61">
        <v>335</v>
      </c>
    </row>
    <row r="1022" spans="1:35" ht="16.5" thickTop="1" thickBot="1">
      <c r="A1022" s="636">
        <f>Data2025!G1021</f>
        <v>0</v>
      </c>
      <c r="B1022" s="637">
        <f>Data2025!K1021</f>
        <v>0</v>
      </c>
      <c r="C1022" s="638">
        <f>Data2025!D1021</f>
        <v>0</v>
      </c>
      <c r="D1022" s="639">
        <f>Data2025!C1021</f>
        <v>0</v>
      </c>
      <c r="E1022" s="265">
        <f>Data2025!E1021</f>
        <v>0</v>
      </c>
      <c r="F1022" s="640">
        <f>Data2025!F1021</f>
        <v>0</v>
      </c>
      <c r="G1022" s="265">
        <f>Data2025!H1021</f>
        <v>0</v>
      </c>
      <c r="H1022" s="265">
        <f t="shared" si="49"/>
        <v>0</v>
      </c>
      <c r="I1022" s="641">
        <f>Data2025!J1021</f>
        <v>0</v>
      </c>
      <c r="J1022" s="381">
        <f>Data2025!L1021</f>
        <v>0</v>
      </c>
      <c r="K1022" s="381">
        <f>Data2025!M1021</f>
        <v>0</v>
      </c>
      <c r="L1022" s="642">
        <f>Data2025!N1021</f>
        <v>0</v>
      </c>
      <c r="M1022" s="642">
        <f>Data2025!O1021</f>
        <v>0</v>
      </c>
      <c r="N1022" s="643">
        <f>Data2025!P1021</f>
        <v>0</v>
      </c>
      <c r="O1022" s="644">
        <f>Data2025!Q1021</f>
        <v>0</v>
      </c>
      <c r="P1022" s="645" t="s">
        <v>710</v>
      </c>
      <c r="Q1022" s="646" t="e">
        <f>VLOOKUP(K1022,Sheet1!$C$1:$D$101,2,)</f>
        <v>#N/A</v>
      </c>
      <c r="R1022" s="496">
        <v>55000</v>
      </c>
      <c r="S1022" s="504">
        <v>65000</v>
      </c>
      <c r="T1022" s="648">
        <f>Data2025!T1021</f>
        <v>0</v>
      </c>
      <c r="U1022" s="497" t="s">
        <v>538</v>
      </c>
      <c r="V1022" s="648">
        <f>Data2025!V1021</f>
        <v>0</v>
      </c>
      <c r="W1022" s="648">
        <f>Data2025!X1021</f>
        <v>0</v>
      </c>
      <c r="X1022" s="497" t="s">
        <v>541</v>
      </c>
      <c r="Y1022" s="268" t="str">
        <f t="shared" si="50"/>
        <v>Alat Tulis Kantor (ATK)</v>
      </c>
      <c r="Z1022" s="649" t="str">
        <f t="shared" si="51"/>
        <v>Alat Tulis Kantor (ATK)</v>
      </c>
      <c r="AA1022" s="498" t="s">
        <v>3362</v>
      </c>
      <c r="AB1022" s="499">
        <v>11000</v>
      </c>
      <c r="AC1022" s="499">
        <v>55000</v>
      </c>
      <c r="AD1022" s="496">
        <v>55000</v>
      </c>
      <c r="AE1022" s="500">
        <v>49549.549549549549</v>
      </c>
      <c r="AF1022" s="500">
        <v>55000</v>
      </c>
      <c r="AG1022" s="805" t="s">
        <v>3883</v>
      </c>
      <c r="AH1022" s="651">
        <f>Data2025!W1021</f>
        <v>0</v>
      </c>
      <c r="AI1022" s="61">
        <v>335</v>
      </c>
    </row>
    <row r="1023" spans="1:35" ht="16.5" thickTop="1" thickBot="1">
      <c r="A1023" s="636">
        <f>Data2025!G1022</f>
        <v>0</v>
      </c>
      <c r="B1023" s="637">
        <f>Data2025!K1022</f>
        <v>0</v>
      </c>
      <c r="C1023" s="638">
        <f>Data2025!D1022</f>
        <v>0</v>
      </c>
      <c r="D1023" s="639">
        <f>Data2025!C1022</f>
        <v>0</v>
      </c>
      <c r="E1023" s="265">
        <f>Data2025!E1022</f>
        <v>0</v>
      </c>
      <c r="F1023" s="640">
        <f>Data2025!F1022</f>
        <v>0</v>
      </c>
      <c r="G1023" s="265">
        <f>Data2025!H1022</f>
        <v>0</v>
      </c>
      <c r="H1023" s="265">
        <f t="shared" si="49"/>
        <v>0</v>
      </c>
      <c r="I1023" s="641">
        <f>Data2025!J1022</f>
        <v>0</v>
      </c>
      <c r="J1023" s="381">
        <f>Data2025!L1022</f>
        <v>0</v>
      </c>
      <c r="K1023" s="381">
        <f>Data2025!M1022</f>
        <v>0</v>
      </c>
      <c r="L1023" s="642">
        <f>Data2025!N1022</f>
        <v>0</v>
      </c>
      <c r="M1023" s="642">
        <f>Data2025!O1022</f>
        <v>0</v>
      </c>
      <c r="N1023" s="643">
        <f>Data2025!P1022</f>
        <v>0</v>
      </c>
      <c r="O1023" s="644">
        <f>Data2025!Q1022</f>
        <v>0</v>
      </c>
      <c r="P1023" s="645" t="s">
        <v>710</v>
      </c>
      <c r="Q1023" s="646" t="e">
        <f>VLOOKUP(K1023,Sheet1!$C$1:$D$101,2,)</f>
        <v>#N/A</v>
      </c>
      <c r="R1023" s="496">
        <v>240000</v>
      </c>
      <c r="S1023" s="504">
        <v>244000</v>
      </c>
      <c r="T1023" s="648">
        <f>Data2025!T1022</f>
        <v>0</v>
      </c>
      <c r="U1023" s="497" t="s">
        <v>538</v>
      </c>
      <c r="V1023" s="648">
        <f>Data2025!V1022</f>
        <v>0</v>
      </c>
      <c r="W1023" s="648">
        <f>Data2025!X1022</f>
        <v>0</v>
      </c>
      <c r="X1023" s="497" t="s">
        <v>541</v>
      </c>
      <c r="Y1023" s="268" t="str">
        <f t="shared" si="50"/>
        <v>Alat Tulis Kantor (ATK)</v>
      </c>
      <c r="Z1023" s="649" t="str">
        <f t="shared" si="51"/>
        <v>Alat Tulis Kantor (ATK)</v>
      </c>
      <c r="AA1023" s="498" t="s">
        <v>3364</v>
      </c>
      <c r="AB1023" s="499">
        <v>120000</v>
      </c>
      <c r="AC1023" s="499">
        <v>240000</v>
      </c>
      <c r="AD1023" s="496">
        <v>240000</v>
      </c>
      <c r="AE1023" s="500">
        <v>216216.21621621621</v>
      </c>
      <c r="AF1023" s="500">
        <v>240000</v>
      </c>
      <c r="AG1023" s="805" t="s">
        <v>3883</v>
      </c>
      <c r="AH1023" s="651">
        <f>Data2025!W1022</f>
        <v>0</v>
      </c>
      <c r="AI1023" s="61">
        <v>335</v>
      </c>
    </row>
    <row r="1024" spans="1:35" ht="16.5" thickTop="1" thickBot="1">
      <c r="A1024" s="636">
        <f>Data2025!G1023</f>
        <v>0</v>
      </c>
      <c r="B1024" s="637">
        <f>Data2025!K1023</f>
        <v>0</v>
      </c>
      <c r="C1024" s="638">
        <f>Data2025!D1023</f>
        <v>0</v>
      </c>
      <c r="D1024" s="639">
        <f>Data2025!C1023</f>
        <v>0</v>
      </c>
      <c r="E1024" s="265">
        <f>Data2025!E1023</f>
        <v>0</v>
      </c>
      <c r="F1024" s="640">
        <f>Data2025!F1023</f>
        <v>0</v>
      </c>
      <c r="G1024" s="265">
        <f>Data2025!H1023</f>
        <v>0</v>
      </c>
      <c r="H1024" s="265">
        <f t="shared" si="49"/>
        <v>0</v>
      </c>
      <c r="I1024" s="641">
        <f>Data2025!J1023</f>
        <v>0</v>
      </c>
      <c r="J1024" s="381">
        <f>Data2025!L1023</f>
        <v>0</v>
      </c>
      <c r="K1024" s="381">
        <f>Data2025!M1023</f>
        <v>0</v>
      </c>
      <c r="L1024" s="642">
        <f>Data2025!N1023</f>
        <v>0</v>
      </c>
      <c r="M1024" s="642">
        <f>Data2025!O1023</f>
        <v>0</v>
      </c>
      <c r="N1024" s="643">
        <f>Data2025!P1023</f>
        <v>0</v>
      </c>
      <c r="O1024" s="644">
        <f>Data2025!Q1023</f>
        <v>0</v>
      </c>
      <c r="P1024" s="645" t="s">
        <v>710</v>
      </c>
      <c r="Q1024" s="646" t="e">
        <f>VLOOKUP(K1024,Sheet1!$C$1:$D$101,2,)</f>
        <v>#N/A</v>
      </c>
      <c r="R1024" s="496">
        <v>75000</v>
      </c>
      <c r="S1024" s="504">
        <v>85000</v>
      </c>
      <c r="T1024" s="648">
        <f>Data2025!T1023</f>
        <v>0</v>
      </c>
      <c r="U1024" s="497" t="s">
        <v>538</v>
      </c>
      <c r="V1024" s="648">
        <f>Data2025!V1023</f>
        <v>0</v>
      </c>
      <c r="W1024" s="648">
        <f>Data2025!X1023</f>
        <v>0</v>
      </c>
      <c r="X1024" s="497" t="s">
        <v>541</v>
      </c>
      <c r="Y1024" s="268" t="str">
        <f t="shared" si="50"/>
        <v>Alat Tulis Kantor (ATK)</v>
      </c>
      <c r="Z1024" s="649" t="str">
        <f t="shared" si="51"/>
        <v>Alat Tulis Kantor (ATK)</v>
      </c>
      <c r="AA1024" s="498" t="s">
        <v>3363</v>
      </c>
      <c r="AB1024" s="499">
        <v>15000</v>
      </c>
      <c r="AC1024" s="499">
        <v>75000</v>
      </c>
      <c r="AD1024" s="496">
        <v>75000</v>
      </c>
      <c r="AE1024" s="500">
        <v>67567.567567567574</v>
      </c>
      <c r="AF1024" s="500">
        <v>75000</v>
      </c>
      <c r="AG1024" s="805" t="s">
        <v>3883</v>
      </c>
      <c r="AH1024" s="651">
        <f>Data2025!W1023</f>
        <v>0</v>
      </c>
      <c r="AI1024" s="61">
        <v>335</v>
      </c>
    </row>
    <row r="1025" spans="1:35" ht="16.5" thickTop="1" thickBot="1">
      <c r="A1025" s="636">
        <f>Data2025!G1024</f>
        <v>0</v>
      </c>
      <c r="B1025" s="637">
        <f>Data2025!K1024</f>
        <v>0</v>
      </c>
      <c r="C1025" s="638">
        <f>Data2025!D1024</f>
        <v>0</v>
      </c>
      <c r="D1025" s="639">
        <f>Data2025!C1024</f>
        <v>0</v>
      </c>
      <c r="E1025" s="265">
        <f>Data2025!E1024</f>
        <v>0</v>
      </c>
      <c r="F1025" s="640">
        <f>Data2025!F1024</f>
        <v>0</v>
      </c>
      <c r="G1025" s="265">
        <f>Data2025!H1024</f>
        <v>0</v>
      </c>
      <c r="H1025" s="265">
        <f t="shared" si="49"/>
        <v>0</v>
      </c>
      <c r="I1025" s="641">
        <f>Data2025!J1024</f>
        <v>0</v>
      </c>
      <c r="J1025" s="381">
        <f>Data2025!L1024</f>
        <v>0</v>
      </c>
      <c r="K1025" s="381">
        <f>Data2025!M1024</f>
        <v>0</v>
      </c>
      <c r="L1025" s="642">
        <f>Data2025!N1024</f>
        <v>0</v>
      </c>
      <c r="M1025" s="642">
        <f>Data2025!O1024</f>
        <v>0</v>
      </c>
      <c r="N1025" s="643">
        <f>Data2025!P1024</f>
        <v>0</v>
      </c>
      <c r="O1025" s="644">
        <f>Data2025!Q1024</f>
        <v>0</v>
      </c>
      <c r="P1025" s="645" t="s">
        <v>710</v>
      </c>
      <c r="Q1025" s="646" t="e">
        <f>VLOOKUP(K1025,Sheet1!$C$1:$D$101,2,)</f>
        <v>#N/A</v>
      </c>
      <c r="R1025" s="496">
        <v>87500</v>
      </c>
      <c r="S1025" s="504">
        <v>89500</v>
      </c>
      <c r="T1025" s="648">
        <f>Data2025!T1024</f>
        <v>0</v>
      </c>
      <c r="U1025" s="497" t="s">
        <v>538</v>
      </c>
      <c r="V1025" s="648">
        <f>Data2025!V1024</f>
        <v>0</v>
      </c>
      <c r="W1025" s="648">
        <f>Data2025!X1024</f>
        <v>0</v>
      </c>
      <c r="X1025" s="497" t="s">
        <v>541</v>
      </c>
      <c r="Y1025" s="268" t="str">
        <f t="shared" si="50"/>
        <v>Alat Tulis Kantor (ATK)</v>
      </c>
      <c r="Z1025" s="649" t="str">
        <f t="shared" si="51"/>
        <v>Alat Tulis Kantor (ATK)</v>
      </c>
      <c r="AA1025" s="498" t="s">
        <v>3370</v>
      </c>
      <c r="AB1025" s="499">
        <v>87500</v>
      </c>
      <c r="AC1025" s="499">
        <v>87500</v>
      </c>
      <c r="AD1025" s="496">
        <v>87500</v>
      </c>
      <c r="AE1025" s="500">
        <v>78828.828828828831</v>
      </c>
      <c r="AF1025" s="500">
        <v>87500</v>
      </c>
      <c r="AG1025" s="805" t="s">
        <v>3883</v>
      </c>
      <c r="AH1025" s="651">
        <f>Data2025!W1024</f>
        <v>0</v>
      </c>
      <c r="AI1025" s="61">
        <v>335</v>
      </c>
    </row>
    <row r="1026" spans="1:35" ht="16.5" thickTop="1" thickBot="1">
      <c r="A1026" s="636">
        <f>Data2025!G1025</f>
        <v>0</v>
      </c>
      <c r="B1026" s="637">
        <f>Data2025!K1025</f>
        <v>0</v>
      </c>
      <c r="C1026" s="638">
        <f>Data2025!D1025</f>
        <v>0</v>
      </c>
      <c r="D1026" s="639">
        <f>Data2025!C1025</f>
        <v>0</v>
      </c>
      <c r="E1026" s="265">
        <f>Data2025!E1025</f>
        <v>0</v>
      </c>
      <c r="F1026" s="640">
        <f>Data2025!F1025</f>
        <v>0</v>
      </c>
      <c r="G1026" s="265">
        <f>Data2025!H1025</f>
        <v>0</v>
      </c>
      <c r="H1026" s="265">
        <f t="shared" si="49"/>
        <v>0</v>
      </c>
      <c r="I1026" s="641">
        <f>Data2025!J1025</f>
        <v>0</v>
      </c>
      <c r="J1026" s="381">
        <f>Data2025!L1025</f>
        <v>0</v>
      </c>
      <c r="K1026" s="381">
        <f>Data2025!M1025</f>
        <v>0</v>
      </c>
      <c r="L1026" s="642">
        <f>Data2025!N1025</f>
        <v>0</v>
      </c>
      <c r="M1026" s="642">
        <f>Data2025!O1025</f>
        <v>0</v>
      </c>
      <c r="N1026" s="643">
        <f>Data2025!P1025</f>
        <v>0</v>
      </c>
      <c r="O1026" s="644">
        <f>Data2025!Q1025</f>
        <v>0</v>
      </c>
      <c r="P1026" s="645" t="s">
        <v>710</v>
      </c>
      <c r="Q1026" s="646" t="e">
        <f>VLOOKUP(K1026,Sheet1!$C$1:$D$101,2,)</f>
        <v>#N/A</v>
      </c>
      <c r="R1026" s="496">
        <v>440000</v>
      </c>
      <c r="S1026" s="504">
        <v>448000</v>
      </c>
      <c r="T1026" s="648">
        <f>Data2025!T1025</f>
        <v>0</v>
      </c>
      <c r="U1026" s="497" t="s">
        <v>538</v>
      </c>
      <c r="V1026" s="648">
        <f>Data2025!V1025</f>
        <v>0</v>
      </c>
      <c r="W1026" s="648">
        <f>Data2025!X1025</f>
        <v>0</v>
      </c>
      <c r="X1026" s="497" t="s">
        <v>541</v>
      </c>
      <c r="Y1026" s="268" t="str">
        <f t="shared" si="50"/>
        <v>Alat Tulis Kantor (ATK)</v>
      </c>
      <c r="Z1026" s="649" t="str">
        <f t="shared" si="51"/>
        <v>Alat Tulis Kantor (ATK)</v>
      </c>
      <c r="AA1026" s="498" t="s">
        <v>3367</v>
      </c>
      <c r="AB1026" s="499">
        <v>110000</v>
      </c>
      <c r="AC1026" s="499">
        <v>440000</v>
      </c>
      <c r="AD1026" s="496">
        <v>440000</v>
      </c>
      <c r="AE1026" s="500">
        <v>396396.39639639639</v>
      </c>
      <c r="AF1026" s="500">
        <v>440000</v>
      </c>
      <c r="AG1026" s="805" t="s">
        <v>3883</v>
      </c>
      <c r="AH1026" s="651">
        <f>Data2025!W1025</f>
        <v>0</v>
      </c>
      <c r="AI1026" s="61">
        <v>335</v>
      </c>
    </row>
    <row r="1027" spans="1:35" ht="16.5" thickTop="1" thickBot="1">
      <c r="A1027" s="636">
        <f>Data2025!G1026</f>
        <v>0</v>
      </c>
      <c r="B1027" s="637">
        <f>Data2025!K1026</f>
        <v>0</v>
      </c>
      <c r="C1027" s="638">
        <f>Data2025!D1026</f>
        <v>0</v>
      </c>
      <c r="D1027" s="639">
        <f>Data2025!C1026</f>
        <v>0</v>
      </c>
      <c r="E1027" s="265">
        <f>Data2025!E1026</f>
        <v>0</v>
      </c>
      <c r="F1027" s="640">
        <f>Data2025!F1026</f>
        <v>0</v>
      </c>
      <c r="G1027" s="265">
        <f>Data2025!H1026</f>
        <v>0</v>
      </c>
      <c r="H1027" s="265">
        <f t="shared" si="49"/>
        <v>0</v>
      </c>
      <c r="I1027" s="641">
        <f>Data2025!J1026</f>
        <v>0</v>
      </c>
      <c r="J1027" s="381">
        <f>Data2025!L1026</f>
        <v>0</v>
      </c>
      <c r="K1027" s="381">
        <f>Data2025!M1026</f>
        <v>0</v>
      </c>
      <c r="L1027" s="642">
        <f>Data2025!N1026</f>
        <v>0</v>
      </c>
      <c r="M1027" s="642">
        <f>Data2025!O1026</f>
        <v>0</v>
      </c>
      <c r="N1027" s="643">
        <f>Data2025!P1026</f>
        <v>0</v>
      </c>
      <c r="O1027" s="644">
        <f>Data2025!Q1026</f>
        <v>0</v>
      </c>
      <c r="P1027" s="645" t="s">
        <v>710</v>
      </c>
      <c r="Q1027" s="646" t="e">
        <f>VLOOKUP(K1027,Sheet1!$C$1:$D$101,2,)</f>
        <v>#N/A</v>
      </c>
      <c r="R1027" s="496">
        <v>396000</v>
      </c>
      <c r="S1027" s="504">
        <v>420000</v>
      </c>
      <c r="T1027" s="648">
        <f>Data2025!T1026</f>
        <v>0</v>
      </c>
      <c r="U1027" s="497" t="s">
        <v>538</v>
      </c>
      <c r="V1027" s="648">
        <f>Data2025!V1026</f>
        <v>0</v>
      </c>
      <c r="W1027" s="648">
        <f>Data2025!X1026</f>
        <v>0</v>
      </c>
      <c r="X1027" s="497" t="s">
        <v>541</v>
      </c>
      <c r="Y1027" s="268" t="str">
        <f t="shared" si="50"/>
        <v>Alat Tulis Kantor (ATK)</v>
      </c>
      <c r="Z1027" s="649" t="str">
        <f t="shared" si="51"/>
        <v>Alat Tulis Kantor (ATK)</v>
      </c>
      <c r="AA1027" s="498" t="s">
        <v>3367</v>
      </c>
      <c r="AB1027" s="499">
        <v>33000</v>
      </c>
      <c r="AC1027" s="499">
        <v>396000</v>
      </c>
      <c r="AD1027" s="496">
        <v>396000</v>
      </c>
      <c r="AE1027" s="500">
        <v>356756.75675675675</v>
      </c>
      <c r="AF1027" s="500">
        <v>396000</v>
      </c>
      <c r="AG1027" s="805" t="s">
        <v>3883</v>
      </c>
      <c r="AH1027" s="651">
        <f>Data2025!W1026</f>
        <v>0</v>
      </c>
      <c r="AI1027" s="61">
        <v>335</v>
      </c>
    </row>
    <row r="1028" spans="1:35" ht="16.5" thickTop="1" thickBot="1">
      <c r="A1028" s="636">
        <f>Data2025!G1027</f>
        <v>0</v>
      </c>
      <c r="B1028" s="637">
        <f>Data2025!K1027</f>
        <v>0</v>
      </c>
      <c r="C1028" s="638">
        <f>Data2025!D1027</f>
        <v>0</v>
      </c>
      <c r="D1028" s="639">
        <f>Data2025!C1027</f>
        <v>0</v>
      </c>
      <c r="E1028" s="265">
        <f>Data2025!E1027</f>
        <v>0</v>
      </c>
      <c r="F1028" s="640">
        <f>Data2025!F1027</f>
        <v>0</v>
      </c>
      <c r="G1028" s="265">
        <f>Data2025!H1027</f>
        <v>0</v>
      </c>
      <c r="H1028" s="265">
        <f t="shared" si="49"/>
        <v>0</v>
      </c>
      <c r="I1028" s="641">
        <f>Data2025!J1027</f>
        <v>0</v>
      </c>
      <c r="J1028" s="381">
        <f>Data2025!L1027</f>
        <v>0</v>
      </c>
      <c r="K1028" s="381">
        <f>Data2025!M1027</f>
        <v>0</v>
      </c>
      <c r="L1028" s="642">
        <f>Data2025!N1027</f>
        <v>0</v>
      </c>
      <c r="M1028" s="642">
        <f>Data2025!O1027</f>
        <v>0</v>
      </c>
      <c r="N1028" s="643">
        <f>Data2025!P1027</f>
        <v>0</v>
      </c>
      <c r="O1028" s="644">
        <f>Data2025!Q1027</f>
        <v>0</v>
      </c>
      <c r="P1028" s="645" t="s">
        <v>710</v>
      </c>
      <c r="Q1028" s="646" t="e">
        <f>VLOOKUP(K1028,Sheet1!$C$1:$D$101,2,)</f>
        <v>#N/A</v>
      </c>
      <c r="R1028" s="496">
        <v>125000</v>
      </c>
      <c r="S1028" s="504">
        <v>135000</v>
      </c>
      <c r="T1028" s="648">
        <f>Data2025!T1027</f>
        <v>0</v>
      </c>
      <c r="U1028" s="497" t="s">
        <v>538</v>
      </c>
      <c r="V1028" s="648">
        <f>Data2025!V1027</f>
        <v>0</v>
      </c>
      <c r="W1028" s="648">
        <f>Data2025!X1027</f>
        <v>0</v>
      </c>
      <c r="X1028" s="497" t="s">
        <v>541</v>
      </c>
      <c r="Y1028" s="268" t="str">
        <f t="shared" si="50"/>
        <v>Alat Tulis Kantor (ATK)</v>
      </c>
      <c r="Z1028" s="649" t="str">
        <f t="shared" si="51"/>
        <v>Alat Tulis Kantor (ATK)</v>
      </c>
      <c r="AA1028" s="498" t="s">
        <v>3368</v>
      </c>
      <c r="AB1028" s="499">
        <v>25000</v>
      </c>
      <c r="AC1028" s="499">
        <v>125000</v>
      </c>
      <c r="AD1028" s="496">
        <v>125000</v>
      </c>
      <c r="AE1028" s="500">
        <v>112612.61261261262</v>
      </c>
      <c r="AF1028" s="500">
        <v>125000</v>
      </c>
      <c r="AG1028" s="805" t="s">
        <v>3883</v>
      </c>
      <c r="AH1028" s="651">
        <f>Data2025!W1027</f>
        <v>0</v>
      </c>
      <c r="AI1028" s="61">
        <v>335</v>
      </c>
    </row>
    <row r="1029" spans="1:35" ht="16.5" thickTop="1" thickBot="1">
      <c r="A1029" s="636">
        <f>Data2025!G1028</f>
        <v>0</v>
      </c>
      <c r="B1029" s="637">
        <f>Data2025!K1028</f>
        <v>0</v>
      </c>
      <c r="C1029" s="638">
        <f>Data2025!D1028</f>
        <v>0</v>
      </c>
      <c r="D1029" s="639">
        <f>Data2025!C1028</f>
        <v>0</v>
      </c>
      <c r="E1029" s="265">
        <f>Data2025!E1028</f>
        <v>0</v>
      </c>
      <c r="F1029" s="640">
        <f>Data2025!F1028</f>
        <v>0</v>
      </c>
      <c r="G1029" s="265">
        <f>Data2025!H1028</f>
        <v>0</v>
      </c>
      <c r="H1029" s="265">
        <f t="shared" ref="H1029:H1092" si="52">G1029</f>
        <v>0</v>
      </c>
      <c r="I1029" s="641">
        <f>Data2025!J1028</f>
        <v>0</v>
      </c>
      <c r="J1029" s="381">
        <f>Data2025!L1028</f>
        <v>0</v>
      </c>
      <c r="K1029" s="381">
        <f>Data2025!M1028</f>
        <v>0</v>
      </c>
      <c r="L1029" s="642">
        <f>Data2025!N1028</f>
        <v>0</v>
      </c>
      <c r="M1029" s="642">
        <f>Data2025!O1028</f>
        <v>0</v>
      </c>
      <c r="N1029" s="643">
        <f>Data2025!P1028</f>
        <v>0</v>
      </c>
      <c r="O1029" s="644">
        <f>Data2025!Q1028</f>
        <v>0</v>
      </c>
      <c r="P1029" s="645" t="s">
        <v>710</v>
      </c>
      <c r="Q1029" s="646" t="e">
        <f>VLOOKUP(K1029,Sheet1!$C$1:$D$101,2,)</f>
        <v>#N/A</v>
      </c>
      <c r="R1029" s="496">
        <v>209000</v>
      </c>
      <c r="S1029" s="504">
        <v>229000</v>
      </c>
      <c r="T1029" s="648">
        <f>Data2025!T1028</f>
        <v>0</v>
      </c>
      <c r="U1029" s="497" t="s">
        <v>538</v>
      </c>
      <c r="V1029" s="648">
        <f>Data2025!V1028</f>
        <v>0</v>
      </c>
      <c r="W1029" s="648">
        <f>Data2025!X1028</f>
        <v>0</v>
      </c>
      <c r="X1029" s="497" t="s">
        <v>541</v>
      </c>
      <c r="Y1029" s="268" t="str">
        <f t="shared" ref="Y1029:Y1092" si="53">P1029</f>
        <v>Alat Tulis Kantor (ATK)</v>
      </c>
      <c r="Z1029" s="649" t="str">
        <f t="shared" ref="Z1029:Z1092" si="54">Y1029</f>
        <v>Alat Tulis Kantor (ATK)</v>
      </c>
      <c r="AA1029" s="498" t="s">
        <v>3363</v>
      </c>
      <c r="AB1029" s="499">
        <v>20900</v>
      </c>
      <c r="AC1029" s="499">
        <v>209000</v>
      </c>
      <c r="AD1029" s="496">
        <v>209000</v>
      </c>
      <c r="AE1029" s="500">
        <v>188288.28828828828</v>
      </c>
      <c r="AF1029" s="500">
        <v>209000</v>
      </c>
      <c r="AG1029" s="805" t="s">
        <v>3883</v>
      </c>
      <c r="AH1029" s="651">
        <f>Data2025!W1028</f>
        <v>0</v>
      </c>
      <c r="AI1029" s="61">
        <v>335</v>
      </c>
    </row>
    <row r="1030" spans="1:35" ht="16.5" thickTop="1" thickBot="1">
      <c r="A1030" s="636">
        <f>Data2025!G1029</f>
        <v>0</v>
      </c>
      <c r="B1030" s="637">
        <f>Data2025!K1029</f>
        <v>0</v>
      </c>
      <c r="C1030" s="638">
        <f>Data2025!D1029</f>
        <v>0</v>
      </c>
      <c r="D1030" s="639">
        <f>Data2025!C1029</f>
        <v>0</v>
      </c>
      <c r="E1030" s="265">
        <f>Data2025!E1029</f>
        <v>0</v>
      </c>
      <c r="F1030" s="640">
        <f>Data2025!F1029</f>
        <v>0</v>
      </c>
      <c r="G1030" s="265">
        <f>Data2025!H1029</f>
        <v>0</v>
      </c>
      <c r="H1030" s="265">
        <f t="shared" si="52"/>
        <v>0</v>
      </c>
      <c r="I1030" s="641">
        <f>Data2025!J1029</f>
        <v>0</v>
      </c>
      <c r="J1030" s="381">
        <f>Data2025!L1029</f>
        <v>0</v>
      </c>
      <c r="K1030" s="381">
        <f>Data2025!M1029</f>
        <v>0</v>
      </c>
      <c r="L1030" s="642">
        <f>Data2025!N1029</f>
        <v>0</v>
      </c>
      <c r="M1030" s="642">
        <f>Data2025!O1029</f>
        <v>0</v>
      </c>
      <c r="N1030" s="643">
        <f>Data2025!P1029</f>
        <v>0</v>
      </c>
      <c r="O1030" s="644">
        <f>Data2025!Q1029</f>
        <v>0</v>
      </c>
      <c r="P1030" s="645" t="s">
        <v>710</v>
      </c>
      <c r="Q1030" s="646" t="e">
        <f>VLOOKUP(K1030,Sheet1!$C$1:$D$101,2,)</f>
        <v>#N/A</v>
      </c>
      <c r="R1030" s="496">
        <v>440000</v>
      </c>
      <c r="S1030" s="504">
        <v>448000</v>
      </c>
      <c r="T1030" s="648">
        <f>Data2025!T1029</f>
        <v>0</v>
      </c>
      <c r="U1030" s="497" t="s">
        <v>538</v>
      </c>
      <c r="V1030" s="648">
        <f>Data2025!V1029</f>
        <v>0</v>
      </c>
      <c r="W1030" s="648">
        <f>Data2025!X1029</f>
        <v>0</v>
      </c>
      <c r="X1030" s="497" t="s">
        <v>541</v>
      </c>
      <c r="Y1030" s="268" t="str">
        <f t="shared" si="53"/>
        <v>Alat Tulis Kantor (ATK)</v>
      </c>
      <c r="Z1030" s="649" t="str">
        <f t="shared" si="54"/>
        <v>Alat Tulis Kantor (ATK)</v>
      </c>
      <c r="AA1030" s="498" t="s">
        <v>3367</v>
      </c>
      <c r="AB1030" s="499">
        <v>110000</v>
      </c>
      <c r="AC1030" s="499">
        <v>440000</v>
      </c>
      <c r="AD1030" s="496">
        <v>440000</v>
      </c>
      <c r="AE1030" s="500">
        <v>396396.39639639639</v>
      </c>
      <c r="AF1030" s="500">
        <v>440000</v>
      </c>
      <c r="AG1030" s="805" t="s">
        <v>3883</v>
      </c>
      <c r="AH1030" s="651">
        <f>Data2025!W1029</f>
        <v>0</v>
      </c>
      <c r="AI1030" s="61">
        <v>335</v>
      </c>
    </row>
    <row r="1031" spans="1:35" ht="16.5" thickTop="1" thickBot="1">
      <c r="A1031" s="636">
        <f>Data2025!G1030</f>
        <v>0</v>
      </c>
      <c r="B1031" s="637">
        <f>Data2025!K1030</f>
        <v>0</v>
      </c>
      <c r="C1031" s="638">
        <f>Data2025!D1030</f>
        <v>0</v>
      </c>
      <c r="D1031" s="639">
        <f>Data2025!C1030</f>
        <v>0</v>
      </c>
      <c r="E1031" s="265">
        <f>Data2025!E1030</f>
        <v>0</v>
      </c>
      <c r="F1031" s="640">
        <f>Data2025!F1030</f>
        <v>0</v>
      </c>
      <c r="G1031" s="265">
        <f>Data2025!H1030</f>
        <v>0</v>
      </c>
      <c r="H1031" s="265">
        <f t="shared" si="52"/>
        <v>0</v>
      </c>
      <c r="I1031" s="641">
        <f>Data2025!J1030</f>
        <v>0</v>
      </c>
      <c r="J1031" s="381">
        <f>Data2025!L1030</f>
        <v>0</v>
      </c>
      <c r="K1031" s="381">
        <f>Data2025!M1030</f>
        <v>0</v>
      </c>
      <c r="L1031" s="642">
        <f>Data2025!N1030</f>
        <v>0</v>
      </c>
      <c r="M1031" s="642">
        <f>Data2025!O1030</f>
        <v>0</v>
      </c>
      <c r="N1031" s="643">
        <f>Data2025!P1030</f>
        <v>0</v>
      </c>
      <c r="O1031" s="644">
        <f>Data2025!Q1030</f>
        <v>0</v>
      </c>
      <c r="P1031" s="645" t="s">
        <v>710</v>
      </c>
      <c r="Q1031" s="646" t="e">
        <f>VLOOKUP(K1031,Sheet1!$C$1:$D$101,2,)</f>
        <v>#N/A</v>
      </c>
      <c r="R1031" s="496">
        <v>485000</v>
      </c>
      <c r="S1031" s="504">
        <v>505000</v>
      </c>
      <c r="T1031" s="648">
        <f>Data2025!T1030</f>
        <v>0</v>
      </c>
      <c r="U1031" s="497" t="s">
        <v>538</v>
      </c>
      <c r="V1031" s="648">
        <f>Data2025!V1030</f>
        <v>0</v>
      </c>
      <c r="W1031" s="648">
        <f>Data2025!X1030</f>
        <v>0</v>
      </c>
      <c r="X1031" s="497" t="s">
        <v>541</v>
      </c>
      <c r="Y1031" s="268" t="str">
        <f t="shared" si="53"/>
        <v>Alat Tulis Kantor (ATK)</v>
      </c>
      <c r="Z1031" s="649" t="str">
        <f t="shared" si="54"/>
        <v>Alat Tulis Kantor (ATK)</v>
      </c>
      <c r="AA1031" s="498" t="s">
        <v>3369</v>
      </c>
      <c r="AB1031" s="499">
        <v>48500</v>
      </c>
      <c r="AC1031" s="499">
        <v>485000</v>
      </c>
      <c r="AD1031" s="496">
        <v>485000</v>
      </c>
      <c r="AE1031" s="500">
        <v>436936.93693693692</v>
      </c>
      <c r="AF1031" s="500">
        <v>485000</v>
      </c>
      <c r="AG1031" s="805" t="s">
        <v>3883</v>
      </c>
      <c r="AH1031" s="651">
        <f>Data2025!W1030</f>
        <v>0</v>
      </c>
      <c r="AI1031" s="61">
        <v>335</v>
      </c>
    </row>
    <row r="1032" spans="1:35" ht="16.5" thickTop="1" thickBot="1">
      <c r="A1032" s="636">
        <f>Data2025!G1031</f>
        <v>0</v>
      </c>
      <c r="B1032" s="637">
        <f>Data2025!K1031</f>
        <v>0</v>
      </c>
      <c r="C1032" s="638">
        <f>Data2025!D1031</f>
        <v>0</v>
      </c>
      <c r="D1032" s="639">
        <f>Data2025!C1031</f>
        <v>0</v>
      </c>
      <c r="E1032" s="265">
        <f>Data2025!E1031</f>
        <v>0</v>
      </c>
      <c r="F1032" s="640">
        <f>Data2025!F1031</f>
        <v>0</v>
      </c>
      <c r="G1032" s="265">
        <f>Data2025!H1031</f>
        <v>0</v>
      </c>
      <c r="H1032" s="265">
        <f t="shared" si="52"/>
        <v>0</v>
      </c>
      <c r="I1032" s="641">
        <f>Data2025!J1031</f>
        <v>0</v>
      </c>
      <c r="J1032" s="381">
        <f>Data2025!L1031</f>
        <v>0</v>
      </c>
      <c r="K1032" s="381">
        <f>Data2025!M1031</f>
        <v>0</v>
      </c>
      <c r="L1032" s="642">
        <f>Data2025!N1031</f>
        <v>0</v>
      </c>
      <c r="M1032" s="642">
        <f>Data2025!O1031</f>
        <v>0</v>
      </c>
      <c r="N1032" s="643">
        <f>Data2025!P1031</f>
        <v>0</v>
      </c>
      <c r="O1032" s="644">
        <f>Data2025!Q1031</f>
        <v>0</v>
      </c>
      <c r="P1032" s="645" t="s">
        <v>710</v>
      </c>
      <c r="Q1032" s="646" t="e">
        <f>VLOOKUP(K1032,Sheet1!$C$1:$D$101,2,)</f>
        <v>#N/A</v>
      </c>
      <c r="R1032" s="496">
        <v>325000</v>
      </c>
      <c r="S1032" s="504">
        <v>335000</v>
      </c>
      <c r="T1032" s="648">
        <f>Data2025!T1031</f>
        <v>0</v>
      </c>
      <c r="U1032" s="497" t="s">
        <v>538</v>
      </c>
      <c r="V1032" s="648">
        <f>Data2025!V1031</f>
        <v>0</v>
      </c>
      <c r="W1032" s="648">
        <f>Data2025!X1031</f>
        <v>0</v>
      </c>
      <c r="X1032" s="497" t="s">
        <v>541</v>
      </c>
      <c r="Y1032" s="268" t="str">
        <f t="shared" si="53"/>
        <v>Alat Tulis Kantor (ATK)</v>
      </c>
      <c r="Z1032" s="649" t="str">
        <f t="shared" si="54"/>
        <v>Alat Tulis Kantor (ATK)</v>
      </c>
      <c r="AA1032" s="498" t="s">
        <v>3365</v>
      </c>
      <c r="AB1032" s="499">
        <v>65000</v>
      </c>
      <c r="AC1032" s="499">
        <v>325000</v>
      </c>
      <c r="AD1032" s="496">
        <v>325000</v>
      </c>
      <c r="AE1032" s="500">
        <v>292792.79279279278</v>
      </c>
      <c r="AF1032" s="500">
        <v>325000</v>
      </c>
      <c r="AG1032" s="805" t="s">
        <v>3883</v>
      </c>
      <c r="AH1032" s="651">
        <f>Data2025!W1031</f>
        <v>0</v>
      </c>
      <c r="AI1032" s="61">
        <v>335</v>
      </c>
    </row>
    <row r="1033" spans="1:35" ht="16.5" thickTop="1" thickBot="1">
      <c r="A1033" s="636">
        <f>Data2025!G1032</f>
        <v>0</v>
      </c>
      <c r="B1033" s="637">
        <f>Data2025!K1032</f>
        <v>0</v>
      </c>
      <c r="C1033" s="638">
        <f>Data2025!D1032</f>
        <v>0</v>
      </c>
      <c r="D1033" s="639">
        <f>Data2025!C1032</f>
        <v>0</v>
      </c>
      <c r="E1033" s="265">
        <f>Data2025!E1032</f>
        <v>0</v>
      </c>
      <c r="F1033" s="640">
        <f>Data2025!F1032</f>
        <v>0</v>
      </c>
      <c r="G1033" s="265">
        <f>Data2025!H1032</f>
        <v>0</v>
      </c>
      <c r="H1033" s="265">
        <f t="shared" si="52"/>
        <v>0</v>
      </c>
      <c r="I1033" s="641">
        <f>Data2025!J1032</f>
        <v>0</v>
      </c>
      <c r="J1033" s="381">
        <f>Data2025!L1032</f>
        <v>0</v>
      </c>
      <c r="K1033" s="381">
        <f>Data2025!M1032</f>
        <v>0</v>
      </c>
      <c r="L1033" s="642">
        <f>Data2025!N1032</f>
        <v>0</v>
      </c>
      <c r="M1033" s="642">
        <f>Data2025!O1032</f>
        <v>0</v>
      </c>
      <c r="N1033" s="643">
        <f>Data2025!P1032</f>
        <v>0</v>
      </c>
      <c r="O1033" s="644">
        <f>Data2025!Q1032</f>
        <v>0</v>
      </c>
      <c r="P1033" s="645" t="s">
        <v>710</v>
      </c>
      <c r="Q1033" s="646" t="e">
        <f>VLOOKUP(K1033,Sheet1!$C$1:$D$101,2,)</f>
        <v>#N/A</v>
      </c>
      <c r="R1033" s="496">
        <v>48000</v>
      </c>
      <c r="S1033" s="504">
        <v>50000</v>
      </c>
      <c r="T1033" s="648">
        <f>Data2025!T1032</f>
        <v>0</v>
      </c>
      <c r="U1033" s="497" t="s">
        <v>538</v>
      </c>
      <c r="V1033" s="648">
        <f>Data2025!V1032</f>
        <v>0</v>
      </c>
      <c r="W1033" s="648">
        <f>Data2025!X1032</f>
        <v>0</v>
      </c>
      <c r="X1033" s="497" t="s">
        <v>541</v>
      </c>
      <c r="Y1033" s="268" t="str">
        <f t="shared" si="53"/>
        <v>Alat Tulis Kantor (ATK)</v>
      </c>
      <c r="Z1033" s="649" t="str">
        <f t="shared" si="54"/>
        <v>Alat Tulis Kantor (ATK)</v>
      </c>
      <c r="AA1033" s="498" t="s">
        <v>3362</v>
      </c>
      <c r="AB1033" s="499">
        <v>48000</v>
      </c>
      <c r="AC1033" s="499">
        <v>48000</v>
      </c>
      <c r="AD1033" s="496">
        <v>48000</v>
      </c>
      <c r="AE1033" s="500">
        <v>43243.243243243247</v>
      </c>
      <c r="AF1033" s="500">
        <v>48000</v>
      </c>
      <c r="AG1033" s="805" t="s">
        <v>3883</v>
      </c>
      <c r="AH1033" s="651">
        <f>Data2025!W1032</f>
        <v>0</v>
      </c>
      <c r="AI1033" s="61">
        <v>335</v>
      </c>
    </row>
    <row r="1034" spans="1:35" ht="16.5" thickTop="1" thickBot="1">
      <c r="A1034" s="636">
        <f>Data2025!G1033</f>
        <v>0</v>
      </c>
      <c r="B1034" s="637">
        <f>Data2025!K1033</f>
        <v>0</v>
      </c>
      <c r="C1034" s="638">
        <f>Data2025!D1033</f>
        <v>0</v>
      </c>
      <c r="D1034" s="639">
        <f>Data2025!C1033</f>
        <v>0</v>
      </c>
      <c r="E1034" s="265">
        <f>Data2025!E1033</f>
        <v>0</v>
      </c>
      <c r="F1034" s="640">
        <f>Data2025!F1033</f>
        <v>0</v>
      </c>
      <c r="G1034" s="265">
        <f>Data2025!H1033</f>
        <v>0</v>
      </c>
      <c r="H1034" s="265">
        <f t="shared" si="52"/>
        <v>0</v>
      </c>
      <c r="I1034" s="641">
        <f>Data2025!J1033</f>
        <v>0</v>
      </c>
      <c r="J1034" s="381">
        <f>Data2025!L1033</f>
        <v>0</v>
      </c>
      <c r="K1034" s="381">
        <f>Data2025!M1033</f>
        <v>0</v>
      </c>
      <c r="L1034" s="642">
        <f>Data2025!N1033</f>
        <v>0</v>
      </c>
      <c r="M1034" s="642">
        <f>Data2025!O1033</f>
        <v>0</v>
      </c>
      <c r="N1034" s="643">
        <f>Data2025!P1033</f>
        <v>0</v>
      </c>
      <c r="O1034" s="644">
        <f>Data2025!Q1033</f>
        <v>0</v>
      </c>
      <c r="P1034" s="645" t="s">
        <v>710</v>
      </c>
      <c r="Q1034" s="646" t="e">
        <f>VLOOKUP(K1034,Sheet1!$C$1:$D$101,2,)</f>
        <v>#N/A</v>
      </c>
      <c r="R1034" s="496">
        <v>300000</v>
      </c>
      <c r="S1034" s="504">
        <v>310000</v>
      </c>
      <c r="T1034" s="648">
        <f>Data2025!T1033</f>
        <v>0</v>
      </c>
      <c r="U1034" s="497" t="s">
        <v>538</v>
      </c>
      <c r="V1034" s="648">
        <f>Data2025!V1033</f>
        <v>0</v>
      </c>
      <c r="W1034" s="648">
        <f>Data2025!X1033</f>
        <v>0</v>
      </c>
      <c r="X1034" s="497" t="s">
        <v>541</v>
      </c>
      <c r="Y1034" s="268" t="str">
        <f t="shared" si="53"/>
        <v>Alat Tulis Kantor (ATK)</v>
      </c>
      <c r="Z1034" s="649" t="str">
        <f t="shared" si="54"/>
        <v>Alat Tulis Kantor (ATK)</v>
      </c>
      <c r="AA1034" s="498" t="s">
        <v>3365</v>
      </c>
      <c r="AB1034" s="499">
        <v>60000</v>
      </c>
      <c r="AC1034" s="499">
        <v>300000</v>
      </c>
      <c r="AD1034" s="496">
        <v>300000</v>
      </c>
      <c r="AE1034" s="500">
        <v>270270.2702702703</v>
      </c>
      <c r="AF1034" s="500">
        <v>300000</v>
      </c>
      <c r="AG1034" s="805" t="s">
        <v>3883</v>
      </c>
      <c r="AH1034" s="651">
        <f>Data2025!W1033</f>
        <v>0</v>
      </c>
      <c r="AI1034" s="61">
        <v>335</v>
      </c>
    </row>
    <row r="1035" spans="1:35" ht="16.5" thickTop="1" thickBot="1">
      <c r="A1035" s="636">
        <f>Data2025!G1034</f>
        <v>0</v>
      </c>
      <c r="B1035" s="637">
        <f>Data2025!K1034</f>
        <v>0</v>
      </c>
      <c r="C1035" s="638">
        <f>Data2025!D1034</f>
        <v>0</v>
      </c>
      <c r="D1035" s="639">
        <f>Data2025!C1034</f>
        <v>0</v>
      </c>
      <c r="E1035" s="265">
        <f>Data2025!E1034</f>
        <v>0</v>
      </c>
      <c r="F1035" s="640">
        <f>Data2025!F1034</f>
        <v>0</v>
      </c>
      <c r="G1035" s="265">
        <f>Data2025!H1034</f>
        <v>0</v>
      </c>
      <c r="H1035" s="265">
        <f t="shared" si="52"/>
        <v>0</v>
      </c>
      <c r="I1035" s="641">
        <f>Data2025!J1034</f>
        <v>0</v>
      </c>
      <c r="J1035" s="381">
        <f>Data2025!L1034</f>
        <v>0</v>
      </c>
      <c r="K1035" s="381">
        <f>Data2025!M1034</f>
        <v>0</v>
      </c>
      <c r="L1035" s="642">
        <f>Data2025!N1034</f>
        <v>0</v>
      </c>
      <c r="M1035" s="642">
        <f>Data2025!O1034</f>
        <v>0</v>
      </c>
      <c r="N1035" s="643">
        <f>Data2025!P1034</f>
        <v>0</v>
      </c>
      <c r="O1035" s="644">
        <f>Data2025!Q1034</f>
        <v>0</v>
      </c>
      <c r="P1035" s="645" t="s">
        <v>710</v>
      </c>
      <c r="Q1035" s="646" t="e">
        <f>VLOOKUP(K1035,Sheet1!$C$1:$D$101,2,)</f>
        <v>#N/A</v>
      </c>
      <c r="R1035" s="496">
        <v>50000</v>
      </c>
      <c r="S1035" s="504">
        <v>54000</v>
      </c>
      <c r="T1035" s="648">
        <f>Data2025!T1034</f>
        <v>0</v>
      </c>
      <c r="U1035" s="497" t="s">
        <v>538</v>
      </c>
      <c r="V1035" s="648">
        <f>Data2025!V1034</f>
        <v>0</v>
      </c>
      <c r="W1035" s="648">
        <f>Data2025!X1034</f>
        <v>0</v>
      </c>
      <c r="X1035" s="497" t="s">
        <v>541</v>
      </c>
      <c r="Y1035" s="268" t="str">
        <f t="shared" si="53"/>
        <v>Alat Tulis Kantor (ATK)</v>
      </c>
      <c r="Z1035" s="649" t="str">
        <f t="shared" si="54"/>
        <v>Alat Tulis Kantor (ATK)</v>
      </c>
      <c r="AA1035" s="498" t="s">
        <v>3363</v>
      </c>
      <c r="AB1035" s="499">
        <v>25000</v>
      </c>
      <c r="AC1035" s="499">
        <v>50000</v>
      </c>
      <c r="AD1035" s="496">
        <v>50000</v>
      </c>
      <c r="AE1035" s="500">
        <v>45045.045045045044</v>
      </c>
      <c r="AF1035" s="500">
        <v>50000</v>
      </c>
      <c r="AG1035" s="805" t="s">
        <v>3883</v>
      </c>
      <c r="AH1035" s="651">
        <f>Data2025!W1034</f>
        <v>0</v>
      </c>
      <c r="AI1035" s="61">
        <v>335</v>
      </c>
    </row>
    <row r="1036" spans="1:35" ht="16.5" thickTop="1" thickBot="1">
      <c r="A1036" s="636">
        <f>Data2025!G1035</f>
        <v>0</v>
      </c>
      <c r="B1036" s="637">
        <f>Data2025!K1035</f>
        <v>0</v>
      </c>
      <c r="C1036" s="638">
        <f>Data2025!D1035</f>
        <v>0</v>
      </c>
      <c r="D1036" s="639">
        <f>Data2025!C1035</f>
        <v>0</v>
      </c>
      <c r="E1036" s="265">
        <f>Data2025!E1035</f>
        <v>0</v>
      </c>
      <c r="F1036" s="640">
        <f>Data2025!F1035</f>
        <v>0</v>
      </c>
      <c r="G1036" s="265">
        <f>Data2025!H1035</f>
        <v>0</v>
      </c>
      <c r="H1036" s="265">
        <f t="shared" si="52"/>
        <v>0</v>
      </c>
      <c r="I1036" s="641">
        <f>Data2025!J1035</f>
        <v>0</v>
      </c>
      <c r="J1036" s="381">
        <f>Data2025!L1035</f>
        <v>0</v>
      </c>
      <c r="K1036" s="381">
        <f>Data2025!M1035</f>
        <v>0</v>
      </c>
      <c r="L1036" s="642">
        <f>Data2025!N1035</f>
        <v>0</v>
      </c>
      <c r="M1036" s="642">
        <f>Data2025!O1035</f>
        <v>0</v>
      </c>
      <c r="N1036" s="643">
        <f>Data2025!P1035</f>
        <v>0</v>
      </c>
      <c r="O1036" s="644">
        <f>Data2025!Q1035</f>
        <v>0</v>
      </c>
      <c r="P1036" s="645" t="s">
        <v>710</v>
      </c>
      <c r="Q1036" s="646" t="e">
        <f>VLOOKUP(K1036,Sheet1!$C$1:$D$101,2,)</f>
        <v>#N/A</v>
      </c>
      <c r="R1036" s="496">
        <v>550000</v>
      </c>
      <c r="S1036" s="504">
        <v>750000</v>
      </c>
      <c r="T1036" s="648">
        <f>Data2025!T1035</f>
        <v>0</v>
      </c>
      <c r="U1036" s="497" t="s">
        <v>538</v>
      </c>
      <c r="V1036" s="648">
        <f>Data2025!V1035</f>
        <v>0</v>
      </c>
      <c r="W1036" s="648">
        <f>Data2025!X1035</f>
        <v>0</v>
      </c>
      <c r="X1036" s="497" t="s">
        <v>541</v>
      </c>
      <c r="Y1036" s="268" t="str">
        <f t="shared" si="53"/>
        <v>Alat Tulis Kantor (ATK)</v>
      </c>
      <c r="Z1036" s="649" t="str">
        <f t="shared" si="54"/>
        <v>Alat Tulis Kantor (ATK)</v>
      </c>
      <c r="AA1036" s="498" t="s">
        <v>3363</v>
      </c>
      <c r="AB1036" s="499">
        <v>5500</v>
      </c>
      <c r="AC1036" s="499">
        <v>550000</v>
      </c>
      <c r="AD1036" s="496">
        <v>550000</v>
      </c>
      <c r="AE1036" s="500">
        <v>495495.4954954955</v>
      </c>
      <c r="AF1036" s="500">
        <v>550000</v>
      </c>
      <c r="AG1036" s="805" t="s">
        <v>3883</v>
      </c>
      <c r="AH1036" s="651">
        <f>Data2025!W1035</f>
        <v>0</v>
      </c>
      <c r="AI1036" s="61">
        <v>335</v>
      </c>
    </row>
    <row r="1037" spans="1:35" ht="16.5" thickTop="1" thickBot="1">
      <c r="A1037" s="636">
        <f>Data2025!G1036</f>
        <v>0</v>
      </c>
      <c r="B1037" s="637">
        <f>Data2025!K1036</f>
        <v>0</v>
      </c>
      <c r="C1037" s="638">
        <f>Data2025!D1036</f>
        <v>0</v>
      </c>
      <c r="D1037" s="639">
        <f>Data2025!C1036</f>
        <v>0</v>
      </c>
      <c r="E1037" s="265">
        <f>Data2025!E1036</f>
        <v>0</v>
      </c>
      <c r="F1037" s="640">
        <f>Data2025!F1036</f>
        <v>0</v>
      </c>
      <c r="G1037" s="265">
        <f>Data2025!H1036</f>
        <v>0</v>
      </c>
      <c r="H1037" s="265">
        <f t="shared" si="52"/>
        <v>0</v>
      </c>
      <c r="I1037" s="641">
        <f>Data2025!J1036</f>
        <v>0</v>
      </c>
      <c r="J1037" s="381">
        <f>Data2025!L1036</f>
        <v>0</v>
      </c>
      <c r="K1037" s="381">
        <f>Data2025!M1036</f>
        <v>0</v>
      </c>
      <c r="L1037" s="642">
        <f>Data2025!N1036</f>
        <v>0</v>
      </c>
      <c r="M1037" s="642">
        <f>Data2025!O1036</f>
        <v>0</v>
      </c>
      <c r="N1037" s="643">
        <f>Data2025!P1036</f>
        <v>0</v>
      </c>
      <c r="O1037" s="644">
        <f>Data2025!Q1036</f>
        <v>0</v>
      </c>
      <c r="P1037" s="645" t="s">
        <v>710</v>
      </c>
      <c r="Q1037" s="646" t="e">
        <f>VLOOKUP(K1037,Sheet1!$C$1:$D$101,2,)</f>
        <v>#N/A</v>
      </c>
      <c r="R1037" s="496">
        <v>235000</v>
      </c>
      <c r="S1037" s="504">
        <v>237000</v>
      </c>
      <c r="T1037" s="648">
        <f>Data2025!T1036</f>
        <v>0</v>
      </c>
      <c r="U1037" s="497" t="s">
        <v>538</v>
      </c>
      <c r="V1037" s="648">
        <f>Data2025!V1036</f>
        <v>0</v>
      </c>
      <c r="W1037" s="648">
        <f>Data2025!X1036</f>
        <v>0</v>
      </c>
      <c r="X1037" s="497" t="s">
        <v>541</v>
      </c>
      <c r="Y1037" s="268" t="str">
        <f t="shared" si="53"/>
        <v>Alat Tulis Kantor (ATK)</v>
      </c>
      <c r="Z1037" s="649" t="str">
        <f t="shared" si="54"/>
        <v>Alat Tulis Kantor (ATK)</v>
      </c>
      <c r="AA1037" s="498" t="s">
        <v>3364</v>
      </c>
      <c r="AB1037" s="499">
        <v>235000</v>
      </c>
      <c r="AC1037" s="499">
        <v>235000</v>
      </c>
      <c r="AD1037" s="496">
        <v>235000</v>
      </c>
      <c r="AE1037" s="500">
        <v>211711.71171171172</v>
      </c>
      <c r="AF1037" s="500">
        <v>235000</v>
      </c>
      <c r="AG1037" s="805" t="s">
        <v>3883</v>
      </c>
      <c r="AH1037" s="651">
        <f>Data2025!W1036</f>
        <v>0</v>
      </c>
      <c r="AI1037" s="61">
        <v>335</v>
      </c>
    </row>
    <row r="1038" spans="1:35" ht="16.5" thickTop="1" thickBot="1">
      <c r="A1038" s="636">
        <f>Data2025!G1037</f>
        <v>0</v>
      </c>
      <c r="B1038" s="637">
        <f>Data2025!K1037</f>
        <v>0</v>
      </c>
      <c r="C1038" s="638">
        <f>Data2025!D1037</f>
        <v>0</v>
      </c>
      <c r="D1038" s="639">
        <f>Data2025!C1037</f>
        <v>0</v>
      </c>
      <c r="E1038" s="265">
        <f>Data2025!E1037</f>
        <v>0</v>
      </c>
      <c r="F1038" s="640">
        <f>Data2025!F1037</f>
        <v>0</v>
      </c>
      <c r="G1038" s="265">
        <f>Data2025!H1037</f>
        <v>0</v>
      </c>
      <c r="H1038" s="265">
        <f t="shared" si="52"/>
        <v>0</v>
      </c>
      <c r="I1038" s="641">
        <f>Data2025!J1037</f>
        <v>0</v>
      </c>
      <c r="J1038" s="381">
        <f>Data2025!L1037</f>
        <v>0</v>
      </c>
      <c r="K1038" s="381">
        <f>Data2025!M1037</f>
        <v>0</v>
      </c>
      <c r="L1038" s="642">
        <f>Data2025!N1037</f>
        <v>0</v>
      </c>
      <c r="M1038" s="642">
        <f>Data2025!O1037</f>
        <v>0</v>
      </c>
      <c r="N1038" s="643">
        <f>Data2025!P1037</f>
        <v>0</v>
      </c>
      <c r="O1038" s="644">
        <f>Data2025!Q1037</f>
        <v>0</v>
      </c>
      <c r="P1038" s="645" t="s">
        <v>710</v>
      </c>
      <c r="Q1038" s="646" t="e">
        <f>VLOOKUP(K1038,Sheet1!$C$1:$D$101,2,)</f>
        <v>#N/A</v>
      </c>
      <c r="R1038" s="496">
        <v>50000</v>
      </c>
      <c r="S1038" s="504">
        <v>60000</v>
      </c>
      <c r="T1038" s="648">
        <f>Data2025!T1037</f>
        <v>0</v>
      </c>
      <c r="U1038" s="497" t="s">
        <v>538</v>
      </c>
      <c r="V1038" s="648">
        <f>Data2025!V1037</f>
        <v>0</v>
      </c>
      <c r="W1038" s="648">
        <f>Data2025!X1037</f>
        <v>0</v>
      </c>
      <c r="X1038" s="497" t="s">
        <v>541</v>
      </c>
      <c r="Y1038" s="268" t="str">
        <f t="shared" si="53"/>
        <v>Alat Tulis Kantor (ATK)</v>
      </c>
      <c r="Z1038" s="649" t="str">
        <f t="shared" si="54"/>
        <v>Alat Tulis Kantor (ATK)</v>
      </c>
      <c r="AA1038" s="498" t="s">
        <v>3363</v>
      </c>
      <c r="AB1038" s="499">
        <v>10000</v>
      </c>
      <c r="AC1038" s="499">
        <v>50000</v>
      </c>
      <c r="AD1038" s="496">
        <v>50000</v>
      </c>
      <c r="AE1038" s="500">
        <v>45045.045045045044</v>
      </c>
      <c r="AF1038" s="500">
        <v>50000</v>
      </c>
      <c r="AG1038" s="805" t="s">
        <v>3883</v>
      </c>
      <c r="AH1038" s="651">
        <f>Data2025!W1037</f>
        <v>0</v>
      </c>
      <c r="AI1038" s="61">
        <v>335</v>
      </c>
    </row>
    <row r="1039" spans="1:35" ht="16.5" thickTop="1" thickBot="1">
      <c r="A1039" s="636">
        <f>Data2025!G1038</f>
        <v>0</v>
      </c>
      <c r="B1039" s="637">
        <f>Data2025!K1038</f>
        <v>0</v>
      </c>
      <c r="C1039" s="638">
        <f>Data2025!D1038</f>
        <v>0</v>
      </c>
      <c r="D1039" s="639">
        <f>Data2025!C1038</f>
        <v>0</v>
      </c>
      <c r="E1039" s="265">
        <f>Data2025!E1038</f>
        <v>0</v>
      </c>
      <c r="F1039" s="640">
        <f>Data2025!F1038</f>
        <v>0</v>
      </c>
      <c r="G1039" s="265">
        <f>Data2025!H1038</f>
        <v>0</v>
      </c>
      <c r="H1039" s="265">
        <f t="shared" si="52"/>
        <v>0</v>
      </c>
      <c r="I1039" s="641">
        <f>Data2025!J1038</f>
        <v>0</v>
      </c>
      <c r="J1039" s="381">
        <f>Data2025!L1038</f>
        <v>0</v>
      </c>
      <c r="K1039" s="381">
        <f>Data2025!M1038</f>
        <v>0</v>
      </c>
      <c r="L1039" s="642">
        <f>Data2025!N1038</f>
        <v>0</v>
      </c>
      <c r="M1039" s="642">
        <f>Data2025!O1038</f>
        <v>0</v>
      </c>
      <c r="N1039" s="643">
        <f>Data2025!P1038</f>
        <v>0</v>
      </c>
      <c r="O1039" s="644">
        <f>Data2025!Q1038</f>
        <v>0</v>
      </c>
      <c r="P1039" s="645" t="s">
        <v>710</v>
      </c>
      <c r="Q1039" s="646" t="e">
        <f>VLOOKUP(K1039,Sheet1!$C$1:$D$101,2,)</f>
        <v>#N/A</v>
      </c>
      <c r="R1039" s="496">
        <v>30000</v>
      </c>
      <c r="S1039" s="504">
        <v>40000</v>
      </c>
      <c r="T1039" s="648">
        <f>Data2025!T1038</f>
        <v>0</v>
      </c>
      <c r="U1039" s="497" t="s">
        <v>538</v>
      </c>
      <c r="V1039" s="648">
        <f>Data2025!V1038</f>
        <v>0</v>
      </c>
      <c r="W1039" s="648">
        <f>Data2025!X1038</f>
        <v>0</v>
      </c>
      <c r="X1039" s="497" t="s">
        <v>541</v>
      </c>
      <c r="Y1039" s="268" t="str">
        <f t="shared" si="53"/>
        <v>Alat Tulis Kantor (ATK)</v>
      </c>
      <c r="Z1039" s="649" t="str">
        <f t="shared" si="54"/>
        <v>Alat Tulis Kantor (ATK)</v>
      </c>
      <c r="AA1039" s="498" t="s">
        <v>3362</v>
      </c>
      <c r="AB1039" s="499">
        <v>6000</v>
      </c>
      <c r="AC1039" s="499">
        <v>30000</v>
      </c>
      <c r="AD1039" s="496">
        <v>30000</v>
      </c>
      <c r="AE1039" s="500">
        <v>27027.027027027027</v>
      </c>
      <c r="AF1039" s="500">
        <v>30000</v>
      </c>
      <c r="AG1039" s="805" t="s">
        <v>3883</v>
      </c>
      <c r="AH1039" s="651">
        <f>Data2025!W1038</f>
        <v>0</v>
      </c>
      <c r="AI1039" s="61">
        <v>335</v>
      </c>
    </row>
    <row r="1040" spans="1:35" ht="16.5" thickTop="1" thickBot="1">
      <c r="A1040" s="636">
        <f>Data2025!G1039</f>
        <v>0</v>
      </c>
      <c r="B1040" s="637">
        <f>Data2025!K1039</f>
        <v>0</v>
      </c>
      <c r="C1040" s="638">
        <f>Data2025!D1039</f>
        <v>0</v>
      </c>
      <c r="D1040" s="639">
        <f>Data2025!C1039</f>
        <v>0</v>
      </c>
      <c r="E1040" s="265">
        <f>Data2025!E1039</f>
        <v>0</v>
      </c>
      <c r="F1040" s="640">
        <f>Data2025!F1039</f>
        <v>0</v>
      </c>
      <c r="G1040" s="265">
        <f>Data2025!H1039</f>
        <v>0</v>
      </c>
      <c r="H1040" s="265">
        <f t="shared" si="52"/>
        <v>0</v>
      </c>
      <c r="I1040" s="641">
        <f>Data2025!J1039</f>
        <v>0</v>
      </c>
      <c r="J1040" s="381">
        <f>Data2025!L1039</f>
        <v>0</v>
      </c>
      <c r="K1040" s="381">
        <f>Data2025!M1039</f>
        <v>0</v>
      </c>
      <c r="L1040" s="642">
        <f>Data2025!N1039</f>
        <v>0</v>
      </c>
      <c r="M1040" s="642">
        <f>Data2025!O1039</f>
        <v>0</v>
      </c>
      <c r="N1040" s="643">
        <f>Data2025!P1039</f>
        <v>0</v>
      </c>
      <c r="O1040" s="644">
        <f>Data2025!Q1039</f>
        <v>0</v>
      </c>
      <c r="P1040" s="645" t="s">
        <v>710</v>
      </c>
      <c r="Q1040" s="646" t="e">
        <f>VLOOKUP(K1040,Sheet1!$C$1:$D$101,2,)</f>
        <v>#N/A</v>
      </c>
      <c r="R1040" s="496">
        <v>125000</v>
      </c>
      <c r="S1040" s="504">
        <v>135000</v>
      </c>
      <c r="T1040" s="648">
        <f>Data2025!T1039</f>
        <v>0</v>
      </c>
      <c r="U1040" s="497" t="s">
        <v>538</v>
      </c>
      <c r="V1040" s="648">
        <f>Data2025!V1039</f>
        <v>0</v>
      </c>
      <c r="W1040" s="648">
        <f>Data2025!X1039</f>
        <v>0</v>
      </c>
      <c r="X1040" s="497" t="s">
        <v>541</v>
      </c>
      <c r="Y1040" s="268" t="str">
        <f t="shared" si="53"/>
        <v>Alat Tulis Kantor (ATK)</v>
      </c>
      <c r="Z1040" s="649" t="str">
        <f t="shared" si="54"/>
        <v>Alat Tulis Kantor (ATK)</v>
      </c>
      <c r="AA1040" s="498" t="s">
        <v>3363</v>
      </c>
      <c r="AB1040" s="499">
        <v>25000</v>
      </c>
      <c r="AC1040" s="499">
        <v>125000</v>
      </c>
      <c r="AD1040" s="496">
        <v>125000</v>
      </c>
      <c r="AE1040" s="500">
        <v>112612.61261261262</v>
      </c>
      <c r="AF1040" s="500">
        <v>125000</v>
      </c>
      <c r="AG1040" s="805" t="s">
        <v>3883</v>
      </c>
      <c r="AH1040" s="651">
        <f>Data2025!W1039</f>
        <v>0</v>
      </c>
      <c r="AI1040" s="61">
        <v>335</v>
      </c>
    </row>
    <row r="1041" spans="1:35" ht="16.5" thickTop="1" thickBot="1">
      <c r="A1041" s="636">
        <f>Data2025!G1040</f>
        <v>0</v>
      </c>
      <c r="B1041" s="637">
        <f>Data2025!K1040</f>
        <v>0</v>
      </c>
      <c r="C1041" s="638">
        <f>Data2025!D1040</f>
        <v>0</v>
      </c>
      <c r="D1041" s="639">
        <f>Data2025!C1040</f>
        <v>0</v>
      </c>
      <c r="E1041" s="265">
        <f>Data2025!E1040</f>
        <v>0</v>
      </c>
      <c r="F1041" s="640">
        <f>Data2025!F1040</f>
        <v>0</v>
      </c>
      <c r="G1041" s="265">
        <f>Data2025!H1040</f>
        <v>0</v>
      </c>
      <c r="H1041" s="265">
        <f t="shared" si="52"/>
        <v>0</v>
      </c>
      <c r="I1041" s="641">
        <f>Data2025!J1040</f>
        <v>0</v>
      </c>
      <c r="J1041" s="381">
        <f>Data2025!L1040</f>
        <v>0</v>
      </c>
      <c r="K1041" s="381">
        <f>Data2025!M1040</f>
        <v>0</v>
      </c>
      <c r="L1041" s="642">
        <f>Data2025!N1040</f>
        <v>0</v>
      </c>
      <c r="M1041" s="642">
        <f>Data2025!O1040</f>
        <v>0</v>
      </c>
      <c r="N1041" s="643">
        <f>Data2025!P1040</f>
        <v>0</v>
      </c>
      <c r="O1041" s="644">
        <f>Data2025!Q1040</f>
        <v>0</v>
      </c>
      <c r="P1041" s="645" t="s">
        <v>710</v>
      </c>
      <c r="Q1041" s="646" t="e">
        <f>VLOOKUP(K1041,Sheet1!$C$1:$D$101,2,)</f>
        <v>#N/A</v>
      </c>
      <c r="R1041" s="496">
        <v>297000</v>
      </c>
      <c r="S1041" s="504">
        <v>309000</v>
      </c>
      <c r="T1041" s="648">
        <f>Data2025!T1040</f>
        <v>0</v>
      </c>
      <c r="U1041" s="497" t="s">
        <v>538</v>
      </c>
      <c r="V1041" s="648">
        <f>Data2025!V1040</f>
        <v>0</v>
      </c>
      <c r="W1041" s="648">
        <f>Data2025!X1040</f>
        <v>0</v>
      </c>
      <c r="X1041" s="497" t="s">
        <v>541</v>
      </c>
      <c r="Y1041" s="268" t="str">
        <f t="shared" si="53"/>
        <v>Alat Tulis Kantor (ATK)</v>
      </c>
      <c r="Z1041" s="649" t="str">
        <f t="shared" si="54"/>
        <v>Alat Tulis Kantor (ATK)</v>
      </c>
      <c r="AA1041" s="498" t="s">
        <v>3363</v>
      </c>
      <c r="AB1041" s="499">
        <v>49500</v>
      </c>
      <c r="AC1041" s="499">
        <v>297000</v>
      </c>
      <c r="AD1041" s="496">
        <v>297000</v>
      </c>
      <c r="AE1041" s="500">
        <v>267567.56756756757</v>
      </c>
      <c r="AF1041" s="500">
        <v>297000</v>
      </c>
      <c r="AG1041" s="805" t="s">
        <v>3883</v>
      </c>
      <c r="AH1041" s="651">
        <f>Data2025!W1040</f>
        <v>0</v>
      </c>
      <c r="AI1041" s="61">
        <v>335</v>
      </c>
    </row>
    <row r="1042" spans="1:35" ht="16.5" thickTop="1" thickBot="1">
      <c r="A1042" s="636">
        <f>Data2025!G1041</f>
        <v>0</v>
      </c>
      <c r="B1042" s="637">
        <f>Data2025!K1041</f>
        <v>0</v>
      </c>
      <c r="C1042" s="638">
        <f>Data2025!D1041</f>
        <v>0</v>
      </c>
      <c r="D1042" s="639">
        <f>Data2025!C1041</f>
        <v>0</v>
      </c>
      <c r="E1042" s="265">
        <f>Data2025!E1041</f>
        <v>0</v>
      </c>
      <c r="F1042" s="640">
        <f>Data2025!F1041</f>
        <v>0</v>
      </c>
      <c r="G1042" s="265">
        <f>Data2025!H1041</f>
        <v>0</v>
      </c>
      <c r="H1042" s="265">
        <f t="shared" si="52"/>
        <v>0</v>
      </c>
      <c r="I1042" s="641">
        <f>Data2025!J1041</f>
        <v>0</v>
      </c>
      <c r="J1042" s="381">
        <f>Data2025!L1041</f>
        <v>0</v>
      </c>
      <c r="K1042" s="381">
        <f>Data2025!M1041</f>
        <v>0</v>
      </c>
      <c r="L1042" s="642">
        <f>Data2025!N1041</f>
        <v>0</v>
      </c>
      <c r="M1042" s="642">
        <f>Data2025!O1041</f>
        <v>0</v>
      </c>
      <c r="N1042" s="643">
        <f>Data2025!P1041</f>
        <v>0</v>
      </c>
      <c r="O1042" s="644">
        <f>Data2025!Q1041</f>
        <v>0</v>
      </c>
      <c r="P1042" s="645" t="s">
        <v>710</v>
      </c>
      <c r="Q1042" s="646" t="e">
        <f>VLOOKUP(K1042,Sheet1!$C$1:$D$101,2,)</f>
        <v>#N/A</v>
      </c>
      <c r="R1042" s="496">
        <v>200000</v>
      </c>
      <c r="S1042" s="504">
        <v>220000</v>
      </c>
      <c r="T1042" s="648">
        <f>Data2025!T1041</f>
        <v>0</v>
      </c>
      <c r="U1042" s="497" t="s">
        <v>538</v>
      </c>
      <c r="V1042" s="648">
        <f>Data2025!V1041</f>
        <v>0</v>
      </c>
      <c r="W1042" s="648">
        <f>Data2025!X1041</f>
        <v>0</v>
      </c>
      <c r="X1042" s="497" t="s">
        <v>541</v>
      </c>
      <c r="Y1042" s="268" t="str">
        <f t="shared" si="53"/>
        <v>Alat Tulis Kantor (ATK)</v>
      </c>
      <c r="Z1042" s="649" t="str">
        <f t="shared" si="54"/>
        <v>Alat Tulis Kantor (ATK)</v>
      </c>
      <c r="AA1042" s="498" t="s">
        <v>3362</v>
      </c>
      <c r="AB1042" s="499">
        <v>20000</v>
      </c>
      <c r="AC1042" s="499">
        <v>200000</v>
      </c>
      <c r="AD1042" s="496">
        <v>200000</v>
      </c>
      <c r="AE1042" s="500">
        <v>180180.18018018018</v>
      </c>
      <c r="AF1042" s="500">
        <v>200000</v>
      </c>
      <c r="AG1042" s="805" t="s">
        <v>3883</v>
      </c>
      <c r="AH1042" s="651">
        <f>Data2025!W1041</f>
        <v>0</v>
      </c>
      <c r="AI1042" s="61">
        <v>335</v>
      </c>
    </row>
    <row r="1043" spans="1:35" ht="16.5" thickTop="1" thickBot="1">
      <c r="A1043" s="636">
        <f>Data2025!G1042</f>
        <v>0</v>
      </c>
      <c r="B1043" s="637">
        <f>Data2025!K1042</f>
        <v>0</v>
      </c>
      <c r="C1043" s="638">
        <f>Data2025!D1042</f>
        <v>0</v>
      </c>
      <c r="D1043" s="639">
        <f>Data2025!C1042</f>
        <v>0</v>
      </c>
      <c r="E1043" s="265">
        <f>Data2025!E1042</f>
        <v>0</v>
      </c>
      <c r="F1043" s="640">
        <f>Data2025!F1042</f>
        <v>0</v>
      </c>
      <c r="G1043" s="265">
        <f>Data2025!H1042</f>
        <v>0</v>
      </c>
      <c r="H1043" s="265">
        <f t="shared" si="52"/>
        <v>0</v>
      </c>
      <c r="I1043" s="641">
        <f>Data2025!J1042</f>
        <v>0</v>
      </c>
      <c r="J1043" s="381">
        <f>Data2025!L1042</f>
        <v>0</v>
      </c>
      <c r="K1043" s="381">
        <f>Data2025!M1042</f>
        <v>0</v>
      </c>
      <c r="L1043" s="642">
        <f>Data2025!N1042</f>
        <v>0</v>
      </c>
      <c r="M1043" s="642">
        <f>Data2025!O1042</f>
        <v>0</v>
      </c>
      <c r="N1043" s="643">
        <f>Data2025!P1042</f>
        <v>0</v>
      </c>
      <c r="O1043" s="644">
        <f>Data2025!Q1042</f>
        <v>0</v>
      </c>
      <c r="P1043" s="645" t="s">
        <v>710</v>
      </c>
      <c r="Q1043" s="646" t="e">
        <f>VLOOKUP(K1043,Sheet1!$C$1:$D$101,2,)</f>
        <v>#N/A</v>
      </c>
      <c r="R1043" s="496">
        <v>10000</v>
      </c>
      <c r="S1043" s="504">
        <v>14000</v>
      </c>
      <c r="T1043" s="648">
        <f>Data2025!T1042</f>
        <v>0</v>
      </c>
      <c r="U1043" s="497" t="s">
        <v>538</v>
      </c>
      <c r="V1043" s="648">
        <f>Data2025!V1042</f>
        <v>0</v>
      </c>
      <c r="W1043" s="648">
        <f>Data2025!X1042</f>
        <v>0</v>
      </c>
      <c r="X1043" s="497" t="s">
        <v>541</v>
      </c>
      <c r="Y1043" s="268" t="str">
        <f t="shared" si="53"/>
        <v>Alat Tulis Kantor (ATK)</v>
      </c>
      <c r="Z1043" s="649" t="str">
        <f t="shared" si="54"/>
        <v>Alat Tulis Kantor (ATK)</v>
      </c>
      <c r="AA1043" s="498" t="s">
        <v>3362</v>
      </c>
      <c r="AB1043" s="499">
        <v>5000</v>
      </c>
      <c r="AC1043" s="499">
        <v>10000</v>
      </c>
      <c r="AD1043" s="496">
        <v>10000</v>
      </c>
      <c r="AE1043" s="500">
        <v>9009.0090090090089</v>
      </c>
      <c r="AF1043" s="500">
        <v>10000</v>
      </c>
      <c r="AG1043" s="805" t="s">
        <v>3883</v>
      </c>
      <c r="AH1043" s="651">
        <f>Data2025!W1042</f>
        <v>0</v>
      </c>
      <c r="AI1043" s="61">
        <v>335</v>
      </c>
    </row>
    <row r="1044" spans="1:35" ht="16.5" thickTop="1" thickBot="1">
      <c r="A1044" s="636">
        <f>Data2025!G1043</f>
        <v>0</v>
      </c>
      <c r="B1044" s="637">
        <f>Data2025!K1043</f>
        <v>0</v>
      </c>
      <c r="C1044" s="638">
        <f>Data2025!D1043</f>
        <v>0</v>
      </c>
      <c r="D1044" s="639">
        <f>Data2025!C1043</f>
        <v>0</v>
      </c>
      <c r="E1044" s="265">
        <f>Data2025!E1043</f>
        <v>0</v>
      </c>
      <c r="F1044" s="640">
        <f>Data2025!F1043</f>
        <v>0</v>
      </c>
      <c r="G1044" s="265">
        <f>Data2025!H1043</f>
        <v>0</v>
      </c>
      <c r="H1044" s="265">
        <f t="shared" si="52"/>
        <v>0</v>
      </c>
      <c r="I1044" s="641">
        <f>Data2025!J1043</f>
        <v>0</v>
      </c>
      <c r="J1044" s="381">
        <f>Data2025!L1043</f>
        <v>0</v>
      </c>
      <c r="K1044" s="381">
        <f>Data2025!M1043</f>
        <v>0</v>
      </c>
      <c r="L1044" s="642">
        <f>Data2025!N1043</f>
        <v>0</v>
      </c>
      <c r="M1044" s="642">
        <f>Data2025!O1043</f>
        <v>0</v>
      </c>
      <c r="N1044" s="643">
        <f>Data2025!P1043</f>
        <v>0</v>
      </c>
      <c r="O1044" s="644">
        <f>Data2025!Q1043</f>
        <v>0</v>
      </c>
      <c r="P1044" s="645" t="s">
        <v>710</v>
      </c>
      <c r="Q1044" s="646" t="e">
        <f>VLOOKUP(K1044,Sheet1!$C$1:$D$101,2,)</f>
        <v>#N/A</v>
      </c>
      <c r="R1044" s="496">
        <v>40000</v>
      </c>
      <c r="S1044" s="504">
        <v>44000</v>
      </c>
      <c r="T1044" s="648">
        <f>Data2025!T1043</f>
        <v>0</v>
      </c>
      <c r="U1044" s="497" t="s">
        <v>538</v>
      </c>
      <c r="V1044" s="648">
        <f>Data2025!V1043</f>
        <v>0</v>
      </c>
      <c r="W1044" s="648">
        <f>Data2025!X1043</f>
        <v>0</v>
      </c>
      <c r="X1044" s="497" t="s">
        <v>541</v>
      </c>
      <c r="Y1044" s="268" t="str">
        <f t="shared" si="53"/>
        <v>Alat Tulis Kantor (ATK)</v>
      </c>
      <c r="Z1044" s="649" t="str">
        <f t="shared" si="54"/>
        <v>Alat Tulis Kantor (ATK)</v>
      </c>
      <c r="AA1044" s="498" t="s">
        <v>3363</v>
      </c>
      <c r="AB1044" s="499">
        <v>20000</v>
      </c>
      <c r="AC1044" s="499">
        <v>40000</v>
      </c>
      <c r="AD1044" s="496">
        <v>40000</v>
      </c>
      <c r="AE1044" s="500">
        <v>36036.036036036036</v>
      </c>
      <c r="AF1044" s="500">
        <v>40000</v>
      </c>
      <c r="AG1044" s="805" t="s">
        <v>3883</v>
      </c>
      <c r="AH1044" s="651">
        <f>Data2025!W1043</f>
        <v>0</v>
      </c>
      <c r="AI1044" s="61">
        <v>335</v>
      </c>
    </row>
    <row r="1045" spans="1:35" ht="16.5" thickTop="1" thickBot="1">
      <c r="A1045" s="636">
        <f>Data2025!G1044</f>
        <v>0</v>
      </c>
      <c r="B1045" s="637">
        <f>Data2025!K1044</f>
        <v>0</v>
      </c>
      <c r="C1045" s="638">
        <f>Data2025!D1044</f>
        <v>0</v>
      </c>
      <c r="D1045" s="639">
        <f>Data2025!C1044</f>
        <v>0</v>
      </c>
      <c r="E1045" s="265">
        <f>Data2025!E1044</f>
        <v>0</v>
      </c>
      <c r="F1045" s="640">
        <f>Data2025!F1044</f>
        <v>0</v>
      </c>
      <c r="G1045" s="265">
        <f>Data2025!H1044</f>
        <v>0</v>
      </c>
      <c r="H1045" s="265">
        <f t="shared" si="52"/>
        <v>0</v>
      </c>
      <c r="I1045" s="641">
        <f>Data2025!J1044</f>
        <v>0</v>
      </c>
      <c r="J1045" s="381">
        <f>Data2025!L1044</f>
        <v>0</v>
      </c>
      <c r="K1045" s="381">
        <f>Data2025!M1044</f>
        <v>0</v>
      </c>
      <c r="L1045" s="642">
        <f>Data2025!N1044</f>
        <v>0</v>
      </c>
      <c r="M1045" s="642">
        <f>Data2025!O1044</f>
        <v>0</v>
      </c>
      <c r="N1045" s="643">
        <f>Data2025!P1044</f>
        <v>0</v>
      </c>
      <c r="O1045" s="644">
        <f>Data2025!Q1044</f>
        <v>0</v>
      </c>
      <c r="P1045" s="645" t="s">
        <v>710</v>
      </c>
      <c r="Q1045" s="646" t="e">
        <f>VLOOKUP(K1045,Sheet1!$C$1:$D$101,2,)</f>
        <v>#N/A</v>
      </c>
      <c r="R1045" s="496">
        <v>37500</v>
      </c>
      <c r="S1045" s="504">
        <v>47500</v>
      </c>
      <c r="T1045" s="648">
        <f>Data2025!T1044</f>
        <v>0</v>
      </c>
      <c r="U1045" s="497" t="s">
        <v>538</v>
      </c>
      <c r="V1045" s="648">
        <f>Data2025!V1044</f>
        <v>0</v>
      </c>
      <c r="W1045" s="648">
        <f>Data2025!X1044</f>
        <v>0</v>
      </c>
      <c r="X1045" s="497" t="s">
        <v>541</v>
      </c>
      <c r="Y1045" s="268" t="str">
        <f t="shared" si="53"/>
        <v>Alat Tulis Kantor (ATK)</v>
      </c>
      <c r="Z1045" s="649" t="str">
        <f t="shared" si="54"/>
        <v>Alat Tulis Kantor (ATK)</v>
      </c>
      <c r="AA1045" s="498" t="s">
        <v>3362</v>
      </c>
      <c r="AB1045" s="499">
        <v>7500</v>
      </c>
      <c r="AC1045" s="499">
        <v>37500</v>
      </c>
      <c r="AD1045" s="496">
        <v>37500</v>
      </c>
      <c r="AE1045" s="500">
        <v>33783.783783783787</v>
      </c>
      <c r="AF1045" s="500">
        <v>37500</v>
      </c>
      <c r="AG1045" s="805" t="s">
        <v>3883</v>
      </c>
      <c r="AH1045" s="651">
        <f>Data2025!W1044</f>
        <v>0</v>
      </c>
      <c r="AI1045" s="61">
        <v>335</v>
      </c>
    </row>
    <row r="1046" spans="1:35" ht="16.5" thickTop="1" thickBot="1">
      <c r="A1046" s="636">
        <f>Data2025!G1045</f>
        <v>0</v>
      </c>
      <c r="B1046" s="637">
        <f>Data2025!K1045</f>
        <v>0</v>
      </c>
      <c r="C1046" s="638">
        <f>Data2025!D1045</f>
        <v>0</v>
      </c>
      <c r="D1046" s="639">
        <f>Data2025!C1045</f>
        <v>0</v>
      </c>
      <c r="E1046" s="265">
        <f>Data2025!E1045</f>
        <v>0</v>
      </c>
      <c r="F1046" s="640">
        <f>Data2025!F1045</f>
        <v>0</v>
      </c>
      <c r="G1046" s="265">
        <f>Data2025!H1045</f>
        <v>0</v>
      </c>
      <c r="H1046" s="265">
        <f t="shared" si="52"/>
        <v>0</v>
      </c>
      <c r="I1046" s="641">
        <f>Data2025!J1045</f>
        <v>0</v>
      </c>
      <c r="J1046" s="381">
        <f>Data2025!L1045</f>
        <v>0</v>
      </c>
      <c r="K1046" s="381">
        <f>Data2025!M1045</f>
        <v>0</v>
      </c>
      <c r="L1046" s="642">
        <f>Data2025!N1045</f>
        <v>0</v>
      </c>
      <c r="M1046" s="642">
        <f>Data2025!O1045</f>
        <v>0</v>
      </c>
      <c r="N1046" s="643">
        <f>Data2025!P1045</f>
        <v>0</v>
      </c>
      <c r="O1046" s="644">
        <f>Data2025!Q1045</f>
        <v>0</v>
      </c>
      <c r="P1046" s="645" t="s">
        <v>710</v>
      </c>
      <c r="Q1046" s="646" t="e">
        <f>VLOOKUP(K1046,Sheet1!$C$1:$D$101,2,)</f>
        <v>#N/A</v>
      </c>
      <c r="R1046" s="496">
        <v>95000</v>
      </c>
      <c r="S1046" s="504">
        <v>97000</v>
      </c>
      <c r="T1046" s="648">
        <f>Data2025!T1045</f>
        <v>0</v>
      </c>
      <c r="U1046" s="497" t="s">
        <v>538</v>
      </c>
      <c r="V1046" s="648">
        <f>Data2025!V1045</f>
        <v>0</v>
      </c>
      <c r="W1046" s="648">
        <f>Data2025!X1045</f>
        <v>0</v>
      </c>
      <c r="X1046" s="497" t="s">
        <v>541</v>
      </c>
      <c r="Y1046" s="268" t="str">
        <f t="shared" si="53"/>
        <v>Alat Tulis Kantor (ATK)</v>
      </c>
      <c r="Z1046" s="649" t="str">
        <f t="shared" si="54"/>
        <v>Alat Tulis Kantor (ATK)</v>
      </c>
      <c r="AA1046" s="498" t="s">
        <v>3364</v>
      </c>
      <c r="AB1046" s="499">
        <v>95000</v>
      </c>
      <c r="AC1046" s="499">
        <v>95000</v>
      </c>
      <c r="AD1046" s="496">
        <v>95000</v>
      </c>
      <c r="AE1046" s="500">
        <v>85585.585585585592</v>
      </c>
      <c r="AF1046" s="500">
        <v>95000</v>
      </c>
      <c r="AG1046" s="805" t="s">
        <v>3883</v>
      </c>
      <c r="AH1046" s="651">
        <f>Data2025!W1045</f>
        <v>0</v>
      </c>
      <c r="AI1046" s="61">
        <v>335</v>
      </c>
    </row>
    <row r="1047" spans="1:35" ht="16.5" thickTop="1" thickBot="1">
      <c r="A1047" s="636">
        <f>Data2025!G1046</f>
        <v>0</v>
      </c>
      <c r="B1047" s="637">
        <f>Data2025!K1046</f>
        <v>0</v>
      </c>
      <c r="C1047" s="638">
        <f>Data2025!D1046</f>
        <v>0</v>
      </c>
      <c r="D1047" s="639">
        <f>Data2025!C1046</f>
        <v>0</v>
      </c>
      <c r="E1047" s="265">
        <f>Data2025!E1046</f>
        <v>0</v>
      </c>
      <c r="F1047" s="640">
        <f>Data2025!F1046</f>
        <v>0</v>
      </c>
      <c r="G1047" s="265">
        <f>Data2025!H1046</f>
        <v>0</v>
      </c>
      <c r="H1047" s="265">
        <f t="shared" si="52"/>
        <v>0</v>
      </c>
      <c r="I1047" s="641">
        <f>Data2025!J1046</f>
        <v>0</v>
      </c>
      <c r="J1047" s="381">
        <f>Data2025!L1046</f>
        <v>0</v>
      </c>
      <c r="K1047" s="381">
        <f>Data2025!M1046</f>
        <v>0</v>
      </c>
      <c r="L1047" s="642">
        <f>Data2025!N1046</f>
        <v>0</v>
      </c>
      <c r="M1047" s="642">
        <f>Data2025!O1046</f>
        <v>0</v>
      </c>
      <c r="N1047" s="643">
        <f>Data2025!P1046</f>
        <v>0</v>
      </c>
      <c r="O1047" s="644">
        <f>Data2025!Q1046</f>
        <v>0</v>
      </c>
      <c r="P1047" s="645" t="s">
        <v>710</v>
      </c>
      <c r="Q1047" s="646" t="e">
        <f>VLOOKUP(K1047,Sheet1!$C$1:$D$101,2,)</f>
        <v>#N/A</v>
      </c>
      <c r="R1047" s="496">
        <v>77500</v>
      </c>
      <c r="S1047" s="504">
        <v>87500</v>
      </c>
      <c r="T1047" s="648">
        <f>Data2025!T1046</f>
        <v>0</v>
      </c>
      <c r="U1047" s="497" t="s">
        <v>538</v>
      </c>
      <c r="V1047" s="648">
        <f>Data2025!V1046</f>
        <v>0</v>
      </c>
      <c r="W1047" s="648">
        <f>Data2025!X1046</f>
        <v>0</v>
      </c>
      <c r="X1047" s="497" t="s">
        <v>541</v>
      </c>
      <c r="Y1047" s="268" t="str">
        <f t="shared" si="53"/>
        <v>Alat Tulis Kantor (ATK)</v>
      </c>
      <c r="Z1047" s="649" t="str">
        <f t="shared" si="54"/>
        <v>Alat Tulis Kantor (ATK)</v>
      </c>
      <c r="AA1047" s="498" t="s">
        <v>3363</v>
      </c>
      <c r="AB1047" s="499">
        <v>15500</v>
      </c>
      <c r="AC1047" s="499">
        <v>77500</v>
      </c>
      <c r="AD1047" s="496">
        <v>77500</v>
      </c>
      <c r="AE1047" s="500">
        <v>69819.819819819822</v>
      </c>
      <c r="AF1047" s="500">
        <v>77500</v>
      </c>
      <c r="AG1047" s="805" t="s">
        <v>3883</v>
      </c>
      <c r="AH1047" s="651">
        <f>Data2025!W1046</f>
        <v>0</v>
      </c>
      <c r="AI1047" s="61">
        <v>335</v>
      </c>
    </row>
    <row r="1048" spans="1:35" ht="16.5" thickTop="1" thickBot="1">
      <c r="A1048" s="636">
        <f>Data2025!G1047</f>
        <v>0</v>
      </c>
      <c r="B1048" s="637">
        <f>Data2025!K1047</f>
        <v>0</v>
      </c>
      <c r="C1048" s="638">
        <f>Data2025!D1047</f>
        <v>0</v>
      </c>
      <c r="D1048" s="639">
        <f>Data2025!C1047</f>
        <v>0</v>
      </c>
      <c r="E1048" s="265">
        <f>Data2025!E1047</f>
        <v>0</v>
      </c>
      <c r="F1048" s="640">
        <f>Data2025!F1047</f>
        <v>0</v>
      </c>
      <c r="G1048" s="265">
        <f>Data2025!H1047</f>
        <v>0</v>
      </c>
      <c r="H1048" s="265">
        <f t="shared" si="52"/>
        <v>0</v>
      </c>
      <c r="I1048" s="641">
        <f>Data2025!J1047</f>
        <v>0</v>
      </c>
      <c r="J1048" s="381">
        <f>Data2025!L1047</f>
        <v>0</v>
      </c>
      <c r="K1048" s="381">
        <f>Data2025!M1047</f>
        <v>0</v>
      </c>
      <c r="L1048" s="642">
        <f>Data2025!N1047</f>
        <v>0</v>
      </c>
      <c r="M1048" s="642">
        <f>Data2025!O1047</f>
        <v>0</v>
      </c>
      <c r="N1048" s="643">
        <f>Data2025!P1047</f>
        <v>0</v>
      </c>
      <c r="O1048" s="644">
        <f>Data2025!Q1047</f>
        <v>0</v>
      </c>
      <c r="P1048" s="645" t="s">
        <v>710</v>
      </c>
      <c r="Q1048" s="646" t="e">
        <f>VLOOKUP(K1048,Sheet1!$C$1:$D$101,2,)</f>
        <v>#N/A</v>
      </c>
      <c r="R1048" s="496">
        <v>100000</v>
      </c>
      <c r="S1048" s="504">
        <v>110000</v>
      </c>
      <c r="T1048" s="648">
        <f>Data2025!T1047</f>
        <v>0</v>
      </c>
      <c r="U1048" s="497" t="s">
        <v>538</v>
      </c>
      <c r="V1048" s="648">
        <f>Data2025!V1047</f>
        <v>0</v>
      </c>
      <c r="W1048" s="648">
        <f>Data2025!X1047</f>
        <v>0</v>
      </c>
      <c r="X1048" s="497" t="s">
        <v>541</v>
      </c>
      <c r="Y1048" s="268" t="str">
        <f t="shared" si="53"/>
        <v>Alat Tulis Kantor (ATK)</v>
      </c>
      <c r="Z1048" s="649" t="str">
        <f t="shared" si="54"/>
        <v>Alat Tulis Kantor (ATK)</v>
      </c>
      <c r="AA1048" s="498" t="s">
        <v>3366</v>
      </c>
      <c r="AB1048" s="499">
        <v>20000</v>
      </c>
      <c r="AC1048" s="499">
        <v>100000</v>
      </c>
      <c r="AD1048" s="496">
        <v>100000</v>
      </c>
      <c r="AE1048" s="500">
        <v>90090.090090090089</v>
      </c>
      <c r="AF1048" s="500">
        <v>100000</v>
      </c>
      <c r="AG1048" s="805" t="s">
        <v>3883</v>
      </c>
      <c r="AH1048" s="651">
        <f>Data2025!W1047</f>
        <v>0</v>
      </c>
      <c r="AI1048" s="61">
        <v>335</v>
      </c>
    </row>
    <row r="1049" spans="1:35" ht="16.5" thickTop="1" thickBot="1">
      <c r="A1049" s="636">
        <f>Data2025!G1048</f>
        <v>0</v>
      </c>
      <c r="B1049" s="637">
        <f>Data2025!K1048</f>
        <v>0</v>
      </c>
      <c r="C1049" s="638">
        <f>Data2025!D1048</f>
        <v>0</v>
      </c>
      <c r="D1049" s="639">
        <f>Data2025!C1048</f>
        <v>0</v>
      </c>
      <c r="E1049" s="265">
        <f>Data2025!E1048</f>
        <v>0</v>
      </c>
      <c r="F1049" s="640">
        <f>Data2025!F1048</f>
        <v>0</v>
      </c>
      <c r="G1049" s="265">
        <f>Data2025!H1048</f>
        <v>0</v>
      </c>
      <c r="H1049" s="265">
        <f t="shared" si="52"/>
        <v>0</v>
      </c>
      <c r="I1049" s="641">
        <f>Data2025!J1048</f>
        <v>0</v>
      </c>
      <c r="J1049" s="381">
        <f>Data2025!L1048</f>
        <v>0</v>
      </c>
      <c r="K1049" s="381">
        <f>Data2025!M1048</f>
        <v>0</v>
      </c>
      <c r="L1049" s="642">
        <f>Data2025!N1048</f>
        <v>0</v>
      </c>
      <c r="M1049" s="642">
        <f>Data2025!O1048</f>
        <v>0</v>
      </c>
      <c r="N1049" s="643">
        <f>Data2025!P1048</f>
        <v>0</v>
      </c>
      <c r="O1049" s="644">
        <f>Data2025!Q1048</f>
        <v>0</v>
      </c>
      <c r="P1049" s="645" t="s">
        <v>710</v>
      </c>
      <c r="Q1049" s="646" t="e">
        <f>VLOOKUP(K1049,Sheet1!$C$1:$D$101,2,)</f>
        <v>#N/A</v>
      </c>
      <c r="R1049" s="496">
        <v>40000</v>
      </c>
      <c r="S1049" s="504">
        <v>44000</v>
      </c>
      <c r="T1049" s="648">
        <f>Data2025!T1048</f>
        <v>0</v>
      </c>
      <c r="U1049" s="497" t="s">
        <v>538</v>
      </c>
      <c r="V1049" s="648">
        <f>Data2025!V1048</f>
        <v>0</v>
      </c>
      <c r="W1049" s="648">
        <f>Data2025!X1048</f>
        <v>0</v>
      </c>
      <c r="X1049" s="497" t="s">
        <v>541</v>
      </c>
      <c r="Y1049" s="268" t="str">
        <f t="shared" si="53"/>
        <v>Alat Tulis Kantor (ATK)</v>
      </c>
      <c r="Z1049" s="649" t="str">
        <f t="shared" si="54"/>
        <v>Alat Tulis Kantor (ATK)</v>
      </c>
      <c r="AA1049" s="498" t="s">
        <v>3364</v>
      </c>
      <c r="AB1049" s="499">
        <v>20000</v>
      </c>
      <c r="AC1049" s="499">
        <v>40000</v>
      </c>
      <c r="AD1049" s="496">
        <v>40000</v>
      </c>
      <c r="AE1049" s="500">
        <v>36036.036036036036</v>
      </c>
      <c r="AF1049" s="500">
        <v>40000</v>
      </c>
      <c r="AG1049" s="805" t="s">
        <v>3883</v>
      </c>
      <c r="AH1049" s="651">
        <f>Data2025!W1048</f>
        <v>0</v>
      </c>
      <c r="AI1049" s="61">
        <v>335</v>
      </c>
    </row>
    <row r="1050" spans="1:35" ht="16.5" thickTop="1" thickBot="1">
      <c r="A1050" s="636">
        <f>Data2025!G1049</f>
        <v>0</v>
      </c>
      <c r="B1050" s="637">
        <f>Data2025!K1049</f>
        <v>0</v>
      </c>
      <c r="C1050" s="638">
        <f>Data2025!D1049</f>
        <v>0</v>
      </c>
      <c r="D1050" s="639">
        <f>Data2025!C1049</f>
        <v>0</v>
      </c>
      <c r="E1050" s="265">
        <f>Data2025!E1049</f>
        <v>0</v>
      </c>
      <c r="F1050" s="640">
        <f>Data2025!F1049</f>
        <v>0</v>
      </c>
      <c r="G1050" s="265">
        <f>Data2025!H1049</f>
        <v>0</v>
      </c>
      <c r="H1050" s="265">
        <f t="shared" si="52"/>
        <v>0</v>
      </c>
      <c r="I1050" s="641">
        <f>Data2025!J1049</f>
        <v>0</v>
      </c>
      <c r="J1050" s="381">
        <f>Data2025!L1049</f>
        <v>0</v>
      </c>
      <c r="K1050" s="381">
        <f>Data2025!M1049</f>
        <v>0</v>
      </c>
      <c r="L1050" s="642">
        <f>Data2025!N1049</f>
        <v>0</v>
      </c>
      <c r="M1050" s="642">
        <f>Data2025!O1049</f>
        <v>0</v>
      </c>
      <c r="N1050" s="643">
        <f>Data2025!P1049</f>
        <v>0</v>
      </c>
      <c r="O1050" s="644">
        <f>Data2025!Q1049</f>
        <v>0</v>
      </c>
      <c r="P1050" s="645" t="s">
        <v>710</v>
      </c>
      <c r="Q1050" s="646" t="e">
        <f>VLOOKUP(K1050,Sheet1!$C$1:$D$101,2,)</f>
        <v>#N/A</v>
      </c>
      <c r="R1050" s="496">
        <v>50000</v>
      </c>
      <c r="S1050" s="504">
        <v>58000</v>
      </c>
      <c r="T1050" s="648">
        <f>Data2025!T1049</f>
        <v>0</v>
      </c>
      <c r="U1050" s="497" t="s">
        <v>538</v>
      </c>
      <c r="V1050" s="648">
        <f>Data2025!V1049</f>
        <v>0</v>
      </c>
      <c r="W1050" s="648">
        <f>Data2025!X1049</f>
        <v>0</v>
      </c>
      <c r="X1050" s="497" t="s">
        <v>541</v>
      </c>
      <c r="Y1050" s="268" t="str">
        <f t="shared" si="53"/>
        <v>Alat Tulis Kantor (ATK)</v>
      </c>
      <c r="Z1050" s="649" t="str">
        <f t="shared" si="54"/>
        <v>Alat Tulis Kantor (ATK)</v>
      </c>
      <c r="AA1050" s="498" t="s">
        <v>3363</v>
      </c>
      <c r="AB1050" s="499">
        <v>12500</v>
      </c>
      <c r="AC1050" s="499">
        <v>50000</v>
      </c>
      <c r="AD1050" s="496">
        <v>50000</v>
      </c>
      <c r="AE1050" s="500">
        <v>45045.045045045044</v>
      </c>
      <c r="AF1050" s="500">
        <v>50000</v>
      </c>
      <c r="AG1050" s="805" t="s">
        <v>3883</v>
      </c>
      <c r="AH1050" s="651">
        <f>Data2025!W1049</f>
        <v>0</v>
      </c>
      <c r="AI1050" s="61">
        <v>335</v>
      </c>
    </row>
    <row r="1051" spans="1:35" ht="16.5" thickTop="1" thickBot="1">
      <c r="A1051" s="636">
        <f>Data2025!G1050</f>
        <v>0</v>
      </c>
      <c r="B1051" s="637">
        <f>Data2025!K1050</f>
        <v>0</v>
      </c>
      <c r="C1051" s="638">
        <f>Data2025!D1050</f>
        <v>0</v>
      </c>
      <c r="D1051" s="639">
        <f>Data2025!C1050</f>
        <v>0</v>
      </c>
      <c r="E1051" s="265">
        <f>Data2025!E1050</f>
        <v>0</v>
      </c>
      <c r="F1051" s="640">
        <f>Data2025!F1050</f>
        <v>0</v>
      </c>
      <c r="G1051" s="265">
        <f>Data2025!H1050</f>
        <v>0</v>
      </c>
      <c r="H1051" s="265">
        <f t="shared" si="52"/>
        <v>0</v>
      </c>
      <c r="I1051" s="641">
        <f>Data2025!J1050</f>
        <v>0</v>
      </c>
      <c r="J1051" s="381">
        <f>Data2025!L1050</f>
        <v>0</v>
      </c>
      <c r="K1051" s="381">
        <f>Data2025!M1050</f>
        <v>0</v>
      </c>
      <c r="L1051" s="642">
        <f>Data2025!N1050</f>
        <v>0</v>
      </c>
      <c r="M1051" s="642">
        <f>Data2025!O1050</f>
        <v>0</v>
      </c>
      <c r="N1051" s="643">
        <f>Data2025!P1050</f>
        <v>0</v>
      </c>
      <c r="O1051" s="644">
        <f>Data2025!Q1050</f>
        <v>0</v>
      </c>
      <c r="P1051" s="645" t="s">
        <v>710</v>
      </c>
      <c r="Q1051" s="646" t="e">
        <f>VLOOKUP(K1051,Sheet1!$C$1:$D$101,2,)</f>
        <v>#N/A</v>
      </c>
      <c r="R1051" s="496">
        <v>426000</v>
      </c>
      <c r="S1051" s="504">
        <v>450000</v>
      </c>
      <c r="T1051" s="648">
        <f>Data2025!T1050</f>
        <v>0</v>
      </c>
      <c r="U1051" s="497" t="s">
        <v>538</v>
      </c>
      <c r="V1051" s="648">
        <f>Data2025!V1050</f>
        <v>0</v>
      </c>
      <c r="W1051" s="648">
        <f>Data2025!X1050</f>
        <v>0</v>
      </c>
      <c r="X1051" s="497" t="s">
        <v>541</v>
      </c>
      <c r="Y1051" s="268" t="str">
        <f t="shared" si="53"/>
        <v>Alat Tulis Kantor (ATK)</v>
      </c>
      <c r="Z1051" s="649" t="str">
        <f t="shared" si="54"/>
        <v>Alat Tulis Kantor (ATK)</v>
      </c>
      <c r="AA1051" s="498" t="s">
        <v>3363</v>
      </c>
      <c r="AB1051" s="499">
        <v>35500</v>
      </c>
      <c r="AC1051" s="499">
        <v>426000</v>
      </c>
      <c r="AD1051" s="496">
        <v>426000</v>
      </c>
      <c r="AE1051" s="500">
        <v>383783.78378378379</v>
      </c>
      <c r="AF1051" s="500">
        <v>426000</v>
      </c>
      <c r="AG1051" s="805" t="s">
        <v>3883</v>
      </c>
      <c r="AH1051" s="651">
        <f>Data2025!W1050</f>
        <v>0</v>
      </c>
      <c r="AI1051" s="61">
        <v>335</v>
      </c>
    </row>
    <row r="1052" spans="1:35" ht="16.5" thickTop="1" thickBot="1">
      <c r="A1052" s="636">
        <f>Data2025!G1051</f>
        <v>0</v>
      </c>
      <c r="B1052" s="637">
        <f>Data2025!K1051</f>
        <v>0</v>
      </c>
      <c r="C1052" s="638">
        <f>Data2025!D1051</f>
        <v>0</v>
      </c>
      <c r="D1052" s="639">
        <f>Data2025!C1051</f>
        <v>0</v>
      </c>
      <c r="E1052" s="265">
        <f>Data2025!E1051</f>
        <v>0</v>
      </c>
      <c r="F1052" s="640">
        <f>Data2025!F1051</f>
        <v>0</v>
      </c>
      <c r="G1052" s="265">
        <f>Data2025!H1051</f>
        <v>0</v>
      </c>
      <c r="H1052" s="265">
        <f t="shared" si="52"/>
        <v>0</v>
      </c>
      <c r="I1052" s="641">
        <f>Data2025!J1051</f>
        <v>0</v>
      </c>
      <c r="J1052" s="381">
        <f>Data2025!L1051</f>
        <v>0</v>
      </c>
      <c r="K1052" s="381">
        <f>Data2025!M1051</f>
        <v>0</v>
      </c>
      <c r="L1052" s="642">
        <f>Data2025!N1051</f>
        <v>0</v>
      </c>
      <c r="M1052" s="642">
        <f>Data2025!O1051</f>
        <v>0</v>
      </c>
      <c r="N1052" s="643">
        <f>Data2025!P1051</f>
        <v>0</v>
      </c>
      <c r="O1052" s="644">
        <f>Data2025!Q1051</f>
        <v>0</v>
      </c>
      <c r="P1052" s="645" t="s">
        <v>710</v>
      </c>
      <c r="Q1052" s="646" t="e">
        <f>VLOOKUP(K1052,Sheet1!$C$1:$D$101,2,)</f>
        <v>#N/A</v>
      </c>
      <c r="R1052" s="496">
        <v>120000</v>
      </c>
      <c r="S1052" s="504">
        <v>124000</v>
      </c>
      <c r="T1052" s="648">
        <f>Data2025!T1051</f>
        <v>0</v>
      </c>
      <c r="U1052" s="497" t="s">
        <v>538</v>
      </c>
      <c r="V1052" s="648">
        <f>Data2025!V1051</f>
        <v>0</v>
      </c>
      <c r="W1052" s="648">
        <f>Data2025!X1051</f>
        <v>0</v>
      </c>
      <c r="X1052" s="497" t="s">
        <v>541</v>
      </c>
      <c r="Y1052" s="268" t="str">
        <f t="shared" si="53"/>
        <v>Alat Tulis Kantor (ATK)</v>
      </c>
      <c r="Z1052" s="649" t="str">
        <f t="shared" si="54"/>
        <v>Alat Tulis Kantor (ATK)</v>
      </c>
      <c r="AA1052" s="498" t="s">
        <v>3365</v>
      </c>
      <c r="AB1052" s="499">
        <v>60000</v>
      </c>
      <c r="AC1052" s="499">
        <v>120000</v>
      </c>
      <c r="AD1052" s="496">
        <v>120000</v>
      </c>
      <c r="AE1052" s="500">
        <v>108108.10810810811</v>
      </c>
      <c r="AF1052" s="500">
        <v>120000</v>
      </c>
      <c r="AG1052" s="805" t="s">
        <v>3883</v>
      </c>
      <c r="AH1052" s="651">
        <f>Data2025!W1051</f>
        <v>0</v>
      </c>
      <c r="AI1052" s="61">
        <v>335</v>
      </c>
    </row>
    <row r="1053" spans="1:35" ht="16.5" thickTop="1" thickBot="1">
      <c r="A1053" s="636">
        <f>Data2025!G1052</f>
        <v>0</v>
      </c>
      <c r="B1053" s="637">
        <f>Data2025!K1052</f>
        <v>0</v>
      </c>
      <c r="C1053" s="638">
        <f>Data2025!D1052</f>
        <v>0</v>
      </c>
      <c r="D1053" s="639">
        <f>Data2025!C1052</f>
        <v>0</v>
      </c>
      <c r="E1053" s="265">
        <f>Data2025!E1052</f>
        <v>0</v>
      </c>
      <c r="F1053" s="640">
        <f>Data2025!F1052</f>
        <v>0</v>
      </c>
      <c r="G1053" s="265">
        <f>Data2025!H1052</f>
        <v>0</v>
      </c>
      <c r="H1053" s="265">
        <f t="shared" si="52"/>
        <v>0</v>
      </c>
      <c r="I1053" s="641">
        <f>Data2025!J1052</f>
        <v>0</v>
      </c>
      <c r="J1053" s="381">
        <f>Data2025!L1052</f>
        <v>0</v>
      </c>
      <c r="K1053" s="381">
        <f>Data2025!M1052</f>
        <v>0</v>
      </c>
      <c r="L1053" s="642">
        <f>Data2025!N1052</f>
        <v>0</v>
      </c>
      <c r="M1053" s="642">
        <f>Data2025!O1052</f>
        <v>0</v>
      </c>
      <c r="N1053" s="643">
        <f>Data2025!P1052</f>
        <v>0</v>
      </c>
      <c r="O1053" s="644">
        <f>Data2025!Q1052</f>
        <v>0</v>
      </c>
      <c r="P1053" s="645" t="s">
        <v>710</v>
      </c>
      <c r="Q1053" s="646" t="e">
        <f>VLOOKUP(K1053,Sheet1!$C$1:$D$101,2,)</f>
        <v>#N/A</v>
      </c>
      <c r="R1053" s="496">
        <v>45000</v>
      </c>
      <c r="S1053" s="504">
        <v>47000</v>
      </c>
      <c r="T1053" s="648">
        <f>Data2025!T1052</f>
        <v>0</v>
      </c>
      <c r="U1053" s="497" t="s">
        <v>538</v>
      </c>
      <c r="V1053" s="648">
        <f>Data2025!V1052</f>
        <v>0</v>
      </c>
      <c r="W1053" s="648">
        <f>Data2025!X1052</f>
        <v>0</v>
      </c>
      <c r="X1053" s="497" t="s">
        <v>541</v>
      </c>
      <c r="Y1053" s="268" t="str">
        <f t="shared" si="53"/>
        <v>Alat Tulis Kantor (ATK)</v>
      </c>
      <c r="Z1053" s="649" t="str">
        <f t="shared" si="54"/>
        <v>Alat Tulis Kantor (ATK)</v>
      </c>
      <c r="AA1053" s="498" t="s">
        <v>3365</v>
      </c>
      <c r="AB1053" s="499">
        <v>45000</v>
      </c>
      <c r="AC1053" s="499">
        <v>45000</v>
      </c>
      <c r="AD1053" s="496">
        <v>45000</v>
      </c>
      <c r="AE1053" s="500">
        <v>40540.54054054054</v>
      </c>
      <c r="AF1053" s="500">
        <v>45000</v>
      </c>
      <c r="AG1053" s="805" t="s">
        <v>3883</v>
      </c>
      <c r="AH1053" s="651">
        <f>Data2025!W1052</f>
        <v>0</v>
      </c>
      <c r="AI1053" s="61">
        <v>335</v>
      </c>
    </row>
    <row r="1054" spans="1:35" ht="16.5" thickTop="1" thickBot="1">
      <c r="A1054" s="636">
        <f>Data2025!G1053</f>
        <v>0</v>
      </c>
      <c r="B1054" s="637">
        <f>Data2025!K1053</f>
        <v>0</v>
      </c>
      <c r="C1054" s="638">
        <f>Data2025!D1053</f>
        <v>0</v>
      </c>
      <c r="D1054" s="639">
        <f>Data2025!C1053</f>
        <v>0</v>
      </c>
      <c r="E1054" s="265">
        <f>Data2025!E1053</f>
        <v>0</v>
      </c>
      <c r="F1054" s="640">
        <f>Data2025!F1053</f>
        <v>0</v>
      </c>
      <c r="G1054" s="265">
        <f>Data2025!H1053</f>
        <v>0</v>
      </c>
      <c r="H1054" s="265">
        <f t="shared" si="52"/>
        <v>0</v>
      </c>
      <c r="I1054" s="641">
        <f>Data2025!J1053</f>
        <v>0</v>
      </c>
      <c r="J1054" s="381">
        <f>Data2025!L1053</f>
        <v>0</v>
      </c>
      <c r="K1054" s="381">
        <f>Data2025!M1053</f>
        <v>0</v>
      </c>
      <c r="L1054" s="642">
        <f>Data2025!N1053</f>
        <v>0</v>
      </c>
      <c r="M1054" s="642">
        <f>Data2025!O1053</f>
        <v>0</v>
      </c>
      <c r="N1054" s="643">
        <f>Data2025!P1053</f>
        <v>0</v>
      </c>
      <c r="O1054" s="644">
        <f>Data2025!Q1053</f>
        <v>0</v>
      </c>
      <c r="P1054" s="645" t="s">
        <v>710</v>
      </c>
      <c r="Q1054" s="646" t="e">
        <f>VLOOKUP(K1054,Sheet1!$C$1:$D$101,2,)</f>
        <v>#N/A</v>
      </c>
      <c r="R1054" s="496">
        <v>510000</v>
      </c>
      <c r="S1054" s="504">
        <v>522000</v>
      </c>
      <c r="T1054" s="648">
        <f>Data2025!T1053</f>
        <v>0</v>
      </c>
      <c r="U1054" s="497" t="s">
        <v>538</v>
      </c>
      <c r="V1054" s="648">
        <f>Data2025!V1053</f>
        <v>0</v>
      </c>
      <c r="W1054" s="648">
        <f>Data2025!X1053</f>
        <v>0</v>
      </c>
      <c r="X1054" s="497" t="s">
        <v>541</v>
      </c>
      <c r="Y1054" s="268" t="str">
        <f t="shared" si="53"/>
        <v>Alat Tulis Kantor (ATK)</v>
      </c>
      <c r="Z1054" s="649" t="str">
        <f t="shared" si="54"/>
        <v>Alat Tulis Kantor (ATK)</v>
      </c>
      <c r="AA1054" s="498" t="s">
        <v>3367</v>
      </c>
      <c r="AB1054" s="499">
        <v>85000</v>
      </c>
      <c r="AC1054" s="499">
        <v>510000</v>
      </c>
      <c r="AD1054" s="496">
        <v>510000</v>
      </c>
      <c r="AE1054" s="500">
        <v>459459.45945945947</v>
      </c>
      <c r="AF1054" s="500">
        <v>510000</v>
      </c>
      <c r="AG1054" s="805" t="s">
        <v>3883</v>
      </c>
      <c r="AH1054" s="651">
        <f>Data2025!W1053</f>
        <v>0</v>
      </c>
      <c r="AI1054" s="61">
        <v>335</v>
      </c>
    </row>
    <row r="1055" spans="1:35" ht="16.5" thickTop="1" thickBot="1">
      <c r="A1055" s="636">
        <f>Data2025!G1054</f>
        <v>0</v>
      </c>
      <c r="B1055" s="637">
        <f>Data2025!K1054</f>
        <v>0</v>
      </c>
      <c r="C1055" s="638">
        <f>Data2025!D1054</f>
        <v>0</v>
      </c>
      <c r="D1055" s="639">
        <f>Data2025!C1054</f>
        <v>0</v>
      </c>
      <c r="E1055" s="265">
        <f>Data2025!E1054</f>
        <v>0</v>
      </c>
      <c r="F1055" s="640">
        <f>Data2025!F1054</f>
        <v>0</v>
      </c>
      <c r="G1055" s="265">
        <f>Data2025!H1054</f>
        <v>0</v>
      </c>
      <c r="H1055" s="265">
        <f t="shared" si="52"/>
        <v>0</v>
      </c>
      <c r="I1055" s="641">
        <f>Data2025!J1054</f>
        <v>0</v>
      </c>
      <c r="J1055" s="381">
        <f>Data2025!L1054</f>
        <v>0</v>
      </c>
      <c r="K1055" s="381">
        <f>Data2025!M1054</f>
        <v>0</v>
      </c>
      <c r="L1055" s="642">
        <f>Data2025!N1054</f>
        <v>0</v>
      </c>
      <c r="M1055" s="642">
        <f>Data2025!O1054</f>
        <v>0</v>
      </c>
      <c r="N1055" s="643">
        <f>Data2025!P1054</f>
        <v>0</v>
      </c>
      <c r="O1055" s="644">
        <f>Data2025!Q1054</f>
        <v>0</v>
      </c>
      <c r="P1055" s="645" t="s">
        <v>710</v>
      </c>
      <c r="Q1055" s="646" t="e">
        <f>VLOOKUP(K1055,Sheet1!$C$1:$D$101,2,)</f>
        <v>#N/A</v>
      </c>
      <c r="R1055" s="496">
        <v>40000</v>
      </c>
      <c r="S1055" s="504">
        <v>44000</v>
      </c>
      <c r="T1055" s="648">
        <f>Data2025!T1054</f>
        <v>0</v>
      </c>
      <c r="U1055" s="497" t="s">
        <v>538</v>
      </c>
      <c r="V1055" s="648">
        <f>Data2025!V1054</f>
        <v>0</v>
      </c>
      <c r="W1055" s="648">
        <f>Data2025!X1054</f>
        <v>0</v>
      </c>
      <c r="X1055" s="497" t="s">
        <v>541</v>
      </c>
      <c r="Y1055" s="268" t="str">
        <f t="shared" si="53"/>
        <v>Alat Tulis Kantor (ATK)</v>
      </c>
      <c r="Z1055" s="649" t="str">
        <f t="shared" si="54"/>
        <v>Alat Tulis Kantor (ATK)</v>
      </c>
      <c r="AA1055" s="498" t="s">
        <v>3363</v>
      </c>
      <c r="AB1055" s="499">
        <v>20000</v>
      </c>
      <c r="AC1055" s="499">
        <v>40000</v>
      </c>
      <c r="AD1055" s="496">
        <v>40000</v>
      </c>
      <c r="AE1055" s="500">
        <v>36036.036036036036</v>
      </c>
      <c r="AF1055" s="500">
        <v>40000</v>
      </c>
      <c r="AG1055" s="805" t="s">
        <v>3883</v>
      </c>
      <c r="AH1055" s="651">
        <f>Data2025!W1054</f>
        <v>0</v>
      </c>
      <c r="AI1055" s="61">
        <v>335</v>
      </c>
    </row>
    <row r="1056" spans="1:35" ht="16.5" thickTop="1" thickBot="1">
      <c r="A1056" s="636">
        <f>Data2025!G1055</f>
        <v>0</v>
      </c>
      <c r="B1056" s="637">
        <f>Data2025!K1055</f>
        <v>0</v>
      </c>
      <c r="C1056" s="638">
        <f>Data2025!D1055</f>
        <v>0</v>
      </c>
      <c r="D1056" s="639">
        <f>Data2025!C1055</f>
        <v>0</v>
      </c>
      <c r="E1056" s="265">
        <f>Data2025!E1055</f>
        <v>0</v>
      </c>
      <c r="F1056" s="640">
        <f>Data2025!F1055</f>
        <v>0</v>
      </c>
      <c r="G1056" s="265">
        <f>Data2025!H1055</f>
        <v>0</v>
      </c>
      <c r="H1056" s="265">
        <f t="shared" si="52"/>
        <v>0</v>
      </c>
      <c r="I1056" s="641">
        <f>Data2025!J1055</f>
        <v>0</v>
      </c>
      <c r="J1056" s="381">
        <f>Data2025!L1055</f>
        <v>0</v>
      </c>
      <c r="K1056" s="381">
        <f>Data2025!M1055</f>
        <v>0</v>
      </c>
      <c r="L1056" s="642">
        <f>Data2025!N1055</f>
        <v>0</v>
      </c>
      <c r="M1056" s="642">
        <f>Data2025!O1055</f>
        <v>0</v>
      </c>
      <c r="N1056" s="643">
        <f>Data2025!P1055</f>
        <v>0</v>
      </c>
      <c r="O1056" s="644">
        <f>Data2025!Q1055</f>
        <v>0</v>
      </c>
      <c r="P1056" s="645" t="s">
        <v>710</v>
      </c>
      <c r="Q1056" s="646" t="e">
        <f>VLOOKUP(K1056,Sheet1!$C$1:$D$101,2,)</f>
        <v>#N/A</v>
      </c>
      <c r="R1056" s="496">
        <v>40000</v>
      </c>
      <c r="S1056" s="504">
        <v>44000</v>
      </c>
      <c r="T1056" s="648">
        <f>Data2025!T1055</f>
        <v>0</v>
      </c>
      <c r="U1056" s="497" t="s">
        <v>538</v>
      </c>
      <c r="V1056" s="648">
        <f>Data2025!V1055</f>
        <v>0</v>
      </c>
      <c r="W1056" s="648">
        <f>Data2025!X1055</f>
        <v>0</v>
      </c>
      <c r="X1056" s="497" t="s">
        <v>541</v>
      </c>
      <c r="Y1056" s="268" t="str">
        <f t="shared" si="53"/>
        <v>Alat Tulis Kantor (ATK)</v>
      </c>
      <c r="Z1056" s="649" t="str">
        <f t="shared" si="54"/>
        <v>Alat Tulis Kantor (ATK)</v>
      </c>
      <c r="AA1056" s="498" t="s">
        <v>3366</v>
      </c>
      <c r="AB1056" s="499">
        <v>20000</v>
      </c>
      <c r="AC1056" s="499">
        <v>40000</v>
      </c>
      <c r="AD1056" s="496">
        <v>40000</v>
      </c>
      <c r="AE1056" s="500">
        <v>36036.036036036036</v>
      </c>
      <c r="AF1056" s="500">
        <v>40000</v>
      </c>
      <c r="AG1056" s="805" t="s">
        <v>3883</v>
      </c>
      <c r="AH1056" s="651">
        <f>Data2025!W1055</f>
        <v>0</v>
      </c>
      <c r="AI1056" s="61">
        <v>335</v>
      </c>
    </row>
    <row r="1057" spans="1:35" ht="16.5" thickTop="1" thickBot="1">
      <c r="A1057" s="636">
        <f>Data2025!G1056</f>
        <v>0</v>
      </c>
      <c r="B1057" s="637">
        <f>Data2025!K1056</f>
        <v>0</v>
      </c>
      <c r="C1057" s="638">
        <f>Data2025!D1056</f>
        <v>0</v>
      </c>
      <c r="D1057" s="639">
        <f>Data2025!C1056</f>
        <v>0</v>
      </c>
      <c r="E1057" s="265">
        <f>Data2025!E1056</f>
        <v>0</v>
      </c>
      <c r="F1057" s="640">
        <f>Data2025!F1056</f>
        <v>0</v>
      </c>
      <c r="G1057" s="265">
        <f>Data2025!H1056</f>
        <v>0</v>
      </c>
      <c r="H1057" s="265">
        <f t="shared" si="52"/>
        <v>0</v>
      </c>
      <c r="I1057" s="641">
        <f>Data2025!J1056</f>
        <v>0</v>
      </c>
      <c r="J1057" s="381">
        <f>Data2025!L1056</f>
        <v>0</v>
      </c>
      <c r="K1057" s="381">
        <f>Data2025!M1056</f>
        <v>0</v>
      </c>
      <c r="L1057" s="642">
        <f>Data2025!N1056</f>
        <v>0</v>
      </c>
      <c r="M1057" s="642">
        <f>Data2025!O1056</f>
        <v>0</v>
      </c>
      <c r="N1057" s="643">
        <f>Data2025!P1056</f>
        <v>0</v>
      </c>
      <c r="O1057" s="644">
        <f>Data2025!Q1056</f>
        <v>0</v>
      </c>
      <c r="P1057" s="645" t="s">
        <v>710</v>
      </c>
      <c r="Q1057" s="646" t="e">
        <f>VLOOKUP(K1057,Sheet1!$C$1:$D$101,2,)</f>
        <v>#N/A</v>
      </c>
      <c r="R1057" s="496">
        <v>69000</v>
      </c>
      <c r="S1057" s="504">
        <v>75000</v>
      </c>
      <c r="T1057" s="648">
        <f>Data2025!T1056</f>
        <v>0</v>
      </c>
      <c r="U1057" s="497" t="s">
        <v>538</v>
      </c>
      <c r="V1057" s="648">
        <f>Data2025!V1056</f>
        <v>0</v>
      </c>
      <c r="W1057" s="648">
        <f>Data2025!X1056</f>
        <v>0</v>
      </c>
      <c r="X1057" s="497" t="s">
        <v>541</v>
      </c>
      <c r="Y1057" s="268" t="str">
        <f t="shared" si="53"/>
        <v>Alat Tulis Kantor (ATK)</v>
      </c>
      <c r="Z1057" s="649" t="str">
        <f t="shared" si="54"/>
        <v>Alat Tulis Kantor (ATK)</v>
      </c>
      <c r="AA1057" s="498" t="s">
        <v>3365</v>
      </c>
      <c r="AB1057" s="499">
        <v>23000</v>
      </c>
      <c r="AC1057" s="499">
        <v>69000</v>
      </c>
      <c r="AD1057" s="496">
        <v>69000</v>
      </c>
      <c r="AE1057" s="500">
        <v>62162.16216216216</v>
      </c>
      <c r="AF1057" s="500">
        <v>69000</v>
      </c>
      <c r="AG1057" s="805" t="s">
        <v>3883</v>
      </c>
      <c r="AH1057" s="651">
        <f>Data2025!W1056</f>
        <v>0</v>
      </c>
      <c r="AI1057" s="61">
        <v>335</v>
      </c>
    </row>
    <row r="1058" spans="1:35" ht="16.5" thickTop="1" thickBot="1">
      <c r="A1058" s="636">
        <f>Data2025!G1057</f>
        <v>0</v>
      </c>
      <c r="B1058" s="637">
        <f>Data2025!K1057</f>
        <v>0</v>
      </c>
      <c r="C1058" s="638">
        <f>Data2025!D1057</f>
        <v>0</v>
      </c>
      <c r="D1058" s="639">
        <f>Data2025!C1057</f>
        <v>0</v>
      </c>
      <c r="E1058" s="265">
        <f>Data2025!E1057</f>
        <v>0</v>
      </c>
      <c r="F1058" s="640">
        <f>Data2025!F1057</f>
        <v>0</v>
      </c>
      <c r="G1058" s="265">
        <f>Data2025!H1057</f>
        <v>0</v>
      </c>
      <c r="H1058" s="265">
        <f t="shared" si="52"/>
        <v>0</v>
      </c>
      <c r="I1058" s="641">
        <f>Data2025!J1057</f>
        <v>0</v>
      </c>
      <c r="J1058" s="381">
        <f>Data2025!L1057</f>
        <v>0</v>
      </c>
      <c r="K1058" s="381">
        <f>Data2025!M1057</f>
        <v>0</v>
      </c>
      <c r="L1058" s="642">
        <f>Data2025!N1057</f>
        <v>0</v>
      </c>
      <c r="M1058" s="642">
        <f>Data2025!O1057</f>
        <v>0</v>
      </c>
      <c r="N1058" s="643">
        <f>Data2025!P1057</f>
        <v>0</v>
      </c>
      <c r="O1058" s="644">
        <f>Data2025!Q1057</f>
        <v>0</v>
      </c>
      <c r="P1058" s="645" t="s">
        <v>710</v>
      </c>
      <c r="Q1058" s="646" t="e">
        <f>VLOOKUP(K1058,Sheet1!$C$1:$D$101,2,)</f>
        <v>#N/A</v>
      </c>
      <c r="R1058" s="496">
        <v>165000</v>
      </c>
      <c r="S1058" s="504">
        <v>185000</v>
      </c>
      <c r="T1058" s="648">
        <f>Data2025!T1057</f>
        <v>0</v>
      </c>
      <c r="U1058" s="497" t="s">
        <v>538</v>
      </c>
      <c r="V1058" s="648">
        <f>Data2025!V1057</f>
        <v>0</v>
      </c>
      <c r="W1058" s="648">
        <f>Data2025!X1057</f>
        <v>0</v>
      </c>
      <c r="X1058" s="497" t="s">
        <v>541</v>
      </c>
      <c r="Y1058" s="268" t="str">
        <f t="shared" si="53"/>
        <v>Alat Tulis Kantor (ATK)</v>
      </c>
      <c r="Z1058" s="649" t="str">
        <f t="shared" si="54"/>
        <v>Alat Tulis Kantor (ATK)</v>
      </c>
      <c r="AA1058" s="498" t="s">
        <v>3362</v>
      </c>
      <c r="AB1058" s="499">
        <v>16500</v>
      </c>
      <c r="AC1058" s="499">
        <v>165000</v>
      </c>
      <c r="AD1058" s="496">
        <v>165000</v>
      </c>
      <c r="AE1058" s="500">
        <v>148648.64864864864</v>
      </c>
      <c r="AF1058" s="500">
        <v>165000</v>
      </c>
      <c r="AG1058" s="805" t="s">
        <v>3883</v>
      </c>
      <c r="AH1058" s="651">
        <f>Data2025!W1057</f>
        <v>0</v>
      </c>
      <c r="AI1058" s="61">
        <v>335</v>
      </c>
    </row>
    <row r="1059" spans="1:35" ht="16.5" thickTop="1" thickBot="1">
      <c r="A1059" s="636">
        <f>Data2025!G1058</f>
        <v>0</v>
      </c>
      <c r="B1059" s="637">
        <f>Data2025!K1058</f>
        <v>0</v>
      </c>
      <c r="C1059" s="638">
        <f>Data2025!D1058</f>
        <v>0</v>
      </c>
      <c r="D1059" s="639">
        <f>Data2025!C1058</f>
        <v>0</v>
      </c>
      <c r="E1059" s="265">
        <f>Data2025!E1058</f>
        <v>0</v>
      </c>
      <c r="F1059" s="640">
        <f>Data2025!F1058</f>
        <v>0</v>
      </c>
      <c r="G1059" s="265">
        <f>Data2025!H1058</f>
        <v>0</v>
      </c>
      <c r="H1059" s="265">
        <f t="shared" si="52"/>
        <v>0</v>
      </c>
      <c r="I1059" s="641">
        <f>Data2025!J1058</f>
        <v>0</v>
      </c>
      <c r="J1059" s="381">
        <f>Data2025!L1058</f>
        <v>0</v>
      </c>
      <c r="K1059" s="381">
        <f>Data2025!M1058</f>
        <v>0</v>
      </c>
      <c r="L1059" s="642">
        <f>Data2025!N1058</f>
        <v>0</v>
      </c>
      <c r="M1059" s="642">
        <f>Data2025!O1058</f>
        <v>0</v>
      </c>
      <c r="N1059" s="643">
        <f>Data2025!P1058</f>
        <v>0</v>
      </c>
      <c r="O1059" s="644">
        <f>Data2025!Q1058</f>
        <v>0</v>
      </c>
      <c r="P1059" s="645" t="s">
        <v>710</v>
      </c>
      <c r="Q1059" s="646" t="e">
        <f>VLOOKUP(K1059,Sheet1!$C$1:$D$101,2,)</f>
        <v>#N/A</v>
      </c>
      <c r="R1059" s="496">
        <v>239200</v>
      </c>
      <c r="S1059" s="504">
        <v>247200</v>
      </c>
      <c r="T1059" s="648">
        <f>Data2025!T1058</f>
        <v>0</v>
      </c>
      <c r="U1059" s="497" t="s">
        <v>538</v>
      </c>
      <c r="V1059" s="648">
        <f>Data2025!V1058</f>
        <v>0</v>
      </c>
      <c r="W1059" s="648">
        <f>Data2025!X1058</f>
        <v>0</v>
      </c>
      <c r="X1059" s="497" t="s">
        <v>541</v>
      </c>
      <c r="Y1059" s="268" t="str">
        <f t="shared" si="53"/>
        <v>Alat Tulis Kantor (ATK)</v>
      </c>
      <c r="Z1059" s="649" t="str">
        <f t="shared" si="54"/>
        <v>Alat Tulis Kantor (ATK)</v>
      </c>
      <c r="AA1059" s="498" t="s">
        <v>3363</v>
      </c>
      <c r="AB1059" s="499">
        <v>59800</v>
      </c>
      <c r="AC1059" s="499">
        <v>239200</v>
      </c>
      <c r="AD1059" s="496">
        <v>239200</v>
      </c>
      <c r="AE1059" s="500">
        <v>215495.4954954955</v>
      </c>
      <c r="AF1059" s="500">
        <v>239200</v>
      </c>
      <c r="AG1059" s="805" t="s">
        <v>3883</v>
      </c>
      <c r="AH1059" s="651">
        <f>Data2025!W1058</f>
        <v>0</v>
      </c>
      <c r="AI1059" s="61">
        <v>335</v>
      </c>
    </row>
    <row r="1060" spans="1:35" ht="16.5" thickTop="1" thickBot="1">
      <c r="A1060" s="636">
        <f>Data2025!G1059</f>
        <v>0</v>
      </c>
      <c r="B1060" s="637">
        <f>Data2025!K1059</f>
        <v>0</v>
      </c>
      <c r="C1060" s="638">
        <f>Data2025!D1059</f>
        <v>0</v>
      </c>
      <c r="D1060" s="639">
        <f>Data2025!C1059</f>
        <v>0</v>
      </c>
      <c r="E1060" s="265">
        <f>Data2025!E1059</f>
        <v>0</v>
      </c>
      <c r="F1060" s="640">
        <f>Data2025!F1059</f>
        <v>0</v>
      </c>
      <c r="G1060" s="265">
        <f>Data2025!H1059</f>
        <v>0</v>
      </c>
      <c r="H1060" s="265">
        <f t="shared" si="52"/>
        <v>0</v>
      </c>
      <c r="I1060" s="641">
        <f>Data2025!J1059</f>
        <v>0</v>
      </c>
      <c r="J1060" s="381">
        <f>Data2025!L1059</f>
        <v>0</v>
      </c>
      <c r="K1060" s="381">
        <f>Data2025!M1059</f>
        <v>0</v>
      </c>
      <c r="L1060" s="642">
        <f>Data2025!N1059</f>
        <v>0</v>
      </c>
      <c r="M1060" s="642">
        <f>Data2025!O1059</f>
        <v>0</v>
      </c>
      <c r="N1060" s="643">
        <f>Data2025!P1059</f>
        <v>0</v>
      </c>
      <c r="O1060" s="644">
        <f>Data2025!Q1059</f>
        <v>0</v>
      </c>
      <c r="P1060" s="645" t="s">
        <v>710</v>
      </c>
      <c r="Q1060" s="646" t="e">
        <f>VLOOKUP(K1060,Sheet1!$C$1:$D$101,2,)</f>
        <v>#N/A</v>
      </c>
      <c r="R1060" s="496">
        <v>180000</v>
      </c>
      <c r="S1060" s="504">
        <v>184000</v>
      </c>
      <c r="T1060" s="648">
        <f>Data2025!T1059</f>
        <v>0</v>
      </c>
      <c r="U1060" s="497" t="s">
        <v>538</v>
      </c>
      <c r="V1060" s="648">
        <f>Data2025!V1059</f>
        <v>0</v>
      </c>
      <c r="W1060" s="648">
        <f>Data2025!X1059</f>
        <v>0</v>
      </c>
      <c r="X1060" s="497" t="s">
        <v>541</v>
      </c>
      <c r="Y1060" s="268" t="str">
        <f t="shared" si="53"/>
        <v>Alat Tulis Kantor (ATK)</v>
      </c>
      <c r="Z1060" s="649" t="str">
        <f t="shared" si="54"/>
        <v>Alat Tulis Kantor (ATK)</v>
      </c>
      <c r="AA1060" s="498" t="s">
        <v>3369</v>
      </c>
      <c r="AB1060" s="499">
        <v>90000</v>
      </c>
      <c r="AC1060" s="499">
        <v>180000</v>
      </c>
      <c r="AD1060" s="496">
        <v>180000</v>
      </c>
      <c r="AE1060" s="500">
        <v>162162.16216216216</v>
      </c>
      <c r="AF1060" s="500">
        <v>180000</v>
      </c>
      <c r="AG1060" s="805" t="s">
        <v>3883</v>
      </c>
      <c r="AH1060" s="651">
        <f>Data2025!W1059</f>
        <v>0</v>
      </c>
      <c r="AI1060" s="61">
        <v>335</v>
      </c>
    </row>
    <row r="1061" spans="1:35" ht="16.5" thickTop="1" thickBot="1">
      <c r="A1061" s="636">
        <f>Data2025!G1060</f>
        <v>0</v>
      </c>
      <c r="B1061" s="637">
        <f>Data2025!K1060</f>
        <v>0</v>
      </c>
      <c r="C1061" s="638">
        <f>Data2025!D1060</f>
        <v>0</v>
      </c>
      <c r="D1061" s="639">
        <f>Data2025!C1060</f>
        <v>0</v>
      </c>
      <c r="E1061" s="265">
        <f>Data2025!E1060</f>
        <v>0</v>
      </c>
      <c r="F1061" s="640">
        <f>Data2025!F1060</f>
        <v>0</v>
      </c>
      <c r="G1061" s="265">
        <f>Data2025!H1060</f>
        <v>0</v>
      </c>
      <c r="H1061" s="265">
        <f t="shared" si="52"/>
        <v>0</v>
      </c>
      <c r="I1061" s="641">
        <f>Data2025!J1060</f>
        <v>0</v>
      </c>
      <c r="J1061" s="381">
        <f>Data2025!L1060</f>
        <v>0</v>
      </c>
      <c r="K1061" s="381">
        <f>Data2025!M1060</f>
        <v>0</v>
      </c>
      <c r="L1061" s="642">
        <f>Data2025!N1060</f>
        <v>0</v>
      </c>
      <c r="M1061" s="642">
        <f>Data2025!O1060</f>
        <v>0</v>
      </c>
      <c r="N1061" s="643">
        <f>Data2025!P1060</f>
        <v>0</v>
      </c>
      <c r="O1061" s="644">
        <f>Data2025!Q1060</f>
        <v>0</v>
      </c>
      <c r="P1061" s="645" t="s">
        <v>710</v>
      </c>
      <c r="Q1061" s="646" t="e">
        <f>VLOOKUP(K1061,Sheet1!$C$1:$D$101,2,)</f>
        <v>#N/A</v>
      </c>
      <c r="R1061" s="496">
        <v>60000</v>
      </c>
      <c r="S1061" s="504">
        <v>66000</v>
      </c>
      <c r="T1061" s="648">
        <f>Data2025!T1060</f>
        <v>0</v>
      </c>
      <c r="U1061" s="497" t="s">
        <v>538</v>
      </c>
      <c r="V1061" s="648">
        <f>Data2025!V1060</f>
        <v>0</v>
      </c>
      <c r="W1061" s="648">
        <f>Data2025!X1060</f>
        <v>0</v>
      </c>
      <c r="X1061" s="497" t="s">
        <v>541</v>
      </c>
      <c r="Y1061" s="268" t="str">
        <f t="shared" si="53"/>
        <v>Alat Tulis Kantor (ATK)</v>
      </c>
      <c r="Z1061" s="649" t="str">
        <f t="shared" si="54"/>
        <v>Alat Tulis Kantor (ATK)</v>
      </c>
      <c r="AA1061" s="498" t="s">
        <v>3363</v>
      </c>
      <c r="AB1061" s="499">
        <v>20000</v>
      </c>
      <c r="AC1061" s="499">
        <v>60000</v>
      </c>
      <c r="AD1061" s="496">
        <v>60000</v>
      </c>
      <c r="AE1061" s="500">
        <v>54054.054054054053</v>
      </c>
      <c r="AF1061" s="500">
        <v>60000</v>
      </c>
      <c r="AG1061" s="805" t="s">
        <v>3883</v>
      </c>
      <c r="AH1061" s="651">
        <f>Data2025!W1060</f>
        <v>0</v>
      </c>
      <c r="AI1061" s="61">
        <v>335</v>
      </c>
    </row>
    <row r="1062" spans="1:35" ht="16.5" thickTop="1" thickBot="1">
      <c r="A1062" s="636">
        <f>Data2025!G1061</f>
        <v>0</v>
      </c>
      <c r="B1062" s="637">
        <f>Data2025!K1061</f>
        <v>0</v>
      </c>
      <c r="C1062" s="638">
        <f>Data2025!D1061</f>
        <v>0</v>
      </c>
      <c r="D1062" s="639">
        <f>Data2025!C1061</f>
        <v>0</v>
      </c>
      <c r="E1062" s="265">
        <f>Data2025!E1061</f>
        <v>0</v>
      </c>
      <c r="F1062" s="640">
        <f>Data2025!F1061</f>
        <v>0</v>
      </c>
      <c r="G1062" s="265">
        <f>Data2025!H1061</f>
        <v>0</v>
      </c>
      <c r="H1062" s="265">
        <f t="shared" si="52"/>
        <v>0</v>
      </c>
      <c r="I1062" s="641">
        <f>Data2025!J1061</f>
        <v>0</v>
      </c>
      <c r="J1062" s="381">
        <f>Data2025!L1061</f>
        <v>0</v>
      </c>
      <c r="K1062" s="381">
        <f>Data2025!M1061</f>
        <v>0</v>
      </c>
      <c r="L1062" s="642">
        <f>Data2025!N1061</f>
        <v>0</v>
      </c>
      <c r="M1062" s="642">
        <f>Data2025!O1061</f>
        <v>0</v>
      </c>
      <c r="N1062" s="643">
        <f>Data2025!P1061</f>
        <v>0</v>
      </c>
      <c r="O1062" s="644">
        <f>Data2025!Q1061</f>
        <v>0</v>
      </c>
      <c r="P1062" s="645" t="s">
        <v>710</v>
      </c>
      <c r="Q1062" s="646" t="e">
        <f>VLOOKUP(K1062,Sheet1!$C$1:$D$101,2,)</f>
        <v>#N/A</v>
      </c>
      <c r="R1062" s="496">
        <v>500000</v>
      </c>
      <c r="S1062" s="504">
        <v>520000</v>
      </c>
      <c r="T1062" s="648">
        <f>Data2025!T1061</f>
        <v>0</v>
      </c>
      <c r="U1062" s="497" t="s">
        <v>538</v>
      </c>
      <c r="V1062" s="648">
        <f>Data2025!V1061</f>
        <v>0</v>
      </c>
      <c r="W1062" s="648">
        <f>Data2025!X1061</f>
        <v>0</v>
      </c>
      <c r="X1062" s="497" t="s">
        <v>541</v>
      </c>
      <c r="Y1062" s="268" t="str">
        <f t="shared" si="53"/>
        <v>Alat Tulis Kantor (ATK)</v>
      </c>
      <c r="Z1062" s="649" t="str">
        <f t="shared" si="54"/>
        <v>Alat Tulis Kantor (ATK)</v>
      </c>
      <c r="AA1062" s="498" t="s">
        <v>3365</v>
      </c>
      <c r="AB1062" s="499">
        <v>50000</v>
      </c>
      <c r="AC1062" s="499">
        <v>500000</v>
      </c>
      <c r="AD1062" s="496">
        <v>500000</v>
      </c>
      <c r="AE1062" s="500">
        <v>450450.45045045047</v>
      </c>
      <c r="AF1062" s="500">
        <v>500000</v>
      </c>
      <c r="AG1062" s="805" t="s">
        <v>3883</v>
      </c>
      <c r="AH1062" s="651">
        <f>Data2025!W1061</f>
        <v>0</v>
      </c>
      <c r="AI1062" s="61">
        <v>335</v>
      </c>
    </row>
    <row r="1063" spans="1:35" ht="16.5" thickTop="1" thickBot="1">
      <c r="A1063" s="636">
        <f>Data2025!G1062</f>
        <v>0</v>
      </c>
      <c r="B1063" s="637">
        <f>Data2025!K1062</f>
        <v>0</v>
      </c>
      <c r="C1063" s="638">
        <f>Data2025!D1062</f>
        <v>0</v>
      </c>
      <c r="D1063" s="639">
        <f>Data2025!C1062</f>
        <v>0</v>
      </c>
      <c r="E1063" s="265">
        <f>Data2025!E1062</f>
        <v>0</v>
      </c>
      <c r="F1063" s="640">
        <f>Data2025!F1062</f>
        <v>0</v>
      </c>
      <c r="G1063" s="265">
        <f>Data2025!H1062</f>
        <v>0</v>
      </c>
      <c r="H1063" s="265">
        <f t="shared" si="52"/>
        <v>0</v>
      </c>
      <c r="I1063" s="641">
        <f>Data2025!J1062</f>
        <v>0</v>
      </c>
      <c r="J1063" s="381">
        <f>Data2025!L1062</f>
        <v>0</v>
      </c>
      <c r="K1063" s="381">
        <f>Data2025!M1062</f>
        <v>0</v>
      </c>
      <c r="L1063" s="642">
        <f>Data2025!N1062</f>
        <v>0</v>
      </c>
      <c r="M1063" s="642">
        <f>Data2025!O1062</f>
        <v>0</v>
      </c>
      <c r="N1063" s="643">
        <f>Data2025!P1062</f>
        <v>0</v>
      </c>
      <c r="O1063" s="644">
        <f>Data2025!Q1062</f>
        <v>0</v>
      </c>
      <c r="P1063" s="645" t="s">
        <v>710</v>
      </c>
      <c r="Q1063" s="646" t="e">
        <f>VLOOKUP(K1063,Sheet1!$C$1:$D$101,2,)</f>
        <v>#N/A</v>
      </c>
      <c r="R1063" s="496">
        <v>155000</v>
      </c>
      <c r="S1063" s="504">
        <v>165000</v>
      </c>
      <c r="T1063" s="648">
        <f>Data2025!T1062</f>
        <v>0</v>
      </c>
      <c r="U1063" s="497" t="s">
        <v>538</v>
      </c>
      <c r="V1063" s="648">
        <f>Data2025!V1062</f>
        <v>0</v>
      </c>
      <c r="W1063" s="648">
        <f>Data2025!X1062</f>
        <v>0</v>
      </c>
      <c r="X1063" s="497" t="s">
        <v>541</v>
      </c>
      <c r="Y1063" s="268" t="str">
        <f t="shared" si="53"/>
        <v>Alat Tulis Kantor (ATK)</v>
      </c>
      <c r="Z1063" s="649" t="str">
        <f t="shared" si="54"/>
        <v>Alat Tulis Kantor (ATK)</v>
      </c>
      <c r="AA1063" s="498" t="s">
        <v>3365</v>
      </c>
      <c r="AB1063" s="499">
        <v>31000</v>
      </c>
      <c r="AC1063" s="499">
        <v>155000</v>
      </c>
      <c r="AD1063" s="496">
        <v>155000</v>
      </c>
      <c r="AE1063" s="500">
        <v>139639.63963963964</v>
      </c>
      <c r="AF1063" s="500">
        <v>155000</v>
      </c>
      <c r="AG1063" s="805" t="s">
        <v>3883</v>
      </c>
      <c r="AH1063" s="651">
        <f>Data2025!W1062</f>
        <v>0</v>
      </c>
      <c r="AI1063" s="61">
        <v>335</v>
      </c>
    </row>
    <row r="1064" spans="1:35" ht="16.5" thickTop="1" thickBot="1">
      <c r="A1064" s="636">
        <f>Data2025!G1063</f>
        <v>0</v>
      </c>
      <c r="B1064" s="637">
        <f>Data2025!K1063</f>
        <v>0</v>
      </c>
      <c r="C1064" s="638">
        <f>Data2025!D1063</f>
        <v>0</v>
      </c>
      <c r="D1064" s="639">
        <f>Data2025!C1063</f>
        <v>0</v>
      </c>
      <c r="E1064" s="265">
        <f>Data2025!E1063</f>
        <v>0</v>
      </c>
      <c r="F1064" s="640">
        <f>Data2025!F1063</f>
        <v>0</v>
      </c>
      <c r="G1064" s="265">
        <f>Data2025!H1063</f>
        <v>0</v>
      </c>
      <c r="H1064" s="265">
        <f t="shared" si="52"/>
        <v>0</v>
      </c>
      <c r="I1064" s="641">
        <f>Data2025!J1063</f>
        <v>0</v>
      </c>
      <c r="J1064" s="381">
        <f>Data2025!L1063</f>
        <v>0</v>
      </c>
      <c r="K1064" s="381">
        <f>Data2025!M1063</f>
        <v>0</v>
      </c>
      <c r="L1064" s="642">
        <f>Data2025!N1063</f>
        <v>0</v>
      </c>
      <c r="M1064" s="642">
        <f>Data2025!O1063</f>
        <v>0</v>
      </c>
      <c r="N1064" s="643">
        <f>Data2025!P1063</f>
        <v>0</v>
      </c>
      <c r="O1064" s="644">
        <f>Data2025!Q1063</f>
        <v>0</v>
      </c>
      <c r="P1064" s="645" t="s">
        <v>710</v>
      </c>
      <c r="Q1064" s="646" t="e">
        <f>VLOOKUP(K1064,Sheet1!$C$1:$D$101,2,)</f>
        <v>#N/A</v>
      </c>
      <c r="R1064" s="496">
        <v>440000</v>
      </c>
      <c r="S1064" s="504">
        <v>448000</v>
      </c>
      <c r="T1064" s="648">
        <f>Data2025!T1063</f>
        <v>0</v>
      </c>
      <c r="U1064" s="497" t="s">
        <v>538</v>
      </c>
      <c r="V1064" s="648">
        <f>Data2025!V1063</f>
        <v>0</v>
      </c>
      <c r="W1064" s="648">
        <f>Data2025!X1063</f>
        <v>0</v>
      </c>
      <c r="X1064" s="497" t="s">
        <v>541</v>
      </c>
      <c r="Y1064" s="268" t="str">
        <f t="shared" si="53"/>
        <v>Alat Tulis Kantor (ATK)</v>
      </c>
      <c r="Z1064" s="649" t="str">
        <f t="shared" si="54"/>
        <v>Alat Tulis Kantor (ATK)</v>
      </c>
      <c r="AA1064" s="498" t="s">
        <v>3367</v>
      </c>
      <c r="AB1064" s="499">
        <v>110000</v>
      </c>
      <c r="AC1064" s="499">
        <v>440000</v>
      </c>
      <c r="AD1064" s="496">
        <v>440000</v>
      </c>
      <c r="AE1064" s="500">
        <v>396396.39639639639</v>
      </c>
      <c r="AF1064" s="500">
        <v>440000</v>
      </c>
      <c r="AG1064" s="805" t="s">
        <v>3883</v>
      </c>
      <c r="AH1064" s="651">
        <f>Data2025!W1063</f>
        <v>0</v>
      </c>
      <c r="AI1064" s="61">
        <v>335</v>
      </c>
    </row>
    <row r="1065" spans="1:35" ht="16.5" thickTop="1" thickBot="1">
      <c r="A1065" s="636">
        <f>Data2025!G1064</f>
        <v>0</v>
      </c>
      <c r="B1065" s="637">
        <f>Data2025!K1064</f>
        <v>0</v>
      </c>
      <c r="C1065" s="638">
        <f>Data2025!D1064</f>
        <v>0</v>
      </c>
      <c r="D1065" s="639">
        <f>Data2025!C1064</f>
        <v>0</v>
      </c>
      <c r="E1065" s="265">
        <f>Data2025!E1064</f>
        <v>0</v>
      </c>
      <c r="F1065" s="640">
        <f>Data2025!F1064</f>
        <v>0</v>
      </c>
      <c r="G1065" s="265">
        <f>Data2025!H1064</f>
        <v>0</v>
      </c>
      <c r="H1065" s="265">
        <f t="shared" si="52"/>
        <v>0</v>
      </c>
      <c r="I1065" s="641">
        <f>Data2025!J1064</f>
        <v>0</v>
      </c>
      <c r="J1065" s="381">
        <f>Data2025!L1064</f>
        <v>0</v>
      </c>
      <c r="K1065" s="381">
        <f>Data2025!M1064</f>
        <v>0</v>
      </c>
      <c r="L1065" s="642">
        <f>Data2025!N1064</f>
        <v>0</v>
      </c>
      <c r="M1065" s="642">
        <f>Data2025!O1064</f>
        <v>0</v>
      </c>
      <c r="N1065" s="643">
        <f>Data2025!P1064</f>
        <v>0</v>
      </c>
      <c r="O1065" s="644">
        <f>Data2025!Q1064</f>
        <v>0</v>
      </c>
      <c r="P1065" s="645" t="s">
        <v>710</v>
      </c>
      <c r="Q1065" s="646" t="e">
        <f>VLOOKUP(K1065,Sheet1!$C$1:$D$101,2,)</f>
        <v>#N/A</v>
      </c>
      <c r="R1065" s="496">
        <v>450000</v>
      </c>
      <c r="S1065" s="504">
        <v>454000</v>
      </c>
      <c r="T1065" s="648">
        <f>Data2025!T1064</f>
        <v>0</v>
      </c>
      <c r="U1065" s="497" t="s">
        <v>538</v>
      </c>
      <c r="V1065" s="648">
        <f>Data2025!V1064</f>
        <v>0</v>
      </c>
      <c r="W1065" s="648">
        <f>Data2025!X1064</f>
        <v>0</v>
      </c>
      <c r="X1065" s="497" t="s">
        <v>541</v>
      </c>
      <c r="Y1065" s="268" t="str">
        <f t="shared" si="53"/>
        <v>Alat Tulis Kantor (ATK)</v>
      </c>
      <c r="Z1065" s="649" t="str">
        <f t="shared" si="54"/>
        <v>Alat Tulis Kantor (ATK)</v>
      </c>
      <c r="AA1065" s="498" t="s">
        <v>3364</v>
      </c>
      <c r="AB1065" s="499">
        <v>225000</v>
      </c>
      <c r="AC1065" s="499">
        <v>450000</v>
      </c>
      <c r="AD1065" s="496">
        <v>450000</v>
      </c>
      <c r="AE1065" s="500">
        <v>405405.40540540538</v>
      </c>
      <c r="AF1065" s="500">
        <v>450000</v>
      </c>
      <c r="AG1065" s="805" t="s">
        <v>3883</v>
      </c>
      <c r="AH1065" s="651">
        <f>Data2025!W1064</f>
        <v>0</v>
      </c>
      <c r="AI1065" s="61">
        <v>335</v>
      </c>
    </row>
    <row r="1066" spans="1:35" ht="16.5" thickTop="1" thickBot="1">
      <c r="A1066" s="636">
        <f>Data2025!G1065</f>
        <v>0</v>
      </c>
      <c r="B1066" s="637">
        <f>Data2025!K1065</f>
        <v>0</v>
      </c>
      <c r="C1066" s="638">
        <f>Data2025!D1065</f>
        <v>0</v>
      </c>
      <c r="D1066" s="639">
        <f>Data2025!C1065</f>
        <v>0</v>
      </c>
      <c r="E1066" s="265">
        <f>Data2025!E1065</f>
        <v>0</v>
      </c>
      <c r="F1066" s="640">
        <f>Data2025!F1065</f>
        <v>0</v>
      </c>
      <c r="G1066" s="265">
        <f>Data2025!H1065</f>
        <v>0</v>
      </c>
      <c r="H1066" s="265">
        <f t="shared" si="52"/>
        <v>0</v>
      </c>
      <c r="I1066" s="641">
        <f>Data2025!J1065</f>
        <v>0</v>
      </c>
      <c r="J1066" s="381">
        <f>Data2025!L1065</f>
        <v>0</v>
      </c>
      <c r="K1066" s="381">
        <f>Data2025!M1065</f>
        <v>0</v>
      </c>
      <c r="L1066" s="642">
        <f>Data2025!N1065</f>
        <v>0</v>
      </c>
      <c r="M1066" s="642">
        <f>Data2025!O1065</f>
        <v>0</v>
      </c>
      <c r="N1066" s="643">
        <f>Data2025!P1065</f>
        <v>0</v>
      </c>
      <c r="O1066" s="644">
        <f>Data2025!Q1065</f>
        <v>0</v>
      </c>
      <c r="P1066" s="645" t="s">
        <v>710</v>
      </c>
      <c r="Q1066" s="646" t="e">
        <f>VLOOKUP(K1066,Sheet1!$C$1:$D$101,2,)</f>
        <v>#N/A</v>
      </c>
      <c r="R1066" s="496">
        <v>30000</v>
      </c>
      <c r="S1066" s="504">
        <v>34000</v>
      </c>
      <c r="T1066" s="648">
        <f>Data2025!T1065</f>
        <v>0</v>
      </c>
      <c r="U1066" s="497" t="s">
        <v>538</v>
      </c>
      <c r="V1066" s="648">
        <f>Data2025!V1065</f>
        <v>0</v>
      </c>
      <c r="W1066" s="648">
        <f>Data2025!X1065</f>
        <v>0</v>
      </c>
      <c r="X1066" s="497" t="s">
        <v>541</v>
      </c>
      <c r="Y1066" s="268" t="str">
        <f t="shared" si="53"/>
        <v>Alat Tulis Kantor (ATK)</v>
      </c>
      <c r="Z1066" s="649" t="str">
        <f t="shared" si="54"/>
        <v>Alat Tulis Kantor (ATK)</v>
      </c>
      <c r="AA1066" s="498" t="s">
        <v>3363</v>
      </c>
      <c r="AB1066" s="499">
        <v>15000</v>
      </c>
      <c r="AC1066" s="499">
        <v>30000</v>
      </c>
      <c r="AD1066" s="496">
        <v>30000</v>
      </c>
      <c r="AE1066" s="500">
        <v>27027.027027027027</v>
      </c>
      <c r="AF1066" s="500">
        <v>30000</v>
      </c>
      <c r="AG1066" s="805" t="s">
        <v>3883</v>
      </c>
      <c r="AH1066" s="651">
        <f>Data2025!W1065</f>
        <v>0</v>
      </c>
      <c r="AI1066" s="61">
        <v>335</v>
      </c>
    </row>
    <row r="1067" spans="1:35" ht="16.5" thickTop="1" thickBot="1">
      <c r="A1067" s="636">
        <f>Data2025!G1066</f>
        <v>0</v>
      </c>
      <c r="B1067" s="637">
        <f>Data2025!K1066</f>
        <v>0</v>
      </c>
      <c r="C1067" s="638">
        <f>Data2025!D1066</f>
        <v>0</v>
      </c>
      <c r="D1067" s="639">
        <f>Data2025!C1066</f>
        <v>0</v>
      </c>
      <c r="E1067" s="265">
        <f>Data2025!E1066</f>
        <v>0</v>
      </c>
      <c r="F1067" s="640">
        <f>Data2025!F1066</f>
        <v>0</v>
      </c>
      <c r="G1067" s="265">
        <f>Data2025!H1066</f>
        <v>0</v>
      </c>
      <c r="H1067" s="265">
        <f t="shared" si="52"/>
        <v>0</v>
      </c>
      <c r="I1067" s="641">
        <f>Data2025!J1066</f>
        <v>0</v>
      </c>
      <c r="J1067" s="381">
        <f>Data2025!L1066</f>
        <v>0</v>
      </c>
      <c r="K1067" s="381">
        <f>Data2025!M1066</f>
        <v>0</v>
      </c>
      <c r="L1067" s="642">
        <f>Data2025!N1066</f>
        <v>0</v>
      </c>
      <c r="M1067" s="642">
        <f>Data2025!O1066</f>
        <v>0</v>
      </c>
      <c r="N1067" s="643">
        <f>Data2025!P1066</f>
        <v>0</v>
      </c>
      <c r="O1067" s="644">
        <f>Data2025!Q1066</f>
        <v>0</v>
      </c>
      <c r="P1067" s="645" t="s">
        <v>710</v>
      </c>
      <c r="Q1067" s="646" t="e">
        <f>VLOOKUP(K1067,Sheet1!$C$1:$D$101,2,)</f>
        <v>#N/A</v>
      </c>
      <c r="R1067" s="496">
        <v>2000000</v>
      </c>
      <c r="S1067" s="504">
        <v>2080000</v>
      </c>
      <c r="T1067" s="648">
        <f>Data2025!T1066</f>
        <v>0</v>
      </c>
      <c r="U1067" s="497" t="s">
        <v>538</v>
      </c>
      <c r="V1067" s="648">
        <f>Data2025!V1066</f>
        <v>0</v>
      </c>
      <c r="W1067" s="648">
        <f>Data2025!X1066</f>
        <v>0</v>
      </c>
      <c r="X1067" s="497" t="s">
        <v>541</v>
      </c>
      <c r="Y1067" s="268" t="str">
        <f t="shared" si="53"/>
        <v>Alat Tulis Kantor (ATK)</v>
      </c>
      <c r="Z1067" s="649" t="str">
        <f t="shared" si="54"/>
        <v>Alat Tulis Kantor (ATK)</v>
      </c>
      <c r="AA1067" s="498" t="s">
        <v>3369</v>
      </c>
      <c r="AB1067" s="499">
        <v>50000</v>
      </c>
      <c r="AC1067" s="499">
        <v>2000000</v>
      </c>
      <c r="AD1067" s="496">
        <v>2000000</v>
      </c>
      <c r="AE1067" s="500">
        <v>1801801.8018018019</v>
      </c>
      <c r="AF1067" s="500">
        <v>2000000</v>
      </c>
      <c r="AG1067" s="805" t="s">
        <v>3883</v>
      </c>
      <c r="AH1067" s="651">
        <f>Data2025!W1066</f>
        <v>0</v>
      </c>
      <c r="AI1067" s="61">
        <v>335</v>
      </c>
    </row>
    <row r="1068" spans="1:35" ht="16.5" thickTop="1" thickBot="1">
      <c r="A1068" s="636">
        <f>Data2025!G1067</f>
        <v>0</v>
      </c>
      <c r="B1068" s="637">
        <f>Data2025!K1067</f>
        <v>0</v>
      </c>
      <c r="C1068" s="638">
        <f>Data2025!D1067</f>
        <v>0</v>
      </c>
      <c r="D1068" s="639">
        <f>Data2025!C1067</f>
        <v>0</v>
      </c>
      <c r="E1068" s="265">
        <f>Data2025!E1067</f>
        <v>0</v>
      </c>
      <c r="F1068" s="640">
        <f>Data2025!F1067</f>
        <v>0</v>
      </c>
      <c r="G1068" s="265">
        <f>Data2025!H1067</f>
        <v>0</v>
      </c>
      <c r="H1068" s="265">
        <f t="shared" si="52"/>
        <v>0</v>
      </c>
      <c r="I1068" s="641">
        <f>Data2025!J1067</f>
        <v>0</v>
      </c>
      <c r="J1068" s="381">
        <f>Data2025!L1067</f>
        <v>0</v>
      </c>
      <c r="K1068" s="381">
        <f>Data2025!M1067</f>
        <v>0</v>
      </c>
      <c r="L1068" s="642">
        <f>Data2025!N1067</f>
        <v>0</v>
      </c>
      <c r="M1068" s="642">
        <f>Data2025!O1067</f>
        <v>0</v>
      </c>
      <c r="N1068" s="643">
        <f>Data2025!P1067</f>
        <v>0</v>
      </c>
      <c r="O1068" s="644">
        <f>Data2025!Q1067</f>
        <v>0</v>
      </c>
      <c r="P1068" s="645" t="s">
        <v>710</v>
      </c>
      <c r="Q1068" s="646" t="e">
        <f>VLOOKUP(K1068,Sheet1!$C$1:$D$101,2,)</f>
        <v>#N/A</v>
      </c>
      <c r="R1068" s="496">
        <v>125000</v>
      </c>
      <c r="S1068" s="504">
        <v>135000</v>
      </c>
      <c r="T1068" s="648">
        <f>Data2025!T1067</f>
        <v>0</v>
      </c>
      <c r="U1068" s="497" t="s">
        <v>538</v>
      </c>
      <c r="V1068" s="648">
        <f>Data2025!V1067</f>
        <v>0</v>
      </c>
      <c r="W1068" s="648">
        <f>Data2025!X1067</f>
        <v>0</v>
      </c>
      <c r="X1068" s="497" t="s">
        <v>541</v>
      </c>
      <c r="Y1068" s="268" t="str">
        <f t="shared" si="53"/>
        <v>Alat Tulis Kantor (ATK)</v>
      </c>
      <c r="Z1068" s="649" t="str">
        <f t="shared" si="54"/>
        <v>Alat Tulis Kantor (ATK)</v>
      </c>
      <c r="AA1068" s="498" t="s">
        <v>3363</v>
      </c>
      <c r="AB1068" s="499">
        <v>25000</v>
      </c>
      <c r="AC1068" s="499">
        <v>125000</v>
      </c>
      <c r="AD1068" s="496">
        <v>125000</v>
      </c>
      <c r="AE1068" s="500">
        <v>112612.61261261262</v>
      </c>
      <c r="AF1068" s="500">
        <v>125000</v>
      </c>
      <c r="AG1068" s="805" t="s">
        <v>3883</v>
      </c>
      <c r="AH1068" s="651">
        <f>Data2025!W1067</f>
        <v>0</v>
      </c>
      <c r="AI1068" s="61">
        <v>335</v>
      </c>
    </row>
    <row r="1069" spans="1:35" ht="16.5" thickTop="1" thickBot="1">
      <c r="A1069" s="636">
        <f>Data2025!G1068</f>
        <v>0</v>
      </c>
      <c r="B1069" s="637">
        <f>Data2025!K1068</f>
        <v>0</v>
      </c>
      <c r="C1069" s="638">
        <f>Data2025!D1068</f>
        <v>0</v>
      </c>
      <c r="D1069" s="639">
        <f>Data2025!C1068</f>
        <v>0</v>
      </c>
      <c r="E1069" s="265">
        <f>Data2025!E1068</f>
        <v>0</v>
      </c>
      <c r="F1069" s="640">
        <f>Data2025!F1068</f>
        <v>0</v>
      </c>
      <c r="G1069" s="265">
        <f>Data2025!H1068</f>
        <v>0</v>
      </c>
      <c r="H1069" s="265">
        <f t="shared" si="52"/>
        <v>0</v>
      </c>
      <c r="I1069" s="641">
        <f>Data2025!J1068</f>
        <v>0</v>
      </c>
      <c r="J1069" s="381">
        <f>Data2025!L1068</f>
        <v>0</v>
      </c>
      <c r="K1069" s="381">
        <f>Data2025!M1068</f>
        <v>0</v>
      </c>
      <c r="L1069" s="642">
        <f>Data2025!N1068</f>
        <v>0</v>
      </c>
      <c r="M1069" s="642">
        <f>Data2025!O1068</f>
        <v>0</v>
      </c>
      <c r="N1069" s="643">
        <f>Data2025!P1068</f>
        <v>0</v>
      </c>
      <c r="O1069" s="644">
        <f>Data2025!Q1068</f>
        <v>0</v>
      </c>
      <c r="P1069" s="645" t="s">
        <v>710</v>
      </c>
      <c r="Q1069" s="646" t="e">
        <f>VLOOKUP(K1069,Sheet1!$C$1:$D$101,2,)</f>
        <v>#N/A</v>
      </c>
      <c r="R1069" s="496">
        <v>114000</v>
      </c>
      <c r="S1069" s="504">
        <v>124000</v>
      </c>
      <c r="T1069" s="648">
        <f>Data2025!T1068</f>
        <v>0</v>
      </c>
      <c r="U1069" s="497" t="s">
        <v>538</v>
      </c>
      <c r="V1069" s="648">
        <f>Data2025!V1068</f>
        <v>0</v>
      </c>
      <c r="W1069" s="648">
        <f>Data2025!X1068</f>
        <v>0</v>
      </c>
      <c r="X1069" s="497" t="s">
        <v>541</v>
      </c>
      <c r="Y1069" s="268" t="str">
        <f t="shared" si="53"/>
        <v>Alat Tulis Kantor (ATK)</v>
      </c>
      <c r="Z1069" s="649" t="str">
        <f t="shared" si="54"/>
        <v>Alat Tulis Kantor (ATK)</v>
      </c>
      <c r="AA1069" s="498" t="s">
        <v>3363</v>
      </c>
      <c r="AB1069" s="499">
        <v>22800</v>
      </c>
      <c r="AC1069" s="499">
        <v>114000</v>
      </c>
      <c r="AD1069" s="496">
        <v>114000</v>
      </c>
      <c r="AE1069" s="500">
        <v>102702.70270270271</v>
      </c>
      <c r="AF1069" s="500">
        <v>114000</v>
      </c>
      <c r="AG1069" s="805" t="s">
        <v>3883</v>
      </c>
      <c r="AH1069" s="651">
        <f>Data2025!W1068</f>
        <v>0</v>
      </c>
      <c r="AI1069" s="61">
        <v>335</v>
      </c>
    </row>
    <row r="1070" spans="1:35" ht="16.5" thickTop="1" thickBot="1">
      <c r="A1070" s="636">
        <f>Data2025!G1069</f>
        <v>0</v>
      </c>
      <c r="B1070" s="637">
        <f>Data2025!K1069</f>
        <v>0</v>
      </c>
      <c r="C1070" s="638">
        <f>Data2025!D1069</f>
        <v>0</v>
      </c>
      <c r="D1070" s="639">
        <f>Data2025!C1069</f>
        <v>0</v>
      </c>
      <c r="E1070" s="265">
        <f>Data2025!E1069</f>
        <v>0</v>
      </c>
      <c r="F1070" s="640">
        <f>Data2025!F1069</f>
        <v>0</v>
      </c>
      <c r="G1070" s="265">
        <f>Data2025!H1069</f>
        <v>0</v>
      </c>
      <c r="H1070" s="265">
        <f t="shared" si="52"/>
        <v>0</v>
      </c>
      <c r="I1070" s="641">
        <f>Data2025!J1069</f>
        <v>0</v>
      </c>
      <c r="J1070" s="381">
        <f>Data2025!L1069</f>
        <v>0</v>
      </c>
      <c r="K1070" s="381">
        <f>Data2025!M1069</f>
        <v>0</v>
      </c>
      <c r="L1070" s="642">
        <f>Data2025!N1069</f>
        <v>0</v>
      </c>
      <c r="M1070" s="642">
        <f>Data2025!O1069</f>
        <v>0</v>
      </c>
      <c r="N1070" s="643">
        <f>Data2025!P1069</f>
        <v>0</v>
      </c>
      <c r="O1070" s="644">
        <f>Data2025!Q1069</f>
        <v>0</v>
      </c>
      <c r="P1070" s="645" t="s">
        <v>710</v>
      </c>
      <c r="Q1070" s="646" t="e">
        <f>VLOOKUP(K1070,Sheet1!$C$1:$D$101,2,)</f>
        <v>#N/A</v>
      </c>
      <c r="R1070" s="496">
        <v>550000</v>
      </c>
      <c r="S1070" s="504">
        <v>750000</v>
      </c>
      <c r="T1070" s="648">
        <f>Data2025!T1069</f>
        <v>0</v>
      </c>
      <c r="U1070" s="497" t="s">
        <v>538</v>
      </c>
      <c r="V1070" s="648">
        <f>Data2025!V1069</f>
        <v>0</v>
      </c>
      <c r="W1070" s="648">
        <f>Data2025!X1069</f>
        <v>0</v>
      </c>
      <c r="X1070" s="497" t="s">
        <v>541</v>
      </c>
      <c r="Y1070" s="268" t="str">
        <f t="shared" si="53"/>
        <v>Alat Tulis Kantor (ATK)</v>
      </c>
      <c r="Z1070" s="649" t="str">
        <f t="shared" si="54"/>
        <v>Alat Tulis Kantor (ATK)</v>
      </c>
      <c r="AA1070" s="498" t="s">
        <v>3363</v>
      </c>
      <c r="AB1070" s="499">
        <v>5500</v>
      </c>
      <c r="AC1070" s="499">
        <v>550000</v>
      </c>
      <c r="AD1070" s="496">
        <v>550000</v>
      </c>
      <c r="AE1070" s="500">
        <v>495495.4954954955</v>
      </c>
      <c r="AF1070" s="500">
        <v>550000</v>
      </c>
      <c r="AG1070" s="805" t="s">
        <v>3883</v>
      </c>
      <c r="AH1070" s="651">
        <f>Data2025!W1069</f>
        <v>0</v>
      </c>
      <c r="AI1070" s="61">
        <v>335</v>
      </c>
    </row>
    <row r="1071" spans="1:35" ht="16.5" thickTop="1" thickBot="1">
      <c r="A1071" s="636">
        <f>Data2025!G1070</f>
        <v>0</v>
      </c>
      <c r="B1071" s="637">
        <f>Data2025!K1070</f>
        <v>0</v>
      </c>
      <c r="C1071" s="638">
        <f>Data2025!D1070</f>
        <v>0</v>
      </c>
      <c r="D1071" s="639">
        <f>Data2025!C1070</f>
        <v>0</v>
      </c>
      <c r="E1071" s="265">
        <f>Data2025!E1070</f>
        <v>0</v>
      </c>
      <c r="F1071" s="640">
        <f>Data2025!F1070</f>
        <v>0</v>
      </c>
      <c r="G1071" s="265">
        <f>Data2025!H1070</f>
        <v>0</v>
      </c>
      <c r="H1071" s="265">
        <f t="shared" si="52"/>
        <v>0</v>
      </c>
      <c r="I1071" s="641">
        <f>Data2025!J1070</f>
        <v>0</v>
      </c>
      <c r="J1071" s="381">
        <f>Data2025!L1070</f>
        <v>0</v>
      </c>
      <c r="K1071" s="381">
        <f>Data2025!M1070</f>
        <v>0</v>
      </c>
      <c r="L1071" s="642">
        <f>Data2025!N1070</f>
        <v>0</v>
      </c>
      <c r="M1071" s="642">
        <f>Data2025!O1070</f>
        <v>0</v>
      </c>
      <c r="N1071" s="643">
        <f>Data2025!P1070</f>
        <v>0</v>
      </c>
      <c r="O1071" s="644">
        <f>Data2025!Q1070</f>
        <v>0</v>
      </c>
      <c r="P1071" s="645" t="s">
        <v>2609</v>
      </c>
      <c r="Q1071" s="646" t="e">
        <f>VLOOKUP(K1071,Sheet1!$C$1:$D$101,2,)</f>
        <v>#N/A</v>
      </c>
      <c r="R1071" s="496">
        <v>205500</v>
      </c>
      <c r="S1071" s="504">
        <v>235500</v>
      </c>
      <c r="T1071" s="648">
        <f>Data2025!T1070</f>
        <v>0</v>
      </c>
      <c r="U1071" s="497" t="s">
        <v>538</v>
      </c>
      <c r="V1071" s="648">
        <f>Data2025!V1070</f>
        <v>0</v>
      </c>
      <c r="W1071" s="648">
        <f>Data2025!X1070</f>
        <v>0</v>
      </c>
      <c r="X1071" s="497" t="s">
        <v>541</v>
      </c>
      <c r="Y1071" s="268" t="str">
        <f t="shared" si="53"/>
        <v>Alat Kebersihan</v>
      </c>
      <c r="Z1071" s="649" t="str">
        <f t="shared" si="54"/>
        <v>Alat Kebersihan</v>
      </c>
      <c r="AA1071" s="498" t="s">
        <v>3363</v>
      </c>
      <c r="AB1071" s="499">
        <v>13700</v>
      </c>
      <c r="AC1071" s="499">
        <v>205500</v>
      </c>
      <c r="AD1071" s="496">
        <v>205500</v>
      </c>
      <c r="AE1071" s="500">
        <v>185135.13513513515</v>
      </c>
      <c r="AF1071" s="500">
        <v>205500</v>
      </c>
      <c r="AG1071" s="805" t="s">
        <v>3883</v>
      </c>
      <c r="AH1071" s="651">
        <f>Data2025!W1070</f>
        <v>0</v>
      </c>
      <c r="AI1071" s="61">
        <v>336</v>
      </c>
    </row>
    <row r="1072" spans="1:35" ht="16.5" thickTop="1" thickBot="1">
      <c r="A1072" s="636">
        <f>Data2025!G1071</f>
        <v>0</v>
      </c>
      <c r="B1072" s="637">
        <f>Data2025!K1071</f>
        <v>0</v>
      </c>
      <c r="C1072" s="638">
        <f>Data2025!D1071</f>
        <v>0</v>
      </c>
      <c r="D1072" s="639">
        <f>Data2025!C1071</f>
        <v>0</v>
      </c>
      <c r="E1072" s="265">
        <f>Data2025!E1071</f>
        <v>0</v>
      </c>
      <c r="F1072" s="640">
        <f>Data2025!F1071</f>
        <v>0</v>
      </c>
      <c r="G1072" s="265">
        <f>Data2025!H1071</f>
        <v>0</v>
      </c>
      <c r="H1072" s="265">
        <f t="shared" si="52"/>
        <v>0</v>
      </c>
      <c r="I1072" s="641">
        <f>Data2025!J1071</f>
        <v>0</v>
      </c>
      <c r="J1072" s="381">
        <f>Data2025!L1071</f>
        <v>0</v>
      </c>
      <c r="K1072" s="381">
        <f>Data2025!M1071</f>
        <v>0</v>
      </c>
      <c r="L1072" s="642">
        <f>Data2025!N1071</f>
        <v>0</v>
      </c>
      <c r="M1072" s="642">
        <f>Data2025!O1071</f>
        <v>0</v>
      </c>
      <c r="N1072" s="643">
        <f>Data2025!P1071</f>
        <v>0</v>
      </c>
      <c r="O1072" s="644">
        <f>Data2025!Q1071</f>
        <v>0</v>
      </c>
      <c r="P1072" s="645" t="s">
        <v>2609</v>
      </c>
      <c r="Q1072" s="646" t="e">
        <f>VLOOKUP(K1072,Sheet1!$C$1:$D$101,2,)</f>
        <v>#N/A</v>
      </c>
      <c r="R1072" s="496">
        <v>150000</v>
      </c>
      <c r="S1072" s="504">
        <v>174000</v>
      </c>
      <c r="T1072" s="648">
        <f>Data2025!T1071</f>
        <v>0</v>
      </c>
      <c r="U1072" s="497" t="s">
        <v>538</v>
      </c>
      <c r="V1072" s="648">
        <f>Data2025!V1071</f>
        <v>0</v>
      </c>
      <c r="W1072" s="648">
        <f>Data2025!X1071</f>
        <v>0</v>
      </c>
      <c r="X1072" s="497" t="s">
        <v>541</v>
      </c>
      <c r="Y1072" s="268" t="str">
        <f t="shared" si="53"/>
        <v>Alat Kebersihan</v>
      </c>
      <c r="Z1072" s="649" t="str">
        <f t="shared" si="54"/>
        <v>Alat Kebersihan</v>
      </c>
      <c r="AA1072" s="498" t="s">
        <v>3363</v>
      </c>
      <c r="AB1072" s="499">
        <v>12500</v>
      </c>
      <c r="AC1072" s="499">
        <v>150000</v>
      </c>
      <c r="AD1072" s="496">
        <v>150000</v>
      </c>
      <c r="AE1072" s="500">
        <v>135135.13513513515</v>
      </c>
      <c r="AF1072" s="500">
        <v>150000</v>
      </c>
      <c r="AG1072" s="805" t="s">
        <v>3883</v>
      </c>
      <c r="AH1072" s="651">
        <f>Data2025!W1071</f>
        <v>0</v>
      </c>
      <c r="AI1072" s="61">
        <v>336</v>
      </c>
    </row>
    <row r="1073" spans="1:35" ht="16.5" thickTop="1" thickBot="1">
      <c r="A1073" s="636">
        <f>Data2025!G1072</f>
        <v>0</v>
      </c>
      <c r="B1073" s="637">
        <f>Data2025!K1072</f>
        <v>0</v>
      </c>
      <c r="C1073" s="638">
        <f>Data2025!D1072</f>
        <v>0</v>
      </c>
      <c r="D1073" s="639">
        <f>Data2025!C1072</f>
        <v>0</v>
      </c>
      <c r="E1073" s="265">
        <f>Data2025!E1072</f>
        <v>0</v>
      </c>
      <c r="F1073" s="640">
        <f>Data2025!F1072</f>
        <v>0</v>
      </c>
      <c r="G1073" s="265">
        <f>Data2025!H1072</f>
        <v>0</v>
      </c>
      <c r="H1073" s="265">
        <f t="shared" si="52"/>
        <v>0</v>
      </c>
      <c r="I1073" s="641">
        <f>Data2025!J1072</f>
        <v>0</v>
      </c>
      <c r="J1073" s="381">
        <f>Data2025!L1072</f>
        <v>0</v>
      </c>
      <c r="K1073" s="381">
        <f>Data2025!M1072</f>
        <v>0</v>
      </c>
      <c r="L1073" s="642">
        <f>Data2025!N1072</f>
        <v>0</v>
      </c>
      <c r="M1073" s="642">
        <f>Data2025!O1072</f>
        <v>0</v>
      </c>
      <c r="N1073" s="643">
        <f>Data2025!P1072</f>
        <v>0</v>
      </c>
      <c r="O1073" s="644">
        <f>Data2025!Q1072</f>
        <v>0</v>
      </c>
      <c r="P1073" s="645" t="s">
        <v>2609</v>
      </c>
      <c r="Q1073" s="646" t="e">
        <f>VLOOKUP(K1073,Sheet1!$C$1:$D$101,2,)</f>
        <v>#N/A</v>
      </c>
      <c r="R1073" s="496">
        <v>45000</v>
      </c>
      <c r="S1073" s="504">
        <v>51000</v>
      </c>
      <c r="T1073" s="648">
        <f>Data2025!T1072</f>
        <v>0</v>
      </c>
      <c r="U1073" s="497" t="s">
        <v>538</v>
      </c>
      <c r="V1073" s="648">
        <f>Data2025!V1072</f>
        <v>0</v>
      </c>
      <c r="W1073" s="648">
        <f>Data2025!X1072</f>
        <v>0</v>
      </c>
      <c r="X1073" s="497" t="s">
        <v>541</v>
      </c>
      <c r="Y1073" s="268" t="str">
        <f t="shared" si="53"/>
        <v>Alat Kebersihan</v>
      </c>
      <c r="Z1073" s="649" t="str">
        <f t="shared" si="54"/>
        <v>Alat Kebersihan</v>
      </c>
      <c r="AA1073" s="498" t="s">
        <v>3363</v>
      </c>
      <c r="AB1073" s="499">
        <v>15000</v>
      </c>
      <c r="AC1073" s="499">
        <v>45000</v>
      </c>
      <c r="AD1073" s="496">
        <v>45000</v>
      </c>
      <c r="AE1073" s="500">
        <v>40540.54054054054</v>
      </c>
      <c r="AF1073" s="500">
        <v>45000</v>
      </c>
      <c r="AG1073" s="805" t="s">
        <v>3883</v>
      </c>
      <c r="AH1073" s="651">
        <f>Data2025!W1072</f>
        <v>0</v>
      </c>
      <c r="AI1073" s="61">
        <v>336</v>
      </c>
    </row>
    <row r="1074" spans="1:35" ht="16.5" thickTop="1" thickBot="1">
      <c r="A1074" s="636">
        <f>Data2025!G1073</f>
        <v>0</v>
      </c>
      <c r="B1074" s="637">
        <f>Data2025!K1073</f>
        <v>0</v>
      </c>
      <c r="C1074" s="638">
        <f>Data2025!D1073</f>
        <v>0</v>
      </c>
      <c r="D1074" s="639">
        <f>Data2025!C1073</f>
        <v>0</v>
      </c>
      <c r="E1074" s="265">
        <f>Data2025!E1073</f>
        <v>0</v>
      </c>
      <c r="F1074" s="640">
        <f>Data2025!F1073</f>
        <v>0</v>
      </c>
      <c r="G1074" s="265">
        <f>Data2025!H1073</f>
        <v>0</v>
      </c>
      <c r="H1074" s="265">
        <f t="shared" si="52"/>
        <v>0</v>
      </c>
      <c r="I1074" s="641">
        <f>Data2025!J1073</f>
        <v>0</v>
      </c>
      <c r="J1074" s="381">
        <f>Data2025!L1073</f>
        <v>0</v>
      </c>
      <c r="K1074" s="381">
        <f>Data2025!M1073</f>
        <v>0</v>
      </c>
      <c r="L1074" s="642">
        <f>Data2025!N1073</f>
        <v>0</v>
      </c>
      <c r="M1074" s="642">
        <f>Data2025!O1073</f>
        <v>0</v>
      </c>
      <c r="N1074" s="643">
        <f>Data2025!P1073</f>
        <v>0</v>
      </c>
      <c r="O1074" s="644">
        <f>Data2025!Q1073</f>
        <v>0</v>
      </c>
      <c r="P1074" s="645" t="s">
        <v>2609</v>
      </c>
      <c r="Q1074" s="646" t="e">
        <f>VLOOKUP(K1074,Sheet1!$C$1:$D$101,2,)</f>
        <v>#N/A</v>
      </c>
      <c r="R1074" s="496">
        <v>300000</v>
      </c>
      <c r="S1074" s="504">
        <v>320000</v>
      </c>
      <c r="T1074" s="648">
        <f>Data2025!T1073</f>
        <v>0</v>
      </c>
      <c r="U1074" s="497" t="s">
        <v>538</v>
      </c>
      <c r="V1074" s="648">
        <f>Data2025!V1073</f>
        <v>0</v>
      </c>
      <c r="W1074" s="648">
        <f>Data2025!X1073</f>
        <v>0</v>
      </c>
      <c r="X1074" s="497" t="s">
        <v>541</v>
      </c>
      <c r="Y1074" s="268" t="str">
        <f t="shared" si="53"/>
        <v>Alat Kebersihan</v>
      </c>
      <c r="Z1074" s="649" t="str">
        <f t="shared" si="54"/>
        <v>Alat Kebersihan</v>
      </c>
      <c r="AA1074" s="498" t="s">
        <v>3367</v>
      </c>
      <c r="AB1074" s="499">
        <v>30000</v>
      </c>
      <c r="AC1074" s="499">
        <v>300000</v>
      </c>
      <c r="AD1074" s="496">
        <v>300000</v>
      </c>
      <c r="AE1074" s="500">
        <v>270270.2702702703</v>
      </c>
      <c r="AF1074" s="500">
        <v>300000</v>
      </c>
      <c r="AG1074" s="805" t="s">
        <v>3883</v>
      </c>
      <c r="AH1074" s="651">
        <f>Data2025!W1073</f>
        <v>0</v>
      </c>
      <c r="AI1074" s="61">
        <v>336</v>
      </c>
    </row>
    <row r="1075" spans="1:35" ht="16.5" thickTop="1" thickBot="1">
      <c r="A1075" s="636">
        <f>Data2025!G1074</f>
        <v>0</v>
      </c>
      <c r="B1075" s="637">
        <f>Data2025!K1074</f>
        <v>0</v>
      </c>
      <c r="C1075" s="638">
        <f>Data2025!D1074</f>
        <v>0</v>
      </c>
      <c r="D1075" s="639">
        <f>Data2025!C1074</f>
        <v>0</v>
      </c>
      <c r="E1075" s="265">
        <f>Data2025!E1074</f>
        <v>0</v>
      </c>
      <c r="F1075" s="640">
        <f>Data2025!F1074</f>
        <v>0</v>
      </c>
      <c r="G1075" s="265">
        <f>Data2025!H1074</f>
        <v>0</v>
      </c>
      <c r="H1075" s="265">
        <f t="shared" si="52"/>
        <v>0</v>
      </c>
      <c r="I1075" s="641">
        <f>Data2025!J1074</f>
        <v>0</v>
      </c>
      <c r="J1075" s="381">
        <f>Data2025!L1074</f>
        <v>0</v>
      </c>
      <c r="K1075" s="381">
        <f>Data2025!M1074</f>
        <v>0</v>
      </c>
      <c r="L1075" s="642">
        <f>Data2025!N1074</f>
        <v>0</v>
      </c>
      <c r="M1075" s="642">
        <f>Data2025!O1074</f>
        <v>0</v>
      </c>
      <c r="N1075" s="643">
        <f>Data2025!P1074</f>
        <v>0</v>
      </c>
      <c r="O1075" s="644">
        <f>Data2025!Q1074</f>
        <v>0</v>
      </c>
      <c r="P1075" s="645" t="s">
        <v>2609</v>
      </c>
      <c r="Q1075" s="646" t="e">
        <f>VLOOKUP(K1075,Sheet1!$C$1:$D$101,2,)</f>
        <v>#N/A</v>
      </c>
      <c r="R1075" s="496">
        <v>121000</v>
      </c>
      <c r="S1075" s="504">
        <v>141000</v>
      </c>
      <c r="T1075" s="648">
        <f>Data2025!T1074</f>
        <v>0</v>
      </c>
      <c r="U1075" s="497" t="s">
        <v>538</v>
      </c>
      <c r="V1075" s="648">
        <f>Data2025!V1074</f>
        <v>0</v>
      </c>
      <c r="W1075" s="648">
        <f>Data2025!X1074</f>
        <v>0</v>
      </c>
      <c r="X1075" s="497" t="s">
        <v>541</v>
      </c>
      <c r="Y1075" s="268" t="str">
        <f t="shared" si="53"/>
        <v>Alat Kebersihan</v>
      </c>
      <c r="Z1075" s="649" t="str">
        <f t="shared" si="54"/>
        <v>Alat Kebersihan</v>
      </c>
      <c r="AA1075" s="498" t="s">
        <v>3363</v>
      </c>
      <c r="AB1075" s="499">
        <v>12100</v>
      </c>
      <c r="AC1075" s="499">
        <v>121000</v>
      </c>
      <c r="AD1075" s="496">
        <v>121000</v>
      </c>
      <c r="AE1075" s="500">
        <v>109009.00900900901</v>
      </c>
      <c r="AF1075" s="500">
        <v>121000</v>
      </c>
      <c r="AG1075" s="805" t="s">
        <v>3883</v>
      </c>
      <c r="AH1075" s="651">
        <f>Data2025!W1074</f>
        <v>0</v>
      </c>
      <c r="AI1075" s="61">
        <v>336</v>
      </c>
    </row>
    <row r="1076" spans="1:35" ht="16.5" thickTop="1" thickBot="1">
      <c r="A1076" s="636">
        <f>Data2025!G1075</f>
        <v>0</v>
      </c>
      <c r="B1076" s="637">
        <f>Data2025!K1075</f>
        <v>0</v>
      </c>
      <c r="C1076" s="638">
        <f>Data2025!D1075</f>
        <v>0</v>
      </c>
      <c r="D1076" s="639">
        <f>Data2025!C1075</f>
        <v>0</v>
      </c>
      <c r="E1076" s="265">
        <f>Data2025!E1075</f>
        <v>0</v>
      </c>
      <c r="F1076" s="640">
        <f>Data2025!F1075</f>
        <v>0</v>
      </c>
      <c r="G1076" s="265">
        <f>Data2025!H1075</f>
        <v>0</v>
      </c>
      <c r="H1076" s="265">
        <f t="shared" si="52"/>
        <v>0</v>
      </c>
      <c r="I1076" s="641">
        <f>Data2025!J1075</f>
        <v>0</v>
      </c>
      <c r="J1076" s="381">
        <f>Data2025!L1075</f>
        <v>0</v>
      </c>
      <c r="K1076" s="381">
        <f>Data2025!M1075</f>
        <v>0</v>
      </c>
      <c r="L1076" s="642">
        <f>Data2025!N1075</f>
        <v>0</v>
      </c>
      <c r="M1076" s="642">
        <f>Data2025!O1075</f>
        <v>0</v>
      </c>
      <c r="N1076" s="643">
        <f>Data2025!P1075</f>
        <v>0</v>
      </c>
      <c r="O1076" s="644">
        <f>Data2025!Q1075</f>
        <v>0</v>
      </c>
      <c r="P1076" s="645" t="s">
        <v>2609</v>
      </c>
      <c r="Q1076" s="646" t="e">
        <f>VLOOKUP(K1076,Sheet1!$C$1:$D$101,2,)</f>
        <v>#N/A</v>
      </c>
      <c r="R1076" s="496">
        <v>350000</v>
      </c>
      <c r="S1076" s="504">
        <v>360000</v>
      </c>
      <c r="T1076" s="648">
        <f>Data2025!T1075</f>
        <v>0</v>
      </c>
      <c r="U1076" s="497" t="s">
        <v>538</v>
      </c>
      <c r="V1076" s="648">
        <f>Data2025!V1075</f>
        <v>0</v>
      </c>
      <c r="W1076" s="648">
        <f>Data2025!X1075</f>
        <v>0</v>
      </c>
      <c r="X1076" s="497" t="s">
        <v>541</v>
      </c>
      <c r="Y1076" s="268" t="str">
        <f t="shared" si="53"/>
        <v>Alat Kebersihan</v>
      </c>
      <c r="Z1076" s="649" t="str">
        <f t="shared" si="54"/>
        <v>Alat Kebersihan</v>
      </c>
      <c r="AA1076" s="498" t="s">
        <v>3371</v>
      </c>
      <c r="AB1076" s="499">
        <v>70000</v>
      </c>
      <c r="AC1076" s="499">
        <v>350000</v>
      </c>
      <c r="AD1076" s="496">
        <v>350000</v>
      </c>
      <c r="AE1076" s="500">
        <v>315315.31531531533</v>
      </c>
      <c r="AF1076" s="500">
        <v>350000</v>
      </c>
      <c r="AG1076" s="805" t="s">
        <v>3883</v>
      </c>
      <c r="AH1076" s="651">
        <f>Data2025!W1075</f>
        <v>0</v>
      </c>
      <c r="AI1076" s="61">
        <v>336</v>
      </c>
    </row>
    <row r="1077" spans="1:35" ht="16.5" thickTop="1" thickBot="1">
      <c r="A1077" s="636">
        <f>Data2025!G1076</f>
        <v>0</v>
      </c>
      <c r="B1077" s="637">
        <f>Data2025!K1076</f>
        <v>0</v>
      </c>
      <c r="C1077" s="638">
        <f>Data2025!D1076</f>
        <v>0</v>
      </c>
      <c r="D1077" s="639">
        <f>Data2025!C1076</f>
        <v>0</v>
      </c>
      <c r="E1077" s="265">
        <f>Data2025!E1076</f>
        <v>0</v>
      </c>
      <c r="F1077" s="640">
        <f>Data2025!F1076</f>
        <v>0</v>
      </c>
      <c r="G1077" s="265">
        <f>Data2025!H1076</f>
        <v>0</v>
      </c>
      <c r="H1077" s="265">
        <f t="shared" si="52"/>
        <v>0</v>
      </c>
      <c r="I1077" s="641">
        <f>Data2025!J1076</f>
        <v>0</v>
      </c>
      <c r="J1077" s="381">
        <f>Data2025!L1076</f>
        <v>0</v>
      </c>
      <c r="K1077" s="381">
        <f>Data2025!M1076</f>
        <v>0</v>
      </c>
      <c r="L1077" s="642">
        <f>Data2025!N1076</f>
        <v>0</v>
      </c>
      <c r="M1077" s="642">
        <f>Data2025!O1076</f>
        <v>0</v>
      </c>
      <c r="N1077" s="643">
        <f>Data2025!P1076</f>
        <v>0</v>
      </c>
      <c r="O1077" s="644">
        <f>Data2025!Q1076</f>
        <v>0</v>
      </c>
      <c r="P1077" s="645" t="s">
        <v>2609</v>
      </c>
      <c r="Q1077" s="646" t="e">
        <f>VLOOKUP(K1077,Sheet1!$C$1:$D$101,2,)</f>
        <v>#N/A</v>
      </c>
      <c r="R1077" s="496">
        <v>335000</v>
      </c>
      <c r="S1077" s="504">
        <v>345000</v>
      </c>
      <c r="T1077" s="648">
        <f>Data2025!T1076</f>
        <v>0</v>
      </c>
      <c r="U1077" s="497" t="s">
        <v>538</v>
      </c>
      <c r="V1077" s="648">
        <f>Data2025!V1076</f>
        <v>0</v>
      </c>
      <c r="W1077" s="648">
        <f>Data2025!X1076</f>
        <v>0</v>
      </c>
      <c r="X1077" s="497" t="s">
        <v>541</v>
      </c>
      <c r="Y1077" s="268" t="str">
        <f t="shared" si="53"/>
        <v>Alat Kebersihan</v>
      </c>
      <c r="Z1077" s="649" t="str">
        <f t="shared" si="54"/>
        <v>Alat Kebersihan</v>
      </c>
      <c r="AA1077" s="498" t="s">
        <v>3367</v>
      </c>
      <c r="AB1077" s="499">
        <v>67000</v>
      </c>
      <c r="AC1077" s="499">
        <v>335000</v>
      </c>
      <c r="AD1077" s="496">
        <v>335000</v>
      </c>
      <c r="AE1077" s="500">
        <v>301801.80180180183</v>
      </c>
      <c r="AF1077" s="500">
        <v>335000</v>
      </c>
      <c r="AG1077" s="805" t="s">
        <v>3883</v>
      </c>
      <c r="AH1077" s="651">
        <f>Data2025!W1076</f>
        <v>0</v>
      </c>
      <c r="AI1077" s="61">
        <v>336</v>
      </c>
    </row>
    <row r="1078" spans="1:35" ht="16.5" thickTop="1" thickBot="1">
      <c r="A1078" s="636">
        <f>Data2025!G1077</f>
        <v>0</v>
      </c>
      <c r="B1078" s="637">
        <f>Data2025!K1077</f>
        <v>0</v>
      </c>
      <c r="C1078" s="638">
        <f>Data2025!D1077</f>
        <v>0</v>
      </c>
      <c r="D1078" s="639">
        <f>Data2025!C1077</f>
        <v>0</v>
      </c>
      <c r="E1078" s="265">
        <f>Data2025!E1077</f>
        <v>0</v>
      </c>
      <c r="F1078" s="640">
        <f>Data2025!F1077</f>
        <v>0</v>
      </c>
      <c r="G1078" s="265">
        <f>Data2025!H1077</f>
        <v>0</v>
      </c>
      <c r="H1078" s="265">
        <f t="shared" si="52"/>
        <v>0</v>
      </c>
      <c r="I1078" s="641">
        <f>Data2025!J1077</f>
        <v>0</v>
      </c>
      <c r="J1078" s="381">
        <f>Data2025!L1077</f>
        <v>0</v>
      </c>
      <c r="K1078" s="381">
        <f>Data2025!M1077</f>
        <v>0</v>
      </c>
      <c r="L1078" s="642">
        <f>Data2025!N1077</f>
        <v>0</v>
      </c>
      <c r="M1078" s="642">
        <f>Data2025!O1077</f>
        <v>0</v>
      </c>
      <c r="N1078" s="643">
        <f>Data2025!P1077</f>
        <v>0</v>
      </c>
      <c r="O1078" s="644">
        <f>Data2025!Q1077</f>
        <v>0</v>
      </c>
      <c r="P1078" s="645" t="s">
        <v>2609</v>
      </c>
      <c r="Q1078" s="646" t="e">
        <f>VLOOKUP(K1078,Sheet1!$C$1:$D$101,2,)</f>
        <v>#N/A</v>
      </c>
      <c r="R1078" s="496">
        <v>60000</v>
      </c>
      <c r="S1078" s="504">
        <v>70000</v>
      </c>
      <c r="T1078" s="648">
        <f>Data2025!T1077</f>
        <v>0</v>
      </c>
      <c r="U1078" s="497" t="s">
        <v>538</v>
      </c>
      <c r="V1078" s="648">
        <f>Data2025!V1077</f>
        <v>0</v>
      </c>
      <c r="W1078" s="648">
        <f>Data2025!X1077</f>
        <v>0</v>
      </c>
      <c r="X1078" s="497" t="s">
        <v>541</v>
      </c>
      <c r="Y1078" s="268" t="str">
        <f t="shared" si="53"/>
        <v>Alat Kebersihan</v>
      </c>
      <c r="Z1078" s="649" t="str">
        <f t="shared" si="54"/>
        <v>Alat Kebersihan</v>
      </c>
      <c r="AA1078" s="498" t="s">
        <v>3363</v>
      </c>
      <c r="AB1078" s="499">
        <v>12000</v>
      </c>
      <c r="AC1078" s="499">
        <v>60000</v>
      </c>
      <c r="AD1078" s="496">
        <v>60000</v>
      </c>
      <c r="AE1078" s="500">
        <v>54054.054054054053</v>
      </c>
      <c r="AF1078" s="500">
        <v>60000</v>
      </c>
      <c r="AG1078" s="805" t="s">
        <v>3883</v>
      </c>
      <c r="AH1078" s="651">
        <f>Data2025!W1077</f>
        <v>0</v>
      </c>
      <c r="AI1078" s="61">
        <v>336</v>
      </c>
    </row>
    <row r="1079" spans="1:35" ht="16.5" thickTop="1" thickBot="1">
      <c r="A1079" s="636">
        <f>Data2025!G1078</f>
        <v>0</v>
      </c>
      <c r="B1079" s="637">
        <f>Data2025!K1078</f>
        <v>0</v>
      </c>
      <c r="C1079" s="638">
        <f>Data2025!D1078</f>
        <v>0</v>
      </c>
      <c r="D1079" s="639">
        <f>Data2025!C1078</f>
        <v>0</v>
      </c>
      <c r="E1079" s="265">
        <f>Data2025!E1078</f>
        <v>0</v>
      </c>
      <c r="F1079" s="640">
        <f>Data2025!F1078</f>
        <v>0</v>
      </c>
      <c r="G1079" s="265">
        <f>Data2025!H1078</f>
        <v>0</v>
      </c>
      <c r="H1079" s="265">
        <f t="shared" si="52"/>
        <v>0</v>
      </c>
      <c r="I1079" s="641">
        <f>Data2025!J1078</f>
        <v>0</v>
      </c>
      <c r="J1079" s="381">
        <f>Data2025!L1078</f>
        <v>0</v>
      </c>
      <c r="K1079" s="381">
        <f>Data2025!M1078</f>
        <v>0</v>
      </c>
      <c r="L1079" s="642">
        <f>Data2025!N1078</f>
        <v>0</v>
      </c>
      <c r="M1079" s="642">
        <f>Data2025!O1078</f>
        <v>0</v>
      </c>
      <c r="N1079" s="643">
        <f>Data2025!P1078</f>
        <v>0</v>
      </c>
      <c r="O1079" s="644">
        <f>Data2025!Q1078</f>
        <v>0</v>
      </c>
      <c r="P1079" s="645" t="s">
        <v>2609</v>
      </c>
      <c r="Q1079" s="646" t="e">
        <f>VLOOKUP(K1079,Sheet1!$C$1:$D$101,2,)</f>
        <v>#N/A</v>
      </c>
      <c r="R1079" s="496">
        <v>60000</v>
      </c>
      <c r="S1079" s="504">
        <v>70000</v>
      </c>
      <c r="T1079" s="648">
        <f>Data2025!T1078</f>
        <v>0</v>
      </c>
      <c r="U1079" s="497" t="s">
        <v>538</v>
      </c>
      <c r="V1079" s="648">
        <f>Data2025!V1078</f>
        <v>0</v>
      </c>
      <c r="W1079" s="648">
        <f>Data2025!X1078</f>
        <v>0</v>
      </c>
      <c r="X1079" s="497" t="s">
        <v>541</v>
      </c>
      <c r="Y1079" s="268" t="str">
        <f t="shared" si="53"/>
        <v>Alat Kebersihan</v>
      </c>
      <c r="Z1079" s="649" t="str">
        <f t="shared" si="54"/>
        <v>Alat Kebersihan</v>
      </c>
      <c r="AA1079" s="498" t="s">
        <v>3363</v>
      </c>
      <c r="AB1079" s="499">
        <v>12000</v>
      </c>
      <c r="AC1079" s="499">
        <v>60000</v>
      </c>
      <c r="AD1079" s="496">
        <v>60000</v>
      </c>
      <c r="AE1079" s="500">
        <v>54054.054054054053</v>
      </c>
      <c r="AF1079" s="500">
        <v>60000</v>
      </c>
      <c r="AG1079" s="805" t="s">
        <v>3883</v>
      </c>
      <c r="AH1079" s="651">
        <f>Data2025!W1078</f>
        <v>0</v>
      </c>
      <c r="AI1079" s="61">
        <v>336</v>
      </c>
    </row>
    <row r="1080" spans="1:35" ht="16.5" thickTop="1" thickBot="1">
      <c r="A1080" s="636">
        <f>Data2025!G1079</f>
        <v>0</v>
      </c>
      <c r="B1080" s="637">
        <f>Data2025!K1079</f>
        <v>0</v>
      </c>
      <c r="C1080" s="638">
        <f>Data2025!D1079</f>
        <v>0</v>
      </c>
      <c r="D1080" s="639">
        <f>Data2025!C1079</f>
        <v>0</v>
      </c>
      <c r="E1080" s="265">
        <f>Data2025!E1079</f>
        <v>0</v>
      </c>
      <c r="F1080" s="640">
        <f>Data2025!F1079</f>
        <v>0</v>
      </c>
      <c r="G1080" s="265">
        <f>Data2025!H1079</f>
        <v>0</v>
      </c>
      <c r="H1080" s="265">
        <f t="shared" si="52"/>
        <v>0</v>
      </c>
      <c r="I1080" s="641">
        <f>Data2025!J1079</f>
        <v>0</v>
      </c>
      <c r="J1080" s="381">
        <f>Data2025!L1079</f>
        <v>0</v>
      </c>
      <c r="K1080" s="381">
        <f>Data2025!M1079</f>
        <v>0</v>
      </c>
      <c r="L1080" s="642">
        <f>Data2025!N1079</f>
        <v>0</v>
      </c>
      <c r="M1080" s="642">
        <f>Data2025!O1079</f>
        <v>0</v>
      </c>
      <c r="N1080" s="643">
        <f>Data2025!P1079</f>
        <v>0</v>
      </c>
      <c r="O1080" s="644">
        <f>Data2025!Q1079</f>
        <v>0</v>
      </c>
      <c r="P1080" s="645" t="s">
        <v>799</v>
      </c>
      <c r="Q1080" s="646" t="e">
        <f>VLOOKUP(K1080,Sheet1!$C$1:$D$101,2,)</f>
        <v>#N/A</v>
      </c>
      <c r="R1080" s="267">
        <v>1633800</v>
      </c>
      <c r="S1080" s="647">
        <v>1675800</v>
      </c>
      <c r="T1080" s="648">
        <f>Data2025!T1079</f>
        <v>0</v>
      </c>
      <c r="U1080" s="268" t="s">
        <v>3392</v>
      </c>
      <c r="V1080" s="648">
        <f>Data2025!V1079</f>
        <v>0</v>
      </c>
      <c r="W1080" s="648">
        <f>Data2025!X1079</f>
        <v>0</v>
      </c>
      <c r="X1080" s="268" t="s">
        <v>2723</v>
      </c>
      <c r="Y1080" s="268" t="str">
        <f t="shared" si="53"/>
        <v>Peralatan Listrik</v>
      </c>
      <c r="Z1080" s="649" t="str">
        <f t="shared" si="54"/>
        <v>Peralatan Listrik</v>
      </c>
      <c r="AA1080" s="650" t="s">
        <v>3363</v>
      </c>
      <c r="AB1080" s="269">
        <v>77800</v>
      </c>
      <c r="AC1080" s="269">
        <v>1633800</v>
      </c>
      <c r="AD1080" s="267">
        <v>1633800</v>
      </c>
      <c r="AE1080" s="270">
        <v>1471891.8918918918</v>
      </c>
      <c r="AF1080" s="270">
        <v>1633800</v>
      </c>
      <c r="AG1080" s="805" t="s">
        <v>3883</v>
      </c>
      <c r="AH1080" s="651">
        <f>Data2025!W1079</f>
        <v>0</v>
      </c>
      <c r="AI1080" s="61">
        <v>337</v>
      </c>
    </row>
    <row r="1081" spans="1:35" ht="16.5" thickTop="1" thickBot="1">
      <c r="A1081" s="636">
        <f>Data2025!G1080</f>
        <v>0</v>
      </c>
      <c r="B1081" s="637">
        <f>Data2025!K1080</f>
        <v>0</v>
      </c>
      <c r="C1081" s="638">
        <f>Data2025!D1080</f>
        <v>0</v>
      </c>
      <c r="D1081" s="639">
        <f>Data2025!C1080</f>
        <v>0</v>
      </c>
      <c r="E1081" s="265">
        <f>Data2025!E1080</f>
        <v>0</v>
      </c>
      <c r="F1081" s="640">
        <f>Data2025!F1080</f>
        <v>0</v>
      </c>
      <c r="G1081" s="265">
        <f>Data2025!H1080</f>
        <v>0</v>
      </c>
      <c r="H1081" s="265">
        <f t="shared" si="52"/>
        <v>0</v>
      </c>
      <c r="I1081" s="641">
        <f>Data2025!J1080</f>
        <v>0</v>
      </c>
      <c r="J1081" s="381">
        <f>Data2025!L1080</f>
        <v>0</v>
      </c>
      <c r="K1081" s="381">
        <f>Data2025!M1080</f>
        <v>0</v>
      </c>
      <c r="L1081" s="642">
        <f>Data2025!N1080</f>
        <v>0</v>
      </c>
      <c r="M1081" s="642">
        <f>Data2025!O1080</f>
        <v>0</v>
      </c>
      <c r="N1081" s="643">
        <f>Data2025!P1080</f>
        <v>0</v>
      </c>
      <c r="O1081" s="644">
        <f>Data2025!Q1080</f>
        <v>0</v>
      </c>
      <c r="P1081" s="645" t="s">
        <v>280</v>
      </c>
      <c r="Q1081" s="646" t="e">
        <f>VLOOKUP(K1081,Sheet1!$C$1:$D$101,2,)</f>
        <v>#N/A</v>
      </c>
      <c r="R1081" s="267">
        <v>2250000</v>
      </c>
      <c r="S1081" s="647">
        <v>2550000</v>
      </c>
      <c r="T1081" s="648">
        <f>Data2025!T1080</f>
        <v>0</v>
      </c>
      <c r="U1081" s="268" t="s">
        <v>2531</v>
      </c>
      <c r="V1081" s="648">
        <f>Data2025!V1080</f>
        <v>0</v>
      </c>
      <c r="W1081" s="648">
        <f>Data2025!X1080</f>
        <v>0</v>
      </c>
      <c r="X1081" s="268" t="s">
        <v>2529</v>
      </c>
      <c r="Y1081" s="268" t="str">
        <f t="shared" si="53"/>
        <v>Kudapan</v>
      </c>
      <c r="Z1081" s="649" t="str">
        <f t="shared" si="54"/>
        <v>Kudapan</v>
      </c>
      <c r="AA1081" s="650" t="s">
        <v>3362</v>
      </c>
      <c r="AB1081" s="269">
        <v>15000</v>
      </c>
      <c r="AC1081" s="269">
        <v>2250000</v>
      </c>
      <c r="AD1081" s="267">
        <v>2250000</v>
      </c>
      <c r="AE1081" s="270">
        <v>2027027.027027027</v>
      </c>
      <c r="AF1081" s="270">
        <v>2250000</v>
      </c>
      <c r="AG1081" s="805" t="s">
        <v>3883</v>
      </c>
      <c r="AH1081" s="651">
        <f>Data2025!W1080</f>
        <v>0</v>
      </c>
      <c r="AI1081" s="61">
        <v>338</v>
      </c>
    </row>
    <row r="1082" spans="1:35" ht="16.5" thickTop="1" thickBot="1">
      <c r="A1082" s="636">
        <f>Data2025!G1081</f>
        <v>0</v>
      </c>
      <c r="B1082" s="637">
        <f>Data2025!K1081</f>
        <v>0</v>
      </c>
      <c r="C1082" s="638">
        <f>Data2025!D1081</f>
        <v>0</v>
      </c>
      <c r="D1082" s="639">
        <f>Data2025!C1081</f>
        <v>0</v>
      </c>
      <c r="E1082" s="265">
        <f>Data2025!E1081</f>
        <v>0</v>
      </c>
      <c r="F1082" s="640">
        <f>Data2025!F1081</f>
        <v>0</v>
      </c>
      <c r="G1082" s="265">
        <f>Data2025!H1081</f>
        <v>0</v>
      </c>
      <c r="H1082" s="265">
        <f t="shared" si="52"/>
        <v>0</v>
      </c>
      <c r="I1082" s="641">
        <f>Data2025!J1081</f>
        <v>0</v>
      </c>
      <c r="J1082" s="381">
        <f>Data2025!L1081</f>
        <v>0</v>
      </c>
      <c r="K1082" s="381">
        <f>Data2025!M1081</f>
        <v>0</v>
      </c>
      <c r="L1082" s="642">
        <f>Data2025!N1081</f>
        <v>0</v>
      </c>
      <c r="M1082" s="642">
        <f>Data2025!O1081</f>
        <v>0</v>
      </c>
      <c r="N1082" s="643">
        <f>Data2025!P1081</f>
        <v>0</v>
      </c>
      <c r="O1082" s="644">
        <f>Data2025!Q1081</f>
        <v>0</v>
      </c>
      <c r="P1082" s="645" t="s">
        <v>8</v>
      </c>
      <c r="Q1082" s="646" t="e">
        <f>VLOOKUP(K1082,Sheet1!$C$1:$D$101,2,)</f>
        <v>#N/A</v>
      </c>
      <c r="R1082" s="267">
        <v>6000000</v>
      </c>
      <c r="S1082" s="647">
        <v>6300000</v>
      </c>
      <c r="T1082" s="648">
        <f>Data2025!T1081</f>
        <v>0</v>
      </c>
      <c r="U1082" s="268" t="s">
        <v>2520</v>
      </c>
      <c r="V1082" s="648">
        <f>Data2025!V1081</f>
        <v>0</v>
      </c>
      <c r="W1082" s="648">
        <f>Data2025!X1081</f>
        <v>0</v>
      </c>
      <c r="X1082" s="268" t="s">
        <v>3391</v>
      </c>
      <c r="Y1082" s="268" t="str">
        <f t="shared" si="53"/>
        <v>Konsumsi</v>
      </c>
      <c r="Z1082" s="649" t="str">
        <f t="shared" si="54"/>
        <v>Konsumsi</v>
      </c>
      <c r="AA1082" s="650" t="s">
        <v>3362</v>
      </c>
      <c r="AB1082" s="269">
        <v>40000</v>
      </c>
      <c r="AC1082" s="269">
        <v>6000000</v>
      </c>
      <c r="AD1082" s="267">
        <v>6000000</v>
      </c>
      <c r="AE1082" s="270">
        <v>5405405.4054054059</v>
      </c>
      <c r="AF1082" s="270">
        <v>6000000</v>
      </c>
      <c r="AG1082" s="805" t="s">
        <v>3883</v>
      </c>
      <c r="AH1082" s="651">
        <f>Data2025!W1081</f>
        <v>0</v>
      </c>
      <c r="AI1082" s="61">
        <v>339</v>
      </c>
    </row>
    <row r="1083" spans="1:35" ht="16.5" thickTop="1" thickBot="1">
      <c r="A1083" s="636">
        <f>Data2025!G1082</f>
        <v>0</v>
      </c>
      <c r="B1083" s="637">
        <f>Data2025!K1082</f>
        <v>0</v>
      </c>
      <c r="C1083" s="638">
        <f>Data2025!D1082</f>
        <v>0</v>
      </c>
      <c r="D1083" s="639">
        <f>Data2025!C1082</f>
        <v>0</v>
      </c>
      <c r="E1083" s="265">
        <f>Data2025!E1082</f>
        <v>0</v>
      </c>
      <c r="F1083" s="640">
        <f>Data2025!F1082</f>
        <v>0</v>
      </c>
      <c r="G1083" s="265">
        <f>Data2025!H1082</f>
        <v>0</v>
      </c>
      <c r="H1083" s="265">
        <f t="shared" si="52"/>
        <v>0</v>
      </c>
      <c r="I1083" s="641">
        <f>Data2025!J1082</f>
        <v>0</v>
      </c>
      <c r="J1083" s="381">
        <f>Data2025!L1082</f>
        <v>0</v>
      </c>
      <c r="K1083" s="381">
        <f>Data2025!M1082</f>
        <v>0</v>
      </c>
      <c r="L1083" s="642">
        <f>Data2025!N1082</f>
        <v>0</v>
      </c>
      <c r="M1083" s="642">
        <f>Data2025!O1082</f>
        <v>0</v>
      </c>
      <c r="N1083" s="643">
        <f>Data2025!P1082</f>
        <v>0</v>
      </c>
      <c r="O1083" s="644">
        <f>Data2025!Q1082</f>
        <v>0</v>
      </c>
      <c r="P1083" s="645" t="s">
        <v>280</v>
      </c>
      <c r="Q1083" s="646" t="e">
        <f>VLOOKUP(K1083,Sheet1!$C$1:$D$101,2,)</f>
        <v>#N/A</v>
      </c>
      <c r="R1083" s="267">
        <v>1500000</v>
      </c>
      <c r="S1083" s="647">
        <v>1700000</v>
      </c>
      <c r="T1083" s="648">
        <f>Data2025!T1082</f>
        <v>0</v>
      </c>
      <c r="U1083" s="268" t="s">
        <v>2531</v>
      </c>
      <c r="V1083" s="648">
        <f>Data2025!V1082</f>
        <v>0</v>
      </c>
      <c r="W1083" s="648">
        <f>Data2025!X1082</f>
        <v>0</v>
      </c>
      <c r="X1083" s="268" t="s">
        <v>2529</v>
      </c>
      <c r="Y1083" s="268" t="str">
        <f t="shared" si="53"/>
        <v>Kudapan</v>
      </c>
      <c r="Z1083" s="649" t="str">
        <f t="shared" si="54"/>
        <v>Kudapan</v>
      </c>
      <c r="AA1083" s="650" t="s">
        <v>3362</v>
      </c>
      <c r="AB1083" s="269">
        <v>15000</v>
      </c>
      <c r="AC1083" s="269">
        <v>1500000</v>
      </c>
      <c r="AD1083" s="267">
        <v>1500000</v>
      </c>
      <c r="AE1083" s="270">
        <v>1351351.3513513515</v>
      </c>
      <c r="AF1083" s="270">
        <v>1500000</v>
      </c>
      <c r="AG1083" s="805" t="s">
        <v>3883</v>
      </c>
      <c r="AH1083" s="651">
        <f>Data2025!W1082</f>
        <v>0</v>
      </c>
      <c r="AI1083" s="61">
        <v>340</v>
      </c>
    </row>
    <row r="1084" spans="1:35" ht="16.5" thickTop="1" thickBot="1">
      <c r="A1084" s="636">
        <f>Data2025!G1083</f>
        <v>0</v>
      </c>
      <c r="B1084" s="637">
        <f>Data2025!K1083</f>
        <v>0</v>
      </c>
      <c r="C1084" s="638">
        <f>Data2025!D1083</f>
        <v>0</v>
      </c>
      <c r="D1084" s="639">
        <f>Data2025!C1083</f>
        <v>0</v>
      </c>
      <c r="E1084" s="265">
        <f>Data2025!E1083</f>
        <v>0</v>
      </c>
      <c r="F1084" s="640">
        <f>Data2025!F1083</f>
        <v>0</v>
      </c>
      <c r="G1084" s="265">
        <f>Data2025!H1083</f>
        <v>0</v>
      </c>
      <c r="H1084" s="265">
        <f t="shared" si="52"/>
        <v>0</v>
      </c>
      <c r="I1084" s="641">
        <f>Data2025!J1083</f>
        <v>0</v>
      </c>
      <c r="J1084" s="381">
        <f>Data2025!L1083</f>
        <v>0</v>
      </c>
      <c r="K1084" s="381">
        <f>Data2025!M1083</f>
        <v>0</v>
      </c>
      <c r="L1084" s="642">
        <f>Data2025!N1083</f>
        <v>0</v>
      </c>
      <c r="M1084" s="642">
        <f>Data2025!O1083</f>
        <v>0</v>
      </c>
      <c r="N1084" s="643">
        <f>Data2025!P1083</f>
        <v>0</v>
      </c>
      <c r="O1084" s="644">
        <f>Data2025!Q1083</f>
        <v>0</v>
      </c>
      <c r="P1084" s="645" t="s">
        <v>8</v>
      </c>
      <c r="Q1084" s="646" t="e">
        <f>VLOOKUP(K1084,Sheet1!$C$1:$D$101,2,)</f>
        <v>#N/A</v>
      </c>
      <c r="R1084" s="267">
        <v>4000000</v>
      </c>
      <c r="S1084" s="647">
        <v>4200000</v>
      </c>
      <c r="T1084" s="648">
        <f>Data2025!T1083</f>
        <v>0</v>
      </c>
      <c r="U1084" s="268" t="s">
        <v>2520</v>
      </c>
      <c r="V1084" s="648">
        <f>Data2025!V1083</f>
        <v>0</v>
      </c>
      <c r="W1084" s="648">
        <f>Data2025!X1083</f>
        <v>0</v>
      </c>
      <c r="X1084" s="268" t="s">
        <v>3391</v>
      </c>
      <c r="Y1084" s="268" t="str">
        <f t="shared" si="53"/>
        <v>Konsumsi</v>
      </c>
      <c r="Z1084" s="649" t="str">
        <f t="shared" si="54"/>
        <v>Konsumsi</v>
      </c>
      <c r="AA1084" s="650" t="s">
        <v>3362</v>
      </c>
      <c r="AB1084" s="269">
        <v>40000</v>
      </c>
      <c r="AC1084" s="269">
        <v>4000000</v>
      </c>
      <c r="AD1084" s="267">
        <v>4000000</v>
      </c>
      <c r="AE1084" s="270">
        <v>3603603.6036036038</v>
      </c>
      <c r="AF1084" s="270">
        <v>4000000</v>
      </c>
      <c r="AG1084" s="805" t="s">
        <v>3883</v>
      </c>
      <c r="AH1084" s="651">
        <f>Data2025!W1083</f>
        <v>0</v>
      </c>
      <c r="AI1084" s="61">
        <v>341</v>
      </c>
    </row>
    <row r="1085" spans="1:35" ht="30" thickTop="1" thickBot="1">
      <c r="A1085" s="636">
        <f>Data2025!G1084</f>
        <v>0</v>
      </c>
      <c r="B1085" s="637">
        <f>Data2025!K1084</f>
        <v>0</v>
      </c>
      <c r="C1085" s="638">
        <f>Data2025!D1084</f>
        <v>0</v>
      </c>
      <c r="D1085" s="639">
        <f>Data2025!C1084</f>
        <v>0</v>
      </c>
      <c r="E1085" s="265">
        <f>Data2025!E1084</f>
        <v>0</v>
      </c>
      <c r="F1085" s="640">
        <f>Data2025!F1084</f>
        <v>0</v>
      </c>
      <c r="G1085" s="265">
        <f>Data2025!H1084</f>
        <v>0</v>
      </c>
      <c r="H1085" s="265">
        <f t="shared" si="52"/>
        <v>0</v>
      </c>
      <c r="I1085" s="641">
        <f>Data2025!J1084</f>
        <v>0</v>
      </c>
      <c r="J1085" s="381">
        <f>Data2025!L1084</f>
        <v>0</v>
      </c>
      <c r="K1085" s="381">
        <f>Data2025!M1084</f>
        <v>0</v>
      </c>
      <c r="L1085" s="642">
        <f>Data2025!N1084</f>
        <v>0</v>
      </c>
      <c r="M1085" s="642">
        <f>Data2025!O1084</f>
        <v>0</v>
      </c>
      <c r="N1085" s="643">
        <f>Data2025!P1084</f>
        <v>0</v>
      </c>
      <c r="O1085" s="644">
        <f>Data2025!Q1084</f>
        <v>0</v>
      </c>
      <c r="P1085" s="645" t="s">
        <v>2650</v>
      </c>
      <c r="Q1085" s="646" t="e">
        <f>VLOOKUP(K1085,Sheet1!$C$1:$D$101,2,)</f>
        <v>#N/A</v>
      </c>
      <c r="R1085" s="267">
        <v>600000</v>
      </c>
      <c r="S1085" s="647">
        <v>604000</v>
      </c>
      <c r="T1085" s="648">
        <f>Data2025!T1084</f>
        <v>0</v>
      </c>
      <c r="U1085" s="268" t="s">
        <v>1040</v>
      </c>
      <c r="V1085" s="648">
        <f>Data2025!V1084</f>
        <v>0</v>
      </c>
      <c r="W1085" s="648">
        <f>Data2025!X1084</f>
        <v>0</v>
      </c>
      <c r="X1085" s="523" t="s">
        <v>541</v>
      </c>
      <c r="Y1085" s="268" t="str">
        <f t="shared" si="53"/>
        <v>Percetakan</v>
      </c>
      <c r="Z1085" s="649" t="str">
        <f t="shared" si="54"/>
        <v>Percetakan</v>
      </c>
      <c r="AA1085" s="650" t="s">
        <v>3363</v>
      </c>
      <c r="AB1085" s="269">
        <v>300000</v>
      </c>
      <c r="AC1085" s="269">
        <v>600000</v>
      </c>
      <c r="AD1085" s="267">
        <v>600000</v>
      </c>
      <c r="AE1085" s="270">
        <v>540540.54054054059</v>
      </c>
      <c r="AF1085" s="270">
        <v>600000</v>
      </c>
      <c r="AG1085" s="805" t="s">
        <v>3883</v>
      </c>
      <c r="AH1085" s="651">
        <f>Data2025!W1084</f>
        <v>0</v>
      </c>
      <c r="AI1085" s="61">
        <v>342</v>
      </c>
    </row>
    <row r="1086" spans="1:35" ht="16.5" thickTop="1" thickBot="1">
      <c r="A1086" s="636">
        <f>Data2025!G1085</f>
        <v>0</v>
      </c>
      <c r="B1086" s="637">
        <f>Data2025!K1085</f>
        <v>0</v>
      </c>
      <c r="C1086" s="638">
        <f>Data2025!D1085</f>
        <v>0</v>
      </c>
      <c r="D1086" s="639">
        <f>Data2025!C1085</f>
        <v>0</v>
      </c>
      <c r="E1086" s="265">
        <f>Data2025!E1085</f>
        <v>0</v>
      </c>
      <c r="F1086" s="640">
        <f>Data2025!F1085</f>
        <v>0</v>
      </c>
      <c r="G1086" s="265">
        <f>Data2025!H1085</f>
        <v>0</v>
      </c>
      <c r="H1086" s="265">
        <f t="shared" si="52"/>
        <v>0</v>
      </c>
      <c r="I1086" s="641">
        <f>Data2025!J1085</f>
        <v>0</v>
      </c>
      <c r="J1086" s="381">
        <f>Data2025!L1085</f>
        <v>0</v>
      </c>
      <c r="K1086" s="381">
        <f>Data2025!M1085</f>
        <v>0</v>
      </c>
      <c r="L1086" s="642">
        <f>Data2025!N1085</f>
        <v>0</v>
      </c>
      <c r="M1086" s="642">
        <f>Data2025!O1085</f>
        <v>0</v>
      </c>
      <c r="N1086" s="643">
        <f>Data2025!P1085</f>
        <v>0</v>
      </c>
      <c r="O1086" s="644">
        <f>Data2025!Q1085</f>
        <v>0</v>
      </c>
      <c r="P1086" s="645" t="s">
        <v>2664</v>
      </c>
      <c r="Q1086" s="646" t="e">
        <f>VLOOKUP(K1086,Sheet1!$C$1:$D$101,2,)</f>
        <v>#N/A</v>
      </c>
      <c r="R1086" s="267">
        <v>2000000</v>
      </c>
      <c r="S1086" s="647">
        <v>2002000</v>
      </c>
      <c r="T1086" s="648">
        <f>Data2025!T1085</f>
        <v>0</v>
      </c>
      <c r="U1086" s="268" t="s">
        <v>2531</v>
      </c>
      <c r="V1086" s="648">
        <f>Data2025!V1085</f>
        <v>0</v>
      </c>
      <c r="W1086" s="648">
        <f>Data2025!X1085</f>
        <v>0</v>
      </c>
      <c r="Y1086" s="268" t="str">
        <f t="shared" si="53"/>
        <v>Jasa PLN</v>
      </c>
      <c r="Z1086" s="649" t="str">
        <f t="shared" si="54"/>
        <v>Jasa PLN</v>
      </c>
      <c r="AA1086" s="650" t="s">
        <v>3373</v>
      </c>
      <c r="AB1086" s="269">
        <v>2000000</v>
      </c>
      <c r="AC1086" s="269">
        <v>2000000</v>
      </c>
      <c r="AD1086" s="267">
        <v>2000000</v>
      </c>
      <c r="AE1086" s="270">
        <v>1801801.8018018019</v>
      </c>
      <c r="AF1086" s="270">
        <v>2000000</v>
      </c>
      <c r="AG1086" s="805" t="s">
        <v>3883</v>
      </c>
      <c r="AH1086" s="651">
        <f>Data2025!W1085</f>
        <v>0</v>
      </c>
      <c r="AI1086" s="61">
        <v>343</v>
      </c>
    </row>
    <row r="1087" spans="1:35" ht="16.5" thickTop="1" thickBot="1">
      <c r="A1087" s="636">
        <f>Data2025!G1086</f>
        <v>0</v>
      </c>
      <c r="B1087" s="637">
        <f>Data2025!K1086</f>
        <v>0</v>
      </c>
      <c r="C1087" s="638">
        <f>Data2025!D1086</f>
        <v>0</v>
      </c>
      <c r="D1087" s="639">
        <f>Data2025!C1086</f>
        <v>0</v>
      </c>
      <c r="E1087" s="265">
        <f>Data2025!E1086</f>
        <v>0</v>
      </c>
      <c r="F1087" s="640">
        <f>Data2025!F1086</f>
        <v>0</v>
      </c>
      <c r="G1087" s="265">
        <f>Data2025!H1086</f>
        <v>0</v>
      </c>
      <c r="H1087" s="265">
        <f t="shared" si="52"/>
        <v>0</v>
      </c>
      <c r="I1087" s="641">
        <f>Data2025!J1086</f>
        <v>0</v>
      </c>
      <c r="J1087" s="381">
        <f>Data2025!L1086</f>
        <v>0</v>
      </c>
      <c r="K1087" s="381">
        <f>Data2025!M1086</f>
        <v>0</v>
      </c>
      <c r="L1087" s="642">
        <f>Data2025!N1086</f>
        <v>0</v>
      </c>
      <c r="M1087" s="642">
        <f>Data2025!O1086</f>
        <v>0</v>
      </c>
      <c r="N1087" s="643">
        <f>Data2025!P1086</f>
        <v>0</v>
      </c>
      <c r="O1087" s="644">
        <f>Data2025!Q1086</f>
        <v>0</v>
      </c>
      <c r="P1087" s="645" t="s">
        <v>2668</v>
      </c>
      <c r="Q1087" s="646" t="e">
        <f>VLOOKUP(K1087,Sheet1!$C$1:$D$101,2,)</f>
        <v>#N/A</v>
      </c>
      <c r="R1087" s="267">
        <v>1500000</v>
      </c>
      <c r="S1087" s="647">
        <v>1502000</v>
      </c>
      <c r="T1087" s="648">
        <f>Data2025!T1086</f>
        <v>0</v>
      </c>
      <c r="U1087" s="268" t="s">
        <v>2531</v>
      </c>
      <c r="V1087" s="648">
        <f>Data2025!V1086</f>
        <v>0</v>
      </c>
      <c r="W1087" s="648">
        <f>Data2025!X1086</f>
        <v>0</v>
      </c>
      <c r="Y1087" s="268" t="str">
        <f t="shared" si="53"/>
        <v>Jasa Internet</v>
      </c>
      <c r="Z1087" s="649" t="str">
        <f t="shared" si="54"/>
        <v>Jasa Internet</v>
      </c>
      <c r="AA1087" s="650" t="s">
        <v>3373</v>
      </c>
      <c r="AB1087" s="269">
        <v>1500000</v>
      </c>
      <c r="AC1087" s="269">
        <v>1500000</v>
      </c>
      <c r="AD1087" s="267">
        <v>1500000</v>
      </c>
      <c r="AE1087" s="270">
        <v>1351351.3513513515</v>
      </c>
      <c r="AF1087" s="270">
        <v>1500000</v>
      </c>
      <c r="AG1087" s="805" t="s">
        <v>3883</v>
      </c>
      <c r="AH1087" s="651">
        <f>Data2025!W1086</f>
        <v>0</v>
      </c>
      <c r="AI1087" s="61">
        <v>344</v>
      </c>
    </row>
    <row r="1088" spans="1:35" ht="16.5" thickTop="1" thickBot="1">
      <c r="A1088" s="636">
        <f>Data2025!G1087</f>
        <v>0</v>
      </c>
      <c r="B1088" s="637">
        <f>Data2025!K1087</f>
        <v>0</v>
      </c>
      <c r="C1088" s="638">
        <f>Data2025!D1087</f>
        <v>0</v>
      </c>
      <c r="D1088" s="639">
        <f>Data2025!C1087</f>
        <v>0</v>
      </c>
      <c r="E1088" s="265">
        <f>Data2025!E1087</f>
        <v>0</v>
      </c>
      <c r="F1088" s="640">
        <f>Data2025!F1087</f>
        <v>0</v>
      </c>
      <c r="G1088" s="265">
        <f>Data2025!H1087</f>
        <v>0</v>
      </c>
      <c r="H1088" s="265">
        <f t="shared" si="52"/>
        <v>0</v>
      </c>
      <c r="I1088" s="641">
        <f>Data2025!J1087</f>
        <v>0</v>
      </c>
      <c r="J1088" s="381">
        <f>Data2025!L1087</f>
        <v>0</v>
      </c>
      <c r="K1088" s="381">
        <f>Data2025!M1087</f>
        <v>0</v>
      </c>
      <c r="L1088" s="642">
        <f>Data2025!N1087</f>
        <v>0</v>
      </c>
      <c r="M1088" s="642">
        <f>Data2025!O1087</f>
        <v>0</v>
      </c>
      <c r="N1088" s="643">
        <f>Data2025!P1087</f>
        <v>0</v>
      </c>
      <c r="O1088" s="644">
        <f>Data2025!Q1087</f>
        <v>0</v>
      </c>
      <c r="P1088" s="645" t="s">
        <v>2675</v>
      </c>
      <c r="Q1088" s="646" t="e">
        <f>VLOOKUP(K1088,Sheet1!$C$1:$D$101,2,)</f>
        <v>#N/A</v>
      </c>
      <c r="R1088" s="267">
        <v>5337500</v>
      </c>
      <c r="S1088" s="647">
        <v>11136650</v>
      </c>
      <c r="T1088" s="648">
        <f>Data2025!T1087</f>
        <v>0</v>
      </c>
      <c r="U1088" s="268" t="s">
        <v>538</v>
      </c>
      <c r="V1088" s="648">
        <f>Data2025!V1087</f>
        <v>0</v>
      </c>
      <c r="W1088" s="648">
        <f>Data2025!X1087</f>
        <v>0</v>
      </c>
      <c r="X1088" s="268" t="s">
        <v>541</v>
      </c>
      <c r="Y1088" s="268" t="str">
        <f t="shared" si="53"/>
        <v>Penggandaan</v>
      </c>
      <c r="Z1088" s="649" t="str">
        <f t="shared" si="54"/>
        <v>Penggandaan</v>
      </c>
      <c r="AA1088" s="650" t="s">
        <v>3368</v>
      </c>
      <c r="AB1088" s="269">
        <v>350</v>
      </c>
      <c r="AC1088" s="269">
        <v>1658650</v>
      </c>
      <c r="AD1088" s="267">
        <v>5337500</v>
      </c>
      <c r="AE1088" s="270">
        <v>4808558.558558559</v>
      </c>
      <c r="AF1088" s="270">
        <v>5337500</v>
      </c>
      <c r="AG1088" s="805" t="s">
        <v>3883</v>
      </c>
      <c r="AH1088" s="651">
        <f>Data2025!W1087</f>
        <v>0</v>
      </c>
      <c r="AI1088" s="61">
        <v>345</v>
      </c>
    </row>
    <row r="1089" spans="1:35" ht="16.5" thickTop="1" thickBot="1">
      <c r="A1089" s="636">
        <f>Data2025!G1088</f>
        <v>0</v>
      </c>
      <c r="B1089" s="637">
        <f>Data2025!K1088</f>
        <v>0</v>
      </c>
      <c r="C1089" s="638">
        <f>Data2025!D1088</f>
        <v>0</v>
      </c>
      <c r="D1089" s="639">
        <f>Data2025!C1088</f>
        <v>0</v>
      </c>
      <c r="E1089" s="265">
        <f>Data2025!E1088</f>
        <v>0</v>
      </c>
      <c r="F1089" s="640">
        <f>Data2025!F1088</f>
        <v>0</v>
      </c>
      <c r="G1089" s="265">
        <f>Data2025!H1088</f>
        <v>0</v>
      </c>
      <c r="H1089" s="265">
        <f t="shared" si="52"/>
        <v>0</v>
      </c>
      <c r="I1089" s="641">
        <f>Data2025!J1088</f>
        <v>0</v>
      </c>
      <c r="J1089" s="381">
        <f>Data2025!L1088</f>
        <v>0</v>
      </c>
      <c r="K1089" s="381">
        <f>Data2025!M1088</f>
        <v>0</v>
      </c>
      <c r="L1089" s="642">
        <f>Data2025!N1088</f>
        <v>0</v>
      </c>
      <c r="M1089" s="642">
        <f>Data2025!O1088</f>
        <v>0</v>
      </c>
      <c r="N1089" s="643">
        <f>Data2025!P1088</f>
        <v>0</v>
      </c>
      <c r="O1089" s="644">
        <f>Data2025!Q1088</f>
        <v>0</v>
      </c>
      <c r="P1089" s="645" t="s">
        <v>2672</v>
      </c>
      <c r="Q1089" s="646" t="e">
        <f>VLOOKUP(K1089,Sheet1!$C$1:$D$101,2,)</f>
        <v>#N/A</v>
      </c>
      <c r="R1089" s="267">
        <v>1000000</v>
      </c>
      <c r="S1089" s="647">
        <v>1002000</v>
      </c>
      <c r="T1089" s="648">
        <f>Data2025!T1088</f>
        <v>0</v>
      </c>
      <c r="U1089" s="268" t="s">
        <v>2531</v>
      </c>
      <c r="V1089" s="648">
        <f>Data2025!V1088</f>
        <v>0</v>
      </c>
      <c r="W1089" s="648">
        <f>Data2025!X1088</f>
        <v>0</v>
      </c>
      <c r="Y1089" s="268" t="str">
        <f t="shared" si="53"/>
        <v>Jasa Tenaga Operator</v>
      </c>
      <c r="Z1089" s="649" t="str">
        <f t="shared" si="54"/>
        <v>Jasa Tenaga Operator</v>
      </c>
      <c r="AA1089" s="650" t="s">
        <v>3373</v>
      </c>
      <c r="AB1089" s="269">
        <v>1000000</v>
      </c>
      <c r="AC1089" s="269">
        <v>1000000</v>
      </c>
      <c r="AD1089" s="267">
        <v>1000000</v>
      </c>
      <c r="AE1089" s="270">
        <v>900900.90090090095</v>
      </c>
      <c r="AF1089" s="270">
        <v>1000000</v>
      </c>
      <c r="AG1089" s="805" t="s">
        <v>3883</v>
      </c>
      <c r="AH1089" s="651">
        <f>Data2025!W1088</f>
        <v>0</v>
      </c>
      <c r="AI1089" s="61">
        <v>346</v>
      </c>
    </row>
    <row r="1090" spans="1:35" ht="16.5" thickTop="1" thickBot="1">
      <c r="A1090" s="636">
        <f>Data2025!G1089</f>
        <v>0</v>
      </c>
      <c r="B1090" s="637">
        <f>Data2025!K1089</f>
        <v>0</v>
      </c>
      <c r="C1090" s="638">
        <f>Data2025!D1089</f>
        <v>0</v>
      </c>
      <c r="D1090" s="639">
        <f>Data2025!C1089</f>
        <v>0</v>
      </c>
      <c r="E1090" s="265">
        <f>Data2025!E1089</f>
        <v>0</v>
      </c>
      <c r="F1090" s="640">
        <f>Data2025!F1089</f>
        <v>0</v>
      </c>
      <c r="G1090" s="265">
        <f>Data2025!H1089</f>
        <v>0</v>
      </c>
      <c r="H1090" s="265">
        <f t="shared" si="52"/>
        <v>0</v>
      </c>
      <c r="I1090" s="641">
        <f>Data2025!J1089</f>
        <v>0</v>
      </c>
      <c r="J1090" s="381">
        <f>Data2025!L1089</f>
        <v>0</v>
      </c>
      <c r="K1090" s="381">
        <f>Data2025!M1089</f>
        <v>0</v>
      </c>
      <c r="L1090" s="642">
        <f>Data2025!N1089</f>
        <v>0</v>
      </c>
      <c r="M1090" s="642">
        <f>Data2025!O1089</f>
        <v>0</v>
      </c>
      <c r="N1090" s="643">
        <f>Data2025!P1089</f>
        <v>0</v>
      </c>
      <c r="O1090" s="644">
        <f>Data2025!Q1089</f>
        <v>0</v>
      </c>
      <c r="P1090" s="645" t="s">
        <v>2713</v>
      </c>
      <c r="Q1090" s="646" t="e">
        <f>VLOOKUP(K1090,Sheet1!$C$1:$D$101,2,)</f>
        <v>#N/A</v>
      </c>
      <c r="R1090" s="496">
        <v>1000000</v>
      </c>
      <c r="S1090" s="504">
        <v>1002000</v>
      </c>
      <c r="T1090" s="648">
        <f>Data2025!T1089</f>
        <v>0</v>
      </c>
      <c r="U1090" s="497" t="s">
        <v>2531</v>
      </c>
      <c r="V1090" s="648">
        <f>Data2025!V1089</f>
        <v>0</v>
      </c>
      <c r="W1090" s="648">
        <f>Data2025!X1089</f>
        <v>0</v>
      </c>
      <c r="Y1090" s="268" t="str">
        <f t="shared" si="53"/>
        <v>Jasa Tenaga Kebersihan</v>
      </c>
      <c r="Z1090" s="649" t="str">
        <f t="shared" si="54"/>
        <v>Jasa Tenaga Kebersihan</v>
      </c>
      <c r="AA1090" s="498" t="s">
        <v>3373</v>
      </c>
      <c r="AB1090" s="499">
        <v>1000000</v>
      </c>
      <c r="AC1090" s="499">
        <v>1000000</v>
      </c>
      <c r="AD1090" s="496">
        <v>1000000</v>
      </c>
      <c r="AE1090" s="500">
        <v>900900.90090090095</v>
      </c>
      <c r="AF1090" s="500">
        <v>1000000</v>
      </c>
      <c r="AG1090" s="805" t="s">
        <v>3883</v>
      </c>
      <c r="AH1090" s="651">
        <f>Data2025!W1089</f>
        <v>0</v>
      </c>
      <c r="AI1090" s="61">
        <v>347</v>
      </c>
    </row>
    <row r="1091" spans="1:35" ht="16.5" thickTop="1" thickBot="1">
      <c r="A1091" s="636">
        <f>Data2025!G1090</f>
        <v>0</v>
      </c>
      <c r="B1091" s="637">
        <f>Data2025!K1090</f>
        <v>0</v>
      </c>
      <c r="C1091" s="638">
        <f>Data2025!D1090</f>
        <v>0</v>
      </c>
      <c r="D1091" s="639">
        <f>Data2025!C1090</f>
        <v>0</v>
      </c>
      <c r="E1091" s="265">
        <f>Data2025!E1090</f>
        <v>0</v>
      </c>
      <c r="F1091" s="640">
        <f>Data2025!F1090</f>
        <v>0</v>
      </c>
      <c r="G1091" s="265">
        <f>Data2025!H1090</f>
        <v>0</v>
      </c>
      <c r="H1091" s="265">
        <f t="shared" si="52"/>
        <v>0</v>
      </c>
      <c r="I1091" s="641">
        <f>Data2025!J1090</f>
        <v>0</v>
      </c>
      <c r="J1091" s="381">
        <f>Data2025!L1090</f>
        <v>0</v>
      </c>
      <c r="K1091" s="381">
        <f>Data2025!M1090</f>
        <v>0</v>
      </c>
      <c r="L1091" s="642">
        <f>Data2025!N1090</f>
        <v>0</v>
      </c>
      <c r="M1091" s="642">
        <f>Data2025!O1090</f>
        <v>0</v>
      </c>
      <c r="N1091" s="643">
        <f>Data2025!P1090</f>
        <v>0</v>
      </c>
      <c r="O1091" s="644">
        <f>Data2025!Q1090</f>
        <v>0</v>
      </c>
      <c r="P1091" s="645" t="s">
        <v>2682</v>
      </c>
      <c r="Q1091" s="646" t="e">
        <f>VLOOKUP(K1091,Sheet1!$C$1:$D$101,2,)</f>
        <v>#N/A</v>
      </c>
      <c r="R1091" s="496">
        <v>2700000</v>
      </c>
      <c r="S1091" s="504">
        <v>2541000</v>
      </c>
      <c r="T1091" s="648">
        <f>Data2025!T1090</f>
        <v>0</v>
      </c>
      <c r="U1091" s="497" t="s">
        <v>2531</v>
      </c>
      <c r="V1091" s="648">
        <f>Data2025!V1090</f>
        <v>0</v>
      </c>
      <c r="W1091" s="648">
        <f>Data2025!X1090</f>
        <v>0</v>
      </c>
      <c r="Y1091" s="268" t="str">
        <f t="shared" si="53"/>
        <v>Jasa Tenaga Pengajar</v>
      </c>
      <c r="Z1091" s="649" t="str">
        <f t="shared" si="54"/>
        <v>Jasa Tenaga Pengajar</v>
      </c>
      <c r="AA1091" s="498" t="s">
        <v>3374</v>
      </c>
      <c r="AB1091" s="499">
        <v>75000</v>
      </c>
      <c r="AC1091" s="499">
        <v>2475000</v>
      </c>
      <c r="AD1091" s="496">
        <v>2700000</v>
      </c>
      <c r="AE1091" s="500">
        <v>2432432.4324324327</v>
      </c>
      <c r="AF1091" s="500">
        <v>2700000</v>
      </c>
      <c r="AG1091" s="805" t="s">
        <v>3883</v>
      </c>
      <c r="AH1091" s="651">
        <f>Data2025!W1090</f>
        <v>0</v>
      </c>
      <c r="AI1091" s="61">
        <v>348</v>
      </c>
    </row>
    <row r="1092" spans="1:35" ht="16.5" thickTop="1" thickBot="1">
      <c r="A1092" s="636">
        <f>Data2025!G1091</f>
        <v>0</v>
      </c>
      <c r="B1092" s="637">
        <f>Data2025!K1091</f>
        <v>0</v>
      </c>
      <c r="C1092" s="638">
        <f>Data2025!D1091</f>
        <v>0</v>
      </c>
      <c r="D1092" s="639">
        <f>Data2025!C1091</f>
        <v>0</v>
      </c>
      <c r="E1092" s="265">
        <f>Data2025!E1091</f>
        <v>0</v>
      </c>
      <c r="F1092" s="640">
        <f>Data2025!F1091</f>
        <v>0</v>
      </c>
      <c r="G1092" s="265">
        <f>Data2025!H1091</f>
        <v>0</v>
      </c>
      <c r="H1092" s="265">
        <f t="shared" si="52"/>
        <v>0</v>
      </c>
      <c r="I1092" s="641">
        <f>Data2025!J1091</f>
        <v>0</v>
      </c>
      <c r="J1092" s="381">
        <f>Data2025!L1091</f>
        <v>0</v>
      </c>
      <c r="K1092" s="381">
        <f>Data2025!M1091</f>
        <v>0</v>
      </c>
      <c r="L1092" s="642">
        <f>Data2025!N1091</f>
        <v>0</v>
      </c>
      <c r="M1092" s="642">
        <f>Data2025!O1091</f>
        <v>0</v>
      </c>
      <c r="N1092" s="643">
        <f>Data2025!P1091</f>
        <v>0</v>
      </c>
      <c r="O1092" s="644">
        <f>Data2025!Q1091</f>
        <v>0</v>
      </c>
      <c r="P1092" s="645" t="s">
        <v>2682</v>
      </c>
      <c r="Q1092" s="646" t="e">
        <f>VLOOKUP(K1092,Sheet1!$C$1:$D$101,2,)</f>
        <v>#N/A</v>
      </c>
      <c r="R1092" s="496">
        <v>2400000</v>
      </c>
      <c r="S1092" s="504">
        <v>2618000</v>
      </c>
      <c r="T1092" s="648">
        <f>Data2025!T1091</f>
        <v>0</v>
      </c>
      <c r="U1092" s="497" t="s">
        <v>2531</v>
      </c>
      <c r="V1092" s="648">
        <f>Data2025!V1091</f>
        <v>0</v>
      </c>
      <c r="W1092" s="648">
        <f>Data2025!X1091</f>
        <v>0</v>
      </c>
      <c r="Y1092" s="268" t="str">
        <f t="shared" si="53"/>
        <v>Jasa Tenaga Pengajar</v>
      </c>
      <c r="Z1092" s="649" t="str">
        <f t="shared" si="54"/>
        <v>Jasa Tenaga Pengajar</v>
      </c>
      <c r="AA1092" s="498" t="s">
        <v>3374</v>
      </c>
      <c r="AB1092" s="499">
        <v>75000</v>
      </c>
      <c r="AC1092" s="499">
        <v>2550000</v>
      </c>
      <c r="AD1092" s="496">
        <v>2400000</v>
      </c>
      <c r="AE1092" s="500">
        <v>2162162.1621621624</v>
      </c>
      <c r="AF1092" s="500">
        <v>2400000</v>
      </c>
      <c r="AG1092" s="805" t="s">
        <v>3883</v>
      </c>
      <c r="AH1092" s="651">
        <f>Data2025!W1091</f>
        <v>0</v>
      </c>
      <c r="AI1092" s="61">
        <v>349</v>
      </c>
    </row>
    <row r="1093" spans="1:35" ht="16.5" thickTop="1" thickBot="1">
      <c r="A1093" s="636">
        <f>Data2025!G1092</f>
        <v>0</v>
      </c>
      <c r="B1093" s="637">
        <f>Data2025!K1092</f>
        <v>0</v>
      </c>
      <c r="C1093" s="638">
        <f>Data2025!D1092</f>
        <v>0</v>
      </c>
      <c r="D1093" s="639">
        <f>Data2025!C1092</f>
        <v>0</v>
      </c>
      <c r="E1093" s="265">
        <f>Data2025!E1092</f>
        <v>0</v>
      </c>
      <c r="F1093" s="640">
        <f>Data2025!F1092</f>
        <v>0</v>
      </c>
      <c r="G1093" s="265">
        <f>Data2025!H1092</f>
        <v>0</v>
      </c>
      <c r="H1093" s="265">
        <f t="shared" ref="H1093:H1156" si="55">G1093</f>
        <v>0</v>
      </c>
      <c r="I1093" s="641">
        <f>Data2025!J1092</f>
        <v>0</v>
      </c>
      <c r="J1093" s="381">
        <f>Data2025!L1092</f>
        <v>0</v>
      </c>
      <c r="K1093" s="381">
        <f>Data2025!M1092</f>
        <v>0</v>
      </c>
      <c r="L1093" s="642">
        <f>Data2025!N1092</f>
        <v>0</v>
      </c>
      <c r="M1093" s="642">
        <f>Data2025!O1092</f>
        <v>0</v>
      </c>
      <c r="N1093" s="643">
        <f>Data2025!P1092</f>
        <v>0</v>
      </c>
      <c r="O1093" s="644">
        <f>Data2025!Q1092</f>
        <v>0</v>
      </c>
      <c r="P1093" s="645" t="s">
        <v>2682</v>
      </c>
      <c r="Q1093" s="646" t="e">
        <f>VLOOKUP(K1093,Sheet1!$C$1:$D$101,2,)</f>
        <v>#N/A</v>
      </c>
      <c r="R1093" s="496">
        <v>2175000</v>
      </c>
      <c r="S1093" s="504">
        <v>2310000</v>
      </c>
      <c r="T1093" s="648">
        <f>Data2025!T1092</f>
        <v>0</v>
      </c>
      <c r="U1093" s="497" t="s">
        <v>2531</v>
      </c>
      <c r="V1093" s="648">
        <f>Data2025!V1092</f>
        <v>0</v>
      </c>
      <c r="W1093" s="648">
        <f>Data2025!X1092</f>
        <v>0</v>
      </c>
      <c r="Y1093" s="268" t="str">
        <f t="shared" ref="Y1093:Y1156" si="56">P1093</f>
        <v>Jasa Tenaga Pengajar</v>
      </c>
      <c r="Z1093" s="649" t="str">
        <f t="shared" ref="Z1093:Z1156" si="57">Y1093</f>
        <v>Jasa Tenaga Pengajar</v>
      </c>
      <c r="AA1093" s="498" t="s">
        <v>3374</v>
      </c>
      <c r="AB1093" s="499">
        <v>75000</v>
      </c>
      <c r="AC1093" s="499">
        <v>2250000</v>
      </c>
      <c r="AD1093" s="496">
        <v>2175000</v>
      </c>
      <c r="AE1093" s="500">
        <v>1959459.4594594594</v>
      </c>
      <c r="AF1093" s="500">
        <v>2175000</v>
      </c>
      <c r="AG1093" s="805" t="s">
        <v>3883</v>
      </c>
      <c r="AH1093" s="651">
        <f>Data2025!W1092</f>
        <v>0</v>
      </c>
      <c r="AI1093" s="61">
        <v>350</v>
      </c>
    </row>
    <row r="1094" spans="1:35" ht="16.5" thickTop="1" thickBot="1">
      <c r="A1094" s="636">
        <f>Data2025!G1093</f>
        <v>0</v>
      </c>
      <c r="B1094" s="637">
        <f>Data2025!K1093</f>
        <v>0</v>
      </c>
      <c r="C1094" s="638">
        <f>Data2025!D1093</f>
        <v>0</v>
      </c>
      <c r="D1094" s="639">
        <f>Data2025!C1093</f>
        <v>0</v>
      </c>
      <c r="E1094" s="265">
        <f>Data2025!E1093</f>
        <v>0</v>
      </c>
      <c r="F1094" s="640">
        <f>Data2025!F1093</f>
        <v>0</v>
      </c>
      <c r="G1094" s="265">
        <f>Data2025!H1093</f>
        <v>0</v>
      </c>
      <c r="H1094" s="265">
        <f t="shared" si="55"/>
        <v>0</v>
      </c>
      <c r="I1094" s="641">
        <f>Data2025!J1093</f>
        <v>0</v>
      </c>
      <c r="J1094" s="381">
        <f>Data2025!L1093</f>
        <v>0</v>
      </c>
      <c r="K1094" s="381">
        <f>Data2025!M1093</f>
        <v>0</v>
      </c>
      <c r="L1094" s="642">
        <f>Data2025!N1093</f>
        <v>0</v>
      </c>
      <c r="M1094" s="642">
        <f>Data2025!O1093</f>
        <v>0</v>
      </c>
      <c r="N1094" s="643">
        <f>Data2025!P1093</f>
        <v>0</v>
      </c>
      <c r="O1094" s="644">
        <f>Data2025!Q1093</f>
        <v>0</v>
      </c>
      <c r="P1094" s="645" t="s">
        <v>2682</v>
      </c>
      <c r="Q1094" s="646" t="e">
        <f>VLOOKUP(K1094,Sheet1!$C$1:$D$101,2,)</f>
        <v>#N/A</v>
      </c>
      <c r="R1094" s="496">
        <v>2625000</v>
      </c>
      <c r="S1094" s="504">
        <v>2541000</v>
      </c>
      <c r="T1094" s="648">
        <f>Data2025!T1093</f>
        <v>0</v>
      </c>
      <c r="U1094" s="497" t="s">
        <v>2531</v>
      </c>
      <c r="V1094" s="648">
        <f>Data2025!V1093</f>
        <v>0</v>
      </c>
      <c r="W1094" s="648">
        <f>Data2025!X1093</f>
        <v>0</v>
      </c>
      <c r="Y1094" s="268" t="str">
        <f t="shared" si="56"/>
        <v>Jasa Tenaga Pengajar</v>
      </c>
      <c r="Z1094" s="649" t="str">
        <f t="shared" si="57"/>
        <v>Jasa Tenaga Pengajar</v>
      </c>
      <c r="AA1094" s="498" t="s">
        <v>3374</v>
      </c>
      <c r="AB1094" s="499">
        <v>75000</v>
      </c>
      <c r="AC1094" s="499">
        <v>2475000</v>
      </c>
      <c r="AD1094" s="496">
        <v>2625000</v>
      </c>
      <c r="AE1094" s="500">
        <v>2364864.8648648649</v>
      </c>
      <c r="AF1094" s="500">
        <v>2625000</v>
      </c>
      <c r="AG1094" s="805" t="s">
        <v>3883</v>
      </c>
      <c r="AH1094" s="651">
        <f>Data2025!W1093</f>
        <v>0</v>
      </c>
      <c r="AI1094" s="61">
        <v>351</v>
      </c>
    </row>
    <row r="1095" spans="1:35" ht="16.5" thickTop="1" thickBot="1">
      <c r="A1095" s="636">
        <f>Data2025!G1094</f>
        <v>0</v>
      </c>
      <c r="B1095" s="637">
        <f>Data2025!K1094</f>
        <v>0</v>
      </c>
      <c r="C1095" s="638">
        <f>Data2025!D1094</f>
        <v>0</v>
      </c>
      <c r="D1095" s="639">
        <f>Data2025!C1094</f>
        <v>0</v>
      </c>
      <c r="E1095" s="265">
        <f>Data2025!E1094</f>
        <v>0</v>
      </c>
      <c r="F1095" s="640">
        <f>Data2025!F1094</f>
        <v>0</v>
      </c>
      <c r="G1095" s="265">
        <f>Data2025!H1094</f>
        <v>0</v>
      </c>
      <c r="H1095" s="265">
        <f t="shared" si="55"/>
        <v>0</v>
      </c>
      <c r="I1095" s="641">
        <f>Data2025!J1094</f>
        <v>0</v>
      </c>
      <c r="J1095" s="381">
        <f>Data2025!L1094</f>
        <v>0</v>
      </c>
      <c r="K1095" s="381">
        <f>Data2025!M1094</f>
        <v>0</v>
      </c>
      <c r="L1095" s="642">
        <f>Data2025!N1094</f>
        <v>0</v>
      </c>
      <c r="M1095" s="642">
        <f>Data2025!O1094</f>
        <v>0</v>
      </c>
      <c r="N1095" s="643">
        <f>Data2025!P1094</f>
        <v>0</v>
      </c>
      <c r="O1095" s="644">
        <f>Data2025!Q1094</f>
        <v>0</v>
      </c>
      <c r="P1095" s="645" t="s">
        <v>2682</v>
      </c>
      <c r="Q1095" s="646" t="e">
        <f>VLOOKUP(K1095,Sheet1!$C$1:$D$101,2,)</f>
        <v>#N/A</v>
      </c>
      <c r="R1095" s="496">
        <v>2475000</v>
      </c>
      <c r="S1095" s="504">
        <v>2156000</v>
      </c>
      <c r="T1095" s="648">
        <f>Data2025!T1094</f>
        <v>0</v>
      </c>
      <c r="U1095" s="497" t="s">
        <v>2531</v>
      </c>
      <c r="V1095" s="648">
        <f>Data2025!V1094</f>
        <v>0</v>
      </c>
      <c r="W1095" s="648">
        <f>Data2025!X1094</f>
        <v>0</v>
      </c>
      <c r="Y1095" s="268" t="str">
        <f t="shared" si="56"/>
        <v>Jasa Tenaga Pengajar</v>
      </c>
      <c r="Z1095" s="649" t="str">
        <f t="shared" si="57"/>
        <v>Jasa Tenaga Pengajar</v>
      </c>
      <c r="AA1095" s="498" t="s">
        <v>3374</v>
      </c>
      <c r="AB1095" s="499">
        <v>75000</v>
      </c>
      <c r="AC1095" s="499">
        <v>2100000</v>
      </c>
      <c r="AD1095" s="496">
        <v>2475000</v>
      </c>
      <c r="AE1095" s="500">
        <v>2229729.7297297297</v>
      </c>
      <c r="AF1095" s="500">
        <v>2475000</v>
      </c>
      <c r="AG1095" s="805" t="s">
        <v>3883</v>
      </c>
      <c r="AH1095" s="651">
        <f>Data2025!W1094</f>
        <v>0</v>
      </c>
      <c r="AI1095" s="61">
        <v>352</v>
      </c>
    </row>
    <row r="1096" spans="1:35" ht="16.5" thickTop="1" thickBot="1">
      <c r="A1096" s="636">
        <f>Data2025!G1095</f>
        <v>0</v>
      </c>
      <c r="B1096" s="637">
        <f>Data2025!K1095</f>
        <v>0</v>
      </c>
      <c r="C1096" s="638">
        <f>Data2025!D1095</f>
        <v>0</v>
      </c>
      <c r="D1096" s="639">
        <f>Data2025!C1095</f>
        <v>0</v>
      </c>
      <c r="E1096" s="265">
        <f>Data2025!E1095</f>
        <v>0</v>
      </c>
      <c r="F1096" s="640">
        <f>Data2025!F1095</f>
        <v>0</v>
      </c>
      <c r="G1096" s="265">
        <f>Data2025!H1095</f>
        <v>0</v>
      </c>
      <c r="H1096" s="265">
        <f t="shared" si="55"/>
        <v>0</v>
      </c>
      <c r="I1096" s="641">
        <f>Data2025!J1095</f>
        <v>0</v>
      </c>
      <c r="J1096" s="381">
        <f>Data2025!L1095</f>
        <v>0</v>
      </c>
      <c r="K1096" s="381">
        <f>Data2025!M1095</f>
        <v>0</v>
      </c>
      <c r="L1096" s="642">
        <f>Data2025!N1095</f>
        <v>0</v>
      </c>
      <c r="M1096" s="642">
        <f>Data2025!O1095</f>
        <v>0</v>
      </c>
      <c r="N1096" s="643">
        <f>Data2025!P1095</f>
        <v>0</v>
      </c>
      <c r="O1096" s="644">
        <f>Data2025!Q1095</f>
        <v>0</v>
      </c>
      <c r="P1096" s="645" t="s">
        <v>2699</v>
      </c>
      <c r="Q1096" s="646" t="e">
        <f>VLOOKUP(K1096,Sheet1!$C$1:$D$101,2,)</f>
        <v>#N/A</v>
      </c>
      <c r="R1096" s="496">
        <v>1575000</v>
      </c>
      <c r="S1096" s="504">
        <v>2541000</v>
      </c>
      <c r="T1096" s="648">
        <f>Data2025!T1095</f>
        <v>0</v>
      </c>
      <c r="U1096" s="497" t="s">
        <v>2531</v>
      </c>
      <c r="V1096" s="648">
        <f>Data2025!V1095</f>
        <v>0</v>
      </c>
      <c r="W1096" s="648">
        <f>Data2025!X1095</f>
        <v>0</v>
      </c>
      <c r="Y1096" s="268" t="str">
        <f t="shared" si="56"/>
        <v>Jasa Tenaga TU</v>
      </c>
      <c r="Z1096" s="649" t="str">
        <f t="shared" si="57"/>
        <v>Jasa Tenaga TU</v>
      </c>
      <c r="AA1096" s="498" t="s">
        <v>3374</v>
      </c>
      <c r="AB1096" s="499">
        <v>75000</v>
      </c>
      <c r="AC1096" s="499">
        <v>2475000</v>
      </c>
      <c r="AD1096" s="496">
        <v>1575000</v>
      </c>
      <c r="AE1096" s="500">
        <v>1418918.9189189191</v>
      </c>
      <c r="AF1096" s="500">
        <v>1575000</v>
      </c>
      <c r="AG1096" s="805" t="s">
        <v>3883</v>
      </c>
      <c r="AH1096" s="651">
        <f>Data2025!W1095</f>
        <v>0</v>
      </c>
      <c r="AI1096" s="61">
        <v>353</v>
      </c>
    </row>
    <row r="1097" spans="1:35" ht="16.5" thickTop="1" thickBot="1">
      <c r="A1097" s="636">
        <f>Data2025!G1096</f>
        <v>0</v>
      </c>
      <c r="B1097" s="637">
        <f>Data2025!K1096</f>
        <v>0</v>
      </c>
      <c r="C1097" s="638">
        <f>Data2025!D1096</f>
        <v>0</v>
      </c>
      <c r="D1097" s="639">
        <f>Data2025!C1096</f>
        <v>0</v>
      </c>
      <c r="E1097" s="265">
        <f>Data2025!E1096</f>
        <v>0</v>
      </c>
      <c r="F1097" s="640">
        <f>Data2025!F1096</f>
        <v>0</v>
      </c>
      <c r="G1097" s="265">
        <f>Data2025!H1096</f>
        <v>0</v>
      </c>
      <c r="H1097" s="265">
        <f t="shared" si="55"/>
        <v>0</v>
      </c>
      <c r="I1097" s="641">
        <f>Data2025!J1096</f>
        <v>0</v>
      </c>
      <c r="J1097" s="381">
        <f>Data2025!L1096</f>
        <v>0</v>
      </c>
      <c r="K1097" s="381">
        <f>Data2025!M1096</f>
        <v>0</v>
      </c>
      <c r="L1097" s="642">
        <f>Data2025!N1096</f>
        <v>0</v>
      </c>
      <c r="M1097" s="642">
        <f>Data2025!O1096</f>
        <v>0</v>
      </c>
      <c r="N1097" s="643">
        <f>Data2025!P1096</f>
        <v>0</v>
      </c>
      <c r="O1097" s="644">
        <f>Data2025!Q1096</f>
        <v>0</v>
      </c>
      <c r="P1097" s="645" t="s">
        <v>2699</v>
      </c>
      <c r="Q1097" s="646" t="e">
        <f>VLOOKUP(K1097,Sheet1!$C$1:$D$101,2,)</f>
        <v>#N/A</v>
      </c>
      <c r="R1097" s="496">
        <v>2000000</v>
      </c>
      <c r="S1097" s="504">
        <v>2002000</v>
      </c>
      <c r="T1097" s="648">
        <f>Data2025!T1096</f>
        <v>0</v>
      </c>
      <c r="U1097" s="497" t="s">
        <v>2531</v>
      </c>
      <c r="V1097" s="648">
        <f>Data2025!V1096</f>
        <v>0</v>
      </c>
      <c r="W1097" s="648">
        <f>Data2025!X1096</f>
        <v>0</v>
      </c>
      <c r="Y1097" s="268" t="str">
        <f t="shared" si="56"/>
        <v>Jasa Tenaga TU</v>
      </c>
      <c r="Z1097" s="649" t="str">
        <f t="shared" si="57"/>
        <v>Jasa Tenaga TU</v>
      </c>
      <c r="AA1097" s="498" t="s">
        <v>3373</v>
      </c>
      <c r="AB1097" s="499">
        <v>2000000</v>
      </c>
      <c r="AC1097" s="499">
        <v>2000000</v>
      </c>
      <c r="AD1097" s="496">
        <v>2000000</v>
      </c>
      <c r="AE1097" s="500">
        <v>1801801.8018018019</v>
      </c>
      <c r="AF1097" s="500">
        <v>2000000</v>
      </c>
      <c r="AG1097" s="805" t="s">
        <v>3883</v>
      </c>
      <c r="AH1097" s="651">
        <f>Data2025!W1096</f>
        <v>0</v>
      </c>
      <c r="AI1097" s="61">
        <v>354</v>
      </c>
    </row>
    <row r="1098" spans="1:35" ht="16.5" thickTop="1" thickBot="1">
      <c r="A1098" s="636">
        <f>Data2025!G1097</f>
        <v>0</v>
      </c>
      <c r="B1098" s="637">
        <f>Data2025!K1097</f>
        <v>0</v>
      </c>
      <c r="C1098" s="638">
        <f>Data2025!D1097</f>
        <v>0</v>
      </c>
      <c r="D1098" s="639">
        <f>Data2025!C1097</f>
        <v>0</v>
      </c>
      <c r="E1098" s="265">
        <f>Data2025!E1097</f>
        <v>0</v>
      </c>
      <c r="F1098" s="640">
        <f>Data2025!F1097</f>
        <v>0</v>
      </c>
      <c r="G1098" s="265">
        <f>Data2025!H1097</f>
        <v>0</v>
      </c>
      <c r="H1098" s="265">
        <f t="shared" si="55"/>
        <v>0</v>
      </c>
      <c r="I1098" s="641">
        <f>Data2025!J1097</f>
        <v>0</v>
      </c>
      <c r="J1098" s="381">
        <f>Data2025!L1097</f>
        <v>0</v>
      </c>
      <c r="K1098" s="381">
        <f>Data2025!M1097</f>
        <v>0</v>
      </c>
      <c r="L1098" s="642">
        <f>Data2025!N1097</f>
        <v>0</v>
      </c>
      <c r="M1098" s="642">
        <f>Data2025!O1097</f>
        <v>0</v>
      </c>
      <c r="N1098" s="643">
        <f>Data2025!P1097</f>
        <v>0</v>
      </c>
      <c r="O1098" s="644">
        <f>Data2025!Q1097</f>
        <v>0</v>
      </c>
      <c r="P1098" s="645" t="s">
        <v>2699</v>
      </c>
      <c r="Q1098" s="646" t="e">
        <f>VLOOKUP(K1098,Sheet1!$C$1:$D$101,2,)</f>
        <v>#N/A</v>
      </c>
      <c r="R1098" s="496">
        <v>2000000</v>
      </c>
      <c r="S1098" s="504">
        <v>2002000</v>
      </c>
      <c r="T1098" s="648">
        <f>Data2025!T1097</f>
        <v>0</v>
      </c>
      <c r="U1098" s="497" t="s">
        <v>2531</v>
      </c>
      <c r="V1098" s="648">
        <f>Data2025!V1097</f>
        <v>0</v>
      </c>
      <c r="W1098" s="648">
        <f>Data2025!X1097</f>
        <v>0</v>
      </c>
      <c r="Y1098" s="268" t="str">
        <f t="shared" si="56"/>
        <v>Jasa Tenaga TU</v>
      </c>
      <c r="Z1098" s="649" t="str">
        <f t="shared" si="57"/>
        <v>Jasa Tenaga TU</v>
      </c>
      <c r="AA1098" s="498" t="s">
        <v>3373</v>
      </c>
      <c r="AB1098" s="499">
        <v>2000000</v>
      </c>
      <c r="AC1098" s="499">
        <v>2000000</v>
      </c>
      <c r="AD1098" s="496">
        <v>2000000</v>
      </c>
      <c r="AE1098" s="500">
        <v>1801801.8018018019</v>
      </c>
      <c r="AF1098" s="500">
        <v>2000000</v>
      </c>
      <c r="AG1098" s="805" t="s">
        <v>3883</v>
      </c>
      <c r="AH1098" s="651">
        <f>Data2025!W1097</f>
        <v>0</v>
      </c>
      <c r="AI1098" s="61">
        <v>355</v>
      </c>
    </row>
    <row r="1099" spans="1:35" ht="16.5" thickTop="1" thickBot="1">
      <c r="A1099" s="636">
        <f>Data2025!G1098</f>
        <v>0</v>
      </c>
      <c r="B1099" s="637">
        <f>Data2025!K1098</f>
        <v>0</v>
      </c>
      <c r="C1099" s="638">
        <f>Data2025!D1098</f>
        <v>0</v>
      </c>
      <c r="D1099" s="639">
        <f>Data2025!C1098</f>
        <v>0</v>
      </c>
      <c r="E1099" s="265">
        <f>Data2025!E1098</f>
        <v>0</v>
      </c>
      <c r="F1099" s="640">
        <f>Data2025!F1098</f>
        <v>0</v>
      </c>
      <c r="G1099" s="265">
        <f>Data2025!H1098</f>
        <v>0</v>
      </c>
      <c r="H1099" s="265">
        <f t="shared" si="55"/>
        <v>0</v>
      </c>
      <c r="I1099" s="641">
        <f>Data2025!J1098</f>
        <v>0</v>
      </c>
      <c r="J1099" s="381">
        <f>Data2025!L1098</f>
        <v>0</v>
      </c>
      <c r="K1099" s="381">
        <f>Data2025!M1098</f>
        <v>0</v>
      </c>
      <c r="L1099" s="642">
        <f>Data2025!N1098</f>
        <v>0</v>
      </c>
      <c r="M1099" s="642">
        <f>Data2025!O1098</f>
        <v>0</v>
      </c>
      <c r="N1099" s="643">
        <f>Data2025!P1098</f>
        <v>0</v>
      </c>
      <c r="O1099" s="644">
        <f>Data2025!Q1098</f>
        <v>0</v>
      </c>
      <c r="P1099" s="645" t="s">
        <v>2699</v>
      </c>
      <c r="Q1099" s="646" t="e">
        <f>VLOOKUP(K1099,Sheet1!$C$1:$D$101,2,)</f>
        <v>#N/A</v>
      </c>
      <c r="R1099" s="496">
        <v>2000000</v>
      </c>
      <c r="S1099" s="504">
        <v>2002000</v>
      </c>
      <c r="T1099" s="648">
        <f>Data2025!T1098</f>
        <v>0</v>
      </c>
      <c r="U1099" s="497" t="s">
        <v>2531</v>
      </c>
      <c r="V1099" s="648">
        <f>Data2025!V1098</f>
        <v>0</v>
      </c>
      <c r="W1099" s="648">
        <f>Data2025!X1098</f>
        <v>0</v>
      </c>
      <c r="Y1099" s="268" t="str">
        <f t="shared" si="56"/>
        <v>Jasa Tenaga TU</v>
      </c>
      <c r="Z1099" s="649" t="str">
        <f t="shared" si="57"/>
        <v>Jasa Tenaga TU</v>
      </c>
      <c r="AA1099" s="498" t="s">
        <v>3373</v>
      </c>
      <c r="AB1099" s="499">
        <v>2000000</v>
      </c>
      <c r="AC1099" s="499">
        <v>2000000</v>
      </c>
      <c r="AD1099" s="496">
        <v>2000000</v>
      </c>
      <c r="AE1099" s="500">
        <v>1801801.8018018019</v>
      </c>
      <c r="AF1099" s="500">
        <v>2000000</v>
      </c>
      <c r="AG1099" s="805" t="s">
        <v>3883</v>
      </c>
      <c r="AH1099" s="651">
        <f>Data2025!W1098</f>
        <v>0</v>
      </c>
      <c r="AI1099" s="61">
        <v>356</v>
      </c>
    </row>
    <row r="1100" spans="1:35" ht="16.5" thickTop="1" thickBot="1">
      <c r="A1100" s="636">
        <f>Data2025!G1099</f>
        <v>0</v>
      </c>
      <c r="B1100" s="637">
        <f>Data2025!K1099</f>
        <v>0</v>
      </c>
      <c r="C1100" s="638">
        <f>Data2025!D1099</f>
        <v>0</v>
      </c>
      <c r="D1100" s="639">
        <f>Data2025!C1099</f>
        <v>0</v>
      </c>
      <c r="E1100" s="265">
        <f>Data2025!E1099</f>
        <v>0</v>
      </c>
      <c r="F1100" s="640">
        <f>Data2025!F1099</f>
        <v>0</v>
      </c>
      <c r="G1100" s="265">
        <f>Data2025!H1099</f>
        <v>0</v>
      </c>
      <c r="H1100" s="265">
        <f t="shared" si="55"/>
        <v>0</v>
      </c>
      <c r="I1100" s="641">
        <f>Data2025!J1099</f>
        <v>0</v>
      </c>
      <c r="J1100" s="381">
        <f>Data2025!L1099</f>
        <v>0</v>
      </c>
      <c r="K1100" s="381">
        <f>Data2025!M1099</f>
        <v>0</v>
      </c>
      <c r="L1100" s="642">
        <f>Data2025!N1099</f>
        <v>0</v>
      </c>
      <c r="M1100" s="642">
        <f>Data2025!O1099</f>
        <v>0</v>
      </c>
      <c r="N1100" s="643">
        <f>Data2025!P1099</f>
        <v>0</v>
      </c>
      <c r="O1100" s="644">
        <f>Data2025!Q1099</f>
        <v>0</v>
      </c>
      <c r="P1100" s="645" t="s">
        <v>2699</v>
      </c>
      <c r="Q1100" s="646" t="e">
        <f>VLOOKUP(K1100,Sheet1!$C$1:$D$101,2,)</f>
        <v>#N/A</v>
      </c>
      <c r="R1100" s="496">
        <v>2000000</v>
      </c>
      <c r="S1100" s="504">
        <v>2002000</v>
      </c>
      <c r="T1100" s="648">
        <f>Data2025!T1099</f>
        <v>0</v>
      </c>
      <c r="U1100" s="497" t="s">
        <v>2531</v>
      </c>
      <c r="V1100" s="648">
        <f>Data2025!V1099</f>
        <v>0</v>
      </c>
      <c r="W1100" s="648">
        <f>Data2025!X1099</f>
        <v>0</v>
      </c>
      <c r="Y1100" s="268" t="str">
        <f t="shared" si="56"/>
        <v>Jasa Tenaga TU</v>
      </c>
      <c r="Z1100" s="649" t="str">
        <f t="shared" si="57"/>
        <v>Jasa Tenaga TU</v>
      </c>
      <c r="AA1100" s="498" t="s">
        <v>3373</v>
      </c>
      <c r="AB1100" s="499">
        <v>2000000</v>
      </c>
      <c r="AC1100" s="499">
        <v>2000000</v>
      </c>
      <c r="AD1100" s="496">
        <v>2000000</v>
      </c>
      <c r="AE1100" s="500">
        <v>1801801.8018018019</v>
      </c>
      <c r="AF1100" s="500">
        <v>2000000</v>
      </c>
      <c r="AG1100" s="805" t="s">
        <v>3883</v>
      </c>
      <c r="AH1100" s="651">
        <f>Data2025!W1099</f>
        <v>0</v>
      </c>
      <c r="AI1100" s="61">
        <v>357</v>
      </c>
    </row>
    <row r="1101" spans="1:35" ht="16.5" thickTop="1" thickBot="1">
      <c r="A1101" s="636">
        <f>Data2025!G1100</f>
        <v>0</v>
      </c>
      <c r="B1101" s="637">
        <f>Data2025!K1100</f>
        <v>0</v>
      </c>
      <c r="C1101" s="638">
        <f>Data2025!D1100</f>
        <v>0</v>
      </c>
      <c r="D1101" s="639">
        <f>Data2025!C1100</f>
        <v>0</v>
      </c>
      <c r="E1101" s="265">
        <f>Data2025!E1100</f>
        <v>0</v>
      </c>
      <c r="F1101" s="640">
        <f>Data2025!F1100</f>
        <v>0</v>
      </c>
      <c r="G1101" s="265">
        <f>Data2025!H1100</f>
        <v>0</v>
      </c>
      <c r="H1101" s="265">
        <f t="shared" si="55"/>
        <v>0</v>
      </c>
      <c r="I1101" s="641">
        <f>Data2025!J1100</f>
        <v>0</v>
      </c>
      <c r="J1101" s="381">
        <f>Data2025!L1100</f>
        <v>0</v>
      </c>
      <c r="K1101" s="381">
        <f>Data2025!M1100</f>
        <v>0</v>
      </c>
      <c r="L1101" s="642">
        <f>Data2025!N1100</f>
        <v>0</v>
      </c>
      <c r="M1101" s="642">
        <f>Data2025!O1100</f>
        <v>0</v>
      </c>
      <c r="N1101" s="643">
        <f>Data2025!P1100</f>
        <v>0</v>
      </c>
      <c r="O1101" s="644">
        <f>Data2025!Q1100</f>
        <v>0</v>
      </c>
      <c r="P1101" s="645" t="s">
        <v>2699</v>
      </c>
      <c r="Q1101" s="646" t="e">
        <f>VLOOKUP(K1101,Sheet1!$C$1:$D$101,2,)</f>
        <v>#N/A</v>
      </c>
      <c r="R1101" s="496">
        <v>2000000</v>
      </c>
      <c r="S1101" s="504">
        <v>2002000</v>
      </c>
      <c r="T1101" s="648">
        <f>Data2025!T1100</f>
        <v>0</v>
      </c>
      <c r="U1101" s="497" t="s">
        <v>2531</v>
      </c>
      <c r="V1101" s="648">
        <f>Data2025!V1100</f>
        <v>0</v>
      </c>
      <c r="W1101" s="648">
        <f>Data2025!X1100</f>
        <v>0</v>
      </c>
      <c r="Y1101" s="268" t="str">
        <f t="shared" si="56"/>
        <v>Jasa Tenaga TU</v>
      </c>
      <c r="Z1101" s="649" t="str">
        <f t="shared" si="57"/>
        <v>Jasa Tenaga TU</v>
      </c>
      <c r="AA1101" s="498" t="s">
        <v>3373</v>
      </c>
      <c r="AB1101" s="499">
        <v>2000000</v>
      </c>
      <c r="AC1101" s="499">
        <v>2000000</v>
      </c>
      <c r="AD1101" s="496">
        <v>2000000</v>
      </c>
      <c r="AE1101" s="500">
        <v>1801801.8018018019</v>
      </c>
      <c r="AF1101" s="500">
        <v>2000000</v>
      </c>
      <c r="AG1101" s="805" t="s">
        <v>3883</v>
      </c>
      <c r="AH1101" s="651">
        <f>Data2025!W1100</f>
        <v>0</v>
      </c>
      <c r="AI1101" s="61">
        <v>358</v>
      </c>
    </row>
    <row r="1102" spans="1:35" ht="16.5" thickTop="1" thickBot="1">
      <c r="A1102" s="636">
        <f>Data2025!G1101</f>
        <v>0</v>
      </c>
      <c r="B1102" s="637">
        <f>Data2025!K1101</f>
        <v>0</v>
      </c>
      <c r="C1102" s="638">
        <f>Data2025!D1101</f>
        <v>0</v>
      </c>
      <c r="D1102" s="639">
        <f>Data2025!C1101</f>
        <v>0</v>
      </c>
      <c r="E1102" s="265">
        <f>Data2025!E1101</f>
        <v>0</v>
      </c>
      <c r="F1102" s="640">
        <f>Data2025!F1101</f>
        <v>0</v>
      </c>
      <c r="G1102" s="265">
        <f>Data2025!H1101</f>
        <v>0</v>
      </c>
      <c r="H1102" s="265">
        <f t="shared" si="55"/>
        <v>0</v>
      </c>
      <c r="I1102" s="641">
        <f>Data2025!J1101</f>
        <v>0</v>
      </c>
      <c r="J1102" s="381">
        <f>Data2025!L1101</f>
        <v>0</v>
      </c>
      <c r="K1102" s="381">
        <f>Data2025!M1101</f>
        <v>0</v>
      </c>
      <c r="L1102" s="642">
        <f>Data2025!N1101</f>
        <v>0</v>
      </c>
      <c r="M1102" s="642">
        <f>Data2025!O1101</f>
        <v>0</v>
      </c>
      <c r="N1102" s="643">
        <f>Data2025!P1101</f>
        <v>0</v>
      </c>
      <c r="O1102" s="644">
        <f>Data2025!Q1101</f>
        <v>0</v>
      </c>
      <c r="P1102" s="645" t="s">
        <v>2699</v>
      </c>
      <c r="Q1102" s="646" t="e">
        <f>VLOOKUP(K1102,Sheet1!$C$1:$D$101,2,)</f>
        <v>#N/A</v>
      </c>
      <c r="R1102" s="496">
        <v>2000000</v>
      </c>
      <c r="S1102" s="504">
        <v>2002000</v>
      </c>
      <c r="T1102" s="648">
        <f>Data2025!T1101</f>
        <v>0</v>
      </c>
      <c r="U1102" s="497" t="s">
        <v>2531</v>
      </c>
      <c r="V1102" s="648">
        <f>Data2025!V1101</f>
        <v>0</v>
      </c>
      <c r="W1102" s="648">
        <f>Data2025!X1101</f>
        <v>0</v>
      </c>
      <c r="Y1102" s="268" t="str">
        <f t="shared" si="56"/>
        <v>Jasa Tenaga TU</v>
      </c>
      <c r="Z1102" s="649" t="str">
        <f t="shared" si="57"/>
        <v>Jasa Tenaga TU</v>
      </c>
      <c r="AA1102" s="498" t="s">
        <v>3373</v>
      </c>
      <c r="AB1102" s="499">
        <v>2000000</v>
      </c>
      <c r="AC1102" s="499">
        <v>2000000</v>
      </c>
      <c r="AD1102" s="496">
        <v>2000000</v>
      </c>
      <c r="AE1102" s="500">
        <v>1801801.8018018019</v>
      </c>
      <c r="AF1102" s="500">
        <v>2000000</v>
      </c>
      <c r="AG1102" s="805" t="s">
        <v>3883</v>
      </c>
      <c r="AH1102" s="651">
        <f>Data2025!W1101</f>
        <v>0</v>
      </c>
      <c r="AI1102" s="61">
        <v>359</v>
      </c>
    </row>
    <row r="1103" spans="1:35" ht="16.5" thickTop="1" thickBot="1">
      <c r="A1103" s="636">
        <f>Data2025!G1102</f>
        <v>0</v>
      </c>
      <c r="B1103" s="637">
        <f>Data2025!K1102</f>
        <v>0</v>
      </c>
      <c r="C1103" s="638">
        <f>Data2025!D1102</f>
        <v>0</v>
      </c>
      <c r="D1103" s="639">
        <f>Data2025!C1102</f>
        <v>0</v>
      </c>
      <c r="E1103" s="265">
        <f>Data2025!E1102</f>
        <v>0</v>
      </c>
      <c r="F1103" s="640">
        <f>Data2025!F1102</f>
        <v>0</v>
      </c>
      <c r="G1103" s="265">
        <f>Data2025!H1102</f>
        <v>0</v>
      </c>
      <c r="H1103" s="265">
        <f t="shared" si="55"/>
        <v>0</v>
      </c>
      <c r="I1103" s="641">
        <f>Data2025!J1102</f>
        <v>0</v>
      </c>
      <c r="J1103" s="381">
        <f>Data2025!L1102</f>
        <v>0</v>
      </c>
      <c r="K1103" s="381">
        <f>Data2025!M1102</f>
        <v>0</v>
      </c>
      <c r="L1103" s="642">
        <f>Data2025!N1102</f>
        <v>0</v>
      </c>
      <c r="M1103" s="642">
        <f>Data2025!O1102</f>
        <v>0</v>
      </c>
      <c r="N1103" s="643">
        <f>Data2025!P1102</f>
        <v>0</v>
      </c>
      <c r="O1103" s="644">
        <f>Data2025!Q1102</f>
        <v>0</v>
      </c>
      <c r="P1103" s="645" t="s">
        <v>2699</v>
      </c>
      <c r="Q1103" s="646" t="e">
        <f>VLOOKUP(K1103,Sheet1!$C$1:$D$101,2,)</f>
        <v>#N/A</v>
      </c>
      <c r="R1103" s="496">
        <v>2000000</v>
      </c>
      <c r="S1103" s="504">
        <v>2002000</v>
      </c>
      <c r="T1103" s="648">
        <f>Data2025!T1102</f>
        <v>0</v>
      </c>
      <c r="U1103" s="497" t="s">
        <v>2531</v>
      </c>
      <c r="V1103" s="648">
        <f>Data2025!V1102</f>
        <v>0</v>
      </c>
      <c r="W1103" s="648">
        <f>Data2025!X1102</f>
        <v>0</v>
      </c>
      <c r="Y1103" s="268" t="str">
        <f t="shared" si="56"/>
        <v>Jasa Tenaga TU</v>
      </c>
      <c r="Z1103" s="649" t="str">
        <f t="shared" si="57"/>
        <v>Jasa Tenaga TU</v>
      </c>
      <c r="AA1103" s="498" t="s">
        <v>3373</v>
      </c>
      <c r="AB1103" s="499">
        <v>2000000</v>
      </c>
      <c r="AC1103" s="499">
        <v>2000000</v>
      </c>
      <c r="AD1103" s="496">
        <v>2000000</v>
      </c>
      <c r="AE1103" s="500">
        <v>1801801.8018018019</v>
      </c>
      <c r="AF1103" s="500">
        <v>2000000</v>
      </c>
      <c r="AG1103" s="805" t="s">
        <v>3883</v>
      </c>
      <c r="AH1103" s="651">
        <f>Data2025!W1102</f>
        <v>0</v>
      </c>
      <c r="AI1103" s="61">
        <v>360</v>
      </c>
    </row>
    <row r="1104" spans="1:35" ht="16.5" thickTop="1" thickBot="1">
      <c r="A1104" s="636">
        <f>Data2025!G1103</f>
        <v>0</v>
      </c>
      <c r="B1104" s="637">
        <f>Data2025!K1103</f>
        <v>0</v>
      </c>
      <c r="C1104" s="638">
        <f>Data2025!D1103</f>
        <v>0</v>
      </c>
      <c r="D1104" s="639">
        <f>Data2025!C1103</f>
        <v>0</v>
      </c>
      <c r="E1104" s="265">
        <f>Data2025!E1103</f>
        <v>0</v>
      </c>
      <c r="F1104" s="640">
        <f>Data2025!F1103</f>
        <v>0</v>
      </c>
      <c r="G1104" s="265">
        <f>Data2025!H1103</f>
        <v>0</v>
      </c>
      <c r="H1104" s="265">
        <f t="shared" si="55"/>
        <v>0</v>
      </c>
      <c r="I1104" s="641">
        <f>Data2025!J1103</f>
        <v>0</v>
      </c>
      <c r="J1104" s="381">
        <f>Data2025!L1103</f>
        <v>0</v>
      </c>
      <c r="K1104" s="381">
        <f>Data2025!M1103</f>
        <v>0</v>
      </c>
      <c r="L1104" s="642">
        <f>Data2025!N1103</f>
        <v>0</v>
      </c>
      <c r="M1104" s="642">
        <f>Data2025!O1103</f>
        <v>0</v>
      </c>
      <c r="N1104" s="643">
        <f>Data2025!P1103</f>
        <v>0</v>
      </c>
      <c r="O1104" s="644">
        <f>Data2025!Q1103</f>
        <v>0</v>
      </c>
      <c r="P1104" s="645" t="s">
        <v>2699</v>
      </c>
      <c r="Q1104" s="646" t="e">
        <f>VLOOKUP(K1104,Sheet1!$C$1:$D$101,2,)</f>
        <v>#N/A</v>
      </c>
      <c r="R1104" s="496">
        <v>2000000</v>
      </c>
      <c r="S1104" s="504">
        <v>2002000</v>
      </c>
      <c r="T1104" s="648">
        <f>Data2025!T1103</f>
        <v>0</v>
      </c>
      <c r="U1104" s="497" t="s">
        <v>2531</v>
      </c>
      <c r="V1104" s="648">
        <f>Data2025!V1103</f>
        <v>0</v>
      </c>
      <c r="W1104" s="648">
        <f>Data2025!X1103</f>
        <v>0</v>
      </c>
      <c r="Y1104" s="268" t="str">
        <f t="shared" si="56"/>
        <v>Jasa Tenaga TU</v>
      </c>
      <c r="Z1104" s="649" t="str">
        <f t="shared" si="57"/>
        <v>Jasa Tenaga TU</v>
      </c>
      <c r="AA1104" s="498" t="s">
        <v>3373</v>
      </c>
      <c r="AB1104" s="499">
        <v>2000000</v>
      </c>
      <c r="AC1104" s="499">
        <v>2000000</v>
      </c>
      <c r="AD1104" s="496">
        <v>2000000</v>
      </c>
      <c r="AE1104" s="500">
        <v>1801801.8018018019</v>
      </c>
      <c r="AF1104" s="500">
        <v>2000000</v>
      </c>
      <c r="AG1104" s="805" t="s">
        <v>3883</v>
      </c>
      <c r="AH1104" s="651">
        <f>Data2025!W1103</f>
        <v>0</v>
      </c>
      <c r="AI1104" s="61">
        <v>361</v>
      </c>
    </row>
    <row r="1105" spans="1:35" ht="16.5" thickTop="1" thickBot="1">
      <c r="A1105" s="636">
        <f>Data2025!G1104</f>
        <v>0</v>
      </c>
      <c r="B1105" s="637">
        <f>Data2025!K1104</f>
        <v>0</v>
      </c>
      <c r="C1105" s="638">
        <f>Data2025!D1104</f>
        <v>0</v>
      </c>
      <c r="D1105" s="639">
        <f>Data2025!C1104</f>
        <v>0</v>
      </c>
      <c r="E1105" s="265">
        <f>Data2025!E1104</f>
        <v>0</v>
      </c>
      <c r="F1105" s="640">
        <f>Data2025!F1104</f>
        <v>0</v>
      </c>
      <c r="G1105" s="265">
        <f>Data2025!H1104</f>
        <v>0</v>
      </c>
      <c r="H1105" s="265">
        <f t="shared" si="55"/>
        <v>0</v>
      </c>
      <c r="I1105" s="641">
        <f>Data2025!J1104</f>
        <v>0</v>
      </c>
      <c r="J1105" s="381">
        <f>Data2025!L1104</f>
        <v>0</v>
      </c>
      <c r="K1105" s="381">
        <f>Data2025!M1104</f>
        <v>0</v>
      </c>
      <c r="L1105" s="642">
        <f>Data2025!N1104</f>
        <v>0</v>
      </c>
      <c r="M1105" s="642">
        <f>Data2025!O1104</f>
        <v>0</v>
      </c>
      <c r="N1105" s="643">
        <f>Data2025!P1104</f>
        <v>0</v>
      </c>
      <c r="O1105" s="644">
        <f>Data2025!Q1104</f>
        <v>0</v>
      </c>
      <c r="P1105" s="645" t="s">
        <v>280</v>
      </c>
      <c r="Q1105" s="646" t="e">
        <f>VLOOKUP(K1105,Sheet1!$C$1:$D$101,2,)</f>
        <v>#N/A</v>
      </c>
      <c r="R1105" s="267">
        <v>1800000</v>
      </c>
      <c r="S1105" s="647">
        <v>2040000</v>
      </c>
      <c r="T1105" s="648">
        <f>Data2025!T1104</f>
        <v>0</v>
      </c>
      <c r="U1105" s="268" t="s">
        <v>2531</v>
      </c>
      <c r="V1105" s="648">
        <f>Data2025!V1104</f>
        <v>0</v>
      </c>
      <c r="W1105" s="648">
        <f>Data2025!X1104</f>
        <v>0</v>
      </c>
      <c r="X1105" s="268" t="s">
        <v>2529</v>
      </c>
      <c r="Y1105" s="268" t="str">
        <f t="shared" si="56"/>
        <v>Kudapan</v>
      </c>
      <c r="Z1105" s="649" t="str">
        <f t="shared" si="57"/>
        <v>Kudapan</v>
      </c>
      <c r="AA1105" s="650" t="s">
        <v>3362</v>
      </c>
      <c r="AB1105" s="269">
        <v>15000</v>
      </c>
      <c r="AC1105" s="269">
        <v>1800000</v>
      </c>
      <c r="AD1105" s="267">
        <v>1800000</v>
      </c>
      <c r="AE1105" s="270">
        <v>1621621.6216216215</v>
      </c>
      <c r="AF1105" s="270">
        <v>1800000</v>
      </c>
      <c r="AG1105" s="805" t="s">
        <v>3883</v>
      </c>
      <c r="AH1105" s="651">
        <f>Data2025!W1104</f>
        <v>0</v>
      </c>
      <c r="AI1105" s="61">
        <v>362</v>
      </c>
    </row>
    <row r="1106" spans="1:35" ht="16.5" thickTop="1" thickBot="1">
      <c r="A1106" s="636">
        <f>Data2025!G1105</f>
        <v>0</v>
      </c>
      <c r="B1106" s="637">
        <f>Data2025!K1105</f>
        <v>0</v>
      </c>
      <c r="C1106" s="638">
        <f>Data2025!D1105</f>
        <v>0</v>
      </c>
      <c r="D1106" s="639">
        <f>Data2025!C1105</f>
        <v>0</v>
      </c>
      <c r="E1106" s="265">
        <f>Data2025!E1105</f>
        <v>0</v>
      </c>
      <c r="F1106" s="640">
        <f>Data2025!F1105</f>
        <v>0</v>
      </c>
      <c r="G1106" s="265">
        <f>Data2025!H1105</f>
        <v>0</v>
      </c>
      <c r="H1106" s="265">
        <f t="shared" si="55"/>
        <v>0</v>
      </c>
      <c r="I1106" s="641">
        <f>Data2025!J1105</f>
        <v>0</v>
      </c>
      <c r="J1106" s="381">
        <f>Data2025!L1105</f>
        <v>0</v>
      </c>
      <c r="K1106" s="381">
        <f>Data2025!M1105</f>
        <v>0</v>
      </c>
      <c r="L1106" s="642">
        <f>Data2025!N1105</f>
        <v>0</v>
      </c>
      <c r="M1106" s="642">
        <f>Data2025!O1105</f>
        <v>0</v>
      </c>
      <c r="N1106" s="643">
        <f>Data2025!P1105</f>
        <v>0</v>
      </c>
      <c r="O1106" s="644">
        <f>Data2025!Q1105</f>
        <v>0</v>
      </c>
      <c r="P1106" s="645" t="s">
        <v>8</v>
      </c>
      <c r="Q1106" s="646" t="e">
        <f>VLOOKUP(K1106,Sheet1!$C$1:$D$101,2,)</f>
        <v>#N/A</v>
      </c>
      <c r="R1106" s="267">
        <v>4800000</v>
      </c>
      <c r="S1106" s="647">
        <v>5040000</v>
      </c>
      <c r="T1106" s="648">
        <f>Data2025!T1105</f>
        <v>0</v>
      </c>
      <c r="U1106" s="268" t="s">
        <v>2520</v>
      </c>
      <c r="V1106" s="648">
        <f>Data2025!V1105</f>
        <v>0</v>
      </c>
      <c r="W1106" s="648">
        <f>Data2025!X1105</f>
        <v>0</v>
      </c>
      <c r="X1106" s="268" t="s">
        <v>3391</v>
      </c>
      <c r="Y1106" s="268" t="str">
        <f t="shared" si="56"/>
        <v>Konsumsi</v>
      </c>
      <c r="Z1106" s="649" t="str">
        <f t="shared" si="57"/>
        <v>Konsumsi</v>
      </c>
      <c r="AA1106" s="650" t="s">
        <v>3362</v>
      </c>
      <c r="AB1106" s="269">
        <v>40000</v>
      </c>
      <c r="AC1106" s="269">
        <v>4800000</v>
      </c>
      <c r="AD1106" s="267">
        <v>4800000</v>
      </c>
      <c r="AE1106" s="270">
        <v>4324324.3243243247</v>
      </c>
      <c r="AF1106" s="270">
        <v>4800000</v>
      </c>
      <c r="AG1106" s="805" t="s">
        <v>3883</v>
      </c>
      <c r="AH1106" s="651">
        <f>Data2025!W1105</f>
        <v>0</v>
      </c>
      <c r="AI1106" s="61">
        <v>363</v>
      </c>
    </row>
    <row r="1107" spans="1:35" ht="16.5" thickTop="1" thickBot="1">
      <c r="A1107" s="636">
        <f>Data2025!G1106</f>
        <v>0</v>
      </c>
      <c r="B1107" s="637">
        <f>Data2025!K1106</f>
        <v>0</v>
      </c>
      <c r="C1107" s="638">
        <f>Data2025!D1106</f>
        <v>0</v>
      </c>
      <c r="D1107" s="639">
        <f>Data2025!C1106</f>
        <v>0</v>
      </c>
      <c r="E1107" s="265">
        <f>Data2025!E1106</f>
        <v>0</v>
      </c>
      <c r="F1107" s="640">
        <f>Data2025!F1106</f>
        <v>0</v>
      </c>
      <c r="G1107" s="265">
        <f>Data2025!H1106</f>
        <v>0</v>
      </c>
      <c r="H1107" s="265">
        <f t="shared" si="55"/>
        <v>0</v>
      </c>
      <c r="I1107" s="641">
        <f>Data2025!J1106</f>
        <v>0</v>
      </c>
      <c r="J1107" s="381">
        <f>Data2025!L1106</f>
        <v>0</v>
      </c>
      <c r="K1107" s="381">
        <f>Data2025!M1106</f>
        <v>0</v>
      </c>
      <c r="L1107" s="642">
        <f>Data2025!N1106</f>
        <v>0</v>
      </c>
      <c r="M1107" s="642">
        <f>Data2025!O1106</f>
        <v>0</v>
      </c>
      <c r="N1107" s="643">
        <f>Data2025!P1106</f>
        <v>0</v>
      </c>
      <c r="O1107" s="644">
        <f>Data2025!Q1106</f>
        <v>0</v>
      </c>
      <c r="P1107" s="645" t="s">
        <v>1545</v>
      </c>
      <c r="Q1107" s="646" t="e">
        <f>VLOOKUP(K1107,Sheet1!$C$1:$D$101,2,)</f>
        <v>#N/A</v>
      </c>
      <c r="R1107" s="267">
        <v>1250000</v>
      </c>
      <c r="S1107" s="647">
        <v>1300000</v>
      </c>
      <c r="T1107" s="648">
        <f>Data2025!T1106</f>
        <v>0</v>
      </c>
      <c r="U1107" s="268" t="s">
        <v>2531</v>
      </c>
      <c r="V1107" s="648">
        <f>Data2025!V1106</f>
        <v>0</v>
      </c>
      <c r="W1107" s="648">
        <f>Data2025!X1106</f>
        <v>0</v>
      </c>
      <c r="X1107" s="268" t="s">
        <v>2529</v>
      </c>
      <c r="Y1107" s="268" t="str">
        <f t="shared" si="56"/>
        <v>Air Mineral</v>
      </c>
      <c r="Z1107" s="649" t="str">
        <f t="shared" si="57"/>
        <v>Air Mineral</v>
      </c>
      <c r="AA1107" s="650" t="s">
        <v>3372</v>
      </c>
      <c r="AB1107" s="269">
        <v>50000</v>
      </c>
      <c r="AC1107" s="269">
        <v>1250000</v>
      </c>
      <c r="AD1107" s="267">
        <v>1250000</v>
      </c>
      <c r="AE1107" s="270">
        <v>1126126.1261261262</v>
      </c>
      <c r="AF1107" s="270">
        <v>1250000</v>
      </c>
      <c r="AG1107" s="805" t="s">
        <v>3883</v>
      </c>
      <c r="AH1107" s="651">
        <f>Data2025!W1106</f>
        <v>0</v>
      </c>
      <c r="AI1107" s="61">
        <v>364</v>
      </c>
    </row>
    <row r="1108" spans="1:35" ht="16.5" thickTop="1" thickBot="1">
      <c r="A1108" s="636">
        <f>Data2025!G1107</f>
        <v>0</v>
      </c>
      <c r="B1108" s="637">
        <f>Data2025!K1107</f>
        <v>0</v>
      </c>
      <c r="C1108" s="638">
        <f>Data2025!D1107</f>
        <v>0</v>
      </c>
      <c r="D1108" s="639">
        <f>Data2025!C1107</f>
        <v>0</v>
      </c>
      <c r="E1108" s="265">
        <f>Data2025!E1107</f>
        <v>0</v>
      </c>
      <c r="F1108" s="640">
        <f>Data2025!F1107</f>
        <v>0</v>
      </c>
      <c r="G1108" s="265">
        <f>Data2025!H1107</f>
        <v>0</v>
      </c>
      <c r="H1108" s="265">
        <f t="shared" si="55"/>
        <v>0</v>
      </c>
      <c r="I1108" s="641">
        <f>Data2025!J1107</f>
        <v>0</v>
      </c>
      <c r="J1108" s="381">
        <f>Data2025!L1107</f>
        <v>0</v>
      </c>
      <c r="K1108" s="381">
        <f>Data2025!M1107</f>
        <v>0</v>
      </c>
      <c r="L1108" s="642">
        <f>Data2025!N1107</f>
        <v>0</v>
      </c>
      <c r="M1108" s="642">
        <f>Data2025!O1107</f>
        <v>0</v>
      </c>
      <c r="N1108" s="643">
        <f>Data2025!P1107</f>
        <v>0</v>
      </c>
      <c r="O1108" s="644">
        <f>Data2025!Q1107</f>
        <v>0</v>
      </c>
      <c r="P1108" s="645" t="s">
        <v>280</v>
      </c>
      <c r="Q1108" s="646" t="e">
        <f>VLOOKUP(K1108,Sheet1!$C$1:$D$101,2,)</f>
        <v>#N/A</v>
      </c>
      <c r="R1108" s="267">
        <v>900000</v>
      </c>
      <c r="S1108" s="647">
        <v>1020000</v>
      </c>
      <c r="T1108" s="648">
        <f>Data2025!T1107</f>
        <v>0</v>
      </c>
      <c r="U1108" s="268" t="s">
        <v>2531</v>
      </c>
      <c r="V1108" s="648">
        <f>Data2025!V1107</f>
        <v>0</v>
      </c>
      <c r="W1108" s="648">
        <f>Data2025!X1107</f>
        <v>0</v>
      </c>
      <c r="X1108" s="268" t="s">
        <v>2529</v>
      </c>
      <c r="Y1108" s="268" t="str">
        <f t="shared" si="56"/>
        <v>Kudapan</v>
      </c>
      <c r="Z1108" s="649" t="str">
        <f t="shared" si="57"/>
        <v>Kudapan</v>
      </c>
      <c r="AA1108" s="650" t="s">
        <v>3363</v>
      </c>
      <c r="AB1108" s="269">
        <v>15000</v>
      </c>
      <c r="AC1108" s="269">
        <v>900000</v>
      </c>
      <c r="AD1108" s="267">
        <v>900000</v>
      </c>
      <c r="AE1108" s="270">
        <v>810810.81081081077</v>
      </c>
      <c r="AF1108" s="270">
        <v>900000</v>
      </c>
      <c r="AG1108" s="805" t="s">
        <v>3883</v>
      </c>
      <c r="AH1108" s="651">
        <f>Data2025!W1107</f>
        <v>0</v>
      </c>
      <c r="AI1108" s="61">
        <v>365</v>
      </c>
    </row>
    <row r="1109" spans="1:35" ht="16.5" thickTop="1" thickBot="1">
      <c r="A1109" s="636">
        <f>Data2025!G1108</f>
        <v>0</v>
      </c>
      <c r="B1109" s="637">
        <f>Data2025!K1108</f>
        <v>0</v>
      </c>
      <c r="C1109" s="638">
        <f>Data2025!D1108</f>
        <v>0</v>
      </c>
      <c r="D1109" s="639">
        <f>Data2025!C1108</f>
        <v>0</v>
      </c>
      <c r="E1109" s="265">
        <f>Data2025!E1108</f>
        <v>0</v>
      </c>
      <c r="F1109" s="640">
        <f>Data2025!F1108</f>
        <v>0</v>
      </c>
      <c r="G1109" s="265">
        <f>Data2025!H1108</f>
        <v>0</v>
      </c>
      <c r="H1109" s="265">
        <f t="shared" si="55"/>
        <v>0</v>
      </c>
      <c r="I1109" s="641">
        <f>Data2025!J1108</f>
        <v>0</v>
      </c>
      <c r="J1109" s="381">
        <f>Data2025!L1108</f>
        <v>0</v>
      </c>
      <c r="K1109" s="381">
        <f>Data2025!M1108</f>
        <v>0</v>
      </c>
      <c r="L1109" s="642">
        <f>Data2025!N1108</f>
        <v>0</v>
      </c>
      <c r="M1109" s="642">
        <f>Data2025!O1108</f>
        <v>0</v>
      </c>
      <c r="N1109" s="643">
        <f>Data2025!P1108</f>
        <v>0</v>
      </c>
      <c r="O1109" s="644">
        <f>Data2025!Q1108</f>
        <v>0</v>
      </c>
      <c r="P1109" s="645" t="s">
        <v>710</v>
      </c>
      <c r="Q1109" s="646" t="e">
        <f>VLOOKUP(K1109,Sheet1!$C$1:$D$101,2,)</f>
        <v>#N/A</v>
      </c>
      <c r="R1109" s="496">
        <v>25000</v>
      </c>
      <c r="S1109" s="504">
        <v>35000</v>
      </c>
      <c r="T1109" s="648">
        <f>Data2025!T1108</f>
        <v>0</v>
      </c>
      <c r="U1109" s="497" t="s">
        <v>538</v>
      </c>
      <c r="V1109" s="648">
        <f>Data2025!V1108</f>
        <v>0</v>
      </c>
      <c r="W1109" s="648">
        <f>Data2025!X1108</f>
        <v>0</v>
      </c>
      <c r="X1109" s="497" t="s">
        <v>541</v>
      </c>
      <c r="Y1109" s="268" t="str">
        <f t="shared" si="56"/>
        <v>Alat Tulis Kantor (ATK)</v>
      </c>
      <c r="Z1109" s="649" t="str">
        <f t="shared" si="57"/>
        <v>Alat Tulis Kantor (ATK)</v>
      </c>
      <c r="AA1109" s="498" t="s">
        <v>3362</v>
      </c>
      <c r="AB1109" s="499">
        <v>5000</v>
      </c>
      <c r="AC1109" s="499">
        <v>25000</v>
      </c>
      <c r="AD1109" s="496">
        <v>25000</v>
      </c>
      <c r="AE1109" s="500">
        <v>22522.522522522522</v>
      </c>
      <c r="AF1109" s="500">
        <v>25000</v>
      </c>
      <c r="AG1109" s="805" t="s">
        <v>3883</v>
      </c>
      <c r="AH1109" s="651">
        <f>Data2025!W1108</f>
        <v>0</v>
      </c>
      <c r="AI1109" s="61">
        <v>366</v>
      </c>
    </row>
    <row r="1110" spans="1:35" ht="16.5" thickTop="1" thickBot="1">
      <c r="A1110" s="636">
        <f>Data2025!G1109</f>
        <v>0</v>
      </c>
      <c r="B1110" s="637">
        <f>Data2025!K1109</f>
        <v>0</v>
      </c>
      <c r="C1110" s="638">
        <f>Data2025!D1109</f>
        <v>0</v>
      </c>
      <c r="D1110" s="639">
        <f>Data2025!C1109</f>
        <v>0</v>
      </c>
      <c r="E1110" s="265">
        <f>Data2025!E1109</f>
        <v>0</v>
      </c>
      <c r="F1110" s="640">
        <f>Data2025!F1109</f>
        <v>0</v>
      </c>
      <c r="G1110" s="265">
        <f>Data2025!H1109</f>
        <v>0</v>
      </c>
      <c r="H1110" s="265">
        <f t="shared" si="55"/>
        <v>0</v>
      </c>
      <c r="I1110" s="641">
        <f>Data2025!J1109</f>
        <v>0</v>
      </c>
      <c r="J1110" s="381">
        <f>Data2025!L1109</f>
        <v>0</v>
      </c>
      <c r="K1110" s="381">
        <f>Data2025!M1109</f>
        <v>0</v>
      </c>
      <c r="L1110" s="642">
        <f>Data2025!N1109</f>
        <v>0</v>
      </c>
      <c r="M1110" s="642">
        <f>Data2025!O1109</f>
        <v>0</v>
      </c>
      <c r="N1110" s="643">
        <f>Data2025!P1109</f>
        <v>0</v>
      </c>
      <c r="O1110" s="644">
        <f>Data2025!Q1109</f>
        <v>0</v>
      </c>
      <c r="P1110" s="645" t="s">
        <v>710</v>
      </c>
      <c r="Q1110" s="646" t="e">
        <f>VLOOKUP(K1110,Sheet1!$C$1:$D$101,2,)</f>
        <v>#N/A</v>
      </c>
      <c r="R1110" s="496">
        <v>240000</v>
      </c>
      <c r="S1110" s="504">
        <v>256000</v>
      </c>
      <c r="T1110" s="648">
        <f>Data2025!T1109</f>
        <v>0</v>
      </c>
      <c r="U1110" s="497" t="s">
        <v>538</v>
      </c>
      <c r="V1110" s="648">
        <f>Data2025!V1109</f>
        <v>0</v>
      </c>
      <c r="W1110" s="648">
        <f>Data2025!X1109</f>
        <v>0</v>
      </c>
      <c r="X1110" s="497" t="s">
        <v>541</v>
      </c>
      <c r="Y1110" s="268" t="str">
        <f t="shared" si="56"/>
        <v>Alat Tulis Kantor (ATK)</v>
      </c>
      <c r="Z1110" s="649" t="str">
        <f t="shared" si="57"/>
        <v>Alat Tulis Kantor (ATK)</v>
      </c>
      <c r="AA1110" s="498" t="s">
        <v>3367</v>
      </c>
      <c r="AB1110" s="499">
        <v>30000</v>
      </c>
      <c r="AC1110" s="499">
        <v>240000</v>
      </c>
      <c r="AD1110" s="496">
        <v>240000</v>
      </c>
      <c r="AE1110" s="500">
        <v>216216.21621621621</v>
      </c>
      <c r="AF1110" s="500">
        <v>240000</v>
      </c>
      <c r="AG1110" s="805" t="s">
        <v>3883</v>
      </c>
      <c r="AH1110" s="651">
        <f>Data2025!W1109</f>
        <v>0</v>
      </c>
      <c r="AI1110" s="61">
        <v>366</v>
      </c>
    </row>
    <row r="1111" spans="1:35" ht="16.5" thickTop="1" thickBot="1">
      <c r="A1111" s="636">
        <f>Data2025!G1110</f>
        <v>0</v>
      </c>
      <c r="B1111" s="637">
        <f>Data2025!K1110</f>
        <v>0</v>
      </c>
      <c r="C1111" s="638">
        <f>Data2025!D1110</f>
        <v>0</v>
      </c>
      <c r="D1111" s="639">
        <f>Data2025!C1110</f>
        <v>0</v>
      </c>
      <c r="E1111" s="265">
        <f>Data2025!E1110</f>
        <v>0</v>
      </c>
      <c r="F1111" s="640">
        <f>Data2025!F1110</f>
        <v>0</v>
      </c>
      <c r="G1111" s="265">
        <f>Data2025!H1110</f>
        <v>0</v>
      </c>
      <c r="H1111" s="265">
        <f t="shared" si="55"/>
        <v>0</v>
      </c>
      <c r="I1111" s="641">
        <f>Data2025!J1110</f>
        <v>0</v>
      </c>
      <c r="J1111" s="381">
        <f>Data2025!L1110</f>
        <v>0</v>
      </c>
      <c r="K1111" s="381">
        <f>Data2025!M1110</f>
        <v>0</v>
      </c>
      <c r="L1111" s="642">
        <f>Data2025!N1110</f>
        <v>0</v>
      </c>
      <c r="M1111" s="642">
        <f>Data2025!O1110</f>
        <v>0</v>
      </c>
      <c r="N1111" s="643">
        <f>Data2025!P1110</f>
        <v>0</v>
      </c>
      <c r="O1111" s="644">
        <f>Data2025!Q1110</f>
        <v>0</v>
      </c>
      <c r="P1111" s="645" t="s">
        <v>710</v>
      </c>
      <c r="Q1111" s="646" t="e">
        <f>VLOOKUP(K1111,Sheet1!$C$1:$D$101,2,)</f>
        <v>#N/A</v>
      </c>
      <c r="R1111" s="496">
        <v>55000</v>
      </c>
      <c r="S1111" s="504">
        <v>65000</v>
      </c>
      <c r="T1111" s="648">
        <f>Data2025!T1110</f>
        <v>0</v>
      </c>
      <c r="U1111" s="497" t="s">
        <v>538</v>
      </c>
      <c r="V1111" s="648">
        <f>Data2025!V1110</f>
        <v>0</v>
      </c>
      <c r="W1111" s="648">
        <f>Data2025!X1110</f>
        <v>0</v>
      </c>
      <c r="X1111" s="497" t="s">
        <v>541</v>
      </c>
      <c r="Y1111" s="268" t="str">
        <f t="shared" si="56"/>
        <v>Alat Tulis Kantor (ATK)</v>
      </c>
      <c r="Z1111" s="649" t="str">
        <f t="shared" si="57"/>
        <v>Alat Tulis Kantor (ATK)</v>
      </c>
      <c r="AA1111" s="498" t="s">
        <v>3362</v>
      </c>
      <c r="AB1111" s="499">
        <v>11000</v>
      </c>
      <c r="AC1111" s="499">
        <v>55000</v>
      </c>
      <c r="AD1111" s="496">
        <v>55000</v>
      </c>
      <c r="AE1111" s="500">
        <v>49549.549549549549</v>
      </c>
      <c r="AF1111" s="500">
        <v>55000</v>
      </c>
      <c r="AG1111" s="805" t="s">
        <v>3883</v>
      </c>
      <c r="AH1111" s="651">
        <f>Data2025!W1110</f>
        <v>0</v>
      </c>
      <c r="AI1111" s="61">
        <v>366</v>
      </c>
    </row>
    <row r="1112" spans="1:35" ht="16.5" thickTop="1" thickBot="1">
      <c r="A1112" s="636">
        <f>Data2025!G1111</f>
        <v>0</v>
      </c>
      <c r="B1112" s="637">
        <f>Data2025!K1111</f>
        <v>0</v>
      </c>
      <c r="C1112" s="638">
        <f>Data2025!D1111</f>
        <v>0</v>
      </c>
      <c r="D1112" s="639">
        <f>Data2025!C1111</f>
        <v>0</v>
      </c>
      <c r="E1112" s="265">
        <f>Data2025!E1111</f>
        <v>0</v>
      </c>
      <c r="F1112" s="640">
        <f>Data2025!F1111</f>
        <v>0</v>
      </c>
      <c r="G1112" s="265">
        <f>Data2025!H1111</f>
        <v>0</v>
      </c>
      <c r="H1112" s="265">
        <f t="shared" si="55"/>
        <v>0</v>
      </c>
      <c r="I1112" s="641">
        <f>Data2025!J1111</f>
        <v>0</v>
      </c>
      <c r="J1112" s="381">
        <f>Data2025!L1111</f>
        <v>0</v>
      </c>
      <c r="K1112" s="381">
        <f>Data2025!M1111</f>
        <v>0</v>
      </c>
      <c r="L1112" s="642">
        <f>Data2025!N1111</f>
        <v>0</v>
      </c>
      <c r="M1112" s="642">
        <f>Data2025!O1111</f>
        <v>0</v>
      </c>
      <c r="N1112" s="643">
        <f>Data2025!P1111</f>
        <v>0</v>
      </c>
      <c r="O1112" s="644">
        <f>Data2025!Q1111</f>
        <v>0</v>
      </c>
      <c r="P1112" s="645" t="s">
        <v>710</v>
      </c>
      <c r="Q1112" s="646" t="e">
        <f>VLOOKUP(K1112,Sheet1!$C$1:$D$101,2,)</f>
        <v>#N/A</v>
      </c>
      <c r="R1112" s="496">
        <v>240000</v>
      </c>
      <c r="S1112" s="504">
        <v>244000</v>
      </c>
      <c r="T1112" s="648">
        <f>Data2025!T1111</f>
        <v>0</v>
      </c>
      <c r="U1112" s="497" t="s">
        <v>538</v>
      </c>
      <c r="V1112" s="648">
        <f>Data2025!V1111</f>
        <v>0</v>
      </c>
      <c r="W1112" s="648">
        <f>Data2025!X1111</f>
        <v>0</v>
      </c>
      <c r="X1112" s="497" t="s">
        <v>541</v>
      </c>
      <c r="Y1112" s="268" t="str">
        <f t="shared" si="56"/>
        <v>Alat Tulis Kantor (ATK)</v>
      </c>
      <c r="Z1112" s="649" t="str">
        <f t="shared" si="57"/>
        <v>Alat Tulis Kantor (ATK)</v>
      </c>
      <c r="AA1112" s="498" t="s">
        <v>3364</v>
      </c>
      <c r="AB1112" s="499">
        <v>120000</v>
      </c>
      <c r="AC1112" s="499">
        <v>240000</v>
      </c>
      <c r="AD1112" s="496">
        <v>240000</v>
      </c>
      <c r="AE1112" s="500">
        <v>216216.21621621621</v>
      </c>
      <c r="AF1112" s="500">
        <v>240000</v>
      </c>
      <c r="AG1112" s="805" t="s">
        <v>3883</v>
      </c>
      <c r="AH1112" s="651">
        <f>Data2025!W1111</f>
        <v>0</v>
      </c>
      <c r="AI1112" s="61">
        <v>366</v>
      </c>
    </row>
    <row r="1113" spans="1:35" ht="16.5" thickTop="1" thickBot="1">
      <c r="A1113" s="636">
        <f>Data2025!G1112</f>
        <v>0</v>
      </c>
      <c r="B1113" s="637">
        <f>Data2025!K1112</f>
        <v>0</v>
      </c>
      <c r="C1113" s="638">
        <f>Data2025!D1112</f>
        <v>0</v>
      </c>
      <c r="D1113" s="639">
        <f>Data2025!C1112</f>
        <v>0</v>
      </c>
      <c r="E1113" s="265">
        <f>Data2025!E1112</f>
        <v>0</v>
      </c>
      <c r="F1113" s="640">
        <f>Data2025!F1112</f>
        <v>0</v>
      </c>
      <c r="G1113" s="265">
        <f>Data2025!H1112</f>
        <v>0</v>
      </c>
      <c r="H1113" s="265">
        <f t="shared" si="55"/>
        <v>0</v>
      </c>
      <c r="I1113" s="641">
        <f>Data2025!J1112</f>
        <v>0</v>
      </c>
      <c r="J1113" s="381">
        <f>Data2025!L1112</f>
        <v>0</v>
      </c>
      <c r="K1113" s="381">
        <f>Data2025!M1112</f>
        <v>0</v>
      </c>
      <c r="L1113" s="642">
        <f>Data2025!N1112</f>
        <v>0</v>
      </c>
      <c r="M1113" s="642">
        <f>Data2025!O1112</f>
        <v>0</v>
      </c>
      <c r="N1113" s="643">
        <f>Data2025!P1112</f>
        <v>0</v>
      </c>
      <c r="O1113" s="644">
        <f>Data2025!Q1112</f>
        <v>0</v>
      </c>
      <c r="P1113" s="645" t="s">
        <v>710</v>
      </c>
      <c r="Q1113" s="646" t="e">
        <f>VLOOKUP(K1113,Sheet1!$C$1:$D$101,2,)</f>
        <v>#N/A</v>
      </c>
      <c r="R1113" s="496">
        <v>75000</v>
      </c>
      <c r="S1113" s="504">
        <v>85000</v>
      </c>
      <c r="T1113" s="648">
        <f>Data2025!T1112</f>
        <v>0</v>
      </c>
      <c r="U1113" s="497" t="s">
        <v>538</v>
      </c>
      <c r="V1113" s="648">
        <f>Data2025!V1112</f>
        <v>0</v>
      </c>
      <c r="W1113" s="648">
        <f>Data2025!X1112</f>
        <v>0</v>
      </c>
      <c r="X1113" s="497" t="s">
        <v>541</v>
      </c>
      <c r="Y1113" s="268" t="str">
        <f t="shared" si="56"/>
        <v>Alat Tulis Kantor (ATK)</v>
      </c>
      <c r="Z1113" s="649" t="str">
        <f t="shared" si="57"/>
        <v>Alat Tulis Kantor (ATK)</v>
      </c>
      <c r="AA1113" s="498" t="s">
        <v>3363</v>
      </c>
      <c r="AB1113" s="499">
        <v>15000</v>
      </c>
      <c r="AC1113" s="499">
        <v>75000</v>
      </c>
      <c r="AD1113" s="496">
        <v>75000</v>
      </c>
      <c r="AE1113" s="500">
        <v>67567.567567567574</v>
      </c>
      <c r="AF1113" s="500">
        <v>75000</v>
      </c>
      <c r="AG1113" s="805" t="s">
        <v>3883</v>
      </c>
      <c r="AH1113" s="651">
        <f>Data2025!W1112</f>
        <v>0</v>
      </c>
      <c r="AI1113" s="61">
        <v>366</v>
      </c>
    </row>
    <row r="1114" spans="1:35" ht="16.5" thickTop="1" thickBot="1">
      <c r="A1114" s="636">
        <f>Data2025!G1113</f>
        <v>0</v>
      </c>
      <c r="B1114" s="637">
        <f>Data2025!K1113</f>
        <v>0</v>
      </c>
      <c r="C1114" s="638">
        <f>Data2025!D1113</f>
        <v>0</v>
      </c>
      <c r="D1114" s="639">
        <f>Data2025!C1113</f>
        <v>0</v>
      </c>
      <c r="E1114" s="265">
        <f>Data2025!E1113</f>
        <v>0</v>
      </c>
      <c r="F1114" s="640">
        <f>Data2025!F1113</f>
        <v>0</v>
      </c>
      <c r="G1114" s="265">
        <f>Data2025!H1113</f>
        <v>0</v>
      </c>
      <c r="H1114" s="265">
        <f t="shared" si="55"/>
        <v>0</v>
      </c>
      <c r="I1114" s="641">
        <f>Data2025!J1113</f>
        <v>0</v>
      </c>
      <c r="J1114" s="381">
        <f>Data2025!L1113</f>
        <v>0</v>
      </c>
      <c r="K1114" s="381">
        <f>Data2025!M1113</f>
        <v>0</v>
      </c>
      <c r="L1114" s="642">
        <f>Data2025!N1113</f>
        <v>0</v>
      </c>
      <c r="M1114" s="642">
        <f>Data2025!O1113</f>
        <v>0</v>
      </c>
      <c r="N1114" s="643">
        <f>Data2025!P1113</f>
        <v>0</v>
      </c>
      <c r="O1114" s="644">
        <f>Data2025!Q1113</f>
        <v>0</v>
      </c>
      <c r="P1114" s="645" t="s">
        <v>710</v>
      </c>
      <c r="Q1114" s="646" t="e">
        <f>VLOOKUP(K1114,Sheet1!$C$1:$D$101,2,)</f>
        <v>#N/A</v>
      </c>
      <c r="R1114" s="496">
        <v>87500</v>
      </c>
      <c r="S1114" s="504">
        <v>89500</v>
      </c>
      <c r="T1114" s="648">
        <f>Data2025!T1113</f>
        <v>0</v>
      </c>
      <c r="U1114" s="497" t="s">
        <v>538</v>
      </c>
      <c r="V1114" s="648">
        <f>Data2025!V1113</f>
        <v>0</v>
      </c>
      <c r="W1114" s="648">
        <f>Data2025!X1113</f>
        <v>0</v>
      </c>
      <c r="X1114" s="497" t="s">
        <v>541</v>
      </c>
      <c r="Y1114" s="268" t="str">
        <f t="shared" si="56"/>
        <v>Alat Tulis Kantor (ATK)</v>
      </c>
      <c r="Z1114" s="649" t="str">
        <f t="shared" si="57"/>
        <v>Alat Tulis Kantor (ATK)</v>
      </c>
      <c r="AA1114" s="498" t="s">
        <v>3370</v>
      </c>
      <c r="AB1114" s="499">
        <v>87500</v>
      </c>
      <c r="AC1114" s="499">
        <v>87500</v>
      </c>
      <c r="AD1114" s="496">
        <v>87500</v>
      </c>
      <c r="AE1114" s="500">
        <v>78828.828828828831</v>
      </c>
      <c r="AF1114" s="500">
        <v>87500</v>
      </c>
      <c r="AG1114" s="805" t="s">
        <v>3883</v>
      </c>
      <c r="AH1114" s="651">
        <f>Data2025!W1113</f>
        <v>0</v>
      </c>
      <c r="AI1114" s="61">
        <v>366</v>
      </c>
    </row>
    <row r="1115" spans="1:35" ht="16.5" thickTop="1" thickBot="1">
      <c r="A1115" s="636">
        <f>Data2025!G1114</f>
        <v>0</v>
      </c>
      <c r="B1115" s="637">
        <f>Data2025!K1114</f>
        <v>0</v>
      </c>
      <c r="C1115" s="638">
        <f>Data2025!D1114</f>
        <v>0</v>
      </c>
      <c r="D1115" s="639">
        <f>Data2025!C1114</f>
        <v>0</v>
      </c>
      <c r="E1115" s="265">
        <f>Data2025!E1114</f>
        <v>0</v>
      </c>
      <c r="F1115" s="640">
        <f>Data2025!F1114</f>
        <v>0</v>
      </c>
      <c r="G1115" s="265">
        <f>Data2025!H1114</f>
        <v>0</v>
      </c>
      <c r="H1115" s="265">
        <f t="shared" si="55"/>
        <v>0</v>
      </c>
      <c r="I1115" s="641">
        <f>Data2025!J1114</f>
        <v>0</v>
      </c>
      <c r="J1115" s="381">
        <f>Data2025!L1114</f>
        <v>0</v>
      </c>
      <c r="K1115" s="381">
        <f>Data2025!M1114</f>
        <v>0</v>
      </c>
      <c r="L1115" s="642">
        <f>Data2025!N1114</f>
        <v>0</v>
      </c>
      <c r="M1115" s="642">
        <f>Data2025!O1114</f>
        <v>0</v>
      </c>
      <c r="N1115" s="643">
        <f>Data2025!P1114</f>
        <v>0</v>
      </c>
      <c r="O1115" s="644">
        <f>Data2025!Q1114</f>
        <v>0</v>
      </c>
      <c r="P1115" s="645" t="s">
        <v>710</v>
      </c>
      <c r="Q1115" s="646" t="e">
        <f>VLOOKUP(K1115,Sheet1!$C$1:$D$101,2,)</f>
        <v>#N/A</v>
      </c>
      <c r="R1115" s="496">
        <v>80000</v>
      </c>
      <c r="S1115" s="504">
        <v>82000</v>
      </c>
      <c r="T1115" s="648">
        <f>Data2025!T1114</f>
        <v>0</v>
      </c>
      <c r="U1115" s="497" t="s">
        <v>538</v>
      </c>
      <c r="V1115" s="648">
        <f>Data2025!V1114</f>
        <v>0</v>
      </c>
      <c r="W1115" s="648">
        <f>Data2025!X1114</f>
        <v>0</v>
      </c>
      <c r="X1115" s="497" t="s">
        <v>541</v>
      </c>
      <c r="Y1115" s="268" t="str">
        <f t="shared" si="56"/>
        <v>Alat Tulis Kantor (ATK)</v>
      </c>
      <c r="Z1115" s="649" t="str">
        <f t="shared" si="57"/>
        <v>Alat Tulis Kantor (ATK)</v>
      </c>
      <c r="AA1115" s="498" t="s">
        <v>3363</v>
      </c>
      <c r="AB1115" s="499">
        <v>80000</v>
      </c>
      <c r="AC1115" s="499">
        <v>80000</v>
      </c>
      <c r="AD1115" s="496">
        <v>80000</v>
      </c>
      <c r="AE1115" s="500">
        <v>72072.072072072071</v>
      </c>
      <c r="AF1115" s="500">
        <v>80000</v>
      </c>
      <c r="AG1115" s="805" t="s">
        <v>3883</v>
      </c>
      <c r="AH1115" s="651">
        <f>Data2025!W1114</f>
        <v>0</v>
      </c>
      <c r="AI1115" s="61">
        <v>366</v>
      </c>
    </row>
    <row r="1116" spans="1:35" ht="16.5" thickTop="1" thickBot="1">
      <c r="A1116" s="636">
        <f>Data2025!G1115</f>
        <v>0</v>
      </c>
      <c r="B1116" s="637">
        <f>Data2025!K1115</f>
        <v>0</v>
      </c>
      <c r="C1116" s="638">
        <f>Data2025!D1115</f>
        <v>0</v>
      </c>
      <c r="D1116" s="639">
        <f>Data2025!C1115</f>
        <v>0</v>
      </c>
      <c r="E1116" s="265">
        <f>Data2025!E1115</f>
        <v>0</v>
      </c>
      <c r="F1116" s="640">
        <f>Data2025!F1115</f>
        <v>0</v>
      </c>
      <c r="G1116" s="265">
        <f>Data2025!H1115</f>
        <v>0</v>
      </c>
      <c r="H1116" s="265">
        <f t="shared" si="55"/>
        <v>0</v>
      </c>
      <c r="I1116" s="641">
        <f>Data2025!J1115</f>
        <v>0</v>
      </c>
      <c r="J1116" s="381">
        <f>Data2025!L1115</f>
        <v>0</v>
      </c>
      <c r="K1116" s="381">
        <f>Data2025!M1115</f>
        <v>0</v>
      </c>
      <c r="L1116" s="642">
        <f>Data2025!N1115</f>
        <v>0</v>
      </c>
      <c r="M1116" s="642">
        <f>Data2025!O1115</f>
        <v>0</v>
      </c>
      <c r="N1116" s="643">
        <f>Data2025!P1115</f>
        <v>0</v>
      </c>
      <c r="O1116" s="644">
        <f>Data2025!Q1115</f>
        <v>0</v>
      </c>
      <c r="P1116" s="645" t="s">
        <v>710</v>
      </c>
      <c r="Q1116" s="646" t="e">
        <f>VLOOKUP(K1116,Sheet1!$C$1:$D$101,2,)</f>
        <v>#N/A</v>
      </c>
      <c r="R1116" s="496">
        <v>440000</v>
      </c>
      <c r="S1116" s="504">
        <v>448000</v>
      </c>
      <c r="T1116" s="648">
        <f>Data2025!T1115</f>
        <v>0</v>
      </c>
      <c r="U1116" s="497" t="s">
        <v>538</v>
      </c>
      <c r="V1116" s="648">
        <f>Data2025!V1115</f>
        <v>0</v>
      </c>
      <c r="W1116" s="648">
        <f>Data2025!X1115</f>
        <v>0</v>
      </c>
      <c r="X1116" s="497" t="s">
        <v>541</v>
      </c>
      <c r="Y1116" s="268" t="str">
        <f t="shared" si="56"/>
        <v>Alat Tulis Kantor (ATK)</v>
      </c>
      <c r="Z1116" s="649" t="str">
        <f t="shared" si="57"/>
        <v>Alat Tulis Kantor (ATK)</v>
      </c>
      <c r="AA1116" s="498" t="s">
        <v>3367</v>
      </c>
      <c r="AB1116" s="499">
        <v>110000</v>
      </c>
      <c r="AC1116" s="499">
        <v>440000</v>
      </c>
      <c r="AD1116" s="496">
        <v>440000</v>
      </c>
      <c r="AE1116" s="500">
        <v>396396.39639639639</v>
      </c>
      <c r="AF1116" s="500">
        <v>440000</v>
      </c>
      <c r="AG1116" s="805" t="s">
        <v>3883</v>
      </c>
      <c r="AH1116" s="651">
        <f>Data2025!W1115</f>
        <v>0</v>
      </c>
      <c r="AI1116" s="61">
        <v>366</v>
      </c>
    </row>
    <row r="1117" spans="1:35" ht="16.5" thickTop="1" thickBot="1">
      <c r="A1117" s="636">
        <f>Data2025!G1116</f>
        <v>0</v>
      </c>
      <c r="B1117" s="637">
        <f>Data2025!K1116</f>
        <v>0</v>
      </c>
      <c r="C1117" s="638">
        <f>Data2025!D1116</f>
        <v>0</v>
      </c>
      <c r="D1117" s="639">
        <f>Data2025!C1116</f>
        <v>0</v>
      </c>
      <c r="E1117" s="265">
        <f>Data2025!E1116</f>
        <v>0</v>
      </c>
      <c r="F1117" s="640">
        <f>Data2025!F1116</f>
        <v>0</v>
      </c>
      <c r="G1117" s="265">
        <f>Data2025!H1116</f>
        <v>0</v>
      </c>
      <c r="H1117" s="265">
        <f t="shared" si="55"/>
        <v>0</v>
      </c>
      <c r="I1117" s="641">
        <f>Data2025!J1116</f>
        <v>0</v>
      </c>
      <c r="J1117" s="381">
        <f>Data2025!L1116</f>
        <v>0</v>
      </c>
      <c r="K1117" s="381">
        <f>Data2025!M1116</f>
        <v>0</v>
      </c>
      <c r="L1117" s="642">
        <f>Data2025!N1116</f>
        <v>0</v>
      </c>
      <c r="M1117" s="642">
        <f>Data2025!O1116</f>
        <v>0</v>
      </c>
      <c r="N1117" s="643">
        <f>Data2025!P1116</f>
        <v>0</v>
      </c>
      <c r="O1117" s="644">
        <f>Data2025!Q1116</f>
        <v>0</v>
      </c>
      <c r="P1117" s="645" t="s">
        <v>710</v>
      </c>
      <c r="Q1117" s="646" t="e">
        <f>VLOOKUP(K1117,Sheet1!$C$1:$D$101,2,)</f>
        <v>#N/A</v>
      </c>
      <c r="R1117" s="496">
        <v>396000</v>
      </c>
      <c r="S1117" s="504">
        <v>420000</v>
      </c>
      <c r="T1117" s="648">
        <f>Data2025!T1116</f>
        <v>0</v>
      </c>
      <c r="U1117" s="497" t="s">
        <v>538</v>
      </c>
      <c r="V1117" s="648">
        <f>Data2025!V1116</f>
        <v>0</v>
      </c>
      <c r="W1117" s="648">
        <f>Data2025!X1116</f>
        <v>0</v>
      </c>
      <c r="X1117" s="497" t="s">
        <v>541</v>
      </c>
      <c r="Y1117" s="268" t="str">
        <f t="shared" si="56"/>
        <v>Alat Tulis Kantor (ATK)</v>
      </c>
      <c r="Z1117" s="649" t="str">
        <f t="shared" si="57"/>
        <v>Alat Tulis Kantor (ATK)</v>
      </c>
      <c r="AA1117" s="498" t="s">
        <v>3367</v>
      </c>
      <c r="AB1117" s="499">
        <v>33000</v>
      </c>
      <c r="AC1117" s="499">
        <v>396000</v>
      </c>
      <c r="AD1117" s="496">
        <v>396000</v>
      </c>
      <c r="AE1117" s="500">
        <v>356756.75675675675</v>
      </c>
      <c r="AF1117" s="500">
        <v>396000</v>
      </c>
      <c r="AG1117" s="805" t="s">
        <v>3883</v>
      </c>
      <c r="AH1117" s="651">
        <f>Data2025!W1116</f>
        <v>0</v>
      </c>
      <c r="AI1117" s="61">
        <v>366</v>
      </c>
    </row>
    <row r="1118" spans="1:35" ht="16.5" thickTop="1" thickBot="1">
      <c r="A1118" s="636">
        <f>Data2025!G1117</f>
        <v>0</v>
      </c>
      <c r="B1118" s="637">
        <f>Data2025!K1117</f>
        <v>0</v>
      </c>
      <c r="C1118" s="638">
        <f>Data2025!D1117</f>
        <v>0</v>
      </c>
      <c r="D1118" s="639">
        <f>Data2025!C1117</f>
        <v>0</v>
      </c>
      <c r="E1118" s="265">
        <f>Data2025!E1117</f>
        <v>0</v>
      </c>
      <c r="F1118" s="640">
        <f>Data2025!F1117</f>
        <v>0</v>
      </c>
      <c r="G1118" s="265">
        <f>Data2025!H1117</f>
        <v>0</v>
      </c>
      <c r="H1118" s="265">
        <f t="shared" si="55"/>
        <v>0</v>
      </c>
      <c r="I1118" s="641">
        <f>Data2025!J1117</f>
        <v>0</v>
      </c>
      <c r="J1118" s="381">
        <f>Data2025!L1117</f>
        <v>0</v>
      </c>
      <c r="K1118" s="381">
        <f>Data2025!M1117</f>
        <v>0</v>
      </c>
      <c r="L1118" s="642">
        <f>Data2025!N1117</f>
        <v>0</v>
      </c>
      <c r="M1118" s="642">
        <f>Data2025!O1117</f>
        <v>0</v>
      </c>
      <c r="N1118" s="643">
        <f>Data2025!P1117</f>
        <v>0</v>
      </c>
      <c r="O1118" s="644">
        <f>Data2025!Q1117</f>
        <v>0</v>
      </c>
      <c r="P1118" s="645" t="s">
        <v>710</v>
      </c>
      <c r="Q1118" s="646" t="e">
        <f>VLOOKUP(K1118,Sheet1!$C$1:$D$101,2,)</f>
        <v>#N/A</v>
      </c>
      <c r="R1118" s="496">
        <v>125000</v>
      </c>
      <c r="S1118" s="504">
        <v>135000</v>
      </c>
      <c r="T1118" s="648">
        <f>Data2025!T1117</f>
        <v>0</v>
      </c>
      <c r="U1118" s="497" t="s">
        <v>538</v>
      </c>
      <c r="V1118" s="648">
        <f>Data2025!V1117</f>
        <v>0</v>
      </c>
      <c r="W1118" s="648">
        <f>Data2025!X1117</f>
        <v>0</v>
      </c>
      <c r="X1118" s="497" t="s">
        <v>541</v>
      </c>
      <c r="Y1118" s="268" t="str">
        <f t="shared" si="56"/>
        <v>Alat Tulis Kantor (ATK)</v>
      </c>
      <c r="Z1118" s="649" t="str">
        <f t="shared" si="57"/>
        <v>Alat Tulis Kantor (ATK)</v>
      </c>
      <c r="AA1118" s="498" t="s">
        <v>3368</v>
      </c>
      <c r="AB1118" s="499">
        <v>25000</v>
      </c>
      <c r="AC1118" s="499">
        <v>125000</v>
      </c>
      <c r="AD1118" s="496">
        <v>125000</v>
      </c>
      <c r="AE1118" s="500">
        <v>112612.61261261262</v>
      </c>
      <c r="AF1118" s="500">
        <v>125000</v>
      </c>
      <c r="AG1118" s="805" t="s">
        <v>3883</v>
      </c>
      <c r="AH1118" s="651">
        <f>Data2025!W1117</f>
        <v>0</v>
      </c>
      <c r="AI1118" s="61">
        <v>366</v>
      </c>
    </row>
    <row r="1119" spans="1:35" ht="16.5" thickTop="1" thickBot="1">
      <c r="A1119" s="636">
        <f>Data2025!G1118</f>
        <v>0</v>
      </c>
      <c r="B1119" s="637">
        <f>Data2025!K1118</f>
        <v>0</v>
      </c>
      <c r="C1119" s="638">
        <f>Data2025!D1118</f>
        <v>0</v>
      </c>
      <c r="D1119" s="639">
        <f>Data2025!C1118</f>
        <v>0</v>
      </c>
      <c r="E1119" s="265">
        <f>Data2025!E1118</f>
        <v>0</v>
      </c>
      <c r="F1119" s="640">
        <f>Data2025!F1118</f>
        <v>0</v>
      </c>
      <c r="G1119" s="265">
        <f>Data2025!H1118</f>
        <v>0</v>
      </c>
      <c r="H1119" s="265">
        <f t="shared" si="55"/>
        <v>0</v>
      </c>
      <c r="I1119" s="641">
        <f>Data2025!J1118</f>
        <v>0</v>
      </c>
      <c r="J1119" s="381">
        <f>Data2025!L1118</f>
        <v>0</v>
      </c>
      <c r="K1119" s="381">
        <f>Data2025!M1118</f>
        <v>0</v>
      </c>
      <c r="L1119" s="642">
        <f>Data2025!N1118</f>
        <v>0</v>
      </c>
      <c r="M1119" s="642">
        <f>Data2025!O1118</f>
        <v>0</v>
      </c>
      <c r="N1119" s="643">
        <f>Data2025!P1118</f>
        <v>0</v>
      </c>
      <c r="O1119" s="644">
        <f>Data2025!Q1118</f>
        <v>0</v>
      </c>
      <c r="P1119" s="645" t="s">
        <v>710</v>
      </c>
      <c r="Q1119" s="646" t="e">
        <f>VLOOKUP(K1119,Sheet1!$C$1:$D$101,2,)</f>
        <v>#N/A</v>
      </c>
      <c r="R1119" s="496">
        <v>209000</v>
      </c>
      <c r="S1119" s="504">
        <v>229000</v>
      </c>
      <c r="T1119" s="648">
        <f>Data2025!T1118</f>
        <v>0</v>
      </c>
      <c r="U1119" s="497" t="s">
        <v>538</v>
      </c>
      <c r="V1119" s="648">
        <f>Data2025!V1118</f>
        <v>0</v>
      </c>
      <c r="W1119" s="648">
        <f>Data2025!X1118</f>
        <v>0</v>
      </c>
      <c r="X1119" s="497" t="s">
        <v>541</v>
      </c>
      <c r="Y1119" s="268" t="str">
        <f t="shared" si="56"/>
        <v>Alat Tulis Kantor (ATK)</v>
      </c>
      <c r="Z1119" s="649" t="str">
        <f t="shared" si="57"/>
        <v>Alat Tulis Kantor (ATK)</v>
      </c>
      <c r="AA1119" s="498" t="s">
        <v>3363</v>
      </c>
      <c r="AB1119" s="499">
        <v>20900</v>
      </c>
      <c r="AC1119" s="499">
        <v>209000</v>
      </c>
      <c r="AD1119" s="496">
        <v>209000</v>
      </c>
      <c r="AE1119" s="500">
        <v>188288.28828828828</v>
      </c>
      <c r="AF1119" s="500">
        <v>209000</v>
      </c>
      <c r="AG1119" s="805" t="s">
        <v>3883</v>
      </c>
      <c r="AH1119" s="651">
        <f>Data2025!W1118</f>
        <v>0</v>
      </c>
      <c r="AI1119" s="61">
        <v>366</v>
      </c>
    </row>
    <row r="1120" spans="1:35" ht="16.5" thickTop="1" thickBot="1">
      <c r="A1120" s="636">
        <f>Data2025!G1119</f>
        <v>0</v>
      </c>
      <c r="B1120" s="637">
        <f>Data2025!K1119</f>
        <v>0</v>
      </c>
      <c r="C1120" s="638">
        <f>Data2025!D1119</f>
        <v>0</v>
      </c>
      <c r="D1120" s="639">
        <f>Data2025!C1119</f>
        <v>0</v>
      </c>
      <c r="E1120" s="265">
        <f>Data2025!E1119</f>
        <v>0</v>
      </c>
      <c r="F1120" s="640">
        <f>Data2025!F1119</f>
        <v>0</v>
      </c>
      <c r="G1120" s="265">
        <f>Data2025!H1119</f>
        <v>0</v>
      </c>
      <c r="H1120" s="265">
        <f t="shared" si="55"/>
        <v>0</v>
      </c>
      <c r="I1120" s="641">
        <f>Data2025!J1119</f>
        <v>0</v>
      </c>
      <c r="J1120" s="381">
        <f>Data2025!L1119</f>
        <v>0</v>
      </c>
      <c r="K1120" s="381">
        <f>Data2025!M1119</f>
        <v>0</v>
      </c>
      <c r="L1120" s="642">
        <f>Data2025!N1119</f>
        <v>0</v>
      </c>
      <c r="M1120" s="642">
        <f>Data2025!O1119</f>
        <v>0</v>
      </c>
      <c r="N1120" s="643">
        <f>Data2025!P1119</f>
        <v>0</v>
      </c>
      <c r="O1120" s="644">
        <f>Data2025!Q1119</f>
        <v>0</v>
      </c>
      <c r="P1120" s="645" t="s">
        <v>710</v>
      </c>
      <c r="Q1120" s="646" t="e">
        <f>VLOOKUP(K1120,Sheet1!$C$1:$D$101,2,)</f>
        <v>#N/A</v>
      </c>
      <c r="R1120" s="496">
        <v>440000</v>
      </c>
      <c r="S1120" s="504">
        <v>448000</v>
      </c>
      <c r="T1120" s="648">
        <f>Data2025!T1119</f>
        <v>0</v>
      </c>
      <c r="U1120" s="497" t="s">
        <v>538</v>
      </c>
      <c r="V1120" s="648">
        <f>Data2025!V1119</f>
        <v>0</v>
      </c>
      <c r="W1120" s="648">
        <f>Data2025!X1119</f>
        <v>0</v>
      </c>
      <c r="X1120" s="497" t="s">
        <v>541</v>
      </c>
      <c r="Y1120" s="268" t="str">
        <f t="shared" si="56"/>
        <v>Alat Tulis Kantor (ATK)</v>
      </c>
      <c r="Z1120" s="649" t="str">
        <f t="shared" si="57"/>
        <v>Alat Tulis Kantor (ATK)</v>
      </c>
      <c r="AA1120" s="498" t="s">
        <v>3367</v>
      </c>
      <c r="AB1120" s="499">
        <v>110000</v>
      </c>
      <c r="AC1120" s="499">
        <v>440000</v>
      </c>
      <c r="AD1120" s="496">
        <v>440000</v>
      </c>
      <c r="AE1120" s="500">
        <v>396396.39639639639</v>
      </c>
      <c r="AF1120" s="500">
        <v>440000</v>
      </c>
      <c r="AG1120" s="805" t="s">
        <v>3883</v>
      </c>
      <c r="AH1120" s="651">
        <f>Data2025!W1119</f>
        <v>0</v>
      </c>
      <c r="AI1120" s="61">
        <v>366</v>
      </c>
    </row>
    <row r="1121" spans="1:35" ht="16.5" thickTop="1" thickBot="1">
      <c r="A1121" s="636">
        <f>Data2025!G1120</f>
        <v>0</v>
      </c>
      <c r="B1121" s="637">
        <f>Data2025!K1120</f>
        <v>0</v>
      </c>
      <c r="C1121" s="638">
        <f>Data2025!D1120</f>
        <v>0</v>
      </c>
      <c r="D1121" s="639">
        <f>Data2025!C1120</f>
        <v>0</v>
      </c>
      <c r="E1121" s="265">
        <f>Data2025!E1120</f>
        <v>0</v>
      </c>
      <c r="F1121" s="640">
        <f>Data2025!F1120</f>
        <v>0</v>
      </c>
      <c r="G1121" s="265">
        <f>Data2025!H1120</f>
        <v>0</v>
      </c>
      <c r="H1121" s="265">
        <f t="shared" si="55"/>
        <v>0</v>
      </c>
      <c r="I1121" s="641">
        <f>Data2025!J1120</f>
        <v>0</v>
      </c>
      <c r="J1121" s="381">
        <f>Data2025!L1120</f>
        <v>0</v>
      </c>
      <c r="K1121" s="381">
        <f>Data2025!M1120</f>
        <v>0</v>
      </c>
      <c r="L1121" s="642">
        <f>Data2025!N1120</f>
        <v>0</v>
      </c>
      <c r="M1121" s="642">
        <f>Data2025!O1120</f>
        <v>0</v>
      </c>
      <c r="N1121" s="643">
        <f>Data2025!P1120</f>
        <v>0</v>
      </c>
      <c r="O1121" s="644">
        <f>Data2025!Q1120</f>
        <v>0</v>
      </c>
      <c r="P1121" s="645" t="s">
        <v>710</v>
      </c>
      <c r="Q1121" s="646" t="e">
        <f>VLOOKUP(K1121,Sheet1!$C$1:$D$101,2,)</f>
        <v>#N/A</v>
      </c>
      <c r="R1121" s="496">
        <v>485000</v>
      </c>
      <c r="S1121" s="504">
        <v>505000</v>
      </c>
      <c r="T1121" s="648">
        <f>Data2025!T1120</f>
        <v>0</v>
      </c>
      <c r="U1121" s="497" t="s">
        <v>538</v>
      </c>
      <c r="V1121" s="648">
        <f>Data2025!V1120</f>
        <v>0</v>
      </c>
      <c r="W1121" s="648">
        <f>Data2025!X1120</f>
        <v>0</v>
      </c>
      <c r="X1121" s="497" t="s">
        <v>541</v>
      </c>
      <c r="Y1121" s="268" t="str">
        <f t="shared" si="56"/>
        <v>Alat Tulis Kantor (ATK)</v>
      </c>
      <c r="Z1121" s="649" t="str">
        <f t="shared" si="57"/>
        <v>Alat Tulis Kantor (ATK)</v>
      </c>
      <c r="AA1121" s="498" t="s">
        <v>3369</v>
      </c>
      <c r="AB1121" s="499">
        <v>48500</v>
      </c>
      <c r="AC1121" s="499">
        <v>485000</v>
      </c>
      <c r="AD1121" s="496">
        <v>485000</v>
      </c>
      <c r="AE1121" s="500">
        <v>436936.93693693692</v>
      </c>
      <c r="AF1121" s="500">
        <v>485000</v>
      </c>
      <c r="AG1121" s="805" t="s">
        <v>3883</v>
      </c>
      <c r="AH1121" s="651">
        <f>Data2025!W1120</f>
        <v>0</v>
      </c>
      <c r="AI1121" s="61">
        <v>366</v>
      </c>
    </row>
    <row r="1122" spans="1:35" ht="16.5" thickTop="1" thickBot="1">
      <c r="A1122" s="636">
        <f>Data2025!G1121</f>
        <v>0</v>
      </c>
      <c r="B1122" s="637">
        <f>Data2025!K1121</f>
        <v>0</v>
      </c>
      <c r="C1122" s="638">
        <f>Data2025!D1121</f>
        <v>0</v>
      </c>
      <c r="D1122" s="639">
        <f>Data2025!C1121</f>
        <v>0</v>
      </c>
      <c r="E1122" s="265">
        <f>Data2025!E1121</f>
        <v>0</v>
      </c>
      <c r="F1122" s="640">
        <f>Data2025!F1121</f>
        <v>0</v>
      </c>
      <c r="G1122" s="265">
        <f>Data2025!H1121</f>
        <v>0</v>
      </c>
      <c r="H1122" s="265">
        <f t="shared" si="55"/>
        <v>0</v>
      </c>
      <c r="I1122" s="641">
        <f>Data2025!J1121</f>
        <v>0</v>
      </c>
      <c r="J1122" s="381">
        <f>Data2025!L1121</f>
        <v>0</v>
      </c>
      <c r="K1122" s="381">
        <f>Data2025!M1121</f>
        <v>0</v>
      </c>
      <c r="L1122" s="642">
        <f>Data2025!N1121</f>
        <v>0</v>
      </c>
      <c r="M1122" s="642">
        <f>Data2025!O1121</f>
        <v>0</v>
      </c>
      <c r="N1122" s="643">
        <f>Data2025!P1121</f>
        <v>0</v>
      </c>
      <c r="O1122" s="644">
        <f>Data2025!Q1121</f>
        <v>0</v>
      </c>
      <c r="P1122" s="645" t="s">
        <v>710</v>
      </c>
      <c r="Q1122" s="646" t="e">
        <f>VLOOKUP(K1122,Sheet1!$C$1:$D$101,2,)</f>
        <v>#N/A</v>
      </c>
      <c r="R1122" s="496">
        <v>325000</v>
      </c>
      <c r="S1122" s="504">
        <v>335000</v>
      </c>
      <c r="T1122" s="648">
        <f>Data2025!T1121</f>
        <v>0</v>
      </c>
      <c r="U1122" s="497" t="s">
        <v>538</v>
      </c>
      <c r="V1122" s="648">
        <f>Data2025!V1121</f>
        <v>0</v>
      </c>
      <c r="W1122" s="648">
        <f>Data2025!X1121</f>
        <v>0</v>
      </c>
      <c r="X1122" s="497" t="s">
        <v>541</v>
      </c>
      <c r="Y1122" s="268" t="str">
        <f t="shared" si="56"/>
        <v>Alat Tulis Kantor (ATK)</v>
      </c>
      <c r="Z1122" s="649" t="str">
        <f t="shared" si="57"/>
        <v>Alat Tulis Kantor (ATK)</v>
      </c>
      <c r="AA1122" s="498" t="s">
        <v>3365</v>
      </c>
      <c r="AB1122" s="499">
        <v>65000</v>
      </c>
      <c r="AC1122" s="499">
        <v>325000</v>
      </c>
      <c r="AD1122" s="496">
        <v>325000</v>
      </c>
      <c r="AE1122" s="500">
        <v>292792.79279279278</v>
      </c>
      <c r="AF1122" s="500">
        <v>325000</v>
      </c>
      <c r="AG1122" s="805" t="s">
        <v>3883</v>
      </c>
      <c r="AH1122" s="651">
        <f>Data2025!W1121</f>
        <v>0</v>
      </c>
      <c r="AI1122" s="61">
        <v>366</v>
      </c>
    </row>
    <row r="1123" spans="1:35" ht="16.5" thickTop="1" thickBot="1">
      <c r="A1123" s="636">
        <f>Data2025!G1122</f>
        <v>0</v>
      </c>
      <c r="B1123" s="637">
        <f>Data2025!K1122</f>
        <v>0</v>
      </c>
      <c r="C1123" s="638">
        <f>Data2025!D1122</f>
        <v>0</v>
      </c>
      <c r="D1123" s="639">
        <f>Data2025!C1122</f>
        <v>0</v>
      </c>
      <c r="E1123" s="265">
        <f>Data2025!E1122</f>
        <v>0</v>
      </c>
      <c r="F1123" s="640">
        <f>Data2025!F1122</f>
        <v>0</v>
      </c>
      <c r="G1123" s="265">
        <f>Data2025!H1122</f>
        <v>0</v>
      </c>
      <c r="H1123" s="265">
        <f t="shared" si="55"/>
        <v>0</v>
      </c>
      <c r="I1123" s="641">
        <f>Data2025!J1122</f>
        <v>0</v>
      </c>
      <c r="J1123" s="381">
        <f>Data2025!L1122</f>
        <v>0</v>
      </c>
      <c r="K1123" s="381">
        <f>Data2025!M1122</f>
        <v>0</v>
      </c>
      <c r="L1123" s="642">
        <f>Data2025!N1122</f>
        <v>0</v>
      </c>
      <c r="M1123" s="642">
        <f>Data2025!O1122</f>
        <v>0</v>
      </c>
      <c r="N1123" s="643">
        <f>Data2025!P1122</f>
        <v>0</v>
      </c>
      <c r="O1123" s="644">
        <f>Data2025!Q1122</f>
        <v>0</v>
      </c>
      <c r="P1123" s="645" t="s">
        <v>710</v>
      </c>
      <c r="Q1123" s="646" t="e">
        <f>VLOOKUP(K1123,Sheet1!$C$1:$D$101,2,)</f>
        <v>#N/A</v>
      </c>
      <c r="R1123" s="496">
        <v>48000</v>
      </c>
      <c r="S1123" s="504">
        <v>50000</v>
      </c>
      <c r="T1123" s="648">
        <f>Data2025!T1122</f>
        <v>0</v>
      </c>
      <c r="U1123" s="497" t="s">
        <v>538</v>
      </c>
      <c r="V1123" s="648">
        <f>Data2025!V1122</f>
        <v>0</v>
      </c>
      <c r="W1123" s="648">
        <f>Data2025!X1122</f>
        <v>0</v>
      </c>
      <c r="X1123" s="497" t="s">
        <v>541</v>
      </c>
      <c r="Y1123" s="268" t="str">
        <f t="shared" si="56"/>
        <v>Alat Tulis Kantor (ATK)</v>
      </c>
      <c r="Z1123" s="649" t="str">
        <f t="shared" si="57"/>
        <v>Alat Tulis Kantor (ATK)</v>
      </c>
      <c r="AA1123" s="498" t="s">
        <v>3362</v>
      </c>
      <c r="AB1123" s="499">
        <v>48000</v>
      </c>
      <c r="AC1123" s="499">
        <v>48000</v>
      </c>
      <c r="AD1123" s="496">
        <v>48000</v>
      </c>
      <c r="AE1123" s="500">
        <v>43243.243243243247</v>
      </c>
      <c r="AF1123" s="500">
        <v>48000</v>
      </c>
      <c r="AG1123" s="805" t="s">
        <v>3883</v>
      </c>
      <c r="AH1123" s="651">
        <f>Data2025!W1122</f>
        <v>0</v>
      </c>
      <c r="AI1123" s="61">
        <v>366</v>
      </c>
    </row>
    <row r="1124" spans="1:35" ht="16.5" thickTop="1" thickBot="1">
      <c r="A1124" s="636">
        <f>Data2025!G1123</f>
        <v>0</v>
      </c>
      <c r="B1124" s="637">
        <f>Data2025!K1123</f>
        <v>0</v>
      </c>
      <c r="C1124" s="638">
        <f>Data2025!D1123</f>
        <v>0</v>
      </c>
      <c r="D1124" s="639">
        <f>Data2025!C1123</f>
        <v>0</v>
      </c>
      <c r="E1124" s="265">
        <f>Data2025!E1123</f>
        <v>0</v>
      </c>
      <c r="F1124" s="640">
        <f>Data2025!F1123</f>
        <v>0</v>
      </c>
      <c r="G1124" s="265">
        <f>Data2025!H1123</f>
        <v>0</v>
      </c>
      <c r="H1124" s="265">
        <f t="shared" si="55"/>
        <v>0</v>
      </c>
      <c r="I1124" s="641">
        <f>Data2025!J1123</f>
        <v>0</v>
      </c>
      <c r="J1124" s="381">
        <f>Data2025!L1123</f>
        <v>0</v>
      </c>
      <c r="K1124" s="381">
        <f>Data2025!M1123</f>
        <v>0</v>
      </c>
      <c r="L1124" s="642">
        <f>Data2025!N1123</f>
        <v>0</v>
      </c>
      <c r="M1124" s="642">
        <f>Data2025!O1123</f>
        <v>0</v>
      </c>
      <c r="N1124" s="643">
        <f>Data2025!P1123</f>
        <v>0</v>
      </c>
      <c r="O1124" s="644">
        <f>Data2025!Q1123</f>
        <v>0</v>
      </c>
      <c r="P1124" s="645" t="s">
        <v>710</v>
      </c>
      <c r="Q1124" s="646" t="e">
        <f>VLOOKUP(K1124,Sheet1!$C$1:$D$101,2,)</f>
        <v>#N/A</v>
      </c>
      <c r="R1124" s="496">
        <v>300000</v>
      </c>
      <c r="S1124" s="504">
        <v>310000</v>
      </c>
      <c r="T1124" s="648">
        <f>Data2025!T1123</f>
        <v>0</v>
      </c>
      <c r="U1124" s="497" t="s">
        <v>538</v>
      </c>
      <c r="V1124" s="648">
        <f>Data2025!V1123</f>
        <v>0</v>
      </c>
      <c r="W1124" s="648">
        <f>Data2025!X1123</f>
        <v>0</v>
      </c>
      <c r="X1124" s="497" t="s">
        <v>541</v>
      </c>
      <c r="Y1124" s="268" t="str">
        <f t="shared" si="56"/>
        <v>Alat Tulis Kantor (ATK)</v>
      </c>
      <c r="Z1124" s="649" t="str">
        <f t="shared" si="57"/>
        <v>Alat Tulis Kantor (ATK)</v>
      </c>
      <c r="AA1124" s="498" t="s">
        <v>3365</v>
      </c>
      <c r="AB1124" s="499">
        <v>60000</v>
      </c>
      <c r="AC1124" s="499">
        <v>300000</v>
      </c>
      <c r="AD1124" s="496">
        <v>300000</v>
      </c>
      <c r="AE1124" s="500">
        <v>270270.2702702703</v>
      </c>
      <c r="AF1124" s="500">
        <v>300000</v>
      </c>
      <c r="AG1124" s="805" t="s">
        <v>3883</v>
      </c>
      <c r="AH1124" s="651">
        <f>Data2025!W1123</f>
        <v>0</v>
      </c>
      <c r="AI1124" s="61">
        <v>366</v>
      </c>
    </row>
    <row r="1125" spans="1:35" ht="16.5" thickTop="1" thickBot="1">
      <c r="A1125" s="636">
        <f>Data2025!G1124</f>
        <v>0</v>
      </c>
      <c r="B1125" s="637">
        <f>Data2025!K1124</f>
        <v>0</v>
      </c>
      <c r="C1125" s="638">
        <f>Data2025!D1124</f>
        <v>0</v>
      </c>
      <c r="D1125" s="639">
        <f>Data2025!C1124</f>
        <v>0</v>
      </c>
      <c r="E1125" s="265">
        <f>Data2025!E1124</f>
        <v>0</v>
      </c>
      <c r="F1125" s="640">
        <f>Data2025!F1124</f>
        <v>0</v>
      </c>
      <c r="G1125" s="265">
        <f>Data2025!H1124</f>
        <v>0</v>
      </c>
      <c r="H1125" s="265">
        <f t="shared" si="55"/>
        <v>0</v>
      </c>
      <c r="I1125" s="641">
        <f>Data2025!J1124</f>
        <v>0</v>
      </c>
      <c r="J1125" s="381">
        <f>Data2025!L1124</f>
        <v>0</v>
      </c>
      <c r="K1125" s="381">
        <f>Data2025!M1124</f>
        <v>0</v>
      </c>
      <c r="L1125" s="642">
        <f>Data2025!N1124</f>
        <v>0</v>
      </c>
      <c r="M1125" s="642">
        <f>Data2025!O1124</f>
        <v>0</v>
      </c>
      <c r="N1125" s="643">
        <f>Data2025!P1124</f>
        <v>0</v>
      </c>
      <c r="O1125" s="644">
        <f>Data2025!Q1124</f>
        <v>0</v>
      </c>
      <c r="P1125" s="645" t="s">
        <v>710</v>
      </c>
      <c r="Q1125" s="646" t="e">
        <f>VLOOKUP(K1125,Sheet1!$C$1:$D$101,2,)</f>
        <v>#N/A</v>
      </c>
      <c r="R1125" s="496">
        <v>50000</v>
      </c>
      <c r="S1125" s="504">
        <v>54000</v>
      </c>
      <c r="T1125" s="648">
        <f>Data2025!T1124</f>
        <v>0</v>
      </c>
      <c r="U1125" s="497" t="s">
        <v>538</v>
      </c>
      <c r="V1125" s="648">
        <f>Data2025!V1124</f>
        <v>0</v>
      </c>
      <c r="W1125" s="648">
        <f>Data2025!X1124</f>
        <v>0</v>
      </c>
      <c r="X1125" s="497" t="s">
        <v>541</v>
      </c>
      <c r="Y1125" s="268" t="str">
        <f t="shared" si="56"/>
        <v>Alat Tulis Kantor (ATK)</v>
      </c>
      <c r="Z1125" s="649" t="str">
        <f t="shared" si="57"/>
        <v>Alat Tulis Kantor (ATK)</v>
      </c>
      <c r="AA1125" s="498" t="s">
        <v>3363</v>
      </c>
      <c r="AB1125" s="499">
        <v>25000</v>
      </c>
      <c r="AC1125" s="499">
        <v>50000</v>
      </c>
      <c r="AD1125" s="496">
        <v>50000</v>
      </c>
      <c r="AE1125" s="500">
        <v>45045.045045045044</v>
      </c>
      <c r="AF1125" s="500">
        <v>50000</v>
      </c>
      <c r="AG1125" s="805" t="s">
        <v>3883</v>
      </c>
      <c r="AH1125" s="651">
        <f>Data2025!W1124</f>
        <v>0</v>
      </c>
      <c r="AI1125" s="61">
        <v>366</v>
      </c>
    </row>
    <row r="1126" spans="1:35" ht="16.5" thickTop="1" thickBot="1">
      <c r="A1126" s="636">
        <f>Data2025!G1125</f>
        <v>0</v>
      </c>
      <c r="B1126" s="637">
        <f>Data2025!K1125</f>
        <v>0</v>
      </c>
      <c r="C1126" s="638">
        <f>Data2025!D1125</f>
        <v>0</v>
      </c>
      <c r="D1126" s="639">
        <f>Data2025!C1125</f>
        <v>0</v>
      </c>
      <c r="E1126" s="265">
        <f>Data2025!E1125</f>
        <v>0</v>
      </c>
      <c r="F1126" s="640">
        <f>Data2025!F1125</f>
        <v>0</v>
      </c>
      <c r="G1126" s="265">
        <f>Data2025!H1125</f>
        <v>0</v>
      </c>
      <c r="H1126" s="265">
        <f t="shared" si="55"/>
        <v>0</v>
      </c>
      <c r="I1126" s="641">
        <f>Data2025!J1125</f>
        <v>0</v>
      </c>
      <c r="J1126" s="381">
        <f>Data2025!L1125</f>
        <v>0</v>
      </c>
      <c r="K1126" s="381">
        <f>Data2025!M1125</f>
        <v>0</v>
      </c>
      <c r="L1126" s="642">
        <f>Data2025!N1125</f>
        <v>0</v>
      </c>
      <c r="M1126" s="642">
        <f>Data2025!O1125</f>
        <v>0</v>
      </c>
      <c r="N1126" s="643">
        <f>Data2025!P1125</f>
        <v>0</v>
      </c>
      <c r="O1126" s="644">
        <f>Data2025!Q1125</f>
        <v>0</v>
      </c>
      <c r="P1126" s="645" t="s">
        <v>710</v>
      </c>
      <c r="Q1126" s="646" t="e">
        <f>VLOOKUP(K1126,Sheet1!$C$1:$D$101,2,)</f>
        <v>#N/A</v>
      </c>
      <c r="R1126" s="496">
        <v>550000</v>
      </c>
      <c r="S1126" s="504">
        <v>750000</v>
      </c>
      <c r="T1126" s="648">
        <f>Data2025!T1125</f>
        <v>0</v>
      </c>
      <c r="U1126" s="497" t="s">
        <v>538</v>
      </c>
      <c r="V1126" s="648">
        <f>Data2025!V1125</f>
        <v>0</v>
      </c>
      <c r="W1126" s="648">
        <f>Data2025!X1125</f>
        <v>0</v>
      </c>
      <c r="X1126" s="497" t="s">
        <v>541</v>
      </c>
      <c r="Y1126" s="268" t="str">
        <f t="shared" si="56"/>
        <v>Alat Tulis Kantor (ATK)</v>
      </c>
      <c r="Z1126" s="649" t="str">
        <f t="shared" si="57"/>
        <v>Alat Tulis Kantor (ATK)</v>
      </c>
      <c r="AA1126" s="498" t="s">
        <v>3363</v>
      </c>
      <c r="AB1126" s="499">
        <v>5500</v>
      </c>
      <c r="AC1126" s="499">
        <v>550000</v>
      </c>
      <c r="AD1126" s="496">
        <v>550000</v>
      </c>
      <c r="AE1126" s="500">
        <v>495495.4954954955</v>
      </c>
      <c r="AF1126" s="500">
        <v>550000</v>
      </c>
      <c r="AG1126" s="805" t="s">
        <v>3883</v>
      </c>
      <c r="AH1126" s="651">
        <f>Data2025!W1125</f>
        <v>0</v>
      </c>
      <c r="AI1126" s="61">
        <v>366</v>
      </c>
    </row>
    <row r="1127" spans="1:35" ht="16.5" thickTop="1" thickBot="1">
      <c r="A1127" s="636">
        <f>Data2025!G1126</f>
        <v>0</v>
      </c>
      <c r="B1127" s="637">
        <f>Data2025!K1126</f>
        <v>0</v>
      </c>
      <c r="C1127" s="638">
        <f>Data2025!D1126</f>
        <v>0</v>
      </c>
      <c r="D1127" s="639">
        <f>Data2025!C1126</f>
        <v>0</v>
      </c>
      <c r="E1127" s="265">
        <f>Data2025!E1126</f>
        <v>0</v>
      </c>
      <c r="F1127" s="640">
        <f>Data2025!F1126</f>
        <v>0</v>
      </c>
      <c r="G1127" s="265">
        <f>Data2025!H1126</f>
        <v>0</v>
      </c>
      <c r="H1127" s="265">
        <f t="shared" si="55"/>
        <v>0</v>
      </c>
      <c r="I1127" s="641">
        <f>Data2025!J1126</f>
        <v>0</v>
      </c>
      <c r="J1127" s="381">
        <f>Data2025!L1126</f>
        <v>0</v>
      </c>
      <c r="K1127" s="381">
        <f>Data2025!M1126</f>
        <v>0</v>
      </c>
      <c r="L1127" s="642">
        <f>Data2025!N1126</f>
        <v>0</v>
      </c>
      <c r="M1127" s="642">
        <f>Data2025!O1126</f>
        <v>0</v>
      </c>
      <c r="N1127" s="643">
        <f>Data2025!P1126</f>
        <v>0</v>
      </c>
      <c r="O1127" s="644">
        <f>Data2025!Q1126</f>
        <v>0</v>
      </c>
      <c r="P1127" s="645" t="s">
        <v>710</v>
      </c>
      <c r="Q1127" s="646" t="e">
        <f>VLOOKUP(K1127,Sheet1!$C$1:$D$101,2,)</f>
        <v>#N/A</v>
      </c>
      <c r="R1127" s="496">
        <v>235000</v>
      </c>
      <c r="S1127" s="504">
        <v>237000</v>
      </c>
      <c r="T1127" s="648">
        <f>Data2025!T1126</f>
        <v>0</v>
      </c>
      <c r="U1127" s="497" t="s">
        <v>538</v>
      </c>
      <c r="V1127" s="648">
        <f>Data2025!V1126</f>
        <v>0</v>
      </c>
      <c r="W1127" s="648">
        <f>Data2025!X1126</f>
        <v>0</v>
      </c>
      <c r="X1127" s="497" t="s">
        <v>541</v>
      </c>
      <c r="Y1127" s="268" t="str">
        <f t="shared" si="56"/>
        <v>Alat Tulis Kantor (ATK)</v>
      </c>
      <c r="Z1127" s="649" t="str">
        <f t="shared" si="57"/>
        <v>Alat Tulis Kantor (ATK)</v>
      </c>
      <c r="AA1127" s="498" t="s">
        <v>3364</v>
      </c>
      <c r="AB1127" s="499">
        <v>235000</v>
      </c>
      <c r="AC1127" s="499">
        <v>235000</v>
      </c>
      <c r="AD1127" s="496">
        <v>235000</v>
      </c>
      <c r="AE1127" s="500">
        <v>211711.71171171172</v>
      </c>
      <c r="AF1127" s="500">
        <v>235000</v>
      </c>
      <c r="AG1127" s="805" t="s">
        <v>3883</v>
      </c>
      <c r="AH1127" s="651">
        <f>Data2025!W1126</f>
        <v>0</v>
      </c>
      <c r="AI1127" s="61">
        <v>366</v>
      </c>
    </row>
    <row r="1128" spans="1:35" ht="16.5" thickTop="1" thickBot="1">
      <c r="A1128" s="636">
        <f>Data2025!G1127</f>
        <v>0</v>
      </c>
      <c r="B1128" s="637">
        <f>Data2025!K1127</f>
        <v>0</v>
      </c>
      <c r="C1128" s="638">
        <f>Data2025!D1127</f>
        <v>0</v>
      </c>
      <c r="D1128" s="639">
        <f>Data2025!C1127</f>
        <v>0</v>
      </c>
      <c r="E1128" s="265">
        <f>Data2025!E1127</f>
        <v>0</v>
      </c>
      <c r="F1128" s="640">
        <f>Data2025!F1127</f>
        <v>0</v>
      </c>
      <c r="G1128" s="265">
        <f>Data2025!H1127</f>
        <v>0</v>
      </c>
      <c r="H1128" s="265">
        <f t="shared" si="55"/>
        <v>0</v>
      </c>
      <c r="I1128" s="641">
        <f>Data2025!J1127</f>
        <v>0</v>
      </c>
      <c r="J1128" s="381">
        <f>Data2025!L1127</f>
        <v>0</v>
      </c>
      <c r="K1128" s="381">
        <f>Data2025!M1127</f>
        <v>0</v>
      </c>
      <c r="L1128" s="642">
        <f>Data2025!N1127</f>
        <v>0</v>
      </c>
      <c r="M1128" s="642">
        <f>Data2025!O1127</f>
        <v>0</v>
      </c>
      <c r="N1128" s="643">
        <f>Data2025!P1127</f>
        <v>0</v>
      </c>
      <c r="O1128" s="644">
        <f>Data2025!Q1127</f>
        <v>0</v>
      </c>
      <c r="P1128" s="645" t="s">
        <v>710</v>
      </c>
      <c r="Q1128" s="646" t="e">
        <f>VLOOKUP(K1128,Sheet1!$C$1:$D$101,2,)</f>
        <v>#N/A</v>
      </c>
      <c r="R1128" s="496">
        <v>50000</v>
      </c>
      <c r="S1128" s="504">
        <v>60000</v>
      </c>
      <c r="T1128" s="648">
        <f>Data2025!T1127</f>
        <v>0</v>
      </c>
      <c r="U1128" s="497" t="s">
        <v>538</v>
      </c>
      <c r="V1128" s="648">
        <f>Data2025!V1127</f>
        <v>0</v>
      </c>
      <c r="W1128" s="648">
        <f>Data2025!X1127</f>
        <v>0</v>
      </c>
      <c r="X1128" s="497" t="s">
        <v>541</v>
      </c>
      <c r="Y1128" s="268" t="str">
        <f t="shared" si="56"/>
        <v>Alat Tulis Kantor (ATK)</v>
      </c>
      <c r="Z1128" s="649" t="str">
        <f t="shared" si="57"/>
        <v>Alat Tulis Kantor (ATK)</v>
      </c>
      <c r="AA1128" s="498" t="s">
        <v>3363</v>
      </c>
      <c r="AB1128" s="499">
        <v>10000</v>
      </c>
      <c r="AC1128" s="499">
        <v>50000</v>
      </c>
      <c r="AD1128" s="496">
        <v>50000</v>
      </c>
      <c r="AE1128" s="500">
        <v>45045.045045045044</v>
      </c>
      <c r="AF1128" s="500">
        <v>50000</v>
      </c>
      <c r="AG1128" s="805" t="s">
        <v>3883</v>
      </c>
      <c r="AH1128" s="651">
        <f>Data2025!W1127</f>
        <v>0</v>
      </c>
      <c r="AI1128" s="61">
        <v>366</v>
      </c>
    </row>
    <row r="1129" spans="1:35" ht="16.5" thickTop="1" thickBot="1">
      <c r="A1129" s="636">
        <f>Data2025!G1128</f>
        <v>0</v>
      </c>
      <c r="B1129" s="637">
        <f>Data2025!K1128</f>
        <v>0</v>
      </c>
      <c r="C1129" s="638">
        <f>Data2025!D1128</f>
        <v>0</v>
      </c>
      <c r="D1129" s="639">
        <f>Data2025!C1128</f>
        <v>0</v>
      </c>
      <c r="E1129" s="265">
        <f>Data2025!E1128</f>
        <v>0</v>
      </c>
      <c r="F1129" s="640">
        <f>Data2025!F1128</f>
        <v>0</v>
      </c>
      <c r="G1129" s="265">
        <f>Data2025!H1128</f>
        <v>0</v>
      </c>
      <c r="H1129" s="265">
        <f t="shared" si="55"/>
        <v>0</v>
      </c>
      <c r="I1129" s="641">
        <f>Data2025!J1128</f>
        <v>0</v>
      </c>
      <c r="J1129" s="381">
        <f>Data2025!L1128</f>
        <v>0</v>
      </c>
      <c r="K1129" s="381">
        <f>Data2025!M1128</f>
        <v>0</v>
      </c>
      <c r="L1129" s="642">
        <f>Data2025!N1128</f>
        <v>0</v>
      </c>
      <c r="M1129" s="642">
        <f>Data2025!O1128</f>
        <v>0</v>
      </c>
      <c r="N1129" s="643">
        <f>Data2025!P1128</f>
        <v>0</v>
      </c>
      <c r="O1129" s="644">
        <f>Data2025!Q1128</f>
        <v>0</v>
      </c>
      <c r="P1129" s="645" t="s">
        <v>710</v>
      </c>
      <c r="Q1129" s="646" t="e">
        <f>VLOOKUP(K1129,Sheet1!$C$1:$D$101,2,)</f>
        <v>#N/A</v>
      </c>
      <c r="R1129" s="496">
        <v>30000</v>
      </c>
      <c r="S1129" s="504">
        <v>40000</v>
      </c>
      <c r="T1129" s="648">
        <f>Data2025!T1128</f>
        <v>0</v>
      </c>
      <c r="U1129" s="497" t="s">
        <v>538</v>
      </c>
      <c r="V1129" s="648">
        <f>Data2025!V1128</f>
        <v>0</v>
      </c>
      <c r="W1129" s="648">
        <f>Data2025!X1128</f>
        <v>0</v>
      </c>
      <c r="X1129" s="497" t="s">
        <v>541</v>
      </c>
      <c r="Y1129" s="268" t="str">
        <f t="shared" si="56"/>
        <v>Alat Tulis Kantor (ATK)</v>
      </c>
      <c r="Z1129" s="649" t="str">
        <f t="shared" si="57"/>
        <v>Alat Tulis Kantor (ATK)</v>
      </c>
      <c r="AA1129" s="498" t="s">
        <v>3362</v>
      </c>
      <c r="AB1129" s="499">
        <v>6000</v>
      </c>
      <c r="AC1129" s="499">
        <v>30000</v>
      </c>
      <c r="AD1129" s="496">
        <v>30000</v>
      </c>
      <c r="AE1129" s="500">
        <v>27027.027027027027</v>
      </c>
      <c r="AF1129" s="500">
        <v>30000</v>
      </c>
      <c r="AG1129" s="805" t="s">
        <v>3883</v>
      </c>
      <c r="AH1129" s="651">
        <f>Data2025!W1128</f>
        <v>0</v>
      </c>
      <c r="AI1129" s="61">
        <v>366</v>
      </c>
    </row>
    <row r="1130" spans="1:35" ht="16.5" thickTop="1" thickBot="1">
      <c r="A1130" s="636">
        <f>Data2025!G1129</f>
        <v>0</v>
      </c>
      <c r="B1130" s="637">
        <f>Data2025!K1129</f>
        <v>0</v>
      </c>
      <c r="C1130" s="638">
        <f>Data2025!D1129</f>
        <v>0</v>
      </c>
      <c r="D1130" s="639">
        <f>Data2025!C1129</f>
        <v>0</v>
      </c>
      <c r="E1130" s="265">
        <f>Data2025!E1129</f>
        <v>0</v>
      </c>
      <c r="F1130" s="640">
        <f>Data2025!F1129</f>
        <v>0</v>
      </c>
      <c r="G1130" s="265">
        <f>Data2025!H1129</f>
        <v>0</v>
      </c>
      <c r="H1130" s="265">
        <f t="shared" si="55"/>
        <v>0</v>
      </c>
      <c r="I1130" s="641">
        <f>Data2025!J1129</f>
        <v>0</v>
      </c>
      <c r="J1130" s="381">
        <f>Data2025!L1129</f>
        <v>0</v>
      </c>
      <c r="K1130" s="381">
        <f>Data2025!M1129</f>
        <v>0</v>
      </c>
      <c r="L1130" s="642">
        <f>Data2025!N1129</f>
        <v>0</v>
      </c>
      <c r="M1130" s="642">
        <f>Data2025!O1129</f>
        <v>0</v>
      </c>
      <c r="N1130" s="643">
        <f>Data2025!P1129</f>
        <v>0</v>
      </c>
      <c r="O1130" s="644">
        <f>Data2025!Q1129</f>
        <v>0</v>
      </c>
      <c r="P1130" s="645" t="s">
        <v>710</v>
      </c>
      <c r="Q1130" s="646" t="e">
        <f>VLOOKUP(K1130,Sheet1!$C$1:$D$101,2,)</f>
        <v>#N/A</v>
      </c>
      <c r="R1130" s="496">
        <v>125000</v>
      </c>
      <c r="S1130" s="504">
        <v>135000</v>
      </c>
      <c r="T1130" s="648">
        <f>Data2025!T1129</f>
        <v>0</v>
      </c>
      <c r="U1130" s="497" t="s">
        <v>538</v>
      </c>
      <c r="V1130" s="648">
        <f>Data2025!V1129</f>
        <v>0</v>
      </c>
      <c r="W1130" s="648">
        <f>Data2025!X1129</f>
        <v>0</v>
      </c>
      <c r="X1130" s="497" t="s">
        <v>541</v>
      </c>
      <c r="Y1130" s="268" t="str">
        <f t="shared" si="56"/>
        <v>Alat Tulis Kantor (ATK)</v>
      </c>
      <c r="Z1130" s="649" t="str">
        <f t="shared" si="57"/>
        <v>Alat Tulis Kantor (ATK)</v>
      </c>
      <c r="AA1130" s="498" t="s">
        <v>3363</v>
      </c>
      <c r="AB1130" s="499">
        <v>25000</v>
      </c>
      <c r="AC1130" s="499">
        <v>125000</v>
      </c>
      <c r="AD1130" s="496">
        <v>125000</v>
      </c>
      <c r="AE1130" s="500">
        <v>112612.61261261262</v>
      </c>
      <c r="AF1130" s="500">
        <v>125000</v>
      </c>
      <c r="AG1130" s="805" t="s">
        <v>3883</v>
      </c>
      <c r="AH1130" s="651">
        <f>Data2025!W1129</f>
        <v>0</v>
      </c>
      <c r="AI1130" s="61">
        <v>366</v>
      </c>
    </row>
    <row r="1131" spans="1:35" ht="16.5" thickTop="1" thickBot="1">
      <c r="A1131" s="636">
        <f>Data2025!G1130</f>
        <v>0</v>
      </c>
      <c r="B1131" s="637">
        <f>Data2025!K1130</f>
        <v>0</v>
      </c>
      <c r="C1131" s="638">
        <f>Data2025!D1130</f>
        <v>0</v>
      </c>
      <c r="D1131" s="639">
        <f>Data2025!C1130</f>
        <v>0</v>
      </c>
      <c r="E1131" s="265">
        <f>Data2025!E1130</f>
        <v>0</v>
      </c>
      <c r="F1131" s="640">
        <f>Data2025!F1130</f>
        <v>0</v>
      </c>
      <c r="G1131" s="265">
        <f>Data2025!H1130</f>
        <v>0</v>
      </c>
      <c r="H1131" s="265">
        <f t="shared" si="55"/>
        <v>0</v>
      </c>
      <c r="I1131" s="641">
        <f>Data2025!J1130</f>
        <v>0</v>
      </c>
      <c r="J1131" s="381">
        <f>Data2025!L1130</f>
        <v>0</v>
      </c>
      <c r="K1131" s="381">
        <f>Data2025!M1130</f>
        <v>0</v>
      </c>
      <c r="L1131" s="642">
        <f>Data2025!N1130</f>
        <v>0</v>
      </c>
      <c r="M1131" s="642">
        <f>Data2025!O1130</f>
        <v>0</v>
      </c>
      <c r="N1131" s="643">
        <f>Data2025!P1130</f>
        <v>0</v>
      </c>
      <c r="O1131" s="644">
        <f>Data2025!Q1130</f>
        <v>0</v>
      </c>
      <c r="P1131" s="645" t="s">
        <v>710</v>
      </c>
      <c r="Q1131" s="646" t="e">
        <f>VLOOKUP(K1131,Sheet1!$C$1:$D$101,2,)</f>
        <v>#N/A</v>
      </c>
      <c r="R1131" s="496">
        <v>297000</v>
      </c>
      <c r="S1131" s="504">
        <v>309000</v>
      </c>
      <c r="T1131" s="648">
        <f>Data2025!T1130</f>
        <v>0</v>
      </c>
      <c r="U1131" s="497" t="s">
        <v>538</v>
      </c>
      <c r="V1131" s="648">
        <f>Data2025!V1130</f>
        <v>0</v>
      </c>
      <c r="W1131" s="648">
        <f>Data2025!X1130</f>
        <v>0</v>
      </c>
      <c r="X1131" s="497" t="s">
        <v>541</v>
      </c>
      <c r="Y1131" s="268" t="str">
        <f t="shared" si="56"/>
        <v>Alat Tulis Kantor (ATK)</v>
      </c>
      <c r="Z1131" s="649" t="str">
        <f t="shared" si="57"/>
        <v>Alat Tulis Kantor (ATK)</v>
      </c>
      <c r="AA1131" s="498" t="s">
        <v>3363</v>
      </c>
      <c r="AB1131" s="499">
        <v>49500</v>
      </c>
      <c r="AC1131" s="499">
        <v>297000</v>
      </c>
      <c r="AD1131" s="496">
        <v>297000</v>
      </c>
      <c r="AE1131" s="500">
        <v>267567.56756756757</v>
      </c>
      <c r="AF1131" s="500">
        <v>297000</v>
      </c>
      <c r="AG1131" s="805" t="s">
        <v>3883</v>
      </c>
      <c r="AH1131" s="651">
        <f>Data2025!W1130</f>
        <v>0</v>
      </c>
      <c r="AI1131" s="61">
        <v>366</v>
      </c>
    </row>
    <row r="1132" spans="1:35" ht="16.5" thickTop="1" thickBot="1">
      <c r="A1132" s="636">
        <f>Data2025!G1131</f>
        <v>0</v>
      </c>
      <c r="B1132" s="637">
        <f>Data2025!K1131</f>
        <v>0</v>
      </c>
      <c r="C1132" s="638">
        <f>Data2025!D1131</f>
        <v>0</v>
      </c>
      <c r="D1132" s="639">
        <f>Data2025!C1131</f>
        <v>0</v>
      </c>
      <c r="E1132" s="265">
        <f>Data2025!E1131</f>
        <v>0</v>
      </c>
      <c r="F1132" s="640">
        <f>Data2025!F1131</f>
        <v>0</v>
      </c>
      <c r="G1132" s="265">
        <f>Data2025!H1131</f>
        <v>0</v>
      </c>
      <c r="H1132" s="265">
        <f t="shared" si="55"/>
        <v>0</v>
      </c>
      <c r="I1132" s="641">
        <f>Data2025!J1131</f>
        <v>0</v>
      </c>
      <c r="J1132" s="381">
        <f>Data2025!L1131</f>
        <v>0</v>
      </c>
      <c r="K1132" s="381">
        <f>Data2025!M1131</f>
        <v>0</v>
      </c>
      <c r="L1132" s="642">
        <f>Data2025!N1131</f>
        <v>0</v>
      </c>
      <c r="M1132" s="642">
        <f>Data2025!O1131</f>
        <v>0</v>
      </c>
      <c r="N1132" s="643">
        <f>Data2025!P1131</f>
        <v>0</v>
      </c>
      <c r="O1132" s="644">
        <f>Data2025!Q1131</f>
        <v>0</v>
      </c>
      <c r="P1132" s="645" t="s">
        <v>710</v>
      </c>
      <c r="Q1132" s="646" t="e">
        <f>VLOOKUP(K1132,Sheet1!$C$1:$D$101,2,)</f>
        <v>#N/A</v>
      </c>
      <c r="R1132" s="496">
        <v>200000</v>
      </c>
      <c r="S1132" s="504">
        <v>220000</v>
      </c>
      <c r="T1132" s="648">
        <f>Data2025!T1131</f>
        <v>0</v>
      </c>
      <c r="U1132" s="497" t="s">
        <v>538</v>
      </c>
      <c r="V1132" s="648">
        <f>Data2025!V1131</f>
        <v>0</v>
      </c>
      <c r="W1132" s="648">
        <f>Data2025!X1131</f>
        <v>0</v>
      </c>
      <c r="X1132" s="497" t="s">
        <v>541</v>
      </c>
      <c r="Y1132" s="268" t="str">
        <f t="shared" si="56"/>
        <v>Alat Tulis Kantor (ATK)</v>
      </c>
      <c r="Z1132" s="649" t="str">
        <f t="shared" si="57"/>
        <v>Alat Tulis Kantor (ATK)</v>
      </c>
      <c r="AA1132" s="498" t="s">
        <v>3362</v>
      </c>
      <c r="AB1132" s="499">
        <v>20000</v>
      </c>
      <c r="AC1132" s="499">
        <v>200000</v>
      </c>
      <c r="AD1132" s="496">
        <v>200000</v>
      </c>
      <c r="AE1132" s="500">
        <v>180180.18018018018</v>
      </c>
      <c r="AF1132" s="500">
        <v>200000</v>
      </c>
      <c r="AG1132" s="805" t="s">
        <v>3883</v>
      </c>
      <c r="AH1132" s="651">
        <f>Data2025!W1131</f>
        <v>0</v>
      </c>
      <c r="AI1132" s="61">
        <v>366</v>
      </c>
    </row>
    <row r="1133" spans="1:35" ht="16.5" thickTop="1" thickBot="1">
      <c r="A1133" s="636">
        <f>Data2025!G1132</f>
        <v>0</v>
      </c>
      <c r="B1133" s="637">
        <f>Data2025!K1132</f>
        <v>0</v>
      </c>
      <c r="C1133" s="638">
        <f>Data2025!D1132</f>
        <v>0</v>
      </c>
      <c r="D1133" s="639">
        <f>Data2025!C1132</f>
        <v>0</v>
      </c>
      <c r="E1133" s="265">
        <f>Data2025!E1132</f>
        <v>0</v>
      </c>
      <c r="F1133" s="640">
        <f>Data2025!F1132</f>
        <v>0</v>
      </c>
      <c r="G1133" s="265">
        <f>Data2025!H1132</f>
        <v>0</v>
      </c>
      <c r="H1133" s="265">
        <f t="shared" si="55"/>
        <v>0</v>
      </c>
      <c r="I1133" s="641">
        <f>Data2025!J1132</f>
        <v>0</v>
      </c>
      <c r="J1133" s="381">
        <f>Data2025!L1132</f>
        <v>0</v>
      </c>
      <c r="K1133" s="381">
        <f>Data2025!M1132</f>
        <v>0</v>
      </c>
      <c r="L1133" s="642">
        <f>Data2025!N1132</f>
        <v>0</v>
      </c>
      <c r="M1133" s="642">
        <f>Data2025!O1132</f>
        <v>0</v>
      </c>
      <c r="N1133" s="643">
        <f>Data2025!P1132</f>
        <v>0</v>
      </c>
      <c r="O1133" s="644">
        <f>Data2025!Q1132</f>
        <v>0</v>
      </c>
      <c r="P1133" s="645" t="s">
        <v>710</v>
      </c>
      <c r="Q1133" s="646" t="e">
        <f>VLOOKUP(K1133,Sheet1!$C$1:$D$101,2,)</f>
        <v>#N/A</v>
      </c>
      <c r="R1133" s="496">
        <v>10000</v>
      </c>
      <c r="S1133" s="504">
        <v>14000</v>
      </c>
      <c r="T1133" s="648">
        <f>Data2025!T1132</f>
        <v>0</v>
      </c>
      <c r="U1133" s="497" t="s">
        <v>538</v>
      </c>
      <c r="V1133" s="648">
        <f>Data2025!V1132</f>
        <v>0</v>
      </c>
      <c r="W1133" s="648">
        <f>Data2025!X1132</f>
        <v>0</v>
      </c>
      <c r="X1133" s="497" t="s">
        <v>541</v>
      </c>
      <c r="Y1133" s="268" t="str">
        <f t="shared" si="56"/>
        <v>Alat Tulis Kantor (ATK)</v>
      </c>
      <c r="Z1133" s="649" t="str">
        <f t="shared" si="57"/>
        <v>Alat Tulis Kantor (ATK)</v>
      </c>
      <c r="AA1133" s="498" t="s">
        <v>3362</v>
      </c>
      <c r="AB1133" s="499">
        <v>5000</v>
      </c>
      <c r="AC1133" s="499">
        <v>10000</v>
      </c>
      <c r="AD1133" s="496">
        <v>10000</v>
      </c>
      <c r="AE1133" s="500">
        <v>9009.0090090090089</v>
      </c>
      <c r="AF1133" s="500">
        <v>10000</v>
      </c>
      <c r="AG1133" s="805" t="s">
        <v>3883</v>
      </c>
      <c r="AH1133" s="651">
        <f>Data2025!W1132</f>
        <v>0</v>
      </c>
      <c r="AI1133" s="61">
        <v>366</v>
      </c>
    </row>
    <row r="1134" spans="1:35" ht="16.5" thickTop="1" thickBot="1">
      <c r="A1134" s="636">
        <f>Data2025!G1133</f>
        <v>0</v>
      </c>
      <c r="B1134" s="637">
        <f>Data2025!K1133</f>
        <v>0</v>
      </c>
      <c r="C1134" s="638">
        <f>Data2025!D1133</f>
        <v>0</v>
      </c>
      <c r="D1134" s="639">
        <f>Data2025!C1133</f>
        <v>0</v>
      </c>
      <c r="E1134" s="265">
        <f>Data2025!E1133</f>
        <v>0</v>
      </c>
      <c r="F1134" s="640">
        <f>Data2025!F1133</f>
        <v>0</v>
      </c>
      <c r="G1134" s="265">
        <f>Data2025!H1133</f>
        <v>0</v>
      </c>
      <c r="H1134" s="265">
        <f t="shared" si="55"/>
        <v>0</v>
      </c>
      <c r="I1134" s="641">
        <f>Data2025!J1133</f>
        <v>0</v>
      </c>
      <c r="J1134" s="381">
        <f>Data2025!L1133</f>
        <v>0</v>
      </c>
      <c r="K1134" s="381">
        <f>Data2025!M1133</f>
        <v>0</v>
      </c>
      <c r="L1134" s="642">
        <f>Data2025!N1133</f>
        <v>0</v>
      </c>
      <c r="M1134" s="642">
        <f>Data2025!O1133</f>
        <v>0</v>
      </c>
      <c r="N1134" s="643">
        <f>Data2025!P1133</f>
        <v>0</v>
      </c>
      <c r="O1134" s="644">
        <f>Data2025!Q1133</f>
        <v>0</v>
      </c>
      <c r="P1134" s="645" t="s">
        <v>710</v>
      </c>
      <c r="Q1134" s="646" t="e">
        <f>VLOOKUP(K1134,Sheet1!$C$1:$D$101,2,)</f>
        <v>#N/A</v>
      </c>
      <c r="R1134" s="496">
        <v>40000</v>
      </c>
      <c r="S1134" s="504">
        <v>44000</v>
      </c>
      <c r="T1134" s="648">
        <f>Data2025!T1133</f>
        <v>0</v>
      </c>
      <c r="U1134" s="497" t="s">
        <v>538</v>
      </c>
      <c r="V1134" s="648">
        <f>Data2025!V1133</f>
        <v>0</v>
      </c>
      <c r="W1134" s="648">
        <f>Data2025!X1133</f>
        <v>0</v>
      </c>
      <c r="X1134" s="497" t="s">
        <v>541</v>
      </c>
      <c r="Y1134" s="268" t="str">
        <f t="shared" si="56"/>
        <v>Alat Tulis Kantor (ATK)</v>
      </c>
      <c r="Z1134" s="649" t="str">
        <f t="shared" si="57"/>
        <v>Alat Tulis Kantor (ATK)</v>
      </c>
      <c r="AA1134" s="498" t="s">
        <v>3363</v>
      </c>
      <c r="AB1134" s="499">
        <v>20000</v>
      </c>
      <c r="AC1134" s="499">
        <v>40000</v>
      </c>
      <c r="AD1134" s="496">
        <v>40000</v>
      </c>
      <c r="AE1134" s="500">
        <v>36036.036036036036</v>
      </c>
      <c r="AF1134" s="500">
        <v>40000</v>
      </c>
      <c r="AG1134" s="805" t="s">
        <v>3883</v>
      </c>
      <c r="AH1134" s="651">
        <f>Data2025!W1133</f>
        <v>0</v>
      </c>
      <c r="AI1134" s="61">
        <v>366</v>
      </c>
    </row>
    <row r="1135" spans="1:35" ht="16.5" thickTop="1" thickBot="1">
      <c r="A1135" s="636">
        <f>Data2025!G1134</f>
        <v>0</v>
      </c>
      <c r="B1135" s="637">
        <f>Data2025!K1134</f>
        <v>0</v>
      </c>
      <c r="C1135" s="638">
        <f>Data2025!D1134</f>
        <v>0</v>
      </c>
      <c r="D1135" s="639">
        <f>Data2025!C1134</f>
        <v>0</v>
      </c>
      <c r="E1135" s="265">
        <f>Data2025!E1134</f>
        <v>0</v>
      </c>
      <c r="F1135" s="640">
        <f>Data2025!F1134</f>
        <v>0</v>
      </c>
      <c r="G1135" s="265">
        <f>Data2025!H1134</f>
        <v>0</v>
      </c>
      <c r="H1135" s="265">
        <f t="shared" si="55"/>
        <v>0</v>
      </c>
      <c r="I1135" s="641">
        <f>Data2025!J1134</f>
        <v>0</v>
      </c>
      <c r="J1135" s="381">
        <f>Data2025!L1134</f>
        <v>0</v>
      </c>
      <c r="K1135" s="381">
        <f>Data2025!M1134</f>
        <v>0</v>
      </c>
      <c r="L1135" s="642">
        <f>Data2025!N1134</f>
        <v>0</v>
      </c>
      <c r="M1135" s="642">
        <f>Data2025!O1134</f>
        <v>0</v>
      </c>
      <c r="N1135" s="643">
        <f>Data2025!P1134</f>
        <v>0</v>
      </c>
      <c r="O1135" s="644">
        <f>Data2025!Q1134</f>
        <v>0</v>
      </c>
      <c r="P1135" s="645" t="s">
        <v>710</v>
      </c>
      <c r="Q1135" s="646" t="e">
        <f>VLOOKUP(K1135,Sheet1!$C$1:$D$101,2,)</f>
        <v>#N/A</v>
      </c>
      <c r="R1135" s="496">
        <v>37500</v>
      </c>
      <c r="S1135" s="504">
        <v>47500</v>
      </c>
      <c r="T1135" s="648">
        <f>Data2025!T1134</f>
        <v>0</v>
      </c>
      <c r="U1135" s="497" t="s">
        <v>538</v>
      </c>
      <c r="V1135" s="648">
        <f>Data2025!V1134</f>
        <v>0</v>
      </c>
      <c r="W1135" s="648">
        <f>Data2025!X1134</f>
        <v>0</v>
      </c>
      <c r="X1135" s="497" t="s">
        <v>541</v>
      </c>
      <c r="Y1135" s="268" t="str">
        <f t="shared" si="56"/>
        <v>Alat Tulis Kantor (ATK)</v>
      </c>
      <c r="Z1135" s="649" t="str">
        <f t="shared" si="57"/>
        <v>Alat Tulis Kantor (ATK)</v>
      </c>
      <c r="AA1135" s="498" t="s">
        <v>3362</v>
      </c>
      <c r="AB1135" s="499">
        <v>7500</v>
      </c>
      <c r="AC1135" s="499">
        <v>37500</v>
      </c>
      <c r="AD1135" s="496">
        <v>37500</v>
      </c>
      <c r="AE1135" s="500">
        <v>33783.783783783787</v>
      </c>
      <c r="AF1135" s="500">
        <v>37500</v>
      </c>
      <c r="AG1135" s="805" t="s">
        <v>3883</v>
      </c>
      <c r="AH1135" s="651">
        <f>Data2025!W1134</f>
        <v>0</v>
      </c>
      <c r="AI1135" s="61">
        <v>366</v>
      </c>
    </row>
    <row r="1136" spans="1:35" ht="16.5" thickTop="1" thickBot="1">
      <c r="A1136" s="636">
        <f>Data2025!G1135</f>
        <v>0</v>
      </c>
      <c r="B1136" s="637">
        <f>Data2025!K1135</f>
        <v>0</v>
      </c>
      <c r="C1136" s="638">
        <f>Data2025!D1135</f>
        <v>0</v>
      </c>
      <c r="D1136" s="639">
        <f>Data2025!C1135</f>
        <v>0</v>
      </c>
      <c r="E1136" s="265">
        <f>Data2025!E1135</f>
        <v>0</v>
      </c>
      <c r="F1136" s="640">
        <f>Data2025!F1135</f>
        <v>0</v>
      </c>
      <c r="G1136" s="265">
        <f>Data2025!H1135</f>
        <v>0</v>
      </c>
      <c r="H1136" s="265">
        <f t="shared" si="55"/>
        <v>0</v>
      </c>
      <c r="I1136" s="641">
        <f>Data2025!J1135</f>
        <v>0</v>
      </c>
      <c r="J1136" s="381">
        <f>Data2025!L1135</f>
        <v>0</v>
      </c>
      <c r="K1136" s="381">
        <f>Data2025!M1135</f>
        <v>0</v>
      </c>
      <c r="L1136" s="642">
        <f>Data2025!N1135</f>
        <v>0</v>
      </c>
      <c r="M1136" s="642">
        <f>Data2025!O1135</f>
        <v>0</v>
      </c>
      <c r="N1136" s="643">
        <f>Data2025!P1135</f>
        <v>0</v>
      </c>
      <c r="O1136" s="644">
        <f>Data2025!Q1135</f>
        <v>0</v>
      </c>
      <c r="P1136" s="645" t="s">
        <v>710</v>
      </c>
      <c r="Q1136" s="646" t="e">
        <f>VLOOKUP(K1136,Sheet1!$C$1:$D$101,2,)</f>
        <v>#N/A</v>
      </c>
      <c r="R1136" s="496">
        <v>95000</v>
      </c>
      <c r="S1136" s="504">
        <v>97000</v>
      </c>
      <c r="T1136" s="648">
        <f>Data2025!T1135</f>
        <v>0</v>
      </c>
      <c r="U1136" s="497" t="s">
        <v>538</v>
      </c>
      <c r="V1136" s="648">
        <f>Data2025!V1135</f>
        <v>0</v>
      </c>
      <c r="W1136" s="648">
        <f>Data2025!X1135</f>
        <v>0</v>
      </c>
      <c r="X1136" s="497" t="s">
        <v>541</v>
      </c>
      <c r="Y1136" s="268" t="str">
        <f t="shared" si="56"/>
        <v>Alat Tulis Kantor (ATK)</v>
      </c>
      <c r="Z1136" s="649" t="str">
        <f t="shared" si="57"/>
        <v>Alat Tulis Kantor (ATK)</v>
      </c>
      <c r="AA1136" s="498" t="s">
        <v>3364</v>
      </c>
      <c r="AB1136" s="499">
        <v>95000</v>
      </c>
      <c r="AC1136" s="499">
        <v>95000</v>
      </c>
      <c r="AD1136" s="496">
        <v>95000</v>
      </c>
      <c r="AE1136" s="500">
        <v>85585.585585585592</v>
      </c>
      <c r="AF1136" s="500">
        <v>95000</v>
      </c>
      <c r="AG1136" s="805" t="s">
        <v>3883</v>
      </c>
      <c r="AH1136" s="651">
        <f>Data2025!W1135</f>
        <v>0</v>
      </c>
      <c r="AI1136" s="61">
        <v>366</v>
      </c>
    </row>
    <row r="1137" spans="1:35" ht="16.5" thickTop="1" thickBot="1">
      <c r="A1137" s="636">
        <f>Data2025!G1136</f>
        <v>0</v>
      </c>
      <c r="B1137" s="637">
        <f>Data2025!K1136</f>
        <v>0</v>
      </c>
      <c r="C1137" s="638">
        <f>Data2025!D1136</f>
        <v>0</v>
      </c>
      <c r="D1137" s="639">
        <f>Data2025!C1136</f>
        <v>0</v>
      </c>
      <c r="E1137" s="265">
        <f>Data2025!E1136</f>
        <v>0</v>
      </c>
      <c r="F1137" s="640">
        <f>Data2025!F1136</f>
        <v>0</v>
      </c>
      <c r="G1137" s="265">
        <f>Data2025!H1136</f>
        <v>0</v>
      </c>
      <c r="H1137" s="265">
        <f t="shared" si="55"/>
        <v>0</v>
      </c>
      <c r="I1137" s="641">
        <f>Data2025!J1136</f>
        <v>0</v>
      </c>
      <c r="J1137" s="381">
        <f>Data2025!L1136</f>
        <v>0</v>
      </c>
      <c r="K1137" s="381">
        <f>Data2025!M1136</f>
        <v>0</v>
      </c>
      <c r="L1137" s="642">
        <f>Data2025!N1136</f>
        <v>0</v>
      </c>
      <c r="M1137" s="642">
        <f>Data2025!O1136</f>
        <v>0</v>
      </c>
      <c r="N1137" s="643">
        <f>Data2025!P1136</f>
        <v>0</v>
      </c>
      <c r="O1137" s="644">
        <f>Data2025!Q1136</f>
        <v>0</v>
      </c>
      <c r="P1137" s="645" t="s">
        <v>710</v>
      </c>
      <c r="Q1137" s="646" t="e">
        <f>VLOOKUP(K1137,Sheet1!$C$1:$D$101,2,)</f>
        <v>#N/A</v>
      </c>
      <c r="R1137" s="496">
        <v>77500</v>
      </c>
      <c r="S1137" s="504">
        <v>87500</v>
      </c>
      <c r="T1137" s="648">
        <f>Data2025!T1136</f>
        <v>0</v>
      </c>
      <c r="U1137" s="497" t="s">
        <v>538</v>
      </c>
      <c r="V1137" s="648">
        <f>Data2025!V1136</f>
        <v>0</v>
      </c>
      <c r="W1137" s="648">
        <f>Data2025!X1136</f>
        <v>0</v>
      </c>
      <c r="X1137" s="497" t="s">
        <v>541</v>
      </c>
      <c r="Y1137" s="268" t="str">
        <f t="shared" si="56"/>
        <v>Alat Tulis Kantor (ATK)</v>
      </c>
      <c r="Z1137" s="649" t="str">
        <f t="shared" si="57"/>
        <v>Alat Tulis Kantor (ATK)</v>
      </c>
      <c r="AA1137" s="498" t="s">
        <v>3363</v>
      </c>
      <c r="AB1137" s="499">
        <v>15500</v>
      </c>
      <c r="AC1137" s="499">
        <v>77500</v>
      </c>
      <c r="AD1137" s="496">
        <v>77500</v>
      </c>
      <c r="AE1137" s="500">
        <v>69819.819819819822</v>
      </c>
      <c r="AF1137" s="500">
        <v>77500</v>
      </c>
      <c r="AG1137" s="805" t="s">
        <v>3883</v>
      </c>
      <c r="AH1137" s="651">
        <f>Data2025!W1136</f>
        <v>0</v>
      </c>
      <c r="AI1137" s="61">
        <v>366</v>
      </c>
    </row>
    <row r="1138" spans="1:35" ht="16.5" thickTop="1" thickBot="1">
      <c r="A1138" s="636">
        <f>Data2025!G1137</f>
        <v>0</v>
      </c>
      <c r="B1138" s="637">
        <f>Data2025!K1137</f>
        <v>0</v>
      </c>
      <c r="C1138" s="638">
        <f>Data2025!D1137</f>
        <v>0</v>
      </c>
      <c r="D1138" s="639">
        <f>Data2025!C1137</f>
        <v>0</v>
      </c>
      <c r="E1138" s="265">
        <f>Data2025!E1137</f>
        <v>0</v>
      </c>
      <c r="F1138" s="640">
        <f>Data2025!F1137</f>
        <v>0</v>
      </c>
      <c r="G1138" s="265">
        <f>Data2025!H1137</f>
        <v>0</v>
      </c>
      <c r="H1138" s="265">
        <f t="shared" si="55"/>
        <v>0</v>
      </c>
      <c r="I1138" s="641">
        <f>Data2025!J1137</f>
        <v>0</v>
      </c>
      <c r="J1138" s="381">
        <f>Data2025!L1137</f>
        <v>0</v>
      </c>
      <c r="K1138" s="381">
        <f>Data2025!M1137</f>
        <v>0</v>
      </c>
      <c r="L1138" s="642">
        <f>Data2025!N1137</f>
        <v>0</v>
      </c>
      <c r="M1138" s="642">
        <f>Data2025!O1137</f>
        <v>0</v>
      </c>
      <c r="N1138" s="643">
        <f>Data2025!P1137</f>
        <v>0</v>
      </c>
      <c r="O1138" s="644">
        <f>Data2025!Q1137</f>
        <v>0</v>
      </c>
      <c r="P1138" s="645" t="s">
        <v>710</v>
      </c>
      <c r="Q1138" s="646" t="e">
        <f>VLOOKUP(K1138,Sheet1!$C$1:$D$101,2,)</f>
        <v>#N/A</v>
      </c>
      <c r="R1138" s="496">
        <v>40000</v>
      </c>
      <c r="S1138" s="504">
        <v>44000</v>
      </c>
      <c r="T1138" s="648">
        <f>Data2025!T1137</f>
        <v>0</v>
      </c>
      <c r="U1138" s="497" t="s">
        <v>538</v>
      </c>
      <c r="V1138" s="648">
        <f>Data2025!V1137</f>
        <v>0</v>
      </c>
      <c r="W1138" s="648">
        <f>Data2025!X1137</f>
        <v>0</v>
      </c>
      <c r="X1138" s="497" t="s">
        <v>541</v>
      </c>
      <c r="Y1138" s="268" t="str">
        <f t="shared" si="56"/>
        <v>Alat Tulis Kantor (ATK)</v>
      </c>
      <c r="Z1138" s="649" t="str">
        <f t="shared" si="57"/>
        <v>Alat Tulis Kantor (ATK)</v>
      </c>
      <c r="AA1138" s="498" t="s">
        <v>3364</v>
      </c>
      <c r="AB1138" s="499">
        <v>20000</v>
      </c>
      <c r="AC1138" s="499">
        <v>40000</v>
      </c>
      <c r="AD1138" s="496">
        <v>40000</v>
      </c>
      <c r="AE1138" s="500">
        <v>36036.036036036036</v>
      </c>
      <c r="AF1138" s="500">
        <v>40000</v>
      </c>
      <c r="AG1138" s="805" t="s">
        <v>3883</v>
      </c>
      <c r="AH1138" s="651">
        <f>Data2025!W1137</f>
        <v>0</v>
      </c>
      <c r="AI1138" s="61">
        <v>366</v>
      </c>
    </row>
    <row r="1139" spans="1:35" ht="16.5" thickTop="1" thickBot="1">
      <c r="A1139" s="636">
        <f>Data2025!G1138</f>
        <v>0</v>
      </c>
      <c r="B1139" s="637">
        <f>Data2025!K1138</f>
        <v>0</v>
      </c>
      <c r="C1139" s="638">
        <f>Data2025!D1138</f>
        <v>0</v>
      </c>
      <c r="D1139" s="639">
        <f>Data2025!C1138</f>
        <v>0</v>
      </c>
      <c r="E1139" s="265">
        <f>Data2025!E1138</f>
        <v>0</v>
      </c>
      <c r="F1139" s="640">
        <f>Data2025!F1138</f>
        <v>0</v>
      </c>
      <c r="G1139" s="265">
        <f>Data2025!H1138</f>
        <v>0</v>
      </c>
      <c r="H1139" s="265">
        <f t="shared" si="55"/>
        <v>0</v>
      </c>
      <c r="I1139" s="641">
        <f>Data2025!J1138</f>
        <v>0</v>
      </c>
      <c r="J1139" s="381">
        <f>Data2025!L1138</f>
        <v>0</v>
      </c>
      <c r="K1139" s="381">
        <f>Data2025!M1138</f>
        <v>0</v>
      </c>
      <c r="L1139" s="642">
        <f>Data2025!N1138</f>
        <v>0</v>
      </c>
      <c r="M1139" s="642">
        <f>Data2025!O1138</f>
        <v>0</v>
      </c>
      <c r="N1139" s="643">
        <f>Data2025!P1138</f>
        <v>0</v>
      </c>
      <c r="O1139" s="644">
        <f>Data2025!Q1138</f>
        <v>0</v>
      </c>
      <c r="P1139" s="645" t="s">
        <v>710</v>
      </c>
      <c r="Q1139" s="646" t="e">
        <f>VLOOKUP(K1139,Sheet1!$C$1:$D$101,2,)</f>
        <v>#N/A</v>
      </c>
      <c r="R1139" s="496">
        <v>50000</v>
      </c>
      <c r="S1139" s="504">
        <v>58000</v>
      </c>
      <c r="T1139" s="648">
        <f>Data2025!T1138</f>
        <v>0</v>
      </c>
      <c r="U1139" s="497" t="s">
        <v>538</v>
      </c>
      <c r="V1139" s="648">
        <f>Data2025!V1138</f>
        <v>0</v>
      </c>
      <c r="W1139" s="648">
        <f>Data2025!X1138</f>
        <v>0</v>
      </c>
      <c r="X1139" s="497" t="s">
        <v>541</v>
      </c>
      <c r="Y1139" s="268" t="str">
        <f t="shared" si="56"/>
        <v>Alat Tulis Kantor (ATK)</v>
      </c>
      <c r="Z1139" s="649" t="str">
        <f t="shared" si="57"/>
        <v>Alat Tulis Kantor (ATK)</v>
      </c>
      <c r="AA1139" s="498" t="s">
        <v>3363</v>
      </c>
      <c r="AB1139" s="499">
        <v>12500</v>
      </c>
      <c r="AC1139" s="499">
        <v>50000</v>
      </c>
      <c r="AD1139" s="496">
        <v>50000</v>
      </c>
      <c r="AE1139" s="500">
        <v>45045.045045045044</v>
      </c>
      <c r="AF1139" s="500">
        <v>50000</v>
      </c>
      <c r="AG1139" s="805" t="s">
        <v>3883</v>
      </c>
      <c r="AH1139" s="651">
        <f>Data2025!W1138</f>
        <v>0</v>
      </c>
      <c r="AI1139" s="61">
        <v>366</v>
      </c>
    </row>
    <row r="1140" spans="1:35" ht="16.5" thickTop="1" thickBot="1">
      <c r="A1140" s="636">
        <f>Data2025!G1139</f>
        <v>0</v>
      </c>
      <c r="B1140" s="637">
        <f>Data2025!K1139</f>
        <v>0</v>
      </c>
      <c r="C1140" s="638">
        <f>Data2025!D1139</f>
        <v>0</v>
      </c>
      <c r="D1140" s="639">
        <f>Data2025!C1139</f>
        <v>0</v>
      </c>
      <c r="E1140" s="265">
        <f>Data2025!E1139</f>
        <v>0</v>
      </c>
      <c r="F1140" s="640">
        <f>Data2025!F1139</f>
        <v>0</v>
      </c>
      <c r="G1140" s="265">
        <f>Data2025!H1139</f>
        <v>0</v>
      </c>
      <c r="H1140" s="265">
        <f t="shared" si="55"/>
        <v>0</v>
      </c>
      <c r="I1140" s="641">
        <f>Data2025!J1139</f>
        <v>0</v>
      </c>
      <c r="J1140" s="381">
        <f>Data2025!L1139</f>
        <v>0</v>
      </c>
      <c r="K1140" s="381">
        <f>Data2025!M1139</f>
        <v>0</v>
      </c>
      <c r="L1140" s="642">
        <f>Data2025!N1139</f>
        <v>0</v>
      </c>
      <c r="M1140" s="642">
        <f>Data2025!O1139</f>
        <v>0</v>
      </c>
      <c r="N1140" s="643">
        <f>Data2025!P1139</f>
        <v>0</v>
      </c>
      <c r="O1140" s="644">
        <f>Data2025!Q1139</f>
        <v>0</v>
      </c>
      <c r="P1140" s="645" t="s">
        <v>710</v>
      </c>
      <c r="Q1140" s="646" t="e">
        <f>VLOOKUP(K1140,Sheet1!$C$1:$D$101,2,)</f>
        <v>#N/A</v>
      </c>
      <c r="R1140" s="496">
        <v>426000</v>
      </c>
      <c r="S1140" s="504">
        <v>450000</v>
      </c>
      <c r="T1140" s="648">
        <f>Data2025!T1139</f>
        <v>0</v>
      </c>
      <c r="U1140" s="497" t="s">
        <v>538</v>
      </c>
      <c r="V1140" s="648">
        <f>Data2025!V1139</f>
        <v>0</v>
      </c>
      <c r="W1140" s="648">
        <f>Data2025!X1139</f>
        <v>0</v>
      </c>
      <c r="X1140" s="497" t="s">
        <v>541</v>
      </c>
      <c r="Y1140" s="268" t="str">
        <f t="shared" si="56"/>
        <v>Alat Tulis Kantor (ATK)</v>
      </c>
      <c r="Z1140" s="649" t="str">
        <f t="shared" si="57"/>
        <v>Alat Tulis Kantor (ATK)</v>
      </c>
      <c r="AA1140" s="498" t="s">
        <v>3363</v>
      </c>
      <c r="AB1140" s="499">
        <v>35500</v>
      </c>
      <c r="AC1140" s="499">
        <v>426000</v>
      </c>
      <c r="AD1140" s="496">
        <v>426000</v>
      </c>
      <c r="AE1140" s="500">
        <v>383783.78378378379</v>
      </c>
      <c r="AF1140" s="500">
        <v>426000</v>
      </c>
      <c r="AG1140" s="805" t="s">
        <v>3883</v>
      </c>
      <c r="AH1140" s="651">
        <f>Data2025!W1139</f>
        <v>0</v>
      </c>
      <c r="AI1140" s="61">
        <v>366</v>
      </c>
    </row>
    <row r="1141" spans="1:35" ht="16.5" thickTop="1" thickBot="1">
      <c r="A1141" s="636">
        <f>Data2025!G1140</f>
        <v>0</v>
      </c>
      <c r="B1141" s="637">
        <f>Data2025!K1140</f>
        <v>0</v>
      </c>
      <c r="C1141" s="638">
        <f>Data2025!D1140</f>
        <v>0</v>
      </c>
      <c r="D1141" s="639">
        <f>Data2025!C1140</f>
        <v>0</v>
      </c>
      <c r="E1141" s="265">
        <f>Data2025!E1140</f>
        <v>0</v>
      </c>
      <c r="F1141" s="640">
        <f>Data2025!F1140</f>
        <v>0</v>
      </c>
      <c r="G1141" s="265">
        <f>Data2025!H1140</f>
        <v>0</v>
      </c>
      <c r="H1141" s="265">
        <f t="shared" si="55"/>
        <v>0</v>
      </c>
      <c r="I1141" s="641">
        <f>Data2025!J1140</f>
        <v>0</v>
      </c>
      <c r="J1141" s="381">
        <f>Data2025!L1140</f>
        <v>0</v>
      </c>
      <c r="K1141" s="381">
        <f>Data2025!M1140</f>
        <v>0</v>
      </c>
      <c r="L1141" s="642">
        <f>Data2025!N1140</f>
        <v>0</v>
      </c>
      <c r="M1141" s="642">
        <f>Data2025!O1140</f>
        <v>0</v>
      </c>
      <c r="N1141" s="643">
        <f>Data2025!P1140</f>
        <v>0</v>
      </c>
      <c r="O1141" s="644">
        <f>Data2025!Q1140</f>
        <v>0</v>
      </c>
      <c r="P1141" s="645" t="s">
        <v>710</v>
      </c>
      <c r="Q1141" s="646" t="e">
        <f>VLOOKUP(K1141,Sheet1!$C$1:$D$101,2,)</f>
        <v>#N/A</v>
      </c>
      <c r="R1141" s="496">
        <v>120000</v>
      </c>
      <c r="S1141" s="504">
        <v>124000</v>
      </c>
      <c r="T1141" s="648">
        <f>Data2025!T1140</f>
        <v>0</v>
      </c>
      <c r="U1141" s="497" t="s">
        <v>538</v>
      </c>
      <c r="V1141" s="648">
        <f>Data2025!V1140</f>
        <v>0</v>
      </c>
      <c r="W1141" s="648">
        <f>Data2025!X1140</f>
        <v>0</v>
      </c>
      <c r="X1141" s="497" t="s">
        <v>541</v>
      </c>
      <c r="Y1141" s="268" t="str">
        <f t="shared" si="56"/>
        <v>Alat Tulis Kantor (ATK)</v>
      </c>
      <c r="Z1141" s="649" t="str">
        <f t="shared" si="57"/>
        <v>Alat Tulis Kantor (ATK)</v>
      </c>
      <c r="AA1141" s="498" t="s">
        <v>3365</v>
      </c>
      <c r="AB1141" s="499">
        <v>60000</v>
      </c>
      <c r="AC1141" s="499">
        <v>120000</v>
      </c>
      <c r="AD1141" s="496">
        <v>120000</v>
      </c>
      <c r="AE1141" s="500">
        <v>108108.10810810811</v>
      </c>
      <c r="AF1141" s="500">
        <v>120000</v>
      </c>
      <c r="AG1141" s="805" t="s">
        <v>3883</v>
      </c>
      <c r="AH1141" s="651">
        <f>Data2025!W1140</f>
        <v>0</v>
      </c>
      <c r="AI1141" s="61">
        <v>366</v>
      </c>
    </row>
    <row r="1142" spans="1:35" ht="16.5" thickTop="1" thickBot="1">
      <c r="A1142" s="636">
        <f>Data2025!G1141</f>
        <v>0</v>
      </c>
      <c r="B1142" s="637">
        <f>Data2025!K1141</f>
        <v>0</v>
      </c>
      <c r="C1142" s="638">
        <f>Data2025!D1141</f>
        <v>0</v>
      </c>
      <c r="D1142" s="639">
        <f>Data2025!C1141</f>
        <v>0</v>
      </c>
      <c r="E1142" s="265">
        <f>Data2025!E1141</f>
        <v>0</v>
      </c>
      <c r="F1142" s="640">
        <f>Data2025!F1141</f>
        <v>0</v>
      </c>
      <c r="G1142" s="265">
        <f>Data2025!H1141</f>
        <v>0</v>
      </c>
      <c r="H1142" s="265">
        <f t="shared" si="55"/>
        <v>0</v>
      </c>
      <c r="I1142" s="641">
        <f>Data2025!J1141</f>
        <v>0</v>
      </c>
      <c r="J1142" s="381">
        <f>Data2025!L1141</f>
        <v>0</v>
      </c>
      <c r="K1142" s="381">
        <f>Data2025!M1141</f>
        <v>0</v>
      </c>
      <c r="L1142" s="642">
        <f>Data2025!N1141</f>
        <v>0</v>
      </c>
      <c r="M1142" s="642">
        <f>Data2025!O1141</f>
        <v>0</v>
      </c>
      <c r="N1142" s="643">
        <f>Data2025!P1141</f>
        <v>0</v>
      </c>
      <c r="O1142" s="644">
        <f>Data2025!Q1141</f>
        <v>0</v>
      </c>
      <c r="P1142" s="645" t="s">
        <v>710</v>
      </c>
      <c r="Q1142" s="646" t="e">
        <f>VLOOKUP(K1142,Sheet1!$C$1:$D$101,2,)</f>
        <v>#N/A</v>
      </c>
      <c r="R1142" s="496">
        <v>45000</v>
      </c>
      <c r="S1142" s="504">
        <v>47000</v>
      </c>
      <c r="T1142" s="648">
        <f>Data2025!T1141</f>
        <v>0</v>
      </c>
      <c r="U1142" s="497" t="s">
        <v>538</v>
      </c>
      <c r="V1142" s="648">
        <f>Data2025!V1141</f>
        <v>0</v>
      </c>
      <c r="W1142" s="648">
        <f>Data2025!X1141</f>
        <v>0</v>
      </c>
      <c r="X1142" s="497" t="s">
        <v>541</v>
      </c>
      <c r="Y1142" s="268" t="str">
        <f t="shared" si="56"/>
        <v>Alat Tulis Kantor (ATK)</v>
      </c>
      <c r="Z1142" s="649" t="str">
        <f t="shared" si="57"/>
        <v>Alat Tulis Kantor (ATK)</v>
      </c>
      <c r="AA1142" s="498" t="s">
        <v>3365</v>
      </c>
      <c r="AB1142" s="499">
        <v>45000</v>
      </c>
      <c r="AC1142" s="499">
        <v>45000</v>
      </c>
      <c r="AD1142" s="496">
        <v>45000</v>
      </c>
      <c r="AE1142" s="500">
        <v>40540.54054054054</v>
      </c>
      <c r="AF1142" s="500">
        <v>45000</v>
      </c>
      <c r="AG1142" s="805" t="s">
        <v>3883</v>
      </c>
      <c r="AH1142" s="651">
        <f>Data2025!W1141</f>
        <v>0</v>
      </c>
      <c r="AI1142" s="61">
        <v>366</v>
      </c>
    </row>
    <row r="1143" spans="1:35" ht="16.5" thickTop="1" thickBot="1">
      <c r="A1143" s="636">
        <f>Data2025!G1142</f>
        <v>0</v>
      </c>
      <c r="B1143" s="637">
        <f>Data2025!K1142</f>
        <v>0</v>
      </c>
      <c r="C1143" s="638">
        <f>Data2025!D1142</f>
        <v>0</v>
      </c>
      <c r="D1143" s="639">
        <f>Data2025!C1142</f>
        <v>0</v>
      </c>
      <c r="E1143" s="265">
        <f>Data2025!E1142</f>
        <v>0</v>
      </c>
      <c r="F1143" s="640">
        <f>Data2025!F1142</f>
        <v>0</v>
      </c>
      <c r="G1143" s="265">
        <f>Data2025!H1142</f>
        <v>0</v>
      </c>
      <c r="H1143" s="265">
        <f t="shared" si="55"/>
        <v>0</v>
      </c>
      <c r="I1143" s="641">
        <f>Data2025!J1142</f>
        <v>0</v>
      </c>
      <c r="J1143" s="381">
        <f>Data2025!L1142</f>
        <v>0</v>
      </c>
      <c r="K1143" s="381">
        <f>Data2025!M1142</f>
        <v>0</v>
      </c>
      <c r="L1143" s="642">
        <f>Data2025!N1142</f>
        <v>0</v>
      </c>
      <c r="M1143" s="642">
        <f>Data2025!O1142</f>
        <v>0</v>
      </c>
      <c r="N1143" s="643">
        <f>Data2025!P1142</f>
        <v>0</v>
      </c>
      <c r="O1143" s="644">
        <f>Data2025!Q1142</f>
        <v>0</v>
      </c>
      <c r="P1143" s="645" t="s">
        <v>710</v>
      </c>
      <c r="Q1143" s="646" t="e">
        <f>VLOOKUP(K1143,Sheet1!$C$1:$D$101,2,)</f>
        <v>#N/A</v>
      </c>
      <c r="R1143" s="496">
        <v>510000</v>
      </c>
      <c r="S1143" s="504">
        <v>522000</v>
      </c>
      <c r="T1143" s="648">
        <f>Data2025!T1142</f>
        <v>0</v>
      </c>
      <c r="U1143" s="497" t="s">
        <v>538</v>
      </c>
      <c r="V1143" s="648">
        <f>Data2025!V1142</f>
        <v>0</v>
      </c>
      <c r="W1143" s="648">
        <f>Data2025!X1142</f>
        <v>0</v>
      </c>
      <c r="X1143" s="497" t="s">
        <v>541</v>
      </c>
      <c r="Y1143" s="268" t="str">
        <f t="shared" si="56"/>
        <v>Alat Tulis Kantor (ATK)</v>
      </c>
      <c r="Z1143" s="649" t="str">
        <f t="shared" si="57"/>
        <v>Alat Tulis Kantor (ATK)</v>
      </c>
      <c r="AA1143" s="498" t="s">
        <v>3367</v>
      </c>
      <c r="AB1143" s="499">
        <v>85000</v>
      </c>
      <c r="AC1143" s="499">
        <v>510000</v>
      </c>
      <c r="AD1143" s="496">
        <v>510000</v>
      </c>
      <c r="AE1143" s="500">
        <v>459459.45945945947</v>
      </c>
      <c r="AF1143" s="500">
        <v>510000</v>
      </c>
      <c r="AG1143" s="805" t="s">
        <v>3883</v>
      </c>
      <c r="AH1143" s="651">
        <f>Data2025!W1142</f>
        <v>0</v>
      </c>
      <c r="AI1143" s="61">
        <v>366</v>
      </c>
    </row>
    <row r="1144" spans="1:35" ht="16.5" thickTop="1" thickBot="1">
      <c r="A1144" s="636">
        <f>Data2025!G1143</f>
        <v>0</v>
      </c>
      <c r="B1144" s="637">
        <f>Data2025!K1143</f>
        <v>0</v>
      </c>
      <c r="C1144" s="638">
        <f>Data2025!D1143</f>
        <v>0</v>
      </c>
      <c r="D1144" s="639">
        <f>Data2025!C1143</f>
        <v>0</v>
      </c>
      <c r="E1144" s="265">
        <f>Data2025!E1143</f>
        <v>0</v>
      </c>
      <c r="F1144" s="640">
        <f>Data2025!F1143</f>
        <v>0</v>
      </c>
      <c r="G1144" s="265">
        <f>Data2025!H1143</f>
        <v>0</v>
      </c>
      <c r="H1144" s="265">
        <f t="shared" si="55"/>
        <v>0</v>
      </c>
      <c r="I1144" s="641">
        <f>Data2025!J1143</f>
        <v>0</v>
      </c>
      <c r="J1144" s="381">
        <f>Data2025!L1143</f>
        <v>0</v>
      </c>
      <c r="K1144" s="381">
        <f>Data2025!M1143</f>
        <v>0</v>
      </c>
      <c r="L1144" s="642">
        <f>Data2025!N1143</f>
        <v>0</v>
      </c>
      <c r="M1144" s="642">
        <f>Data2025!O1143</f>
        <v>0</v>
      </c>
      <c r="N1144" s="643">
        <f>Data2025!P1143</f>
        <v>0</v>
      </c>
      <c r="O1144" s="644">
        <f>Data2025!Q1143</f>
        <v>0</v>
      </c>
      <c r="P1144" s="645" t="s">
        <v>710</v>
      </c>
      <c r="Q1144" s="646" t="e">
        <f>VLOOKUP(K1144,Sheet1!$C$1:$D$101,2,)</f>
        <v>#N/A</v>
      </c>
      <c r="R1144" s="496">
        <v>40000</v>
      </c>
      <c r="S1144" s="504">
        <v>44000</v>
      </c>
      <c r="T1144" s="648">
        <f>Data2025!T1143</f>
        <v>0</v>
      </c>
      <c r="U1144" s="497" t="s">
        <v>538</v>
      </c>
      <c r="V1144" s="648">
        <f>Data2025!V1143</f>
        <v>0</v>
      </c>
      <c r="W1144" s="648">
        <f>Data2025!X1143</f>
        <v>0</v>
      </c>
      <c r="X1144" s="497" t="s">
        <v>541</v>
      </c>
      <c r="Y1144" s="268" t="str">
        <f t="shared" si="56"/>
        <v>Alat Tulis Kantor (ATK)</v>
      </c>
      <c r="Z1144" s="649" t="str">
        <f t="shared" si="57"/>
        <v>Alat Tulis Kantor (ATK)</v>
      </c>
      <c r="AA1144" s="498" t="s">
        <v>3363</v>
      </c>
      <c r="AB1144" s="499">
        <v>20000</v>
      </c>
      <c r="AC1144" s="499">
        <v>40000</v>
      </c>
      <c r="AD1144" s="496">
        <v>40000</v>
      </c>
      <c r="AE1144" s="500">
        <v>36036.036036036036</v>
      </c>
      <c r="AF1144" s="500">
        <v>40000</v>
      </c>
      <c r="AG1144" s="805" t="s">
        <v>3883</v>
      </c>
      <c r="AH1144" s="651">
        <f>Data2025!W1143</f>
        <v>0</v>
      </c>
      <c r="AI1144" s="61">
        <v>366</v>
      </c>
    </row>
    <row r="1145" spans="1:35" ht="16.5" thickTop="1" thickBot="1">
      <c r="A1145" s="636">
        <f>Data2025!G1144</f>
        <v>0</v>
      </c>
      <c r="B1145" s="637">
        <f>Data2025!K1144</f>
        <v>0</v>
      </c>
      <c r="C1145" s="638">
        <f>Data2025!D1144</f>
        <v>0</v>
      </c>
      <c r="D1145" s="639">
        <f>Data2025!C1144</f>
        <v>0</v>
      </c>
      <c r="E1145" s="265">
        <f>Data2025!E1144</f>
        <v>0</v>
      </c>
      <c r="F1145" s="640">
        <f>Data2025!F1144</f>
        <v>0</v>
      </c>
      <c r="G1145" s="265">
        <f>Data2025!H1144</f>
        <v>0</v>
      </c>
      <c r="H1145" s="265">
        <f t="shared" si="55"/>
        <v>0</v>
      </c>
      <c r="I1145" s="641">
        <f>Data2025!J1144</f>
        <v>0</v>
      </c>
      <c r="J1145" s="381">
        <f>Data2025!L1144</f>
        <v>0</v>
      </c>
      <c r="K1145" s="381">
        <f>Data2025!M1144</f>
        <v>0</v>
      </c>
      <c r="L1145" s="642">
        <f>Data2025!N1144</f>
        <v>0</v>
      </c>
      <c r="M1145" s="642">
        <f>Data2025!O1144</f>
        <v>0</v>
      </c>
      <c r="N1145" s="643">
        <f>Data2025!P1144</f>
        <v>0</v>
      </c>
      <c r="O1145" s="644">
        <f>Data2025!Q1144</f>
        <v>0</v>
      </c>
      <c r="P1145" s="645" t="s">
        <v>710</v>
      </c>
      <c r="Q1145" s="646" t="e">
        <f>VLOOKUP(K1145,Sheet1!$C$1:$D$101,2,)</f>
        <v>#N/A</v>
      </c>
      <c r="R1145" s="496">
        <v>40000</v>
      </c>
      <c r="S1145" s="504">
        <v>44000</v>
      </c>
      <c r="T1145" s="648">
        <f>Data2025!T1144</f>
        <v>0</v>
      </c>
      <c r="U1145" s="497" t="s">
        <v>538</v>
      </c>
      <c r="V1145" s="648">
        <f>Data2025!V1144</f>
        <v>0</v>
      </c>
      <c r="W1145" s="648">
        <f>Data2025!X1144</f>
        <v>0</v>
      </c>
      <c r="X1145" s="497" t="s">
        <v>541</v>
      </c>
      <c r="Y1145" s="268" t="str">
        <f t="shared" si="56"/>
        <v>Alat Tulis Kantor (ATK)</v>
      </c>
      <c r="Z1145" s="649" t="str">
        <f t="shared" si="57"/>
        <v>Alat Tulis Kantor (ATK)</v>
      </c>
      <c r="AA1145" s="498" t="s">
        <v>3366</v>
      </c>
      <c r="AB1145" s="499">
        <v>20000</v>
      </c>
      <c r="AC1145" s="499">
        <v>40000</v>
      </c>
      <c r="AD1145" s="496">
        <v>40000</v>
      </c>
      <c r="AE1145" s="500">
        <v>36036.036036036036</v>
      </c>
      <c r="AF1145" s="500">
        <v>40000</v>
      </c>
      <c r="AG1145" s="805" t="s">
        <v>3883</v>
      </c>
      <c r="AH1145" s="651">
        <f>Data2025!W1144</f>
        <v>0</v>
      </c>
      <c r="AI1145" s="61">
        <v>366</v>
      </c>
    </row>
    <row r="1146" spans="1:35" ht="16.5" thickTop="1" thickBot="1">
      <c r="A1146" s="636">
        <f>Data2025!G1145</f>
        <v>0</v>
      </c>
      <c r="B1146" s="637">
        <f>Data2025!K1145</f>
        <v>0</v>
      </c>
      <c r="C1146" s="638">
        <f>Data2025!D1145</f>
        <v>0</v>
      </c>
      <c r="D1146" s="639">
        <f>Data2025!C1145</f>
        <v>0</v>
      </c>
      <c r="E1146" s="265">
        <f>Data2025!E1145</f>
        <v>0</v>
      </c>
      <c r="F1146" s="640">
        <f>Data2025!F1145</f>
        <v>0</v>
      </c>
      <c r="G1146" s="265">
        <f>Data2025!H1145</f>
        <v>0</v>
      </c>
      <c r="H1146" s="265">
        <f t="shared" si="55"/>
        <v>0</v>
      </c>
      <c r="I1146" s="641">
        <f>Data2025!J1145</f>
        <v>0</v>
      </c>
      <c r="J1146" s="381">
        <f>Data2025!L1145</f>
        <v>0</v>
      </c>
      <c r="K1146" s="381">
        <f>Data2025!M1145</f>
        <v>0</v>
      </c>
      <c r="L1146" s="642">
        <f>Data2025!N1145</f>
        <v>0</v>
      </c>
      <c r="M1146" s="642">
        <f>Data2025!O1145</f>
        <v>0</v>
      </c>
      <c r="N1146" s="643">
        <f>Data2025!P1145</f>
        <v>0</v>
      </c>
      <c r="O1146" s="644">
        <f>Data2025!Q1145</f>
        <v>0</v>
      </c>
      <c r="P1146" s="645" t="s">
        <v>710</v>
      </c>
      <c r="Q1146" s="646" t="e">
        <f>VLOOKUP(K1146,Sheet1!$C$1:$D$101,2,)</f>
        <v>#N/A</v>
      </c>
      <c r="R1146" s="496">
        <v>69000</v>
      </c>
      <c r="S1146" s="504">
        <v>75000</v>
      </c>
      <c r="T1146" s="648">
        <f>Data2025!T1145</f>
        <v>0</v>
      </c>
      <c r="U1146" s="497" t="s">
        <v>538</v>
      </c>
      <c r="V1146" s="648">
        <f>Data2025!V1145</f>
        <v>0</v>
      </c>
      <c r="W1146" s="648">
        <f>Data2025!X1145</f>
        <v>0</v>
      </c>
      <c r="X1146" s="497" t="s">
        <v>541</v>
      </c>
      <c r="Y1146" s="268" t="str">
        <f t="shared" si="56"/>
        <v>Alat Tulis Kantor (ATK)</v>
      </c>
      <c r="Z1146" s="649" t="str">
        <f t="shared" si="57"/>
        <v>Alat Tulis Kantor (ATK)</v>
      </c>
      <c r="AA1146" s="498" t="s">
        <v>3365</v>
      </c>
      <c r="AB1146" s="499">
        <v>23000</v>
      </c>
      <c r="AC1146" s="499">
        <v>69000</v>
      </c>
      <c r="AD1146" s="496">
        <v>69000</v>
      </c>
      <c r="AE1146" s="500">
        <v>62162.16216216216</v>
      </c>
      <c r="AF1146" s="500">
        <v>69000</v>
      </c>
      <c r="AG1146" s="805" t="s">
        <v>3883</v>
      </c>
      <c r="AH1146" s="651">
        <f>Data2025!W1145</f>
        <v>0</v>
      </c>
      <c r="AI1146" s="61">
        <v>366</v>
      </c>
    </row>
    <row r="1147" spans="1:35" ht="16.5" thickTop="1" thickBot="1">
      <c r="A1147" s="636">
        <f>Data2025!G1146</f>
        <v>0</v>
      </c>
      <c r="B1147" s="637">
        <f>Data2025!K1146</f>
        <v>0</v>
      </c>
      <c r="C1147" s="638">
        <f>Data2025!D1146</f>
        <v>0</v>
      </c>
      <c r="D1147" s="639">
        <f>Data2025!C1146</f>
        <v>0</v>
      </c>
      <c r="E1147" s="265">
        <f>Data2025!E1146</f>
        <v>0</v>
      </c>
      <c r="F1147" s="640">
        <f>Data2025!F1146</f>
        <v>0</v>
      </c>
      <c r="G1147" s="265">
        <f>Data2025!H1146</f>
        <v>0</v>
      </c>
      <c r="H1147" s="265">
        <f t="shared" si="55"/>
        <v>0</v>
      </c>
      <c r="I1147" s="641">
        <f>Data2025!J1146</f>
        <v>0</v>
      </c>
      <c r="J1147" s="381">
        <f>Data2025!L1146</f>
        <v>0</v>
      </c>
      <c r="K1147" s="381">
        <f>Data2025!M1146</f>
        <v>0</v>
      </c>
      <c r="L1147" s="642">
        <f>Data2025!N1146</f>
        <v>0</v>
      </c>
      <c r="M1147" s="642">
        <f>Data2025!O1146</f>
        <v>0</v>
      </c>
      <c r="N1147" s="643">
        <f>Data2025!P1146</f>
        <v>0</v>
      </c>
      <c r="O1147" s="644">
        <f>Data2025!Q1146</f>
        <v>0</v>
      </c>
      <c r="P1147" s="645" t="s">
        <v>710</v>
      </c>
      <c r="Q1147" s="646" t="e">
        <f>VLOOKUP(K1147,Sheet1!$C$1:$D$101,2,)</f>
        <v>#N/A</v>
      </c>
      <c r="R1147" s="496">
        <v>165000</v>
      </c>
      <c r="S1147" s="504">
        <v>185000</v>
      </c>
      <c r="T1147" s="648">
        <f>Data2025!T1146</f>
        <v>0</v>
      </c>
      <c r="U1147" s="497" t="s">
        <v>538</v>
      </c>
      <c r="V1147" s="648">
        <f>Data2025!V1146</f>
        <v>0</v>
      </c>
      <c r="W1147" s="648">
        <f>Data2025!X1146</f>
        <v>0</v>
      </c>
      <c r="X1147" s="497" t="s">
        <v>541</v>
      </c>
      <c r="Y1147" s="268" t="str">
        <f t="shared" si="56"/>
        <v>Alat Tulis Kantor (ATK)</v>
      </c>
      <c r="Z1147" s="649" t="str">
        <f t="shared" si="57"/>
        <v>Alat Tulis Kantor (ATK)</v>
      </c>
      <c r="AA1147" s="498" t="s">
        <v>3362</v>
      </c>
      <c r="AB1147" s="499">
        <v>16500</v>
      </c>
      <c r="AC1147" s="499">
        <v>165000</v>
      </c>
      <c r="AD1147" s="496">
        <v>165000</v>
      </c>
      <c r="AE1147" s="500">
        <v>148648.64864864864</v>
      </c>
      <c r="AF1147" s="500">
        <v>165000</v>
      </c>
      <c r="AG1147" s="805" t="s">
        <v>3883</v>
      </c>
      <c r="AH1147" s="651">
        <f>Data2025!W1146</f>
        <v>0</v>
      </c>
      <c r="AI1147" s="61">
        <v>366</v>
      </c>
    </row>
    <row r="1148" spans="1:35" ht="16.5" thickTop="1" thickBot="1">
      <c r="A1148" s="636">
        <f>Data2025!G1147</f>
        <v>0</v>
      </c>
      <c r="B1148" s="637">
        <f>Data2025!K1147</f>
        <v>0</v>
      </c>
      <c r="C1148" s="638">
        <f>Data2025!D1147</f>
        <v>0</v>
      </c>
      <c r="D1148" s="639">
        <f>Data2025!C1147</f>
        <v>0</v>
      </c>
      <c r="E1148" s="265">
        <f>Data2025!E1147</f>
        <v>0</v>
      </c>
      <c r="F1148" s="640">
        <f>Data2025!F1147</f>
        <v>0</v>
      </c>
      <c r="G1148" s="265">
        <f>Data2025!H1147</f>
        <v>0</v>
      </c>
      <c r="H1148" s="265">
        <f t="shared" si="55"/>
        <v>0</v>
      </c>
      <c r="I1148" s="641">
        <f>Data2025!J1147</f>
        <v>0</v>
      </c>
      <c r="J1148" s="381">
        <f>Data2025!L1147</f>
        <v>0</v>
      </c>
      <c r="K1148" s="381">
        <f>Data2025!M1147</f>
        <v>0</v>
      </c>
      <c r="L1148" s="642">
        <f>Data2025!N1147</f>
        <v>0</v>
      </c>
      <c r="M1148" s="642">
        <f>Data2025!O1147</f>
        <v>0</v>
      </c>
      <c r="N1148" s="643">
        <f>Data2025!P1147</f>
        <v>0</v>
      </c>
      <c r="O1148" s="644">
        <f>Data2025!Q1147</f>
        <v>0</v>
      </c>
      <c r="P1148" s="645" t="s">
        <v>710</v>
      </c>
      <c r="Q1148" s="646" t="e">
        <f>VLOOKUP(K1148,Sheet1!$C$1:$D$101,2,)</f>
        <v>#N/A</v>
      </c>
      <c r="R1148" s="496">
        <v>239200</v>
      </c>
      <c r="S1148" s="504">
        <v>247200</v>
      </c>
      <c r="T1148" s="648">
        <f>Data2025!T1147</f>
        <v>0</v>
      </c>
      <c r="U1148" s="497" t="s">
        <v>538</v>
      </c>
      <c r="V1148" s="648">
        <f>Data2025!V1147</f>
        <v>0</v>
      </c>
      <c r="W1148" s="648">
        <f>Data2025!X1147</f>
        <v>0</v>
      </c>
      <c r="X1148" s="497" t="s">
        <v>541</v>
      </c>
      <c r="Y1148" s="268" t="str">
        <f t="shared" si="56"/>
        <v>Alat Tulis Kantor (ATK)</v>
      </c>
      <c r="Z1148" s="649" t="str">
        <f t="shared" si="57"/>
        <v>Alat Tulis Kantor (ATK)</v>
      </c>
      <c r="AA1148" s="498" t="s">
        <v>3363</v>
      </c>
      <c r="AB1148" s="499">
        <v>59800</v>
      </c>
      <c r="AC1148" s="499">
        <v>239200</v>
      </c>
      <c r="AD1148" s="496">
        <v>239200</v>
      </c>
      <c r="AE1148" s="500">
        <v>215495.4954954955</v>
      </c>
      <c r="AF1148" s="500">
        <v>239200</v>
      </c>
      <c r="AG1148" s="805" t="s">
        <v>3883</v>
      </c>
      <c r="AH1148" s="651">
        <f>Data2025!W1147</f>
        <v>0</v>
      </c>
      <c r="AI1148" s="61">
        <v>366</v>
      </c>
    </row>
    <row r="1149" spans="1:35" ht="16.5" thickTop="1" thickBot="1">
      <c r="A1149" s="636">
        <f>Data2025!G1148</f>
        <v>0</v>
      </c>
      <c r="B1149" s="637">
        <f>Data2025!K1148</f>
        <v>0</v>
      </c>
      <c r="C1149" s="638">
        <f>Data2025!D1148</f>
        <v>0</v>
      </c>
      <c r="D1149" s="639">
        <f>Data2025!C1148</f>
        <v>0</v>
      </c>
      <c r="E1149" s="265">
        <f>Data2025!E1148</f>
        <v>0</v>
      </c>
      <c r="F1149" s="640">
        <f>Data2025!F1148</f>
        <v>0</v>
      </c>
      <c r="G1149" s="265">
        <f>Data2025!H1148</f>
        <v>0</v>
      </c>
      <c r="H1149" s="265">
        <f t="shared" si="55"/>
        <v>0</v>
      </c>
      <c r="I1149" s="641">
        <f>Data2025!J1148</f>
        <v>0</v>
      </c>
      <c r="J1149" s="381">
        <f>Data2025!L1148</f>
        <v>0</v>
      </c>
      <c r="K1149" s="381">
        <f>Data2025!M1148</f>
        <v>0</v>
      </c>
      <c r="L1149" s="642">
        <f>Data2025!N1148</f>
        <v>0</v>
      </c>
      <c r="M1149" s="642">
        <f>Data2025!O1148</f>
        <v>0</v>
      </c>
      <c r="N1149" s="643">
        <f>Data2025!P1148</f>
        <v>0</v>
      </c>
      <c r="O1149" s="644">
        <f>Data2025!Q1148</f>
        <v>0</v>
      </c>
      <c r="P1149" s="645" t="s">
        <v>710</v>
      </c>
      <c r="Q1149" s="646" t="e">
        <f>VLOOKUP(K1149,Sheet1!$C$1:$D$101,2,)</f>
        <v>#N/A</v>
      </c>
      <c r="R1149" s="496">
        <v>180000</v>
      </c>
      <c r="S1149" s="504">
        <v>184000</v>
      </c>
      <c r="T1149" s="648">
        <f>Data2025!T1148</f>
        <v>0</v>
      </c>
      <c r="U1149" s="497" t="s">
        <v>538</v>
      </c>
      <c r="V1149" s="648">
        <f>Data2025!V1148</f>
        <v>0</v>
      </c>
      <c r="W1149" s="648">
        <f>Data2025!X1148</f>
        <v>0</v>
      </c>
      <c r="X1149" s="497" t="s">
        <v>541</v>
      </c>
      <c r="Y1149" s="268" t="str">
        <f t="shared" si="56"/>
        <v>Alat Tulis Kantor (ATK)</v>
      </c>
      <c r="Z1149" s="649" t="str">
        <f t="shared" si="57"/>
        <v>Alat Tulis Kantor (ATK)</v>
      </c>
      <c r="AA1149" s="498" t="s">
        <v>3369</v>
      </c>
      <c r="AB1149" s="499">
        <v>90000</v>
      </c>
      <c r="AC1149" s="499">
        <v>180000</v>
      </c>
      <c r="AD1149" s="496">
        <v>180000</v>
      </c>
      <c r="AE1149" s="500">
        <v>162162.16216216216</v>
      </c>
      <c r="AF1149" s="500">
        <v>180000</v>
      </c>
      <c r="AG1149" s="805" t="s">
        <v>3883</v>
      </c>
      <c r="AH1149" s="651">
        <f>Data2025!W1148</f>
        <v>0</v>
      </c>
      <c r="AI1149" s="61">
        <v>366</v>
      </c>
    </row>
    <row r="1150" spans="1:35" ht="16.5" thickTop="1" thickBot="1">
      <c r="A1150" s="636">
        <f>Data2025!G1149</f>
        <v>0</v>
      </c>
      <c r="B1150" s="637">
        <f>Data2025!K1149</f>
        <v>0</v>
      </c>
      <c r="C1150" s="638">
        <f>Data2025!D1149</f>
        <v>0</v>
      </c>
      <c r="D1150" s="639">
        <f>Data2025!C1149</f>
        <v>0</v>
      </c>
      <c r="E1150" s="265">
        <f>Data2025!E1149</f>
        <v>0</v>
      </c>
      <c r="F1150" s="640">
        <f>Data2025!F1149</f>
        <v>0</v>
      </c>
      <c r="G1150" s="265">
        <f>Data2025!H1149</f>
        <v>0</v>
      </c>
      <c r="H1150" s="265">
        <f t="shared" si="55"/>
        <v>0</v>
      </c>
      <c r="I1150" s="641">
        <f>Data2025!J1149</f>
        <v>0</v>
      </c>
      <c r="J1150" s="381">
        <f>Data2025!L1149</f>
        <v>0</v>
      </c>
      <c r="K1150" s="381">
        <f>Data2025!M1149</f>
        <v>0</v>
      </c>
      <c r="L1150" s="642">
        <f>Data2025!N1149</f>
        <v>0</v>
      </c>
      <c r="M1150" s="642">
        <f>Data2025!O1149</f>
        <v>0</v>
      </c>
      <c r="N1150" s="643">
        <f>Data2025!P1149</f>
        <v>0</v>
      </c>
      <c r="O1150" s="644">
        <f>Data2025!Q1149</f>
        <v>0</v>
      </c>
      <c r="P1150" s="645" t="s">
        <v>710</v>
      </c>
      <c r="Q1150" s="646" t="e">
        <f>VLOOKUP(K1150,Sheet1!$C$1:$D$101,2,)</f>
        <v>#N/A</v>
      </c>
      <c r="R1150" s="496">
        <v>60000</v>
      </c>
      <c r="S1150" s="504">
        <v>66000</v>
      </c>
      <c r="T1150" s="648">
        <f>Data2025!T1149</f>
        <v>0</v>
      </c>
      <c r="U1150" s="497" t="s">
        <v>538</v>
      </c>
      <c r="V1150" s="648">
        <f>Data2025!V1149</f>
        <v>0</v>
      </c>
      <c r="W1150" s="648">
        <f>Data2025!X1149</f>
        <v>0</v>
      </c>
      <c r="X1150" s="497" t="s">
        <v>541</v>
      </c>
      <c r="Y1150" s="268" t="str">
        <f t="shared" si="56"/>
        <v>Alat Tulis Kantor (ATK)</v>
      </c>
      <c r="Z1150" s="649" t="str">
        <f t="shared" si="57"/>
        <v>Alat Tulis Kantor (ATK)</v>
      </c>
      <c r="AA1150" s="498" t="s">
        <v>3363</v>
      </c>
      <c r="AB1150" s="499">
        <v>20000</v>
      </c>
      <c r="AC1150" s="499">
        <v>60000</v>
      </c>
      <c r="AD1150" s="496">
        <v>60000</v>
      </c>
      <c r="AE1150" s="500">
        <v>54054.054054054053</v>
      </c>
      <c r="AF1150" s="500">
        <v>60000</v>
      </c>
      <c r="AG1150" s="805" t="s">
        <v>3883</v>
      </c>
      <c r="AH1150" s="651">
        <f>Data2025!W1149</f>
        <v>0</v>
      </c>
      <c r="AI1150" s="61">
        <v>366</v>
      </c>
    </row>
    <row r="1151" spans="1:35" ht="16.5" thickTop="1" thickBot="1">
      <c r="A1151" s="636">
        <f>Data2025!G1150</f>
        <v>0</v>
      </c>
      <c r="B1151" s="637">
        <f>Data2025!K1150</f>
        <v>0</v>
      </c>
      <c r="C1151" s="638">
        <f>Data2025!D1150</f>
        <v>0</v>
      </c>
      <c r="D1151" s="639">
        <f>Data2025!C1150</f>
        <v>0</v>
      </c>
      <c r="E1151" s="265">
        <f>Data2025!E1150</f>
        <v>0</v>
      </c>
      <c r="F1151" s="640">
        <f>Data2025!F1150</f>
        <v>0</v>
      </c>
      <c r="G1151" s="265">
        <f>Data2025!H1150</f>
        <v>0</v>
      </c>
      <c r="H1151" s="265">
        <f t="shared" si="55"/>
        <v>0</v>
      </c>
      <c r="I1151" s="641">
        <f>Data2025!J1150</f>
        <v>0</v>
      </c>
      <c r="J1151" s="381">
        <f>Data2025!L1150</f>
        <v>0</v>
      </c>
      <c r="K1151" s="381">
        <f>Data2025!M1150</f>
        <v>0</v>
      </c>
      <c r="L1151" s="642">
        <f>Data2025!N1150</f>
        <v>0</v>
      </c>
      <c r="M1151" s="642">
        <f>Data2025!O1150</f>
        <v>0</v>
      </c>
      <c r="N1151" s="643">
        <f>Data2025!P1150</f>
        <v>0</v>
      </c>
      <c r="O1151" s="644">
        <f>Data2025!Q1150</f>
        <v>0</v>
      </c>
      <c r="P1151" s="645" t="s">
        <v>710</v>
      </c>
      <c r="Q1151" s="646" t="e">
        <f>VLOOKUP(K1151,Sheet1!$C$1:$D$101,2,)</f>
        <v>#N/A</v>
      </c>
      <c r="R1151" s="496">
        <v>500000</v>
      </c>
      <c r="S1151" s="504">
        <v>520000</v>
      </c>
      <c r="T1151" s="648">
        <f>Data2025!T1150</f>
        <v>0</v>
      </c>
      <c r="U1151" s="497" t="s">
        <v>538</v>
      </c>
      <c r="V1151" s="648">
        <f>Data2025!V1150</f>
        <v>0</v>
      </c>
      <c r="W1151" s="648">
        <f>Data2025!X1150</f>
        <v>0</v>
      </c>
      <c r="X1151" s="497" t="s">
        <v>541</v>
      </c>
      <c r="Y1151" s="268" t="str">
        <f t="shared" si="56"/>
        <v>Alat Tulis Kantor (ATK)</v>
      </c>
      <c r="Z1151" s="649" t="str">
        <f t="shared" si="57"/>
        <v>Alat Tulis Kantor (ATK)</v>
      </c>
      <c r="AA1151" s="498" t="s">
        <v>3365</v>
      </c>
      <c r="AB1151" s="499">
        <v>50000</v>
      </c>
      <c r="AC1151" s="499">
        <v>500000</v>
      </c>
      <c r="AD1151" s="496">
        <v>500000</v>
      </c>
      <c r="AE1151" s="500">
        <v>450450.45045045047</v>
      </c>
      <c r="AF1151" s="500">
        <v>500000</v>
      </c>
      <c r="AG1151" s="805" t="s">
        <v>3883</v>
      </c>
      <c r="AH1151" s="651">
        <f>Data2025!W1150</f>
        <v>0</v>
      </c>
      <c r="AI1151" s="61">
        <v>366</v>
      </c>
    </row>
    <row r="1152" spans="1:35" ht="16.5" thickTop="1" thickBot="1">
      <c r="A1152" s="636">
        <f>Data2025!G1151</f>
        <v>0</v>
      </c>
      <c r="B1152" s="637">
        <f>Data2025!K1151</f>
        <v>0</v>
      </c>
      <c r="C1152" s="638">
        <f>Data2025!D1151</f>
        <v>0</v>
      </c>
      <c r="D1152" s="639">
        <f>Data2025!C1151</f>
        <v>0</v>
      </c>
      <c r="E1152" s="265">
        <f>Data2025!E1151</f>
        <v>0</v>
      </c>
      <c r="F1152" s="640">
        <f>Data2025!F1151</f>
        <v>0</v>
      </c>
      <c r="G1152" s="265">
        <f>Data2025!H1151</f>
        <v>0</v>
      </c>
      <c r="H1152" s="265">
        <f t="shared" si="55"/>
        <v>0</v>
      </c>
      <c r="I1152" s="641">
        <f>Data2025!J1151</f>
        <v>0</v>
      </c>
      <c r="J1152" s="381">
        <f>Data2025!L1151</f>
        <v>0</v>
      </c>
      <c r="K1152" s="381">
        <f>Data2025!M1151</f>
        <v>0</v>
      </c>
      <c r="L1152" s="642">
        <f>Data2025!N1151</f>
        <v>0</v>
      </c>
      <c r="M1152" s="642">
        <f>Data2025!O1151</f>
        <v>0</v>
      </c>
      <c r="N1152" s="643">
        <f>Data2025!P1151</f>
        <v>0</v>
      </c>
      <c r="O1152" s="644">
        <f>Data2025!Q1151</f>
        <v>0</v>
      </c>
      <c r="P1152" s="645" t="s">
        <v>710</v>
      </c>
      <c r="Q1152" s="646" t="e">
        <f>VLOOKUP(K1152,Sheet1!$C$1:$D$101,2,)</f>
        <v>#N/A</v>
      </c>
      <c r="R1152" s="496">
        <v>155000</v>
      </c>
      <c r="S1152" s="504">
        <v>165000</v>
      </c>
      <c r="T1152" s="648">
        <f>Data2025!T1151</f>
        <v>0</v>
      </c>
      <c r="U1152" s="497" t="s">
        <v>538</v>
      </c>
      <c r="V1152" s="648">
        <f>Data2025!V1151</f>
        <v>0</v>
      </c>
      <c r="W1152" s="648">
        <f>Data2025!X1151</f>
        <v>0</v>
      </c>
      <c r="X1152" s="497" t="s">
        <v>541</v>
      </c>
      <c r="Y1152" s="268" t="str">
        <f t="shared" si="56"/>
        <v>Alat Tulis Kantor (ATK)</v>
      </c>
      <c r="Z1152" s="649" t="str">
        <f t="shared" si="57"/>
        <v>Alat Tulis Kantor (ATK)</v>
      </c>
      <c r="AA1152" s="498" t="s">
        <v>3365</v>
      </c>
      <c r="AB1152" s="499">
        <v>31000</v>
      </c>
      <c r="AC1152" s="499">
        <v>155000</v>
      </c>
      <c r="AD1152" s="496">
        <v>155000</v>
      </c>
      <c r="AE1152" s="500">
        <v>139639.63963963964</v>
      </c>
      <c r="AF1152" s="500">
        <v>155000</v>
      </c>
      <c r="AG1152" s="805" t="s">
        <v>3883</v>
      </c>
      <c r="AH1152" s="651">
        <f>Data2025!W1151</f>
        <v>0</v>
      </c>
      <c r="AI1152" s="61">
        <v>366</v>
      </c>
    </row>
    <row r="1153" spans="1:35" ht="16.5" thickTop="1" thickBot="1">
      <c r="A1153" s="636">
        <f>Data2025!G1152</f>
        <v>0</v>
      </c>
      <c r="B1153" s="637">
        <f>Data2025!K1152</f>
        <v>0</v>
      </c>
      <c r="C1153" s="638">
        <f>Data2025!D1152</f>
        <v>0</v>
      </c>
      <c r="D1153" s="639">
        <f>Data2025!C1152</f>
        <v>0</v>
      </c>
      <c r="E1153" s="265">
        <f>Data2025!E1152</f>
        <v>0</v>
      </c>
      <c r="F1153" s="640">
        <f>Data2025!F1152</f>
        <v>0</v>
      </c>
      <c r="G1153" s="265">
        <f>Data2025!H1152</f>
        <v>0</v>
      </c>
      <c r="H1153" s="265">
        <f t="shared" si="55"/>
        <v>0</v>
      </c>
      <c r="I1153" s="641">
        <f>Data2025!J1152</f>
        <v>0</v>
      </c>
      <c r="J1153" s="381">
        <f>Data2025!L1152</f>
        <v>0</v>
      </c>
      <c r="K1153" s="381">
        <f>Data2025!M1152</f>
        <v>0</v>
      </c>
      <c r="L1153" s="642">
        <f>Data2025!N1152</f>
        <v>0</v>
      </c>
      <c r="M1153" s="642">
        <f>Data2025!O1152</f>
        <v>0</v>
      </c>
      <c r="N1153" s="643">
        <f>Data2025!P1152</f>
        <v>0</v>
      </c>
      <c r="O1153" s="644">
        <f>Data2025!Q1152</f>
        <v>0</v>
      </c>
      <c r="P1153" s="645" t="s">
        <v>710</v>
      </c>
      <c r="Q1153" s="646" t="e">
        <f>VLOOKUP(K1153,Sheet1!$C$1:$D$101,2,)</f>
        <v>#N/A</v>
      </c>
      <c r="R1153" s="496">
        <v>440000</v>
      </c>
      <c r="S1153" s="504">
        <v>448000</v>
      </c>
      <c r="T1153" s="648">
        <f>Data2025!T1152</f>
        <v>0</v>
      </c>
      <c r="U1153" s="497" t="s">
        <v>538</v>
      </c>
      <c r="V1153" s="648">
        <f>Data2025!V1152</f>
        <v>0</v>
      </c>
      <c r="W1153" s="648">
        <f>Data2025!X1152</f>
        <v>0</v>
      </c>
      <c r="X1153" s="497" t="s">
        <v>541</v>
      </c>
      <c r="Y1153" s="268" t="str">
        <f t="shared" si="56"/>
        <v>Alat Tulis Kantor (ATK)</v>
      </c>
      <c r="Z1153" s="649" t="str">
        <f t="shared" si="57"/>
        <v>Alat Tulis Kantor (ATK)</v>
      </c>
      <c r="AA1153" s="498" t="s">
        <v>3367</v>
      </c>
      <c r="AB1153" s="499">
        <v>110000</v>
      </c>
      <c r="AC1153" s="499">
        <v>440000</v>
      </c>
      <c r="AD1153" s="496">
        <v>440000</v>
      </c>
      <c r="AE1153" s="500">
        <v>396396.39639639639</v>
      </c>
      <c r="AF1153" s="500">
        <v>440000</v>
      </c>
      <c r="AG1153" s="805" t="s">
        <v>3883</v>
      </c>
      <c r="AH1153" s="651">
        <f>Data2025!W1152</f>
        <v>0</v>
      </c>
      <c r="AI1153" s="61">
        <v>366</v>
      </c>
    </row>
    <row r="1154" spans="1:35" ht="16.5" thickTop="1" thickBot="1">
      <c r="A1154" s="636">
        <f>Data2025!G1153</f>
        <v>0</v>
      </c>
      <c r="B1154" s="637">
        <f>Data2025!K1153</f>
        <v>0</v>
      </c>
      <c r="C1154" s="638">
        <f>Data2025!D1153</f>
        <v>0</v>
      </c>
      <c r="D1154" s="639">
        <f>Data2025!C1153</f>
        <v>0</v>
      </c>
      <c r="E1154" s="265">
        <f>Data2025!E1153</f>
        <v>0</v>
      </c>
      <c r="F1154" s="640">
        <f>Data2025!F1153</f>
        <v>0</v>
      </c>
      <c r="G1154" s="265">
        <f>Data2025!H1153</f>
        <v>0</v>
      </c>
      <c r="H1154" s="265">
        <f t="shared" si="55"/>
        <v>0</v>
      </c>
      <c r="I1154" s="641">
        <f>Data2025!J1153</f>
        <v>0</v>
      </c>
      <c r="J1154" s="381">
        <f>Data2025!L1153</f>
        <v>0</v>
      </c>
      <c r="K1154" s="381">
        <f>Data2025!M1153</f>
        <v>0</v>
      </c>
      <c r="L1154" s="642">
        <f>Data2025!N1153</f>
        <v>0</v>
      </c>
      <c r="M1154" s="642">
        <f>Data2025!O1153</f>
        <v>0</v>
      </c>
      <c r="N1154" s="643">
        <f>Data2025!P1153</f>
        <v>0</v>
      </c>
      <c r="O1154" s="644">
        <f>Data2025!Q1153</f>
        <v>0</v>
      </c>
      <c r="P1154" s="645" t="s">
        <v>710</v>
      </c>
      <c r="Q1154" s="646" t="e">
        <f>VLOOKUP(K1154,Sheet1!$C$1:$D$101,2,)</f>
        <v>#N/A</v>
      </c>
      <c r="R1154" s="496">
        <v>30000</v>
      </c>
      <c r="S1154" s="504">
        <v>34000</v>
      </c>
      <c r="T1154" s="648">
        <f>Data2025!T1153</f>
        <v>0</v>
      </c>
      <c r="U1154" s="497" t="s">
        <v>538</v>
      </c>
      <c r="V1154" s="648">
        <f>Data2025!V1153</f>
        <v>0</v>
      </c>
      <c r="W1154" s="648">
        <f>Data2025!X1153</f>
        <v>0</v>
      </c>
      <c r="X1154" s="497" t="s">
        <v>541</v>
      </c>
      <c r="Y1154" s="268" t="str">
        <f t="shared" si="56"/>
        <v>Alat Tulis Kantor (ATK)</v>
      </c>
      <c r="Z1154" s="649" t="str">
        <f t="shared" si="57"/>
        <v>Alat Tulis Kantor (ATK)</v>
      </c>
      <c r="AA1154" s="498" t="s">
        <v>3363</v>
      </c>
      <c r="AB1154" s="499">
        <v>15000</v>
      </c>
      <c r="AC1154" s="499">
        <v>30000</v>
      </c>
      <c r="AD1154" s="496">
        <v>30000</v>
      </c>
      <c r="AE1154" s="500">
        <v>27027.027027027027</v>
      </c>
      <c r="AF1154" s="500">
        <v>30000</v>
      </c>
      <c r="AG1154" s="805" t="s">
        <v>3883</v>
      </c>
      <c r="AH1154" s="651">
        <f>Data2025!W1153</f>
        <v>0</v>
      </c>
      <c r="AI1154" s="61">
        <v>366</v>
      </c>
    </row>
    <row r="1155" spans="1:35" ht="16.5" thickTop="1" thickBot="1">
      <c r="A1155" s="636">
        <f>Data2025!G1154</f>
        <v>0</v>
      </c>
      <c r="B1155" s="637">
        <f>Data2025!K1154</f>
        <v>0</v>
      </c>
      <c r="C1155" s="638">
        <f>Data2025!D1154</f>
        <v>0</v>
      </c>
      <c r="D1155" s="639">
        <f>Data2025!C1154</f>
        <v>0</v>
      </c>
      <c r="E1155" s="265">
        <f>Data2025!E1154</f>
        <v>0</v>
      </c>
      <c r="F1155" s="640">
        <f>Data2025!F1154</f>
        <v>0</v>
      </c>
      <c r="G1155" s="265">
        <f>Data2025!H1154</f>
        <v>0</v>
      </c>
      <c r="H1155" s="265">
        <f t="shared" si="55"/>
        <v>0</v>
      </c>
      <c r="I1155" s="641">
        <f>Data2025!J1154</f>
        <v>0</v>
      </c>
      <c r="J1155" s="381">
        <f>Data2025!L1154</f>
        <v>0</v>
      </c>
      <c r="K1155" s="381">
        <f>Data2025!M1154</f>
        <v>0</v>
      </c>
      <c r="L1155" s="642">
        <f>Data2025!N1154</f>
        <v>0</v>
      </c>
      <c r="M1155" s="642">
        <f>Data2025!O1154</f>
        <v>0</v>
      </c>
      <c r="N1155" s="643">
        <f>Data2025!P1154</f>
        <v>0</v>
      </c>
      <c r="O1155" s="644">
        <f>Data2025!Q1154</f>
        <v>0</v>
      </c>
      <c r="P1155" s="645" t="s">
        <v>710</v>
      </c>
      <c r="Q1155" s="646" t="e">
        <f>VLOOKUP(K1155,Sheet1!$C$1:$D$101,2,)</f>
        <v>#N/A</v>
      </c>
      <c r="R1155" s="496">
        <v>2000000</v>
      </c>
      <c r="S1155" s="504">
        <v>2080000</v>
      </c>
      <c r="T1155" s="648">
        <f>Data2025!T1154</f>
        <v>0</v>
      </c>
      <c r="U1155" s="497" t="s">
        <v>538</v>
      </c>
      <c r="V1155" s="648">
        <f>Data2025!V1154</f>
        <v>0</v>
      </c>
      <c r="W1155" s="648">
        <f>Data2025!X1154</f>
        <v>0</v>
      </c>
      <c r="X1155" s="497" t="s">
        <v>541</v>
      </c>
      <c r="Y1155" s="268" t="str">
        <f t="shared" si="56"/>
        <v>Alat Tulis Kantor (ATK)</v>
      </c>
      <c r="Z1155" s="649" t="str">
        <f t="shared" si="57"/>
        <v>Alat Tulis Kantor (ATK)</v>
      </c>
      <c r="AA1155" s="498" t="s">
        <v>3369</v>
      </c>
      <c r="AB1155" s="499">
        <v>50000</v>
      </c>
      <c r="AC1155" s="499">
        <v>2000000</v>
      </c>
      <c r="AD1155" s="496">
        <v>2000000</v>
      </c>
      <c r="AE1155" s="500">
        <v>1801801.8018018019</v>
      </c>
      <c r="AF1155" s="500">
        <v>2000000</v>
      </c>
      <c r="AG1155" s="805" t="s">
        <v>3883</v>
      </c>
      <c r="AH1155" s="651">
        <f>Data2025!W1154</f>
        <v>0</v>
      </c>
      <c r="AI1155" s="61">
        <v>366</v>
      </c>
    </row>
    <row r="1156" spans="1:35" ht="16.5" thickTop="1" thickBot="1">
      <c r="A1156" s="636">
        <f>Data2025!G1155</f>
        <v>0</v>
      </c>
      <c r="B1156" s="637">
        <f>Data2025!K1155</f>
        <v>0</v>
      </c>
      <c r="C1156" s="638">
        <f>Data2025!D1155</f>
        <v>0</v>
      </c>
      <c r="D1156" s="639">
        <f>Data2025!C1155</f>
        <v>0</v>
      </c>
      <c r="E1156" s="265">
        <f>Data2025!E1155</f>
        <v>0</v>
      </c>
      <c r="F1156" s="640">
        <f>Data2025!F1155</f>
        <v>0</v>
      </c>
      <c r="G1156" s="265">
        <f>Data2025!H1155</f>
        <v>0</v>
      </c>
      <c r="H1156" s="265">
        <f t="shared" si="55"/>
        <v>0</v>
      </c>
      <c r="I1156" s="641">
        <f>Data2025!J1155</f>
        <v>0</v>
      </c>
      <c r="J1156" s="381">
        <f>Data2025!L1155</f>
        <v>0</v>
      </c>
      <c r="K1156" s="381">
        <f>Data2025!M1155</f>
        <v>0</v>
      </c>
      <c r="L1156" s="642">
        <f>Data2025!N1155</f>
        <v>0</v>
      </c>
      <c r="M1156" s="642">
        <f>Data2025!O1155</f>
        <v>0</v>
      </c>
      <c r="N1156" s="643">
        <f>Data2025!P1155</f>
        <v>0</v>
      </c>
      <c r="O1156" s="644">
        <f>Data2025!Q1155</f>
        <v>0</v>
      </c>
      <c r="P1156" s="645" t="s">
        <v>710</v>
      </c>
      <c r="Q1156" s="646" t="e">
        <f>VLOOKUP(K1156,Sheet1!$C$1:$D$101,2,)</f>
        <v>#N/A</v>
      </c>
      <c r="R1156" s="496">
        <v>125000</v>
      </c>
      <c r="S1156" s="504">
        <v>135000</v>
      </c>
      <c r="T1156" s="648">
        <f>Data2025!T1155</f>
        <v>0</v>
      </c>
      <c r="U1156" s="497" t="s">
        <v>538</v>
      </c>
      <c r="V1156" s="648">
        <f>Data2025!V1155</f>
        <v>0</v>
      </c>
      <c r="W1156" s="648">
        <f>Data2025!X1155</f>
        <v>0</v>
      </c>
      <c r="X1156" s="497" t="s">
        <v>541</v>
      </c>
      <c r="Y1156" s="268" t="str">
        <f t="shared" si="56"/>
        <v>Alat Tulis Kantor (ATK)</v>
      </c>
      <c r="Z1156" s="649" t="str">
        <f t="shared" si="57"/>
        <v>Alat Tulis Kantor (ATK)</v>
      </c>
      <c r="AA1156" s="498" t="s">
        <v>3363</v>
      </c>
      <c r="AB1156" s="499">
        <v>25000</v>
      </c>
      <c r="AC1156" s="499">
        <v>125000</v>
      </c>
      <c r="AD1156" s="496">
        <v>125000</v>
      </c>
      <c r="AE1156" s="500">
        <v>112612.61261261262</v>
      </c>
      <c r="AF1156" s="500">
        <v>125000</v>
      </c>
      <c r="AG1156" s="805" t="s">
        <v>3883</v>
      </c>
      <c r="AH1156" s="651">
        <f>Data2025!W1155</f>
        <v>0</v>
      </c>
      <c r="AI1156" s="61">
        <v>366</v>
      </c>
    </row>
    <row r="1157" spans="1:35" ht="16.5" thickTop="1" thickBot="1">
      <c r="A1157" s="636">
        <f>Data2025!G1156</f>
        <v>0</v>
      </c>
      <c r="B1157" s="637">
        <f>Data2025!K1156</f>
        <v>0</v>
      </c>
      <c r="C1157" s="638">
        <f>Data2025!D1156</f>
        <v>0</v>
      </c>
      <c r="D1157" s="639">
        <f>Data2025!C1156</f>
        <v>0</v>
      </c>
      <c r="E1157" s="265">
        <f>Data2025!E1156</f>
        <v>0</v>
      </c>
      <c r="F1157" s="640">
        <f>Data2025!F1156</f>
        <v>0</v>
      </c>
      <c r="G1157" s="265">
        <f>Data2025!H1156</f>
        <v>0</v>
      </c>
      <c r="H1157" s="265">
        <f t="shared" ref="H1157:H1200" si="58">G1157</f>
        <v>0</v>
      </c>
      <c r="I1157" s="641">
        <f>Data2025!J1156</f>
        <v>0</v>
      </c>
      <c r="J1157" s="381">
        <f>Data2025!L1156</f>
        <v>0</v>
      </c>
      <c r="K1157" s="381">
        <f>Data2025!M1156</f>
        <v>0</v>
      </c>
      <c r="L1157" s="642">
        <f>Data2025!N1156</f>
        <v>0</v>
      </c>
      <c r="M1157" s="642">
        <f>Data2025!O1156</f>
        <v>0</v>
      </c>
      <c r="N1157" s="643">
        <f>Data2025!P1156</f>
        <v>0</v>
      </c>
      <c r="O1157" s="644">
        <f>Data2025!Q1156</f>
        <v>0</v>
      </c>
      <c r="P1157" s="645" t="s">
        <v>710</v>
      </c>
      <c r="Q1157" s="646" t="e">
        <f>VLOOKUP(K1157,Sheet1!$C$1:$D$101,2,)</f>
        <v>#N/A</v>
      </c>
      <c r="R1157" s="496">
        <v>114000</v>
      </c>
      <c r="S1157" s="504">
        <v>124000</v>
      </c>
      <c r="T1157" s="648">
        <f>Data2025!T1156</f>
        <v>0</v>
      </c>
      <c r="U1157" s="497" t="s">
        <v>538</v>
      </c>
      <c r="V1157" s="648">
        <f>Data2025!V1156</f>
        <v>0</v>
      </c>
      <c r="W1157" s="648">
        <f>Data2025!X1156</f>
        <v>0</v>
      </c>
      <c r="X1157" s="497" t="s">
        <v>541</v>
      </c>
      <c r="Y1157" s="268" t="str">
        <f t="shared" ref="Y1157:Y1200" si="59">P1157</f>
        <v>Alat Tulis Kantor (ATK)</v>
      </c>
      <c r="Z1157" s="649" t="str">
        <f t="shared" ref="Z1157:Z1200" si="60">Y1157</f>
        <v>Alat Tulis Kantor (ATK)</v>
      </c>
      <c r="AA1157" s="498" t="s">
        <v>3363</v>
      </c>
      <c r="AB1157" s="499">
        <v>22800</v>
      </c>
      <c r="AC1157" s="499">
        <v>114000</v>
      </c>
      <c r="AD1157" s="496">
        <v>114000</v>
      </c>
      <c r="AE1157" s="500">
        <v>102702.70270270271</v>
      </c>
      <c r="AF1157" s="500">
        <v>114000</v>
      </c>
      <c r="AG1157" s="805" t="s">
        <v>3883</v>
      </c>
      <c r="AH1157" s="651">
        <f>Data2025!W1156</f>
        <v>0</v>
      </c>
      <c r="AI1157" s="61">
        <v>366</v>
      </c>
    </row>
    <row r="1158" spans="1:35" ht="16.5" thickTop="1" thickBot="1">
      <c r="A1158" s="636">
        <f>Data2025!G1157</f>
        <v>0</v>
      </c>
      <c r="B1158" s="637">
        <f>Data2025!K1157</f>
        <v>0</v>
      </c>
      <c r="C1158" s="638">
        <f>Data2025!D1157</f>
        <v>0</v>
      </c>
      <c r="D1158" s="639">
        <f>Data2025!C1157</f>
        <v>0</v>
      </c>
      <c r="E1158" s="265">
        <f>Data2025!E1157</f>
        <v>0</v>
      </c>
      <c r="F1158" s="640">
        <f>Data2025!F1157</f>
        <v>0</v>
      </c>
      <c r="G1158" s="265">
        <f>Data2025!H1157</f>
        <v>0</v>
      </c>
      <c r="H1158" s="265">
        <f t="shared" si="58"/>
        <v>0</v>
      </c>
      <c r="I1158" s="641">
        <f>Data2025!J1157</f>
        <v>0</v>
      </c>
      <c r="J1158" s="381">
        <f>Data2025!L1157</f>
        <v>0</v>
      </c>
      <c r="K1158" s="381">
        <f>Data2025!M1157</f>
        <v>0</v>
      </c>
      <c r="L1158" s="642">
        <f>Data2025!N1157</f>
        <v>0</v>
      </c>
      <c r="M1158" s="642">
        <f>Data2025!O1157</f>
        <v>0</v>
      </c>
      <c r="N1158" s="643">
        <f>Data2025!P1157</f>
        <v>0</v>
      </c>
      <c r="O1158" s="644">
        <f>Data2025!Q1157</f>
        <v>0</v>
      </c>
      <c r="P1158" s="645" t="s">
        <v>710</v>
      </c>
      <c r="Q1158" s="646" t="e">
        <f>VLOOKUP(K1158,Sheet1!$C$1:$D$101,2,)</f>
        <v>#N/A</v>
      </c>
      <c r="R1158" s="496">
        <v>550000</v>
      </c>
      <c r="S1158" s="504">
        <v>750000</v>
      </c>
      <c r="T1158" s="648">
        <f>Data2025!T1157</f>
        <v>0</v>
      </c>
      <c r="U1158" s="497" t="s">
        <v>538</v>
      </c>
      <c r="V1158" s="648">
        <f>Data2025!V1157</f>
        <v>0</v>
      </c>
      <c r="W1158" s="648">
        <f>Data2025!X1157</f>
        <v>0</v>
      </c>
      <c r="X1158" s="497" t="s">
        <v>541</v>
      </c>
      <c r="Y1158" s="268" t="str">
        <f t="shared" si="59"/>
        <v>Alat Tulis Kantor (ATK)</v>
      </c>
      <c r="Z1158" s="649" t="str">
        <f t="shared" si="60"/>
        <v>Alat Tulis Kantor (ATK)</v>
      </c>
      <c r="AA1158" s="498" t="s">
        <v>3363</v>
      </c>
      <c r="AB1158" s="499">
        <v>5500</v>
      </c>
      <c r="AC1158" s="499">
        <v>550000</v>
      </c>
      <c r="AD1158" s="496">
        <v>550000</v>
      </c>
      <c r="AE1158" s="500">
        <v>495495.4954954955</v>
      </c>
      <c r="AF1158" s="500">
        <v>550000</v>
      </c>
      <c r="AG1158" s="805" t="s">
        <v>3883</v>
      </c>
      <c r="AH1158" s="651">
        <f>Data2025!W1157</f>
        <v>0</v>
      </c>
      <c r="AI1158" s="61">
        <v>366</v>
      </c>
    </row>
    <row r="1159" spans="1:35" ht="16.5" thickTop="1" thickBot="1">
      <c r="A1159" s="636">
        <f>Data2025!G1158</f>
        <v>0</v>
      </c>
      <c r="B1159" s="637">
        <f>Data2025!K1158</f>
        <v>0</v>
      </c>
      <c r="C1159" s="638">
        <f>Data2025!D1158</f>
        <v>0</v>
      </c>
      <c r="D1159" s="639">
        <f>Data2025!C1158</f>
        <v>0</v>
      </c>
      <c r="E1159" s="265">
        <f>Data2025!E1158</f>
        <v>0</v>
      </c>
      <c r="F1159" s="640">
        <f>Data2025!F1158</f>
        <v>0</v>
      </c>
      <c r="G1159" s="265">
        <f>Data2025!H1158</f>
        <v>0</v>
      </c>
      <c r="H1159" s="265">
        <f t="shared" si="58"/>
        <v>0</v>
      </c>
      <c r="I1159" s="641">
        <f>Data2025!J1158</f>
        <v>0</v>
      </c>
      <c r="J1159" s="381">
        <f>Data2025!L1158</f>
        <v>0</v>
      </c>
      <c r="K1159" s="381">
        <f>Data2025!M1158</f>
        <v>0</v>
      </c>
      <c r="L1159" s="642">
        <f>Data2025!N1158</f>
        <v>0</v>
      </c>
      <c r="M1159" s="642">
        <f>Data2025!O1158</f>
        <v>0</v>
      </c>
      <c r="N1159" s="643">
        <f>Data2025!P1158</f>
        <v>0</v>
      </c>
      <c r="O1159" s="644">
        <f>Data2025!Q1158</f>
        <v>0</v>
      </c>
      <c r="P1159" s="645" t="s">
        <v>2609</v>
      </c>
      <c r="Q1159" s="646" t="e">
        <f>VLOOKUP(K1159,Sheet1!$C$1:$D$101,2,)</f>
        <v>#N/A</v>
      </c>
      <c r="R1159" s="496">
        <v>205500</v>
      </c>
      <c r="S1159" s="504">
        <v>235500</v>
      </c>
      <c r="T1159" s="648">
        <f>Data2025!T1158</f>
        <v>0</v>
      </c>
      <c r="U1159" s="497" t="s">
        <v>538</v>
      </c>
      <c r="V1159" s="648">
        <f>Data2025!V1158</f>
        <v>0</v>
      </c>
      <c r="W1159" s="648">
        <f>Data2025!X1158</f>
        <v>0</v>
      </c>
      <c r="X1159" s="497" t="s">
        <v>541</v>
      </c>
      <c r="Y1159" s="268" t="str">
        <f t="shared" si="59"/>
        <v>Alat Kebersihan</v>
      </c>
      <c r="Z1159" s="649" t="str">
        <f t="shared" si="60"/>
        <v>Alat Kebersihan</v>
      </c>
      <c r="AA1159" s="498" t="s">
        <v>3363</v>
      </c>
      <c r="AB1159" s="499">
        <v>13700</v>
      </c>
      <c r="AC1159" s="499">
        <v>205500</v>
      </c>
      <c r="AD1159" s="496">
        <v>205500</v>
      </c>
      <c r="AE1159" s="500">
        <v>185135.13513513515</v>
      </c>
      <c r="AF1159" s="500">
        <v>205500</v>
      </c>
      <c r="AG1159" s="805" t="s">
        <v>3883</v>
      </c>
      <c r="AH1159" s="651">
        <f>Data2025!W1158</f>
        <v>0</v>
      </c>
      <c r="AI1159" s="61">
        <v>367</v>
      </c>
    </row>
    <row r="1160" spans="1:35" ht="16.5" thickTop="1" thickBot="1">
      <c r="A1160" s="636">
        <f>Data2025!G1159</f>
        <v>0</v>
      </c>
      <c r="B1160" s="637">
        <f>Data2025!K1159</f>
        <v>0</v>
      </c>
      <c r="C1160" s="638">
        <f>Data2025!D1159</f>
        <v>0</v>
      </c>
      <c r="D1160" s="639">
        <f>Data2025!C1159</f>
        <v>0</v>
      </c>
      <c r="E1160" s="265">
        <f>Data2025!E1159</f>
        <v>0</v>
      </c>
      <c r="F1160" s="640">
        <f>Data2025!F1159</f>
        <v>0</v>
      </c>
      <c r="G1160" s="265">
        <f>Data2025!H1159</f>
        <v>0</v>
      </c>
      <c r="H1160" s="265">
        <f t="shared" si="58"/>
        <v>0</v>
      </c>
      <c r="I1160" s="641">
        <f>Data2025!J1159</f>
        <v>0</v>
      </c>
      <c r="J1160" s="381">
        <f>Data2025!L1159</f>
        <v>0</v>
      </c>
      <c r="K1160" s="381">
        <f>Data2025!M1159</f>
        <v>0</v>
      </c>
      <c r="L1160" s="642">
        <f>Data2025!N1159</f>
        <v>0</v>
      </c>
      <c r="M1160" s="642">
        <f>Data2025!O1159</f>
        <v>0</v>
      </c>
      <c r="N1160" s="643">
        <f>Data2025!P1159</f>
        <v>0</v>
      </c>
      <c r="O1160" s="644">
        <f>Data2025!Q1159</f>
        <v>0</v>
      </c>
      <c r="P1160" s="645" t="s">
        <v>2609</v>
      </c>
      <c r="Q1160" s="646" t="e">
        <f>VLOOKUP(K1160,Sheet1!$C$1:$D$101,2,)</f>
        <v>#N/A</v>
      </c>
      <c r="R1160" s="496">
        <v>150000</v>
      </c>
      <c r="S1160" s="504">
        <v>174000</v>
      </c>
      <c r="T1160" s="648">
        <f>Data2025!T1159</f>
        <v>0</v>
      </c>
      <c r="U1160" s="497" t="s">
        <v>538</v>
      </c>
      <c r="V1160" s="648">
        <f>Data2025!V1159</f>
        <v>0</v>
      </c>
      <c r="W1160" s="648">
        <f>Data2025!X1159</f>
        <v>0</v>
      </c>
      <c r="X1160" s="497" t="s">
        <v>541</v>
      </c>
      <c r="Y1160" s="268" t="str">
        <f t="shared" si="59"/>
        <v>Alat Kebersihan</v>
      </c>
      <c r="Z1160" s="649" t="str">
        <f t="shared" si="60"/>
        <v>Alat Kebersihan</v>
      </c>
      <c r="AA1160" s="498" t="s">
        <v>3363</v>
      </c>
      <c r="AB1160" s="499">
        <v>12500</v>
      </c>
      <c r="AC1160" s="499">
        <v>150000</v>
      </c>
      <c r="AD1160" s="496">
        <v>150000</v>
      </c>
      <c r="AE1160" s="500">
        <v>135135.13513513515</v>
      </c>
      <c r="AF1160" s="500">
        <v>150000</v>
      </c>
      <c r="AG1160" s="805" t="s">
        <v>3883</v>
      </c>
      <c r="AH1160" s="651">
        <f>Data2025!W1159</f>
        <v>0</v>
      </c>
      <c r="AI1160" s="61">
        <v>367</v>
      </c>
    </row>
    <row r="1161" spans="1:35" ht="16.5" thickTop="1" thickBot="1">
      <c r="A1161" s="636">
        <f>Data2025!G1160</f>
        <v>0</v>
      </c>
      <c r="B1161" s="637">
        <f>Data2025!K1160</f>
        <v>0</v>
      </c>
      <c r="C1161" s="638">
        <f>Data2025!D1160</f>
        <v>0</v>
      </c>
      <c r="D1161" s="639">
        <f>Data2025!C1160</f>
        <v>0</v>
      </c>
      <c r="E1161" s="265">
        <f>Data2025!E1160</f>
        <v>0</v>
      </c>
      <c r="F1161" s="640">
        <f>Data2025!F1160</f>
        <v>0</v>
      </c>
      <c r="G1161" s="265">
        <f>Data2025!H1160</f>
        <v>0</v>
      </c>
      <c r="H1161" s="265">
        <f t="shared" si="58"/>
        <v>0</v>
      </c>
      <c r="I1161" s="641">
        <f>Data2025!J1160</f>
        <v>0</v>
      </c>
      <c r="J1161" s="381">
        <f>Data2025!L1160</f>
        <v>0</v>
      </c>
      <c r="K1161" s="381">
        <f>Data2025!M1160</f>
        <v>0</v>
      </c>
      <c r="L1161" s="642">
        <f>Data2025!N1160</f>
        <v>0</v>
      </c>
      <c r="M1161" s="642">
        <f>Data2025!O1160</f>
        <v>0</v>
      </c>
      <c r="N1161" s="643">
        <f>Data2025!P1160</f>
        <v>0</v>
      </c>
      <c r="O1161" s="644">
        <f>Data2025!Q1160</f>
        <v>0</v>
      </c>
      <c r="P1161" s="645" t="s">
        <v>2609</v>
      </c>
      <c r="Q1161" s="646" t="e">
        <f>VLOOKUP(K1161,Sheet1!$C$1:$D$101,2,)</f>
        <v>#N/A</v>
      </c>
      <c r="R1161" s="496">
        <v>45000</v>
      </c>
      <c r="S1161" s="504">
        <v>51000</v>
      </c>
      <c r="T1161" s="648">
        <f>Data2025!T1160</f>
        <v>0</v>
      </c>
      <c r="U1161" s="497" t="s">
        <v>538</v>
      </c>
      <c r="V1161" s="648">
        <f>Data2025!V1160</f>
        <v>0</v>
      </c>
      <c r="W1161" s="648">
        <f>Data2025!X1160</f>
        <v>0</v>
      </c>
      <c r="X1161" s="497" t="s">
        <v>541</v>
      </c>
      <c r="Y1161" s="268" t="str">
        <f t="shared" si="59"/>
        <v>Alat Kebersihan</v>
      </c>
      <c r="Z1161" s="649" t="str">
        <f t="shared" si="60"/>
        <v>Alat Kebersihan</v>
      </c>
      <c r="AA1161" s="498" t="s">
        <v>3363</v>
      </c>
      <c r="AB1161" s="499">
        <v>15000</v>
      </c>
      <c r="AC1161" s="499">
        <v>45000</v>
      </c>
      <c r="AD1161" s="496">
        <v>45000</v>
      </c>
      <c r="AE1161" s="500">
        <v>40540.54054054054</v>
      </c>
      <c r="AF1161" s="500">
        <v>45000</v>
      </c>
      <c r="AG1161" s="805" t="s">
        <v>3883</v>
      </c>
      <c r="AH1161" s="651">
        <f>Data2025!W1160</f>
        <v>0</v>
      </c>
      <c r="AI1161" s="61">
        <v>367</v>
      </c>
    </row>
    <row r="1162" spans="1:35" ht="16.5" thickTop="1" thickBot="1">
      <c r="A1162" s="636">
        <f>Data2025!G1161</f>
        <v>0</v>
      </c>
      <c r="B1162" s="637">
        <f>Data2025!K1161</f>
        <v>0</v>
      </c>
      <c r="C1162" s="638">
        <f>Data2025!D1161</f>
        <v>0</v>
      </c>
      <c r="D1162" s="639">
        <f>Data2025!C1161</f>
        <v>0</v>
      </c>
      <c r="E1162" s="265">
        <f>Data2025!E1161</f>
        <v>0</v>
      </c>
      <c r="F1162" s="640">
        <f>Data2025!F1161</f>
        <v>0</v>
      </c>
      <c r="G1162" s="265">
        <f>Data2025!H1161</f>
        <v>0</v>
      </c>
      <c r="H1162" s="265">
        <f t="shared" si="58"/>
        <v>0</v>
      </c>
      <c r="I1162" s="641">
        <f>Data2025!J1161</f>
        <v>0</v>
      </c>
      <c r="J1162" s="381">
        <f>Data2025!L1161</f>
        <v>0</v>
      </c>
      <c r="K1162" s="381">
        <f>Data2025!M1161</f>
        <v>0</v>
      </c>
      <c r="L1162" s="642">
        <f>Data2025!N1161</f>
        <v>0</v>
      </c>
      <c r="M1162" s="642">
        <f>Data2025!O1161</f>
        <v>0</v>
      </c>
      <c r="N1162" s="643">
        <f>Data2025!P1161</f>
        <v>0</v>
      </c>
      <c r="O1162" s="644">
        <f>Data2025!Q1161</f>
        <v>0</v>
      </c>
      <c r="P1162" s="645" t="s">
        <v>2609</v>
      </c>
      <c r="Q1162" s="646" t="e">
        <f>VLOOKUP(K1162,Sheet1!$C$1:$D$101,2,)</f>
        <v>#N/A</v>
      </c>
      <c r="R1162" s="496">
        <v>300000</v>
      </c>
      <c r="S1162" s="504">
        <v>320000</v>
      </c>
      <c r="T1162" s="648">
        <f>Data2025!T1161</f>
        <v>0</v>
      </c>
      <c r="U1162" s="497" t="s">
        <v>538</v>
      </c>
      <c r="V1162" s="648">
        <f>Data2025!V1161</f>
        <v>0</v>
      </c>
      <c r="W1162" s="648">
        <f>Data2025!X1161</f>
        <v>0</v>
      </c>
      <c r="X1162" s="497" t="s">
        <v>541</v>
      </c>
      <c r="Y1162" s="268" t="str">
        <f t="shared" si="59"/>
        <v>Alat Kebersihan</v>
      </c>
      <c r="Z1162" s="649" t="str">
        <f t="shared" si="60"/>
        <v>Alat Kebersihan</v>
      </c>
      <c r="AA1162" s="498" t="s">
        <v>3367</v>
      </c>
      <c r="AB1162" s="499">
        <v>30000</v>
      </c>
      <c r="AC1162" s="499">
        <v>300000</v>
      </c>
      <c r="AD1162" s="496">
        <v>300000</v>
      </c>
      <c r="AE1162" s="500">
        <v>270270.2702702703</v>
      </c>
      <c r="AF1162" s="500">
        <v>300000</v>
      </c>
      <c r="AG1162" s="805" t="s">
        <v>3883</v>
      </c>
      <c r="AH1162" s="651">
        <f>Data2025!W1161</f>
        <v>0</v>
      </c>
      <c r="AI1162" s="61">
        <v>367</v>
      </c>
    </row>
    <row r="1163" spans="1:35" ht="16.5" thickTop="1" thickBot="1">
      <c r="A1163" s="636">
        <f>Data2025!G1162</f>
        <v>0</v>
      </c>
      <c r="B1163" s="637">
        <f>Data2025!K1162</f>
        <v>0</v>
      </c>
      <c r="C1163" s="638">
        <f>Data2025!D1162</f>
        <v>0</v>
      </c>
      <c r="D1163" s="639">
        <f>Data2025!C1162</f>
        <v>0</v>
      </c>
      <c r="E1163" s="265">
        <f>Data2025!E1162</f>
        <v>0</v>
      </c>
      <c r="F1163" s="640">
        <f>Data2025!F1162</f>
        <v>0</v>
      </c>
      <c r="G1163" s="265">
        <f>Data2025!H1162</f>
        <v>0</v>
      </c>
      <c r="H1163" s="265">
        <f t="shared" si="58"/>
        <v>0</v>
      </c>
      <c r="I1163" s="641">
        <f>Data2025!J1162</f>
        <v>0</v>
      </c>
      <c r="J1163" s="381">
        <f>Data2025!L1162</f>
        <v>0</v>
      </c>
      <c r="K1163" s="381">
        <f>Data2025!M1162</f>
        <v>0</v>
      </c>
      <c r="L1163" s="642">
        <f>Data2025!N1162</f>
        <v>0</v>
      </c>
      <c r="M1163" s="642">
        <f>Data2025!O1162</f>
        <v>0</v>
      </c>
      <c r="N1163" s="643">
        <f>Data2025!P1162</f>
        <v>0</v>
      </c>
      <c r="O1163" s="644">
        <f>Data2025!Q1162</f>
        <v>0</v>
      </c>
      <c r="P1163" s="645" t="s">
        <v>2609</v>
      </c>
      <c r="Q1163" s="646" t="e">
        <f>VLOOKUP(K1163,Sheet1!$C$1:$D$101,2,)</f>
        <v>#N/A</v>
      </c>
      <c r="R1163" s="496">
        <v>121000</v>
      </c>
      <c r="S1163" s="504">
        <v>141000</v>
      </c>
      <c r="T1163" s="648">
        <f>Data2025!T1162</f>
        <v>0</v>
      </c>
      <c r="U1163" s="497" t="s">
        <v>538</v>
      </c>
      <c r="V1163" s="648">
        <f>Data2025!V1162</f>
        <v>0</v>
      </c>
      <c r="W1163" s="648">
        <f>Data2025!X1162</f>
        <v>0</v>
      </c>
      <c r="X1163" s="497" t="s">
        <v>541</v>
      </c>
      <c r="Y1163" s="268" t="str">
        <f t="shared" si="59"/>
        <v>Alat Kebersihan</v>
      </c>
      <c r="Z1163" s="649" t="str">
        <f t="shared" si="60"/>
        <v>Alat Kebersihan</v>
      </c>
      <c r="AA1163" s="498" t="s">
        <v>3363</v>
      </c>
      <c r="AB1163" s="499">
        <v>12100</v>
      </c>
      <c r="AC1163" s="499">
        <v>121000</v>
      </c>
      <c r="AD1163" s="496">
        <v>121000</v>
      </c>
      <c r="AE1163" s="500">
        <v>109009.00900900901</v>
      </c>
      <c r="AF1163" s="500">
        <v>121000</v>
      </c>
      <c r="AG1163" s="805" t="s">
        <v>3883</v>
      </c>
      <c r="AH1163" s="651">
        <f>Data2025!W1162</f>
        <v>0</v>
      </c>
      <c r="AI1163" s="61">
        <v>367</v>
      </c>
    </row>
    <row r="1164" spans="1:35" ht="16.5" thickTop="1" thickBot="1">
      <c r="A1164" s="636">
        <f>Data2025!G1163</f>
        <v>0</v>
      </c>
      <c r="B1164" s="637">
        <f>Data2025!K1163</f>
        <v>0</v>
      </c>
      <c r="C1164" s="638">
        <f>Data2025!D1163</f>
        <v>0</v>
      </c>
      <c r="D1164" s="639">
        <f>Data2025!C1163</f>
        <v>0</v>
      </c>
      <c r="E1164" s="265">
        <f>Data2025!E1163</f>
        <v>0</v>
      </c>
      <c r="F1164" s="640">
        <f>Data2025!F1163</f>
        <v>0</v>
      </c>
      <c r="G1164" s="265">
        <f>Data2025!H1163</f>
        <v>0</v>
      </c>
      <c r="H1164" s="265">
        <f t="shared" si="58"/>
        <v>0</v>
      </c>
      <c r="I1164" s="641">
        <f>Data2025!J1163</f>
        <v>0</v>
      </c>
      <c r="J1164" s="381">
        <f>Data2025!L1163</f>
        <v>0</v>
      </c>
      <c r="K1164" s="381">
        <f>Data2025!M1163</f>
        <v>0</v>
      </c>
      <c r="L1164" s="642">
        <f>Data2025!N1163</f>
        <v>0</v>
      </c>
      <c r="M1164" s="642">
        <f>Data2025!O1163</f>
        <v>0</v>
      </c>
      <c r="N1164" s="643">
        <f>Data2025!P1163</f>
        <v>0</v>
      </c>
      <c r="O1164" s="644">
        <f>Data2025!Q1163</f>
        <v>0</v>
      </c>
      <c r="P1164" s="645" t="s">
        <v>2609</v>
      </c>
      <c r="Q1164" s="646" t="e">
        <f>VLOOKUP(K1164,Sheet1!$C$1:$D$101,2,)</f>
        <v>#N/A</v>
      </c>
      <c r="R1164" s="496">
        <v>350000</v>
      </c>
      <c r="S1164" s="504">
        <v>360000</v>
      </c>
      <c r="T1164" s="648">
        <f>Data2025!T1163</f>
        <v>0</v>
      </c>
      <c r="U1164" s="497" t="s">
        <v>538</v>
      </c>
      <c r="V1164" s="648">
        <f>Data2025!V1163</f>
        <v>0</v>
      </c>
      <c r="W1164" s="648">
        <f>Data2025!X1163</f>
        <v>0</v>
      </c>
      <c r="X1164" s="497" t="s">
        <v>541</v>
      </c>
      <c r="Y1164" s="268" t="str">
        <f t="shared" si="59"/>
        <v>Alat Kebersihan</v>
      </c>
      <c r="Z1164" s="649" t="str">
        <f t="shared" si="60"/>
        <v>Alat Kebersihan</v>
      </c>
      <c r="AA1164" s="498" t="s">
        <v>3371</v>
      </c>
      <c r="AB1164" s="499">
        <v>70000</v>
      </c>
      <c r="AC1164" s="499">
        <v>350000</v>
      </c>
      <c r="AD1164" s="496">
        <v>350000</v>
      </c>
      <c r="AE1164" s="500">
        <v>315315.31531531533</v>
      </c>
      <c r="AF1164" s="500">
        <v>350000</v>
      </c>
      <c r="AG1164" s="805" t="s">
        <v>3883</v>
      </c>
      <c r="AH1164" s="651">
        <f>Data2025!W1163</f>
        <v>0</v>
      </c>
      <c r="AI1164" s="61">
        <v>367</v>
      </c>
    </row>
    <row r="1165" spans="1:35" ht="16.5" thickTop="1" thickBot="1">
      <c r="A1165" s="636">
        <f>Data2025!G1164</f>
        <v>0</v>
      </c>
      <c r="B1165" s="637">
        <f>Data2025!K1164</f>
        <v>0</v>
      </c>
      <c r="C1165" s="638">
        <f>Data2025!D1164</f>
        <v>0</v>
      </c>
      <c r="D1165" s="639">
        <f>Data2025!C1164</f>
        <v>0</v>
      </c>
      <c r="E1165" s="265">
        <f>Data2025!E1164</f>
        <v>0</v>
      </c>
      <c r="F1165" s="640">
        <f>Data2025!F1164</f>
        <v>0</v>
      </c>
      <c r="G1165" s="265">
        <f>Data2025!H1164</f>
        <v>0</v>
      </c>
      <c r="H1165" s="265">
        <f t="shared" si="58"/>
        <v>0</v>
      </c>
      <c r="I1165" s="641">
        <f>Data2025!J1164</f>
        <v>0</v>
      </c>
      <c r="J1165" s="381">
        <f>Data2025!L1164</f>
        <v>0</v>
      </c>
      <c r="K1165" s="381">
        <f>Data2025!M1164</f>
        <v>0</v>
      </c>
      <c r="L1165" s="642">
        <f>Data2025!N1164</f>
        <v>0</v>
      </c>
      <c r="M1165" s="642">
        <f>Data2025!O1164</f>
        <v>0</v>
      </c>
      <c r="N1165" s="643">
        <f>Data2025!P1164</f>
        <v>0</v>
      </c>
      <c r="O1165" s="644">
        <f>Data2025!Q1164</f>
        <v>0</v>
      </c>
      <c r="P1165" s="645" t="s">
        <v>2609</v>
      </c>
      <c r="Q1165" s="646" t="e">
        <f>VLOOKUP(K1165,Sheet1!$C$1:$D$101,2,)</f>
        <v>#N/A</v>
      </c>
      <c r="R1165" s="496">
        <v>335000</v>
      </c>
      <c r="S1165" s="504">
        <v>345000</v>
      </c>
      <c r="T1165" s="648">
        <f>Data2025!T1164</f>
        <v>0</v>
      </c>
      <c r="U1165" s="497" t="s">
        <v>538</v>
      </c>
      <c r="V1165" s="648">
        <f>Data2025!V1164</f>
        <v>0</v>
      </c>
      <c r="W1165" s="648">
        <f>Data2025!X1164</f>
        <v>0</v>
      </c>
      <c r="X1165" s="497" t="s">
        <v>541</v>
      </c>
      <c r="Y1165" s="268" t="str">
        <f t="shared" si="59"/>
        <v>Alat Kebersihan</v>
      </c>
      <c r="Z1165" s="649" t="str">
        <f t="shared" si="60"/>
        <v>Alat Kebersihan</v>
      </c>
      <c r="AA1165" s="498" t="s">
        <v>3367</v>
      </c>
      <c r="AB1165" s="499">
        <v>67000</v>
      </c>
      <c r="AC1165" s="499">
        <v>335000</v>
      </c>
      <c r="AD1165" s="496">
        <v>335000</v>
      </c>
      <c r="AE1165" s="500">
        <v>301801.80180180183</v>
      </c>
      <c r="AF1165" s="500">
        <v>335000</v>
      </c>
      <c r="AG1165" s="805" t="s">
        <v>3883</v>
      </c>
      <c r="AH1165" s="651">
        <f>Data2025!W1164</f>
        <v>0</v>
      </c>
      <c r="AI1165" s="61">
        <v>367</v>
      </c>
    </row>
    <row r="1166" spans="1:35" ht="16.5" thickTop="1" thickBot="1">
      <c r="A1166" s="636">
        <f>Data2025!G1165</f>
        <v>0</v>
      </c>
      <c r="B1166" s="637">
        <f>Data2025!K1165</f>
        <v>0</v>
      </c>
      <c r="C1166" s="638">
        <f>Data2025!D1165</f>
        <v>0</v>
      </c>
      <c r="D1166" s="639">
        <f>Data2025!C1165</f>
        <v>0</v>
      </c>
      <c r="E1166" s="265">
        <f>Data2025!E1165</f>
        <v>0</v>
      </c>
      <c r="F1166" s="640">
        <f>Data2025!F1165</f>
        <v>0</v>
      </c>
      <c r="G1166" s="265">
        <f>Data2025!H1165</f>
        <v>0</v>
      </c>
      <c r="H1166" s="265">
        <f t="shared" si="58"/>
        <v>0</v>
      </c>
      <c r="I1166" s="641">
        <f>Data2025!J1165</f>
        <v>0</v>
      </c>
      <c r="J1166" s="381">
        <f>Data2025!L1165</f>
        <v>0</v>
      </c>
      <c r="K1166" s="381">
        <f>Data2025!M1165</f>
        <v>0</v>
      </c>
      <c r="L1166" s="642">
        <f>Data2025!N1165</f>
        <v>0</v>
      </c>
      <c r="M1166" s="642">
        <f>Data2025!O1165</f>
        <v>0</v>
      </c>
      <c r="N1166" s="643">
        <f>Data2025!P1165</f>
        <v>0</v>
      </c>
      <c r="O1166" s="644">
        <f>Data2025!Q1165</f>
        <v>0</v>
      </c>
      <c r="P1166" s="645" t="s">
        <v>2609</v>
      </c>
      <c r="Q1166" s="646" t="e">
        <f>VLOOKUP(K1166,Sheet1!$C$1:$D$101,2,)</f>
        <v>#N/A</v>
      </c>
      <c r="R1166" s="496">
        <v>60000</v>
      </c>
      <c r="S1166" s="504">
        <v>70000</v>
      </c>
      <c r="T1166" s="648">
        <f>Data2025!T1165</f>
        <v>0</v>
      </c>
      <c r="U1166" s="497" t="s">
        <v>538</v>
      </c>
      <c r="V1166" s="648">
        <f>Data2025!V1165</f>
        <v>0</v>
      </c>
      <c r="W1166" s="648">
        <f>Data2025!X1165</f>
        <v>0</v>
      </c>
      <c r="X1166" s="497" t="s">
        <v>541</v>
      </c>
      <c r="Y1166" s="268" t="str">
        <f t="shared" si="59"/>
        <v>Alat Kebersihan</v>
      </c>
      <c r="Z1166" s="649" t="str">
        <f t="shared" si="60"/>
        <v>Alat Kebersihan</v>
      </c>
      <c r="AA1166" s="498" t="s">
        <v>3363</v>
      </c>
      <c r="AB1166" s="499">
        <v>12000</v>
      </c>
      <c r="AC1166" s="499">
        <v>60000</v>
      </c>
      <c r="AD1166" s="496">
        <v>60000</v>
      </c>
      <c r="AE1166" s="500">
        <v>54054.054054054053</v>
      </c>
      <c r="AF1166" s="500">
        <v>60000</v>
      </c>
      <c r="AG1166" s="805" t="s">
        <v>3883</v>
      </c>
      <c r="AH1166" s="651">
        <f>Data2025!W1165</f>
        <v>0</v>
      </c>
      <c r="AI1166" s="61">
        <v>367</v>
      </c>
    </row>
    <row r="1167" spans="1:35" ht="16.5" thickTop="1" thickBot="1">
      <c r="A1167" s="636">
        <f>Data2025!G1166</f>
        <v>0</v>
      </c>
      <c r="B1167" s="637">
        <f>Data2025!K1166</f>
        <v>0</v>
      </c>
      <c r="C1167" s="638">
        <f>Data2025!D1166</f>
        <v>0</v>
      </c>
      <c r="D1167" s="639">
        <f>Data2025!C1166</f>
        <v>0</v>
      </c>
      <c r="E1167" s="265">
        <f>Data2025!E1166</f>
        <v>0</v>
      </c>
      <c r="F1167" s="640">
        <f>Data2025!F1166</f>
        <v>0</v>
      </c>
      <c r="G1167" s="265">
        <f>Data2025!H1166</f>
        <v>0</v>
      </c>
      <c r="H1167" s="265">
        <f t="shared" si="58"/>
        <v>0</v>
      </c>
      <c r="I1167" s="641">
        <f>Data2025!J1166</f>
        <v>0</v>
      </c>
      <c r="J1167" s="381">
        <f>Data2025!L1166</f>
        <v>0</v>
      </c>
      <c r="K1167" s="381">
        <f>Data2025!M1166</f>
        <v>0</v>
      </c>
      <c r="L1167" s="642">
        <f>Data2025!N1166</f>
        <v>0</v>
      </c>
      <c r="M1167" s="642">
        <f>Data2025!O1166</f>
        <v>0</v>
      </c>
      <c r="N1167" s="643">
        <f>Data2025!P1166</f>
        <v>0</v>
      </c>
      <c r="O1167" s="644">
        <f>Data2025!Q1166</f>
        <v>0</v>
      </c>
      <c r="P1167" s="645" t="s">
        <v>2609</v>
      </c>
      <c r="Q1167" s="646" t="e">
        <f>VLOOKUP(K1167,Sheet1!$C$1:$D$101,2,)</f>
        <v>#N/A</v>
      </c>
      <c r="R1167" s="496">
        <v>60000</v>
      </c>
      <c r="S1167" s="504">
        <v>70000</v>
      </c>
      <c r="T1167" s="648">
        <f>Data2025!T1166</f>
        <v>0</v>
      </c>
      <c r="U1167" s="497" t="s">
        <v>538</v>
      </c>
      <c r="V1167" s="648">
        <f>Data2025!V1166</f>
        <v>0</v>
      </c>
      <c r="W1167" s="648">
        <f>Data2025!X1166</f>
        <v>0</v>
      </c>
      <c r="X1167" s="497" t="s">
        <v>541</v>
      </c>
      <c r="Y1167" s="268" t="str">
        <f t="shared" si="59"/>
        <v>Alat Kebersihan</v>
      </c>
      <c r="Z1167" s="649" t="str">
        <f t="shared" si="60"/>
        <v>Alat Kebersihan</v>
      </c>
      <c r="AA1167" s="498" t="s">
        <v>3363</v>
      </c>
      <c r="AB1167" s="499">
        <v>12000</v>
      </c>
      <c r="AC1167" s="499">
        <v>60000</v>
      </c>
      <c r="AD1167" s="496">
        <v>60000</v>
      </c>
      <c r="AE1167" s="500">
        <v>54054.054054054053</v>
      </c>
      <c r="AF1167" s="500">
        <v>60000</v>
      </c>
      <c r="AG1167" s="805" t="s">
        <v>3883</v>
      </c>
      <c r="AH1167" s="651">
        <f>Data2025!W1166</f>
        <v>0</v>
      </c>
      <c r="AI1167" s="61">
        <v>367</v>
      </c>
    </row>
    <row r="1168" spans="1:35" ht="16.5" thickTop="1" thickBot="1">
      <c r="A1168" s="636">
        <f>Data2025!G1167</f>
        <v>0</v>
      </c>
      <c r="B1168" s="637">
        <f>Data2025!K1167</f>
        <v>0</v>
      </c>
      <c r="C1168" s="638">
        <f>Data2025!D1167</f>
        <v>0</v>
      </c>
      <c r="D1168" s="639">
        <f>Data2025!C1167</f>
        <v>0</v>
      </c>
      <c r="E1168" s="265">
        <f>Data2025!E1167</f>
        <v>0</v>
      </c>
      <c r="F1168" s="640">
        <f>Data2025!F1167</f>
        <v>0</v>
      </c>
      <c r="G1168" s="265">
        <f>Data2025!H1167</f>
        <v>0</v>
      </c>
      <c r="H1168" s="265">
        <f t="shared" si="58"/>
        <v>0</v>
      </c>
      <c r="I1168" s="641">
        <f>Data2025!J1167</f>
        <v>0</v>
      </c>
      <c r="J1168" s="381">
        <f>Data2025!L1167</f>
        <v>0</v>
      </c>
      <c r="K1168" s="381">
        <f>Data2025!M1167</f>
        <v>0</v>
      </c>
      <c r="L1168" s="642">
        <f>Data2025!N1167</f>
        <v>0</v>
      </c>
      <c r="M1168" s="642">
        <f>Data2025!O1167</f>
        <v>0</v>
      </c>
      <c r="N1168" s="643">
        <f>Data2025!P1167</f>
        <v>0</v>
      </c>
      <c r="O1168" s="644">
        <f>Data2025!Q1167</f>
        <v>0</v>
      </c>
      <c r="P1168" s="645" t="s">
        <v>1545</v>
      </c>
      <c r="Q1168" s="646" t="e">
        <f>VLOOKUP(K1168,Sheet1!$C$1:$D$101,2,)</f>
        <v>#N/A</v>
      </c>
      <c r="R1168" s="267">
        <v>1250000</v>
      </c>
      <c r="S1168" s="647">
        <v>1300000</v>
      </c>
      <c r="T1168" s="648">
        <f>Data2025!T1167</f>
        <v>0</v>
      </c>
      <c r="U1168" s="268" t="s">
        <v>2531</v>
      </c>
      <c r="V1168" s="648">
        <f>Data2025!V1167</f>
        <v>0</v>
      </c>
      <c r="W1168" s="648">
        <f>Data2025!X1167</f>
        <v>0</v>
      </c>
      <c r="X1168" s="268" t="s">
        <v>2529</v>
      </c>
      <c r="Y1168" s="268" t="str">
        <f t="shared" si="59"/>
        <v>Air Mineral</v>
      </c>
      <c r="Z1168" s="649" t="str">
        <f t="shared" si="60"/>
        <v>Air Mineral</v>
      </c>
      <c r="AA1168" s="650" t="s">
        <v>3372</v>
      </c>
      <c r="AB1168" s="269">
        <v>50000</v>
      </c>
      <c r="AC1168" s="269">
        <v>1250000</v>
      </c>
      <c r="AD1168" s="267">
        <v>1250000</v>
      </c>
      <c r="AE1168" s="270">
        <v>1126126.1261261262</v>
      </c>
      <c r="AF1168" s="270">
        <v>1250000</v>
      </c>
      <c r="AG1168" s="805" t="s">
        <v>3883</v>
      </c>
      <c r="AH1168" s="651">
        <f>Data2025!W1167</f>
        <v>0</v>
      </c>
      <c r="AI1168" s="61">
        <v>368</v>
      </c>
    </row>
    <row r="1169" spans="1:35" ht="16.5" thickTop="1" thickBot="1">
      <c r="A1169" s="636">
        <f>Data2025!G1168</f>
        <v>0</v>
      </c>
      <c r="B1169" s="637">
        <f>Data2025!K1168</f>
        <v>0</v>
      </c>
      <c r="C1169" s="638">
        <f>Data2025!D1168</f>
        <v>0</v>
      </c>
      <c r="D1169" s="639">
        <f>Data2025!C1168</f>
        <v>0</v>
      </c>
      <c r="E1169" s="265">
        <f>Data2025!E1168</f>
        <v>0</v>
      </c>
      <c r="F1169" s="640">
        <f>Data2025!F1168</f>
        <v>0</v>
      </c>
      <c r="G1169" s="265">
        <f>Data2025!H1168</f>
        <v>0</v>
      </c>
      <c r="H1169" s="265">
        <f t="shared" si="58"/>
        <v>0</v>
      </c>
      <c r="I1169" s="641">
        <f>Data2025!J1168</f>
        <v>0</v>
      </c>
      <c r="J1169" s="381">
        <f>Data2025!L1168</f>
        <v>0</v>
      </c>
      <c r="K1169" s="381">
        <f>Data2025!M1168</f>
        <v>0</v>
      </c>
      <c r="L1169" s="642">
        <f>Data2025!N1168</f>
        <v>0</v>
      </c>
      <c r="M1169" s="642">
        <f>Data2025!O1168</f>
        <v>0</v>
      </c>
      <c r="N1169" s="643">
        <f>Data2025!P1168</f>
        <v>0</v>
      </c>
      <c r="O1169" s="644">
        <f>Data2025!Q1168</f>
        <v>0</v>
      </c>
      <c r="P1169" s="645" t="s">
        <v>280</v>
      </c>
      <c r="Q1169" s="646" t="e">
        <f>VLOOKUP(K1169,Sheet1!$C$1:$D$101,2,)</f>
        <v>#N/A</v>
      </c>
      <c r="R1169" s="267">
        <v>1050000</v>
      </c>
      <c r="S1169" s="647">
        <v>1190000</v>
      </c>
      <c r="T1169" s="648">
        <f>Data2025!T1168</f>
        <v>0</v>
      </c>
      <c r="U1169" s="268" t="s">
        <v>2531</v>
      </c>
      <c r="V1169" s="648">
        <f>Data2025!V1168</f>
        <v>0</v>
      </c>
      <c r="W1169" s="648">
        <f>Data2025!X1168</f>
        <v>0</v>
      </c>
      <c r="X1169" s="268" t="s">
        <v>2529</v>
      </c>
      <c r="Y1169" s="268" t="str">
        <f t="shared" si="59"/>
        <v>Kudapan</v>
      </c>
      <c r="Z1169" s="649" t="str">
        <f t="shared" si="60"/>
        <v>Kudapan</v>
      </c>
      <c r="AA1169" s="650" t="s">
        <v>3362</v>
      </c>
      <c r="AB1169" s="269">
        <v>15000</v>
      </c>
      <c r="AC1169" s="269">
        <v>1050000</v>
      </c>
      <c r="AD1169" s="267">
        <v>1050000</v>
      </c>
      <c r="AE1169" s="270">
        <v>945945.94594594592</v>
      </c>
      <c r="AF1169" s="270">
        <v>1050000</v>
      </c>
      <c r="AG1169" s="805" t="s">
        <v>3883</v>
      </c>
      <c r="AH1169" s="651">
        <f>Data2025!W1168</f>
        <v>0</v>
      </c>
      <c r="AI1169" s="61">
        <v>369</v>
      </c>
    </row>
    <row r="1170" spans="1:35" ht="16.5" thickTop="1" thickBot="1">
      <c r="A1170" s="636">
        <f>Data2025!G1169</f>
        <v>0</v>
      </c>
      <c r="B1170" s="637">
        <f>Data2025!K1169</f>
        <v>0</v>
      </c>
      <c r="C1170" s="638">
        <f>Data2025!D1169</f>
        <v>0</v>
      </c>
      <c r="D1170" s="639">
        <f>Data2025!C1169</f>
        <v>0</v>
      </c>
      <c r="E1170" s="265">
        <f>Data2025!E1169</f>
        <v>0</v>
      </c>
      <c r="F1170" s="640">
        <f>Data2025!F1169</f>
        <v>0</v>
      </c>
      <c r="G1170" s="265">
        <f>Data2025!H1169</f>
        <v>0</v>
      </c>
      <c r="H1170" s="265">
        <f t="shared" si="58"/>
        <v>0</v>
      </c>
      <c r="I1170" s="641">
        <f>Data2025!J1169</f>
        <v>0</v>
      </c>
      <c r="J1170" s="381">
        <f>Data2025!L1169</f>
        <v>0</v>
      </c>
      <c r="K1170" s="381">
        <f>Data2025!M1169</f>
        <v>0</v>
      </c>
      <c r="L1170" s="642">
        <f>Data2025!N1169</f>
        <v>0</v>
      </c>
      <c r="M1170" s="642">
        <f>Data2025!O1169</f>
        <v>0</v>
      </c>
      <c r="N1170" s="643">
        <f>Data2025!P1169</f>
        <v>0</v>
      </c>
      <c r="O1170" s="644">
        <f>Data2025!Q1169</f>
        <v>0</v>
      </c>
      <c r="P1170" s="645" t="s">
        <v>8</v>
      </c>
      <c r="Q1170" s="646" t="e">
        <f>VLOOKUP(K1170,Sheet1!$C$1:$D$101,2,)</f>
        <v>#N/A</v>
      </c>
      <c r="R1170" s="267">
        <v>2800000</v>
      </c>
      <c r="S1170" s="647">
        <v>2940000</v>
      </c>
      <c r="T1170" s="648">
        <f>Data2025!T1169</f>
        <v>0</v>
      </c>
      <c r="U1170" s="268" t="s">
        <v>2520</v>
      </c>
      <c r="V1170" s="648">
        <f>Data2025!V1169</f>
        <v>0</v>
      </c>
      <c r="W1170" s="648">
        <f>Data2025!X1169</f>
        <v>0</v>
      </c>
      <c r="X1170" s="268" t="s">
        <v>3391</v>
      </c>
      <c r="Y1170" s="268" t="str">
        <f t="shared" si="59"/>
        <v>Konsumsi</v>
      </c>
      <c r="Z1170" s="649" t="str">
        <f t="shared" si="60"/>
        <v>Konsumsi</v>
      </c>
      <c r="AA1170" s="650" t="s">
        <v>3362</v>
      </c>
      <c r="AB1170" s="269">
        <v>40000</v>
      </c>
      <c r="AC1170" s="269">
        <v>2800000</v>
      </c>
      <c r="AD1170" s="267">
        <v>2800000</v>
      </c>
      <c r="AE1170" s="270">
        <v>2522522.5225225226</v>
      </c>
      <c r="AF1170" s="270">
        <v>2800000</v>
      </c>
      <c r="AG1170" s="805" t="s">
        <v>3883</v>
      </c>
      <c r="AH1170" s="651">
        <f>Data2025!W1169</f>
        <v>0</v>
      </c>
      <c r="AI1170" s="61">
        <v>370</v>
      </c>
    </row>
    <row r="1171" spans="1:35" ht="16.5" thickTop="1" thickBot="1">
      <c r="A1171" s="636">
        <f>Data2025!G1170</f>
        <v>0</v>
      </c>
      <c r="B1171" s="637">
        <f>Data2025!K1170</f>
        <v>0</v>
      </c>
      <c r="C1171" s="638">
        <f>Data2025!D1170</f>
        <v>0</v>
      </c>
      <c r="D1171" s="639">
        <f>Data2025!C1170</f>
        <v>0</v>
      </c>
      <c r="E1171" s="265">
        <f>Data2025!E1170</f>
        <v>0</v>
      </c>
      <c r="F1171" s="640">
        <f>Data2025!F1170</f>
        <v>0</v>
      </c>
      <c r="G1171" s="265">
        <f>Data2025!H1170</f>
        <v>0</v>
      </c>
      <c r="H1171" s="265">
        <f t="shared" si="58"/>
        <v>0</v>
      </c>
      <c r="I1171" s="641">
        <f>Data2025!J1170</f>
        <v>0</v>
      </c>
      <c r="J1171" s="381">
        <f>Data2025!L1170</f>
        <v>0</v>
      </c>
      <c r="K1171" s="381">
        <f>Data2025!M1170</f>
        <v>0</v>
      </c>
      <c r="L1171" s="642">
        <f>Data2025!N1170</f>
        <v>0</v>
      </c>
      <c r="M1171" s="642">
        <f>Data2025!O1170</f>
        <v>0</v>
      </c>
      <c r="N1171" s="643">
        <f>Data2025!P1170</f>
        <v>0</v>
      </c>
      <c r="O1171" s="644">
        <f>Data2025!Q1170</f>
        <v>0</v>
      </c>
      <c r="P1171" s="645" t="s">
        <v>280</v>
      </c>
      <c r="Q1171" s="646" t="e">
        <f>VLOOKUP(K1171,Sheet1!$C$1:$D$101,2,)</f>
        <v>#N/A</v>
      </c>
      <c r="R1171" s="267">
        <v>1500000</v>
      </c>
      <c r="S1171" s="647">
        <v>1700000</v>
      </c>
      <c r="T1171" s="648">
        <f>Data2025!T1170</f>
        <v>0</v>
      </c>
      <c r="U1171" s="268" t="s">
        <v>2531</v>
      </c>
      <c r="V1171" s="648">
        <f>Data2025!V1170</f>
        <v>0</v>
      </c>
      <c r="W1171" s="648">
        <f>Data2025!X1170</f>
        <v>0</v>
      </c>
      <c r="X1171" s="268" t="s">
        <v>2529</v>
      </c>
      <c r="Y1171" s="268" t="str">
        <f t="shared" si="59"/>
        <v>Kudapan</v>
      </c>
      <c r="Z1171" s="649" t="str">
        <f t="shared" si="60"/>
        <v>Kudapan</v>
      </c>
      <c r="AA1171" s="650" t="s">
        <v>3362</v>
      </c>
      <c r="AB1171" s="269">
        <v>15000</v>
      </c>
      <c r="AC1171" s="269">
        <v>1500000</v>
      </c>
      <c r="AD1171" s="267">
        <v>1500000</v>
      </c>
      <c r="AE1171" s="270">
        <v>1351351.3513513515</v>
      </c>
      <c r="AF1171" s="270">
        <v>1500000</v>
      </c>
      <c r="AG1171" s="805" t="s">
        <v>3883</v>
      </c>
      <c r="AH1171" s="651">
        <f>Data2025!W1170</f>
        <v>0</v>
      </c>
      <c r="AI1171" s="61">
        <v>371</v>
      </c>
    </row>
    <row r="1172" spans="1:35" ht="16.5" thickTop="1" thickBot="1">
      <c r="A1172" s="636">
        <f>Data2025!G1171</f>
        <v>0</v>
      </c>
      <c r="B1172" s="637">
        <f>Data2025!K1171</f>
        <v>0</v>
      </c>
      <c r="C1172" s="638">
        <f>Data2025!D1171</f>
        <v>0</v>
      </c>
      <c r="D1172" s="639">
        <f>Data2025!C1171</f>
        <v>0</v>
      </c>
      <c r="E1172" s="265">
        <f>Data2025!E1171</f>
        <v>0</v>
      </c>
      <c r="F1172" s="640">
        <f>Data2025!F1171</f>
        <v>0</v>
      </c>
      <c r="G1172" s="265">
        <f>Data2025!H1171</f>
        <v>0</v>
      </c>
      <c r="H1172" s="265">
        <f t="shared" si="58"/>
        <v>0</v>
      </c>
      <c r="I1172" s="641">
        <f>Data2025!J1171</f>
        <v>0</v>
      </c>
      <c r="J1172" s="381">
        <f>Data2025!L1171</f>
        <v>0</v>
      </c>
      <c r="K1172" s="381">
        <f>Data2025!M1171</f>
        <v>0</v>
      </c>
      <c r="L1172" s="642">
        <f>Data2025!N1171</f>
        <v>0</v>
      </c>
      <c r="M1172" s="642">
        <f>Data2025!O1171</f>
        <v>0</v>
      </c>
      <c r="N1172" s="643">
        <f>Data2025!P1171</f>
        <v>0</v>
      </c>
      <c r="O1172" s="644">
        <f>Data2025!Q1171</f>
        <v>0</v>
      </c>
      <c r="P1172" s="645" t="s">
        <v>2675</v>
      </c>
      <c r="Q1172" s="646" t="e">
        <f>VLOOKUP(K1172,Sheet1!$C$1:$D$101,2,)</f>
        <v>#N/A</v>
      </c>
      <c r="R1172" s="267">
        <v>17342500</v>
      </c>
      <c r="S1172" s="647">
        <v>11136650</v>
      </c>
      <c r="T1172" s="648">
        <f>Data2025!T1171</f>
        <v>0</v>
      </c>
      <c r="U1172" s="268" t="s">
        <v>538</v>
      </c>
      <c r="V1172" s="648">
        <f>Data2025!V1171</f>
        <v>0</v>
      </c>
      <c r="W1172" s="648">
        <f>Data2025!X1171</f>
        <v>0</v>
      </c>
      <c r="X1172" s="268" t="s">
        <v>541</v>
      </c>
      <c r="Y1172" s="268" t="str">
        <f t="shared" si="59"/>
        <v>Penggandaan</v>
      </c>
      <c r="Z1172" s="649" t="str">
        <f t="shared" si="60"/>
        <v>Penggandaan</v>
      </c>
      <c r="AA1172" s="650" t="s">
        <v>3368</v>
      </c>
      <c r="AB1172" s="269">
        <v>350</v>
      </c>
      <c r="AC1172" s="269">
        <v>1658650</v>
      </c>
      <c r="AD1172" s="267">
        <v>17342500</v>
      </c>
      <c r="AE1172" s="270">
        <v>15623873.873873875</v>
      </c>
      <c r="AF1172" s="270">
        <v>17342500</v>
      </c>
      <c r="AG1172" s="805" t="s">
        <v>3883</v>
      </c>
      <c r="AH1172" s="651">
        <f>Data2025!W1171</f>
        <v>0</v>
      </c>
      <c r="AI1172" s="61">
        <v>372</v>
      </c>
    </row>
    <row r="1173" spans="1:35" ht="16.5" thickTop="1" thickBot="1">
      <c r="A1173" s="636">
        <f>Data2025!G1172</f>
        <v>0</v>
      </c>
      <c r="B1173" s="637">
        <f>Data2025!K1172</f>
        <v>0</v>
      </c>
      <c r="C1173" s="638">
        <f>Data2025!D1172</f>
        <v>0</v>
      </c>
      <c r="D1173" s="639">
        <f>Data2025!C1172</f>
        <v>0</v>
      </c>
      <c r="E1173" s="265">
        <f>Data2025!E1172</f>
        <v>0</v>
      </c>
      <c r="F1173" s="640">
        <f>Data2025!F1172</f>
        <v>0</v>
      </c>
      <c r="G1173" s="265">
        <f>Data2025!H1172</f>
        <v>0</v>
      </c>
      <c r="H1173" s="265">
        <f t="shared" si="58"/>
        <v>0</v>
      </c>
      <c r="I1173" s="641">
        <f>Data2025!J1172</f>
        <v>0</v>
      </c>
      <c r="J1173" s="381">
        <f>Data2025!L1172</f>
        <v>0</v>
      </c>
      <c r="K1173" s="381">
        <f>Data2025!M1172</f>
        <v>0</v>
      </c>
      <c r="L1173" s="642">
        <f>Data2025!N1172</f>
        <v>0</v>
      </c>
      <c r="M1173" s="642">
        <f>Data2025!O1172</f>
        <v>0</v>
      </c>
      <c r="N1173" s="643">
        <f>Data2025!P1172</f>
        <v>0</v>
      </c>
      <c r="O1173" s="644">
        <f>Data2025!Q1172</f>
        <v>0</v>
      </c>
      <c r="P1173" s="645" t="s">
        <v>8</v>
      </c>
      <c r="Q1173" s="646" t="e">
        <f>VLOOKUP(K1173,Sheet1!$C$1:$D$101,2,)</f>
        <v>#N/A</v>
      </c>
      <c r="R1173" s="267">
        <v>4800000</v>
      </c>
      <c r="S1173" s="647">
        <v>5040000</v>
      </c>
      <c r="T1173" s="648">
        <f>Data2025!T1172</f>
        <v>0</v>
      </c>
      <c r="U1173" s="268" t="s">
        <v>2520</v>
      </c>
      <c r="V1173" s="648">
        <f>Data2025!V1172</f>
        <v>0</v>
      </c>
      <c r="W1173" s="648">
        <f>Data2025!X1172</f>
        <v>0</v>
      </c>
      <c r="X1173" s="268" t="s">
        <v>3391</v>
      </c>
      <c r="Y1173" s="268" t="str">
        <f t="shared" si="59"/>
        <v>Konsumsi</v>
      </c>
      <c r="Z1173" s="649" t="str">
        <f t="shared" si="60"/>
        <v>Konsumsi</v>
      </c>
      <c r="AA1173" s="650" t="s">
        <v>3362</v>
      </c>
      <c r="AB1173" s="269">
        <v>40000</v>
      </c>
      <c r="AC1173" s="269">
        <v>4800000</v>
      </c>
      <c r="AD1173" s="267">
        <v>4800000</v>
      </c>
      <c r="AE1173" s="270">
        <v>4324324.3243243247</v>
      </c>
      <c r="AF1173" s="270">
        <v>4800000</v>
      </c>
      <c r="AG1173" s="805" t="s">
        <v>3883</v>
      </c>
      <c r="AH1173" s="651">
        <f>Data2025!W1172</f>
        <v>0</v>
      </c>
      <c r="AI1173" s="61">
        <v>373</v>
      </c>
    </row>
    <row r="1174" spans="1:35" ht="16.5" thickTop="1" thickBot="1">
      <c r="A1174" s="636">
        <f>Data2025!G1173</f>
        <v>0</v>
      </c>
      <c r="B1174" s="637">
        <f>Data2025!K1173</f>
        <v>0</v>
      </c>
      <c r="C1174" s="638">
        <f>Data2025!D1173</f>
        <v>0</v>
      </c>
      <c r="D1174" s="639">
        <f>Data2025!C1173</f>
        <v>0</v>
      </c>
      <c r="E1174" s="265">
        <f>Data2025!E1173</f>
        <v>0</v>
      </c>
      <c r="F1174" s="640">
        <f>Data2025!F1173</f>
        <v>0</v>
      </c>
      <c r="G1174" s="265">
        <f>Data2025!H1173</f>
        <v>0</v>
      </c>
      <c r="H1174" s="265">
        <f t="shared" si="58"/>
        <v>0</v>
      </c>
      <c r="I1174" s="641">
        <f>Data2025!J1173</f>
        <v>0</v>
      </c>
      <c r="J1174" s="381">
        <f>Data2025!L1173</f>
        <v>0</v>
      </c>
      <c r="K1174" s="381">
        <f>Data2025!M1173</f>
        <v>0</v>
      </c>
      <c r="L1174" s="642">
        <f>Data2025!N1173</f>
        <v>0</v>
      </c>
      <c r="M1174" s="642">
        <f>Data2025!O1173</f>
        <v>0</v>
      </c>
      <c r="N1174" s="643">
        <f>Data2025!P1173</f>
        <v>0</v>
      </c>
      <c r="O1174" s="644">
        <f>Data2025!Q1173</f>
        <v>0</v>
      </c>
      <c r="P1174" s="645" t="s">
        <v>280</v>
      </c>
      <c r="Q1174" s="646" t="e">
        <f>VLOOKUP(K1174,Sheet1!$C$1:$D$101,2,)</f>
        <v>#N/A</v>
      </c>
      <c r="R1174" s="267">
        <v>1800000</v>
      </c>
      <c r="S1174" s="647">
        <v>2040000</v>
      </c>
      <c r="T1174" s="648">
        <f>Data2025!T1173</f>
        <v>0</v>
      </c>
      <c r="U1174" s="268" t="s">
        <v>2531</v>
      </c>
      <c r="V1174" s="648">
        <f>Data2025!V1173</f>
        <v>0</v>
      </c>
      <c r="W1174" s="648">
        <f>Data2025!X1173</f>
        <v>0</v>
      </c>
      <c r="X1174" s="268" t="s">
        <v>2529</v>
      </c>
      <c r="Y1174" s="268" t="str">
        <f t="shared" si="59"/>
        <v>Kudapan</v>
      </c>
      <c r="Z1174" s="649" t="str">
        <f t="shared" si="60"/>
        <v>Kudapan</v>
      </c>
      <c r="AA1174" s="650" t="s">
        <v>3362</v>
      </c>
      <c r="AB1174" s="269">
        <v>15000</v>
      </c>
      <c r="AC1174" s="269">
        <v>1800000</v>
      </c>
      <c r="AD1174" s="267">
        <v>1800000</v>
      </c>
      <c r="AE1174" s="270">
        <v>1621621.6216216215</v>
      </c>
      <c r="AF1174" s="270">
        <v>1800000</v>
      </c>
      <c r="AG1174" s="805" t="s">
        <v>3883</v>
      </c>
      <c r="AH1174" s="651">
        <f>Data2025!W1173</f>
        <v>0</v>
      </c>
      <c r="AI1174" s="61">
        <v>374</v>
      </c>
    </row>
    <row r="1175" spans="1:35" ht="16.5" thickTop="1" thickBot="1">
      <c r="A1175" s="636">
        <f>Data2025!G1174</f>
        <v>0</v>
      </c>
      <c r="B1175" s="637">
        <f>Data2025!K1174</f>
        <v>0</v>
      </c>
      <c r="C1175" s="638">
        <f>Data2025!D1174</f>
        <v>0</v>
      </c>
      <c r="D1175" s="639">
        <f>Data2025!C1174</f>
        <v>0</v>
      </c>
      <c r="E1175" s="265">
        <f>Data2025!E1174</f>
        <v>0</v>
      </c>
      <c r="F1175" s="640">
        <f>Data2025!F1174</f>
        <v>0</v>
      </c>
      <c r="G1175" s="265">
        <f>Data2025!H1174</f>
        <v>0</v>
      </c>
      <c r="H1175" s="265">
        <f t="shared" si="58"/>
        <v>0</v>
      </c>
      <c r="I1175" s="641">
        <f>Data2025!J1174</f>
        <v>0</v>
      </c>
      <c r="J1175" s="381">
        <f>Data2025!L1174</f>
        <v>0</v>
      </c>
      <c r="K1175" s="381">
        <f>Data2025!M1174</f>
        <v>0</v>
      </c>
      <c r="L1175" s="642">
        <f>Data2025!N1174</f>
        <v>0</v>
      </c>
      <c r="M1175" s="642">
        <f>Data2025!O1174</f>
        <v>0</v>
      </c>
      <c r="N1175" s="643">
        <f>Data2025!P1174</f>
        <v>0</v>
      </c>
      <c r="O1175" s="644">
        <f>Data2025!Q1174</f>
        <v>0</v>
      </c>
      <c r="P1175" s="645" t="s">
        <v>280</v>
      </c>
      <c r="Q1175" s="646" t="e">
        <f>VLOOKUP(K1175,Sheet1!$C$1:$D$101,2,)</f>
        <v>#N/A</v>
      </c>
      <c r="R1175" s="267">
        <v>2625000</v>
      </c>
      <c r="S1175" s="647">
        <v>1360000</v>
      </c>
      <c r="T1175" s="648">
        <f>Data2025!T1174</f>
        <v>0</v>
      </c>
      <c r="U1175" s="268" t="s">
        <v>2531</v>
      </c>
      <c r="V1175" s="648">
        <f>Data2025!V1174</f>
        <v>0</v>
      </c>
      <c r="W1175" s="648">
        <f>Data2025!X1174</f>
        <v>0</v>
      </c>
      <c r="X1175" s="268" t="s">
        <v>2529</v>
      </c>
      <c r="Y1175" s="268" t="str">
        <f t="shared" si="59"/>
        <v>Kudapan</v>
      </c>
      <c r="Z1175" s="649" t="str">
        <f t="shared" si="60"/>
        <v>Kudapan</v>
      </c>
      <c r="AA1175" s="650" t="s">
        <v>3362</v>
      </c>
      <c r="AB1175" s="269">
        <v>15000</v>
      </c>
      <c r="AC1175" s="269">
        <v>1200000</v>
      </c>
      <c r="AD1175" s="267">
        <v>2625000</v>
      </c>
      <c r="AE1175" s="270">
        <v>2364864.8648648649</v>
      </c>
      <c r="AF1175" s="270">
        <v>2625000</v>
      </c>
      <c r="AG1175" s="805" t="s">
        <v>3883</v>
      </c>
      <c r="AH1175" s="651">
        <f>Data2025!W1174</f>
        <v>0</v>
      </c>
      <c r="AI1175" s="61">
        <v>375</v>
      </c>
    </row>
    <row r="1176" spans="1:35" ht="16.5" thickTop="1" thickBot="1">
      <c r="A1176" s="636">
        <f>Data2025!G1175</f>
        <v>0</v>
      </c>
      <c r="B1176" s="637">
        <f>Data2025!K1175</f>
        <v>0</v>
      </c>
      <c r="C1176" s="638">
        <f>Data2025!D1175</f>
        <v>0</v>
      </c>
      <c r="D1176" s="639">
        <f>Data2025!C1175</f>
        <v>0</v>
      </c>
      <c r="E1176" s="265">
        <f>Data2025!E1175</f>
        <v>0</v>
      </c>
      <c r="F1176" s="640">
        <f>Data2025!F1175</f>
        <v>0</v>
      </c>
      <c r="G1176" s="265">
        <f>Data2025!H1175</f>
        <v>0</v>
      </c>
      <c r="H1176" s="265">
        <f t="shared" si="58"/>
        <v>0</v>
      </c>
      <c r="I1176" s="641">
        <f>Data2025!J1175</f>
        <v>0</v>
      </c>
      <c r="J1176" s="381">
        <f>Data2025!L1175</f>
        <v>0</v>
      </c>
      <c r="K1176" s="381">
        <f>Data2025!M1175</f>
        <v>0</v>
      </c>
      <c r="L1176" s="642">
        <f>Data2025!N1175</f>
        <v>0</v>
      </c>
      <c r="M1176" s="642">
        <f>Data2025!O1175</f>
        <v>0</v>
      </c>
      <c r="N1176" s="643">
        <f>Data2025!P1175</f>
        <v>0</v>
      </c>
      <c r="O1176" s="644">
        <f>Data2025!Q1175</f>
        <v>0</v>
      </c>
      <c r="P1176" s="645" t="s">
        <v>8</v>
      </c>
      <c r="Q1176" s="646" t="e">
        <f>VLOOKUP(K1176,Sheet1!$C$1:$D$101,2,)</f>
        <v>#N/A</v>
      </c>
      <c r="R1176" s="267">
        <v>2400000</v>
      </c>
      <c r="S1176" s="647">
        <v>3360000</v>
      </c>
      <c r="T1176" s="648">
        <f>Data2025!T1175</f>
        <v>0</v>
      </c>
      <c r="U1176" s="268" t="s">
        <v>2520</v>
      </c>
      <c r="V1176" s="648">
        <f>Data2025!V1175</f>
        <v>0</v>
      </c>
      <c r="W1176" s="648">
        <f>Data2025!X1175</f>
        <v>0</v>
      </c>
      <c r="X1176" s="268" t="s">
        <v>3391</v>
      </c>
      <c r="Y1176" s="268" t="str">
        <f t="shared" si="59"/>
        <v>Konsumsi</v>
      </c>
      <c r="Z1176" s="649" t="str">
        <f t="shared" si="60"/>
        <v>Konsumsi</v>
      </c>
      <c r="AA1176" s="650" t="s">
        <v>3362</v>
      </c>
      <c r="AB1176" s="269">
        <v>40000</v>
      </c>
      <c r="AC1176" s="269">
        <v>3200000</v>
      </c>
      <c r="AD1176" s="267">
        <v>2400000</v>
      </c>
      <c r="AE1176" s="270">
        <v>2162162.1621621624</v>
      </c>
      <c r="AF1176" s="270">
        <v>2400000</v>
      </c>
      <c r="AG1176" s="805" t="s">
        <v>3883</v>
      </c>
      <c r="AH1176" s="651">
        <f>Data2025!W1175</f>
        <v>0</v>
      </c>
      <c r="AI1176" s="61">
        <v>376</v>
      </c>
    </row>
    <row r="1177" spans="1:35" ht="16.5" thickTop="1" thickBot="1">
      <c r="A1177" s="636">
        <f>Data2025!G1176</f>
        <v>0</v>
      </c>
      <c r="B1177" s="637">
        <f>Data2025!K1176</f>
        <v>0</v>
      </c>
      <c r="C1177" s="638">
        <f>Data2025!D1176</f>
        <v>0</v>
      </c>
      <c r="D1177" s="639">
        <f>Data2025!C1176</f>
        <v>0</v>
      </c>
      <c r="E1177" s="265">
        <f>Data2025!E1176</f>
        <v>0</v>
      </c>
      <c r="F1177" s="640">
        <f>Data2025!F1176</f>
        <v>0</v>
      </c>
      <c r="G1177" s="265">
        <f>Data2025!H1176</f>
        <v>0</v>
      </c>
      <c r="H1177" s="265">
        <f t="shared" si="58"/>
        <v>0</v>
      </c>
      <c r="I1177" s="641">
        <f>Data2025!J1176</f>
        <v>0</v>
      </c>
      <c r="J1177" s="381">
        <f>Data2025!L1176</f>
        <v>0</v>
      </c>
      <c r="K1177" s="381">
        <f>Data2025!M1176</f>
        <v>0</v>
      </c>
      <c r="L1177" s="642">
        <f>Data2025!N1176</f>
        <v>0</v>
      </c>
      <c r="M1177" s="642">
        <f>Data2025!O1176</f>
        <v>0</v>
      </c>
      <c r="N1177" s="643">
        <f>Data2025!P1176</f>
        <v>0</v>
      </c>
      <c r="O1177" s="644">
        <f>Data2025!Q1176</f>
        <v>0</v>
      </c>
      <c r="P1177" s="645" t="s">
        <v>2675</v>
      </c>
      <c r="Q1177" s="646" t="e">
        <f>VLOOKUP(K1177,Sheet1!$C$1:$D$101,2,)</f>
        <v>#N/A</v>
      </c>
      <c r="R1177" s="267">
        <v>4375000</v>
      </c>
      <c r="S1177" s="647">
        <v>11136650</v>
      </c>
      <c r="T1177" s="648">
        <f>Data2025!T1176</f>
        <v>0</v>
      </c>
      <c r="U1177" s="268" t="s">
        <v>538</v>
      </c>
      <c r="V1177" s="648">
        <f>Data2025!V1176</f>
        <v>0</v>
      </c>
      <c r="W1177" s="648">
        <f>Data2025!X1176</f>
        <v>0</v>
      </c>
      <c r="X1177" s="268" t="s">
        <v>541</v>
      </c>
      <c r="Y1177" s="268" t="str">
        <f t="shared" si="59"/>
        <v>Penggandaan</v>
      </c>
      <c r="Z1177" s="649" t="str">
        <f t="shared" si="60"/>
        <v>Penggandaan</v>
      </c>
      <c r="AA1177" s="650" t="s">
        <v>3368</v>
      </c>
      <c r="AB1177" s="269">
        <v>350</v>
      </c>
      <c r="AC1177" s="269">
        <v>1658650</v>
      </c>
      <c r="AD1177" s="267">
        <v>4375000</v>
      </c>
      <c r="AE1177" s="270">
        <v>3941441.4414414414</v>
      </c>
      <c r="AF1177" s="270">
        <v>4375000</v>
      </c>
      <c r="AG1177" s="805" t="s">
        <v>3883</v>
      </c>
      <c r="AH1177" s="651">
        <f>Data2025!W1176</f>
        <v>0</v>
      </c>
      <c r="AI1177" s="61">
        <v>377</v>
      </c>
    </row>
    <row r="1178" spans="1:35" ht="16.5" thickTop="1" thickBot="1">
      <c r="A1178" s="636">
        <f>Data2025!G1177</f>
        <v>0</v>
      </c>
      <c r="B1178" s="637">
        <f>Data2025!K1177</f>
        <v>0</v>
      </c>
      <c r="C1178" s="638">
        <f>Data2025!D1177</f>
        <v>0</v>
      </c>
      <c r="D1178" s="639">
        <f>Data2025!C1177</f>
        <v>0</v>
      </c>
      <c r="E1178" s="265">
        <f>Data2025!E1177</f>
        <v>0</v>
      </c>
      <c r="F1178" s="640">
        <f>Data2025!F1177</f>
        <v>0</v>
      </c>
      <c r="G1178" s="265">
        <f>Data2025!H1177</f>
        <v>0</v>
      </c>
      <c r="H1178" s="265">
        <f t="shared" si="58"/>
        <v>0</v>
      </c>
      <c r="I1178" s="641">
        <f>Data2025!J1177</f>
        <v>0</v>
      </c>
      <c r="J1178" s="381">
        <f>Data2025!L1177</f>
        <v>0</v>
      </c>
      <c r="K1178" s="381">
        <f>Data2025!M1177</f>
        <v>0</v>
      </c>
      <c r="L1178" s="642">
        <f>Data2025!N1177</f>
        <v>0</v>
      </c>
      <c r="M1178" s="642">
        <f>Data2025!O1177</f>
        <v>0</v>
      </c>
      <c r="N1178" s="643">
        <f>Data2025!P1177</f>
        <v>0</v>
      </c>
      <c r="O1178" s="644">
        <f>Data2025!Q1177</f>
        <v>0</v>
      </c>
      <c r="P1178" s="645" t="s">
        <v>280</v>
      </c>
      <c r="Q1178" s="646" t="e">
        <f>VLOOKUP(K1178,Sheet1!$C$1:$D$101,2,)</f>
        <v>#N/A</v>
      </c>
      <c r="R1178" s="267">
        <v>900000</v>
      </c>
      <c r="S1178" s="647">
        <v>952000</v>
      </c>
      <c r="T1178" s="648">
        <f>Data2025!T1177</f>
        <v>0</v>
      </c>
      <c r="U1178" s="268" t="s">
        <v>2531</v>
      </c>
      <c r="V1178" s="648">
        <f>Data2025!V1177</f>
        <v>0</v>
      </c>
      <c r="W1178" s="648">
        <f>Data2025!X1177</f>
        <v>0</v>
      </c>
      <c r="X1178" s="268" t="s">
        <v>2529</v>
      </c>
      <c r="Y1178" s="268" t="str">
        <f t="shared" si="59"/>
        <v>Kudapan</v>
      </c>
      <c r="Z1178" s="649" t="str">
        <f t="shared" si="60"/>
        <v>Kudapan</v>
      </c>
      <c r="AA1178" s="650" t="s">
        <v>3362</v>
      </c>
      <c r="AB1178" s="269">
        <v>15000</v>
      </c>
      <c r="AC1178" s="269">
        <v>840000</v>
      </c>
      <c r="AD1178" s="267">
        <v>900000</v>
      </c>
      <c r="AE1178" s="270">
        <v>810810.81081081077</v>
      </c>
      <c r="AF1178" s="270">
        <v>900000</v>
      </c>
      <c r="AG1178" s="805" t="s">
        <v>3883</v>
      </c>
      <c r="AH1178" s="651">
        <f>Data2025!W1177</f>
        <v>0</v>
      </c>
      <c r="AI1178" s="61">
        <v>378</v>
      </c>
    </row>
    <row r="1179" spans="1:35" ht="16.5" thickTop="1" thickBot="1">
      <c r="A1179" s="636">
        <f>Data2025!G1178</f>
        <v>0</v>
      </c>
      <c r="B1179" s="637">
        <f>Data2025!K1178</f>
        <v>0</v>
      </c>
      <c r="C1179" s="638">
        <f>Data2025!D1178</f>
        <v>0</v>
      </c>
      <c r="D1179" s="639">
        <f>Data2025!C1178</f>
        <v>0</v>
      </c>
      <c r="E1179" s="265">
        <f>Data2025!E1178</f>
        <v>0</v>
      </c>
      <c r="F1179" s="640">
        <f>Data2025!F1178</f>
        <v>0</v>
      </c>
      <c r="G1179" s="265">
        <f>Data2025!H1178</f>
        <v>0</v>
      </c>
      <c r="H1179" s="265">
        <f t="shared" si="58"/>
        <v>0</v>
      </c>
      <c r="I1179" s="641">
        <f>Data2025!J1178</f>
        <v>0</v>
      </c>
      <c r="J1179" s="381">
        <f>Data2025!L1178</f>
        <v>0</v>
      </c>
      <c r="K1179" s="381">
        <f>Data2025!M1178</f>
        <v>0</v>
      </c>
      <c r="L1179" s="642">
        <f>Data2025!N1178</f>
        <v>0</v>
      </c>
      <c r="M1179" s="642">
        <f>Data2025!O1178</f>
        <v>0</v>
      </c>
      <c r="N1179" s="643">
        <f>Data2025!P1178</f>
        <v>0</v>
      </c>
      <c r="O1179" s="644">
        <f>Data2025!Q1178</f>
        <v>0</v>
      </c>
      <c r="P1179" s="645" t="s">
        <v>1545</v>
      </c>
      <c r="Q1179" s="646" t="e">
        <f>VLOOKUP(K1179,Sheet1!$C$1:$D$101,2,)</f>
        <v>#N/A</v>
      </c>
      <c r="R1179" s="267">
        <v>195000</v>
      </c>
      <c r="S1179" s="647">
        <v>201000</v>
      </c>
      <c r="T1179" s="648">
        <f>Data2025!T1178</f>
        <v>0</v>
      </c>
      <c r="U1179" s="268" t="s">
        <v>2531</v>
      </c>
      <c r="V1179" s="648">
        <f>Data2025!V1178</f>
        <v>0</v>
      </c>
      <c r="W1179" s="648">
        <f>Data2025!X1178</f>
        <v>0</v>
      </c>
      <c r="X1179" s="268" t="s">
        <v>2529</v>
      </c>
      <c r="Y1179" s="268" t="str">
        <f t="shared" si="59"/>
        <v>Air Mineral</v>
      </c>
      <c r="Z1179" s="649" t="str">
        <f t="shared" si="60"/>
        <v>Air Mineral</v>
      </c>
      <c r="AA1179" s="650" t="s">
        <v>3372</v>
      </c>
      <c r="AB1179" s="269">
        <v>65000</v>
      </c>
      <c r="AC1179" s="269">
        <v>195000</v>
      </c>
      <c r="AD1179" s="267">
        <v>195000</v>
      </c>
      <c r="AE1179" s="270">
        <v>175675.67567567568</v>
      </c>
      <c r="AF1179" s="270">
        <v>195000</v>
      </c>
      <c r="AG1179" s="805" t="s">
        <v>3883</v>
      </c>
      <c r="AH1179" s="651">
        <f>Data2025!W1178</f>
        <v>0</v>
      </c>
      <c r="AI1179" s="61">
        <v>378</v>
      </c>
    </row>
    <row r="1180" spans="1:35" ht="16.5" thickTop="1" thickBot="1">
      <c r="A1180" s="636">
        <f>Data2025!G1179</f>
        <v>0</v>
      </c>
      <c r="B1180" s="637">
        <f>Data2025!K1179</f>
        <v>0</v>
      </c>
      <c r="C1180" s="638">
        <f>Data2025!D1179</f>
        <v>0</v>
      </c>
      <c r="D1180" s="639">
        <f>Data2025!C1179</f>
        <v>0</v>
      </c>
      <c r="E1180" s="265">
        <f>Data2025!E1179</f>
        <v>0</v>
      </c>
      <c r="F1180" s="640">
        <f>Data2025!F1179</f>
        <v>0</v>
      </c>
      <c r="G1180" s="265">
        <f>Data2025!H1179</f>
        <v>0</v>
      </c>
      <c r="H1180" s="265">
        <f t="shared" si="58"/>
        <v>0</v>
      </c>
      <c r="I1180" s="641">
        <f>Data2025!J1179</f>
        <v>0</v>
      </c>
      <c r="J1180" s="381">
        <f>Data2025!L1179</f>
        <v>0</v>
      </c>
      <c r="K1180" s="381">
        <f>Data2025!M1179</f>
        <v>0</v>
      </c>
      <c r="L1180" s="642">
        <f>Data2025!N1179</f>
        <v>0</v>
      </c>
      <c r="M1180" s="642">
        <f>Data2025!O1179</f>
        <v>0</v>
      </c>
      <c r="N1180" s="643">
        <f>Data2025!P1179</f>
        <v>0</v>
      </c>
      <c r="O1180" s="644">
        <f>Data2025!Q1179</f>
        <v>0</v>
      </c>
      <c r="P1180" s="645" t="s">
        <v>8</v>
      </c>
      <c r="Q1180" s="646" t="e">
        <f>VLOOKUP(K1180,Sheet1!$C$1:$D$101,2,)</f>
        <v>#N/A</v>
      </c>
      <c r="R1180" s="267">
        <v>1050000</v>
      </c>
      <c r="S1180" s="647">
        <v>1110000</v>
      </c>
      <c r="T1180" s="648">
        <f>Data2025!T1179</f>
        <v>0</v>
      </c>
      <c r="U1180" s="268" t="s">
        <v>2520</v>
      </c>
      <c r="V1180" s="648">
        <f>Data2025!V1179</f>
        <v>0</v>
      </c>
      <c r="W1180" s="648">
        <f>Data2025!X1179</f>
        <v>0</v>
      </c>
      <c r="X1180" s="268" t="s">
        <v>3391</v>
      </c>
      <c r="Y1180" s="268" t="str">
        <f t="shared" si="59"/>
        <v>Konsumsi</v>
      </c>
      <c r="Z1180" s="649" t="str">
        <f t="shared" si="60"/>
        <v>Konsumsi</v>
      </c>
      <c r="AA1180" s="650" t="s">
        <v>3365</v>
      </c>
      <c r="AB1180" s="269">
        <v>35000</v>
      </c>
      <c r="AC1180" s="269">
        <v>1050000</v>
      </c>
      <c r="AD1180" s="267">
        <v>1050000</v>
      </c>
      <c r="AE1180" s="270">
        <v>945945.94594594592</v>
      </c>
      <c r="AF1180" s="270">
        <v>1050000</v>
      </c>
      <c r="AG1180" s="805" t="s">
        <v>3883</v>
      </c>
      <c r="AH1180" s="651">
        <f>Data2025!W1179</f>
        <v>0</v>
      </c>
      <c r="AI1180" s="61">
        <v>379</v>
      </c>
    </row>
    <row r="1181" spans="1:35" ht="16.5" thickTop="1" thickBot="1">
      <c r="A1181" s="636">
        <f>Data2025!G1180</f>
        <v>0</v>
      </c>
      <c r="B1181" s="637">
        <f>Data2025!K1180</f>
        <v>0</v>
      </c>
      <c r="C1181" s="638">
        <f>Data2025!D1180</f>
        <v>0</v>
      </c>
      <c r="D1181" s="639">
        <f>Data2025!C1180</f>
        <v>0</v>
      </c>
      <c r="E1181" s="265">
        <f>Data2025!E1180</f>
        <v>0</v>
      </c>
      <c r="F1181" s="640">
        <f>Data2025!F1180</f>
        <v>0</v>
      </c>
      <c r="G1181" s="265">
        <f>Data2025!H1180</f>
        <v>0</v>
      </c>
      <c r="H1181" s="265">
        <f t="shared" si="58"/>
        <v>0</v>
      </c>
      <c r="I1181" s="641">
        <f>Data2025!J1180</f>
        <v>0</v>
      </c>
      <c r="J1181" s="381">
        <f>Data2025!L1180</f>
        <v>0</v>
      </c>
      <c r="K1181" s="381">
        <f>Data2025!M1180</f>
        <v>0</v>
      </c>
      <c r="L1181" s="642">
        <f>Data2025!N1180</f>
        <v>0</v>
      </c>
      <c r="M1181" s="642">
        <f>Data2025!O1180</f>
        <v>0</v>
      </c>
      <c r="N1181" s="643">
        <f>Data2025!P1180</f>
        <v>0</v>
      </c>
      <c r="O1181" s="644">
        <f>Data2025!Q1180</f>
        <v>0</v>
      </c>
      <c r="P1181" s="645" t="s">
        <v>2713</v>
      </c>
      <c r="Q1181" s="646" t="e">
        <f>VLOOKUP(K1181,Sheet1!$C$1:$D$101,2,)</f>
        <v>#N/A</v>
      </c>
      <c r="R1181" s="496">
        <v>1000000</v>
      </c>
      <c r="S1181" s="504">
        <v>1002000</v>
      </c>
      <c r="T1181" s="648">
        <f>Data2025!T1180</f>
        <v>0</v>
      </c>
      <c r="U1181" s="497"/>
      <c r="V1181" s="648">
        <f>Data2025!V1180</f>
        <v>0</v>
      </c>
      <c r="W1181" s="648">
        <f>Data2025!X1180</f>
        <v>0</v>
      </c>
      <c r="Y1181" s="268" t="str">
        <f t="shared" si="59"/>
        <v>Jasa Tenaga Kebersihan</v>
      </c>
      <c r="Z1181" s="649" t="str">
        <f t="shared" si="60"/>
        <v>Jasa Tenaga Kebersihan</v>
      </c>
      <c r="AA1181" s="498" t="s">
        <v>3373</v>
      </c>
      <c r="AB1181" s="499">
        <v>1000000</v>
      </c>
      <c r="AC1181" s="499">
        <v>1000000</v>
      </c>
      <c r="AD1181" s="496">
        <v>1000000</v>
      </c>
      <c r="AE1181" s="500">
        <v>900900.90090090095</v>
      </c>
      <c r="AF1181" s="500">
        <v>1000000</v>
      </c>
      <c r="AG1181" s="805" t="s">
        <v>3883</v>
      </c>
      <c r="AH1181" s="651">
        <f>Data2025!W1180</f>
        <v>0</v>
      </c>
      <c r="AI1181" s="61">
        <v>380</v>
      </c>
    </row>
    <row r="1182" spans="1:35" ht="16.5" thickTop="1" thickBot="1">
      <c r="A1182" s="636">
        <f>Data2025!G1181</f>
        <v>0</v>
      </c>
      <c r="B1182" s="637">
        <f>Data2025!K1181</f>
        <v>0</v>
      </c>
      <c r="C1182" s="638">
        <f>Data2025!D1181</f>
        <v>0</v>
      </c>
      <c r="D1182" s="639">
        <f>Data2025!C1181</f>
        <v>0</v>
      </c>
      <c r="E1182" s="265">
        <f>Data2025!E1181</f>
        <v>0</v>
      </c>
      <c r="F1182" s="640">
        <f>Data2025!F1181</f>
        <v>0</v>
      </c>
      <c r="G1182" s="265">
        <f>Data2025!H1181</f>
        <v>0</v>
      </c>
      <c r="H1182" s="265">
        <f t="shared" si="58"/>
        <v>0</v>
      </c>
      <c r="I1182" s="641">
        <f>Data2025!J1181</f>
        <v>0</v>
      </c>
      <c r="J1182" s="381">
        <f>Data2025!L1181</f>
        <v>0</v>
      </c>
      <c r="K1182" s="381">
        <f>Data2025!M1181</f>
        <v>0</v>
      </c>
      <c r="L1182" s="642">
        <f>Data2025!N1181</f>
        <v>0</v>
      </c>
      <c r="M1182" s="642">
        <f>Data2025!O1181</f>
        <v>0</v>
      </c>
      <c r="N1182" s="643">
        <f>Data2025!P1181</f>
        <v>0</v>
      </c>
      <c r="O1182" s="644">
        <f>Data2025!Q1181</f>
        <v>0</v>
      </c>
      <c r="P1182" s="645" t="s">
        <v>2682</v>
      </c>
      <c r="Q1182" s="646" t="e">
        <f>VLOOKUP(K1182,Sheet1!$C$1:$D$101,2,)</f>
        <v>#N/A</v>
      </c>
      <c r="R1182" s="496">
        <v>2700000</v>
      </c>
      <c r="S1182" s="504">
        <v>2541000</v>
      </c>
      <c r="T1182" s="648">
        <f>Data2025!T1181</f>
        <v>0</v>
      </c>
      <c r="U1182" s="497"/>
      <c r="V1182" s="648">
        <f>Data2025!V1181</f>
        <v>0</v>
      </c>
      <c r="W1182" s="648">
        <f>Data2025!X1181</f>
        <v>0</v>
      </c>
      <c r="Y1182" s="268" t="str">
        <f t="shared" si="59"/>
        <v>Jasa Tenaga Pengajar</v>
      </c>
      <c r="Z1182" s="649" t="str">
        <f t="shared" si="60"/>
        <v>Jasa Tenaga Pengajar</v>
      </c>
      <c r="AA1182" s="498" t="s">
        <v>3374</v>
      </c>
      <c r="AB1182" s="499">
        <v>75000</v>
      </c>
      <c r="AC1182" s="499">
        <v>2475000</v>
      </c>
      <c r="AD1182" s="496">
        <v>2700000</v>
      </c>
      <c r="AE1182" s="500">
        <v>2432432.4324324327</v>
      </c>
      <c r="AF1182" s="500">
        <v>2700000</v>
      </c>
      <c r="AG1182" s="805" t="s">
        <v>3883</v>
      </c>
      <c r="AH1182" s="651">
        <f>Data2025!W1181</f>
        <v>0</v>
      </c>
      <c r="AI1182" s="61">
        <v>381</v>
      </c>
    </row>
    <row r="1183" spans="1:35" ht="16.5" thickTop="1" thickBot="1">
      <c r="A1183" s="636">
        <f>Data2025!G1182</f>
        <v>0</v>
      </c>
      <c r="B1183" s="637">
        <f>Data2025!K1182</f>
        <v>0</v>
      </c>
      <c r="C1183" s="638">
        <f>Data2025!D1182</f>
        <v>0</v>
      </c>
      <c r="D1183" s="639">
        <f>Data2025!C1182</f>
        <v>0</v>
      </c>
      <c r="E1183" s="265">
        <f>Data2025!E1182</f>
        <v>0</v>
      </c>
      <c r="F1183" s="640">
        <f>Data2025!F1182</f>
        <v>0</v>
      </c>
      <c r="G1183" s="265">
        <f>Data2025!H1182</f>
        <v>0</v>
      </c>
      <c r="H1183" s="265">
        <f t="shared" si="58"/>
        <v>0</v>
      </c>
      <c r="I1183" s="641">
        <f>Data2025!J1182</f>
        <v>0</v>
      </c>
      <c r="J1183" s="381">
        <f>Data2025!L1182</f>
        <v>0</v>
      </c>
      <c r="K1183" s="381">
        <f>Data2025!M1182</f>
        <v>0</v>
      </c>
      <c r="L1183" s="642">
        <f>Data2025!N1182</f>
        <v>0</v>
      </c>
      <c r="M1183" s="642">
        <f>Data2025!O1182</f>
        <v>0</v>
      </c>
      <c r="N1183" s="643">
        <f>Data2025!P1182</f>
        <v>0</v>
      </c>
      <c r="O1183" s="644">
        <f>Data2025!Q1182</f>
        <v>0</v>
      </c>
      <c r="P1183" s="645" t="s">
        <v>2682</v>
      </c>
      <c r="Q1183" s="646" t="e">
        <f>VLOOKUP(K1183,Sheet1!$C$1:$D$101,2,)</f>
        <v>#N/A</v>
      </c>
      <c r="R1183" s="496">
        <v>2400000</v>
      </c>
      <c r="S1183" s="504">
        <v>2618000</v>
      </c>
      <c r="T1183" s="648">
        <f>Data2025!T1182</f>
        <v>0</v>
      </c>
      <c r="U1183" s="497"/>
      <c r="V1183" s="648">
        <f>Data2025!V1182</f>
        <v>0</v>
      </c>
      <c r="W1183" s="648">
        <f>Data2025!X1182</f>
        <v>0</v>
      </c>
      <c r="Y1183" s="268" t="str">
        <f t="shared" si="59"/>
        <v>Jasa Tenaga Pengajar</v>
      </c>
      <c r="Z1183" s="649" t="str">
        <f t="shared" si="60"/>
        <v>Jasa Tenaga Pengajar</v>
      </c>
      <c r="AA1183" s="498" t="s">
        <v>3374</v>
      </c>
      <c r="AB1183" s="499">
        <v>75000</v>
      </c>
      <c r="AC1183" s="499">
        <v>2550000</v>
      </c>
      <c r="AD1183" s="496">
        <v>2400000</v>
      </c>
      <c r="AE1183" s="500">
        <v>2162162.1621621624</v>
      </c>
      <c r="AF1183" s="500">
        <v>2400000</v>
      </c>
      <c r="AG1183" s="805" t="s">
        <v>3883</v>
      </c>
      <c r="AH1183" s="651">
        <f>Data2025!W1182</f>
        <v>0</v>
      </c>
      <c r="AI1183" s="61">
        <v>382</v>
      </c>
    </row>
    <row r="1184" spans="1:35" ht="16.5" thickTop="1" thickBot="1">
      <c r="A1184" s="636">
        <f>Data2025!G1183</f>
        <v>0</v>
      </c>
      <c r="B1184" s="637">
        <f>Data2025!K1183</f>
        <v>0</v>
      </c>
      <c r="C1184" s="638">
        <f>Data2025!D1183</f>
        <v>0</v>
      </c>
      <c r="D1184" s="639">
        <f>Data2025!C1183</f>
        <v>0</v>
      </c>
      <c r="E1184" s="265">
        <f>Data2025!E1183</f>
        <v>0</v>
      </c>
      <c r="F1184" s="640">
        <f>Data2025!F1183</f>
        <v>0</v>
      </c>
      <c r="G1184" s="265">
        <f>Data2025!H1183</f>
        <v>0</v>
      </c>
      <c r="H1184" s="265">
        <f t="shared" si="58"/>
        <v>0</v>
      </c>
      <c r="I1184" s="641">
        <f>Data2025!J1183</f>
        <v>0</v>
      </c>
      <c r="J1184" s="381">
        <f>Data2025!L1183</f>
        <v>0</v>
      </c>
      <c r="K1184" s="381">
        <f>Data2025!M1183</f>
        <v>0</v>
      </c>
      <c r="L1184" s="642">
        <f>Data2025!N1183</f>
        <v>0</v>
      </c>
      <c r="M1184" s="642">
        <f>Data2025!O1183</f>
        <v>0</v>
      </c>
      <c r="N1184" s="643">
        <f>Data2025!P1183</f>
        <v>0</v>
      </c>
      <c r="O1184" s="644">
        <f>Data2025!Q1183</f>
        <v>0</v>
      </c>
      <c r="P1184" s="645" t="s">
        <v>2682</v>
      </c>
      <c r="Q1184" s="646" t="e">
        <f>VLOOKUP(K1184,Sheet1!$C$1:$D$101,2,)</f>
        <v>#N/A</v>
      </c>
      <c r="R1184" s="496">
        <v>2175000</v>
      </c>
      <c r="S1184" s="504">
        <v>2310000</v>
      </c>
      <c r="T1184" s="648">
        <f>Data2025!T1183</f>
        <v>0</v>
      </c>
      <c r="U1184" s="497"/>
      <c r="V1184" s="648">
        <f>Data2025!V1183</f>
        <v>0</v>
      </c>
      <c r="W1184" s="648">
        <f>Data2025!X1183</f>
        <v>0</v>
      </c>
      <c r="Y1184" s="268" t="str">
        <f t="shared" si="59"/>
        <v>Jasa Tenaga Pengajar</v>
      </c>
      <c r="Z1184" s="649" t="str">
        <f t="shared" si="60"/>
        <v>Jasa Tenaga Pengajar</v>
      </c>
      <c r="AA1184" s="498" t="s">
        <v>3374</v>
      </c>
      <c r="AB1184" s="499">
        <v>75000</v>
      </c>
      <c r="AC1184" s="499">
        <v>2250000</v>
      </c>
      <c r="AD1184" s="496">
        <v>2175000</v>
      </c>
      <c r="AE1184" s="500">
        <v>1959459.4594594594</v>
      </c>
      <c r="AF1184" s="500">
        <v>2175000</v>
      </c>
      <c r="AG1184" s="805" t="s">
        <v>3883</v>
      </c>
      <c r="AH1184" s="651">
        <f>Data2025!W1183</f>
        <v>0</v>
      </c>
      <c r="AI1184" s="61">
        <v>383</v>
      </c>
    </row>
    <row r="1185" spans="1:35" ht="16.5" thickTop="1" thickBot="1">
      <c r="A1185" s="636">
        <f>Data2025!G1184</f>
        <v>0</v>
      </c>
      <c r="B1185" s="637">
        <f>Data2025!K1184</f>
        <v>0</v>
      </c>
      <c r="C1185" s="638">
        <f>Data2025!D1184</f>
        <v>0</v>
      </c>
      <c r="D1185" s="639">
        <f>Data2025!C1184</f>
        <v>0</v>
      </c>
      <c r="E1185" s="265">
        <f>Data2025!E1184</f>
        <v>0</v>
      </c>
      <c r="F1185" s="640">
        <f>Data2025!F1184</f>
        <v>0</v>
      </c>
      <c r="G1185" s="265">
        <f>Data2025!H1184</f>
        <v>0</v>
      </c>
      <c r="H1185" s="265">
        <f t="shared" si="58"/>
        <v>0</v>
      </c>
      <c r="I1185" s="641">
        <f>Data2025!J1184</f>
        <v>0</v>
      </c>
      <c r="J1185" s="381">
        <f>Data2025!L1184</f>
        <v>0</v>
      </c>
      <c r="K1185" s="381">
        <f>Data2025!M1184</f>
        <v>0</v>
      </c>
      <c r="L1185" s="642">
        <f>Data2025!N1184</f>
        <v>0</v>
      </c>
      <c r="M1185" s="642">
        <f>Data2025!O1184</f>
        <v>0</v>
      </c>
      <c r="N1185" s="643">
        <f>Data2025!P1184</f>
        <v>0</v>
      </c>
      <c r="O1185" s="644">
        <f>Data2025!Q1184</f>
        <v>0</v>
      </c>
      <c r="P1185" s="645" t="s">
        <v>2682</v>
      </c>
      <c r="Q1185" s="646" t="e">
        <f>VLOOKUP(K1185,Sheet1!$C$1:$D$101,2,)</f>
        <v>#N/A</v>
      </c>
      <c r="R1185" s="496">
        <v>2625000</v>
      </c>
      <c r="S1185" s="504">
        <v>2541000</v>
      </c>
      <c r="T1185" s="648">
        <f>Data2025!T1184</f>
        <v>0</v>
      </c>
      <c r="U1185" s="497"/>
      <c r="V1185" s="648">
        <f>Data2025!V1184</f>
        <v>0</v>
      </c>
      <c r="W1185" s="648">
        <f>Data2025!X1184</f>
        <v>0</v>
      </c>
      <c r="Y1185" s="268" t="str">
        <f t="shared" si="59"/>
        <v>Jasa Tenaga Pengajar</v>
      </c>
      <c r="Z1185" s="649" t="str">
        <f t="shared" si="60"/>
        <v>Jasa Tenaga Pengajar</v>
      </c>
      <c r="AA1185" s="498" t="s">
        <v>3374</v>
      </c>
      <c r="AB1185" s="499">
        <v>75000</v>
      </c>
      <c r="AC1185" s="499">
        <v>2475000</v>
      </c>
      <c r="AD1185" s="496">
        <v>2625000</v>
      </c>
      <c r="AE1185" s="500">
        <v>2364864.8648648649</v>
      </c>
      <c r="AF1185" s="500">
        <v>2625000</v>
      </c>
      <c r="AG1185" s="805" t="s">
        <v>3883</v>
      </c>
      <c r="AH1185" s="651">
        <f>Data2025!W1184</f>
        <v>0</v>
      </c>
      <c r="AI1185" s="61">
        <v>384</v>
      </c>
    </row>
    <row r="1186" spans="1:35" ht="16.5" thickTop="1" thickBot="1">
      <c r="A1186" s="636">
        <f>Data2025!G1185</f>
        <v>0</v>
      </c>
      <c r="B1186" s="637">
        <f>Data2025!K1185</f>
        <v>0</v>
      </c>
      <c r="C1186" s="638">
        <f>Data2025!D1185</f>
        <v>0</v>
      </c>
      <c r="D1186" s="639">
        <f>Data2025!C1185</f>
        <v>0</v>
      </c>
      <c r="E1186" s="265">
        <f>Data2025!E1185</f>
        <v>0</v>
      </c>
      <c r="F1186" s="640">
        <f>Data2025!F1185</f>
        <v>0</v>
      </c>
      <c r="G1186" s="265">
        <f>Data2025!H1185</f>
        <v>0</v>
      </c>
      <c r="H1186" s="265">
        <f t="shared" si="58"/>
        <v>0</v>
      </c>
      <c r="I1186" s="641">
        <f>Data2025!J1185</f>
        <v>0</v>
      </c>
      <c r="J1186" s="381">
        <f>Data2025!L1185</f>
        <v>0</v>
      </c>
      <c r="K1186" s="381">
        <f>Data2025!M1185</f>
        <v>0</v>
      </c>
      <c r="L1186" s="642">
        <f>Data2025!N1185</f>
        <v>0</v>
      </c>
      <c r="M1186" s="642">
        <f>Data2025!O1185</f>
        <v>0</v>
      </c>
      <c r="N1186" s="643">
        <f>Data2025!P1185</f>
        <v>0</v>
      </c>
      <c r="O1186" s="644">
        <f>Data2025!Q1185</f>
        <v>0</v>
      </c>
      <c r="P1186" s="645" t="s">
        <v>2682</v>
      </c>
      <c r="Q1186" s="646" t="e">
        <f>VLOOKUP(K1186,Sheet1!$C$1:$D$101,2,)</f>
        <v>#N/A</v>
      </c>
      <c r="R1186" s="496">
        <v>2475000</v>
      </c>
      <c r="S1186" s="504">
        <v>2156000</v>
      </c>
      <c r="T1186" s="648">
        <f>Data2025!T1185</f>
        <v>0</v>
      </c>
      <c r="U1186" s="497"/>
      <c r="V1186" s="648">
        <f>Data2025!V1185</f>
        <v>0</v>
      </c>
      <c r="W1186" s="648">
        <f>Data2025!X1185</f>
        <v>0</v>
      </c>
      <c r="Y1186" s="268" t="str">
        <f t="shared" si="59"/>
        <v>Jasa Tenaga Pengajar</v>
      </c>
      <c r="Z1186" s="649" t="str">
        <f t="shared" si="60"/>
        <v>Jasa Tenaga Pengajar</v>
      </c>
      <c r="AA1186" s="498" t="s">
        <v>3374</v>
      </c>
      <c r="AB1186" s="499">
        <v>75000</v>
      </c>
      <c r="AC1186" s="499">
        <v>2100000</v>
      </c>
      <c r="AD1186" s="496">
        <v>2475000</v>
      </c>
      <c r="AE1186" s="500">
        <v>2229729.7297297297</v>
      </c>
      <c r="AF1186" s="500">
        <v>2475000</v>
      </c>
      <c r="AG1186" s="805" t="s">
        <v>3883</v>
      </c>
      <c r="AH1186" s="651">
        <f>Data2025!W1185</f>
        <v>0</v>
      </c>
      <c r="AI1186" s="61">
        <v>385</v>
      </c>
    </row>
    <row r="1187" spans="1:35" ht="16.5" thickTop="1" thickBot="1">
      <c r="A1187" s="636">
        <f>Data2025!G1186</f>
        <v>0</v>
      </c>
      <c r="B1187" s="637">
        <f>Data2025!K1186</f>
        <v>0</v>
      </c>
      <c r="C1187" s="638">
        <f>Data2025!D1186</f>
        <v>0</v>
      </c>
      <c r="D1187" s="639">
        <f>Data2025!C1186</f>
        <v>0</v>
      </c>
      <c r="E1187" s="265">
        <f>Data2025!E1186</f>
        <v>0</v>
      </c>
      <c r="F1187" s="640">
        <f>Data2025!F1186</f>
        <v>0</v>
      </c>
      <c r="G1187" s="265">
        <f>Data2025!H1186</f>
        <v>0</v>
      </c>
      <c r="H1187" s="265">
        <f t="shared" si="58"/>
        <v>0</v>
      </c>
      <c r="I1187" s="641">
        <f>Data2025!J1186</f>
        <v>0</v>
      </c>
      <c r="J1187" s="381">
        <f>Data2025!L1186</f>
        <v>0</v>
      </c>
      <c r="K1187" s="381">
        <f>Data2025!M1186</f>
        <v>0</v>
      </c>
      <c r="L1187" s="642">
        <f>Data2025!N1186</f>
        <v>0</v>
      </c>
      <c r="M1187" s="642">
        <f>Data2025!O1186</f>
        <v>0</v>
      </c>
      <c r="N1187" s="643">
        <f>Data2025!P1186</f>
        <v>0</v>
      </c>
      <c r="O1187" s="644">
        <f>Data2025!Q1186</f>
        <v>0</v>
      </c>
      <c r="P1187" s="645" t="s">
        <v>2699</v>
      </c>
      <c r="Q1187" s="646" t="e">
        <f>VLOOKUP(K1187,Sheet1!$C$1:$D$101,2,)</f>
        <v>#N/A</v>
      </c>
      <c r="R1187" s="496">
        <v>1575000</v>
      </c>
      <c r="S1187" s="504">
        <v>2541000</v>
      </c>
      <c r="T1187" s="648">
        <f>Data2025!T1186</f>
        <v>0</v>
      </c>
      <c r="U1187" s="497"/>
      <c r="V1187" s="648">
        <f>Data2025!V1186</f>
        <v>0</v>
      </c>
      <c r="W1187" s="648">
        <f>Data2025!X1186</f>
        <v>0</v>
      </c>
      <c r="Y1187" s="268" t="str">
        <f t="shared" si="59"/>
        <v>Jasa Tenaga TU</v>
      </c>
      <c r="Z1187" s="649" t="str">
        <f t="shared" si="60"/>
        <v>Jasa Tenaga TU</v>
      </c>
      <c r="AA1187" s="498" t="s">
        <v>3374</v>
      </c>
      <c r="AB1187" s="499">
        <v>75000</v>
      </c>
      <c r="AC1187" s="499">
        <v>2475000</v>
      </c>
      <c r="AD1187" s="496">
        <v>1575000</v>
      </c>
      <c r="AE1187" s="500">
        <v>1418918.9189189191</v>
      </c>
      <c r="AF1187" s="500">
        <v>1575000</v>
      </c>
      <c r="AG1187" s="805" t="s">
        <v>3883</v>
      </c>
      <c r="AH1187" s="651">
        <f>Data2025!W1186</f>
        <v>0</v>
      </c>
      <c r="AI1187" s="61">
        <v>386</v>
      </c>
    </row>
    <row r="1188" spans="1:35" ht="16.5" thickTop="1" thickBot="1">
      <c r="A1188" s="636">
        <f>Data2025!G1187</f>
        <v>0</v>
      </c>
      <c r="B1188" s="637">
        <f>Data2025!K1187</f>
        <v>0</v>
      </c>
      <c r="C1188" s="638">
        <f>Data2025!D1187</f>
        <v>0</v>
      </c>
      <c r="D1188" s="639">
        <f>Data2025!C1187</f>
        <v>0</v>
      </c>
      <c r="E1188" s="265">
        <f>Data2025!E1187</f>
        <v>0</v>
      </c>
      <c r="F1188" s="640">
        <f>Data2025!F1187</f>
        <v>0</v>
      </c>
      <c r="G1188" s="265">
        <f>Data2025!H1187</f>
        <v>0</v>
      </c>
      <c r="H1188" s="265">
        <f t="shared" si="58"/>
        <v>0</v>
      </c>
      <c r="I1188" s="641">
        <f>Data2025!J1187</f>
        <v>0</v>
      </c>
      <c r="J1188" s="381">
        <f>Data2025!L1187</f>
        <v>0</v>
      </c>
      <c r="K1188" s="381">
        <f>Data2025!M1187</f>
        <v>0</v>
      </c>
      <c r="L1188" s="642">
        <f>Data2025!N1187</f>
        <v>0</v>
      </c>
      <c r="M1188" s="642">
        <f>Data2025!O1187</f>
        <v>0</v>
      </c>
      <c r="N1188" s="643">
        <f>Data2025!P1187</f>
        <v>0</v>
      </c>
      <c r="O1188" s="644">
        <f>Data2025!Q1187</f>
        <v>0</v>
      </c>
      <c r="P1188" s="645" t="s">
        <v>2699</v>
      </c>
      <c r="Q1188" s="646" t="e">
        <f>VLOOKUP(K1188,Sheet1!$C$1:$D$101,2,)</f>
        <v>#N/A</v>
      </c>
      <c r="R1188" s="496">
        <v>2000000</v>
      </c>
      <c r="S1188" s="504">
        <v>2002000</v>
      </c>
      <c r="T1188" s="648">
        <f>Data2025!T1187</f>
        <v>0</v>
      </c>
      <c r="U1188" s="497"/>
      <c r="V1188" s="648">
        <f>Data2025!V1187</f>
        <v>0</v>
      </c>
      <c r="W1188" s="648">
        <f>Data2025!X1187</f>
        <v>0</v>
      </c>
      <c r="Y1188" s="268" t="str">
        <f t="shared" si="59"/>
        <v>Jasa Tenaga TU</v>
      </c>
      <c r="Z1188" s="649" t="str">
        <f t="shared" si="60"/>
        <v>Jasa Tenaga TU</v>
      </c>
      <c r="AA1188" s="498" t="s">
        <v>3373</v>
      </c>
      <c r="AB1188" s="499">
        <v>2000000</v>
      </c>
      <c r="AC1188" s="499">
        <v>2000000</v>
      </c>
      <c r="AD1188" s="496">
        <v>2000000</v>
      </c>
      <c r="AE1188" s="500">
        <v>1801801.8018018019</v>
      </c>
      <c r="AF1188" s="500">
        <v>2000000</v>
      </c>
      <c r="AG1188" s="805" t="s">
        <v>3883</v>
      </c>
      <c r="AH1188" s="651">
        <f>Data2025!W1187</f>
        <v>0</v>
      </c>
      <c r="AI1188" s="61">
        <v>387</v>
      </c>
    </row>
    <row r="1189" spans="1:35" ht="16.5" thickTop="1" thickBot="1">
      <c r="A1189" s="636">
        <f>Data2025!G1188</f>
        <v>0</v>
      </c>
      <c r="B1189" s="637">
        <f>Data2025!K1188</f>
        <v>0</v>
      </c>
      <c r="C1189" s="638">
        <f>Data2025!D1188</f>
        <v>0</v>
      </c>
      <c r="D1189" s="639">
        <f>Data2025!C1188</f>
        <v>0</v>
      </c>
      <c r="E1189" s="265">
        <f>Data2025!E1188</f>
        <v>0</v>
      </c>
      <c r="F1189" s="640">
        <f>Data2025!F1188</f>
        <v>0</v>
      </c>
      <c r="G1189" s="265">
        <f>Data2025!H1188</f>
        <v>0</v>
      </c>
      <c r="H1189" s="265">
        <f t="shared" si="58"/>
        <v>0</v>
      </c>
      <c r="I1189" s="641">
        <f>Data2025!J1188</f>
        <v>0</v>
      </c>
      <c r="J1189" s="381">
        <f>Data2025!L1188</f>
        <v>0</v>
      </c>
      <c r="K1189" s="381">
        <f>Data2025!M1188</f>
        <v>0</v>
      </c>
      <c r="L1189" s="642">
        <f>Data2025!N1188</f>
        <v>0</v>
      </c>
      <c r="M1189" s="642">
        <f>Data2025!O1188</f>
        <v>0</v>
      </c>
      <c r="N1189" s="643">
        <f>Data2025!P1188</f>
        <v>0</v>
      </c>
      <c r="O1189" s="644">
        <f>Data2025!Q1188</f>
        <v>0</v>
      </c>
      <c r="P1189" s="645" t="s">
        <v>2699</v>
      </c>
      <c r="Q1189" s="646" t="e">
        <f>VLOOKUP(K1189,Sheet1!$C$1:$D$101,2,)</f>
        <v>#N/A</v>
      </c>
      <c r="R1189" s="496">
        <v>2000000</v>
      </c>
      <c r="S1189" s="504">
        <v>2002000</v>
      </c>
      <c r="T1189" s="648">
        <f>Data2025!T1188</f>
        <v>0</v>
      </c>
      <c r="U1189" s="497"/>
      <c r="V1189" s="648">
        <f>Data2025!V1188</f>
        <v>0</v>
      </c>
      <c r="W1189" s="648">
        <f>Data2025!X1188</f>
        <v>0</v>
      </c>
      <c r="Y1189" s="268" t="str">
        <f t="shared" si="59"/>
        <v>Jasa Tenaga TU</v>
      </c>
      <c r="Z1189" s="649" t="str">
        <f t="shared" si="60"/>
        <v>Jasa Tenaga TU</v>
      </c>
      <c r="AA1189" s="498" t="s">
        <v>3373</v>
      </c>
      <c r="AB1189" s="499">
        <v>2000000</v>
      </c>
      <c r="AC1189" s="499">
        <v>2000000</v>
      </c>
      <c r="AD1189" s="496">
        <v>2000000</v>
      </c>
      <c r="AE1189" s="500">
        <v>1801801.8018018019</v>
      </c>
      <c r="AF1189" s="500">
        <v>2000000</v>
      </c>
      <c r="AG1189" s="805" t="s">
        <v>3883</v>
      </c>
      <c r="AH1189" s="651">
        <f>Data2025!W1188</f>
        <v>0</v>
      </c>
      <c r="AI1189" s="61">
        <v>388</v>
      </c>
    </row>
    <row r="1190" spans="1:35" ht="16.5" thickTop="1" thickBot="1">
      <c r="A1190" s="636">
        <f>Data2025!G1189</f>
        <v>0</v>
      </c>
      <c r="B1190" s="637">
        <f>Data2025!K1189</f>
        <v>0</v>
      </c>
      <c r="C1190" s="638">
        <f>Data2025!D1189</f>
        <v>0</v>
      </c>
      <c r="D1190" s="639">
        <f>Data2025!C1189</f>
        <v>0</v>
      </c>
      <c r="E1190" s="265">
        <f>Data2025!E1189</f>
        <v>0</v>
      </c>
      <c r="F1190" s="640">
        <f>Data2025!F1189</f>
        <v>0</v>
      </c>
      <c r="G1190" s="265">
        <f>Data2025!H1189</f>
        <v>0</v>
      </c>
      <c r="H1190" s="265">
        <f t="shared" si="58"/>
        <v>0</v>
      </c>
      <c r="I1190" s="641">
        <f>Data2025!J1189</f>
        <v>0</v>
      </c>
      <c r="J1190" s="381">
        <f>Data2025!L1189</f>
        <v>0</v>
      </c>
      <c r="K1190" s="381">
        <f>Data2025!M1189</f>
        <v>0</v>
      </c>
      <c r="L1190" s="642">
        <f>Data2025!N1189</f>
        <v>0</v>
      </c>
      <c r="M1190" s="642">
        <f>Data2025!O1189</f>
        <v>0</v>
      </c>
      <c r="N1190" s="643">
        <f>Data2025!P1189</f>
        <v>0</v>
      </c>
      <c r="O1190" s="644">
        <f>Data2025!Q1189</f>
        <v>0</v>
      </c>
      <c r="P1190" s="645" t="s">
        <v>2699</v>
      </c>
      <c r="Q1190" s="646" t="e">
        <f>VLOOKUP(K1190,Sheet1!$C$1:$D$101,2,)</f>
        <v>#N/A</v>
      </c>
      <c r="R1190" s="496">
        <v>2000000</v>
      </c>
      <c r="S1190" s="504">
        <v>2002000</v>
      </c>
      <c r="T1190" s="648">
        <f>Data2025!T1189</f>
        <v>0</v>
      </c>
      <c r="U1190" s="497"/>
      <c r="V1190" s="648">
        <f>Data2025!V1189</f>
        <v>0</v>
      </c>
      <c r="W1190" s="648">
        <f>Data2025!X1189</f>
        <v>0</v>
      </c>
      <c r="Y1190" s="268" t="str">
        <f t="shared" si="59"/>
        <v>Jasa Tenaga TU</v>
      </c>
      <c r="Z1190" s="649" t="str">
        <f t="shared" si="60"/>
        <v>Jasa Tenaga TU</v>
      </c>
      <c r="AA1190" s="498" t="s">
        <v>3373</v>
      </c>
      <c r="AB1190" s="499">
        <v>2000000</v>
      </c>
      <c r="AC1190" s="499">
        <v>2000000</v>
      </c>
      <c r="AD1190" s="496">
        <v>2000000</v>
      </c>
      <c r="AE1190" s="500">
        <v>1801801.8018018019</v>
      </c>
      <c r="AF1190" s="500">
        <v>2000000</v>
      </c>
      <c r="AG1190" s="805" t="s">
        <v>3883</v>
      </c>
      <c r="AH1190" s="651">
        <f>Data2025!W1189</f>
        <v>0</v>
      </c>
      <c r="AI1190" s="61">
        <v>389</v>
      </c>
    </row>
    <row r="1191" spans="1:35" ht="16.5" thickTop="1" thickBot="1">
      <c r="A1191" s="636">
        <f>Data2025!G1190</f>
        <v>0</v>
      </c>
      <c r="B1191" s="637">
        <f>Data2025!K1190</f>
        <v>0</v>
      </c>
      <c r="C1191" s="638">
        <f>Data2025!D1190</f>
        <v>0</v>
      </c>
      <c r="D1191" s="639">
        <f>Data2025!C1190</f>
        <v>0</v>
      </c>
      <c r="E1191" s="265">
        <f>Data2025!E1190</f>
        <v>0</v>
      </c>
      <c r="F1191" s="640">
        <f>Data2025!F1190</f>
        <v>0</v>
      </c>
      <c r="G1191" s="265">
        <f>Data2025!H1190</f>
        <v>0</v>
      </c>
      <c r="H1191" s="265">
        <f t="shared" si="58"/>
        <v>0</v>
      </c>
      <c r="I1191" s="641">
        <f>Data2025!J1190</f>
        <v>0</v>
      </c>
      <c r="J1191" s="381">
        <f>Data2025!L1190</f>
        <v>0</v>
      </c>
      <c r="K1191" s="381">
        <f>Data2025!M1190</f>
        <v>0</v>
      </c>
      <c r="L1191" s="642">
        <f>Data2025!N1190</f>
        <v>0</v>
      </c>
      <c r="M1191" s="642">
        <f>Data2025!O1190</f>
        <v>0</v>
      </c>
      <c r="N1191" s="643">
        <f>Data2025!P1190</f>
        <v>0</v>
      </c>
      <c r="O1191" s="644">
        <f>Data2025!Q1190</f>
        <v>0</v>
      </c>
      <c r="P1191" s="645" t="s">
        <v>2699</v>
      </c>
      <c r="Q1191" s="646" t="e">
        <f>VLOOKUP(K1191,Sheet1!$C$1:$D$101,2,)</f>
        <v>#N/A</v>
      </c>
      <c r="R1191" s="496">
        <v>2000000</v>
      </c>
      <c r="S1191" s="504">
        <v>2002000</v>
      </c>
      <c r="T1191" s="648">
        <f>Data2025!T1190</f>
        <v>0</v>
      </c>
      <c r="U1191" s="497"/>
      <c r="V1191" s="648">
        <f>Data2025!V1190</f>
        <v>0</v>
      </c>
      <c r="W1191" s="648">
        <f>Data2025!X1190</f>
        <v>0</v>
      </c>
      <c r="Y1191" s="268" t="str">
        <f t="shared" si="59"/>
        <v>Jasa Tenaga TU</v>
      </c>
      <c r="Z1191" s="649" t="str">
        <f t="shared" si="60"/>
        <v>Jasa Tenaga TU</v>
      </c>
      <c r="AA1191" s="498" t="s">
        <v>3373</v>
      </c>
      <c r="AB1191" s="499">
        <v>2000000</v>
      </c>
      <c r="AC1191" s="499">
        <v>2000000</v>
      </c>
      <c r="AD1191" s="496">
        <v>2000000</v>
      </c>
      <c r="AE1191" s="500">
        <v>1801801.8018018019</v>
      </c>
      <c r="AF1191" s="500">
        <v>2000000</v>
      </c>
      <c r="AG1191" s="805" t="s">
        <v>3883</v>
      </c>
      <c r="AH1191" s="651">
        <f>Data2025!W1190</f>
        <v>0</v>
      </c>
      <c r="AI1191" s="61">
        <v>390</v>
      </c>
    </row>
    <row r="1192" spans="1:35" ht="16.5" thickTop="1" thickBot="1">
      <c r="A1192" s="636">
        <f>Data2025!G1191</f>
        <v>0</v>
      </c>
      <c r="B1192" s="637">
        <f>Data2025!K1191</f>
        <v>0</v>
      </c>
      <c r="C1192" s="638">
        <f>Data2025!D1191</f>
        <v>0</v>
      </c>
      <c r="D1192" s="639">
        <f>Data2025!C1191</f>
        <v>0</v>
      </c>
      <c r="E1192" s="265">
        <f>Data2025!E1191</f>
        <v>0</v>
      </c>
      <c r="F1192" s="640">
        <f>Data2025!F1191</f>
        <v>0</v>
      </c>
      <c r="G1192" s="265">
        <f>Data2025!H1191</f>
        <v>0</v>
      </c>
      <c r="H1192" s="265">
        <f t="shared" si="58"/>
        <v>0</v>
      </c>
      <c r="I1192" s="641">
        <f>Data2025!J1191</f>
        <v>0</v>
      </c>
      <c r="J1192" s="381">
        <f>Data2025!L1191</f>
        <v>0</v>
      </c>
      <c r="K1192" s="381">
        <f>Data2025!M1191</f>
        <v>0</v>
      </c>
      <c r="L1192" s="642">
        <f>Data2025!N1191</f>
        <v>0</v>
      </c>
      <c r="M1192" s="642">
        <f>Data2025!O1191</f>
        <v>0</v>
      </c>
      <c r="N1192" s="643">
        <f>Data2025!P1191</f>
        <v>0</v>
      </c>
      <c r="O1192" s="644">
        <f>Data2025!Q1191</f>
        <v>0</v>
      </c>
      <c r="P1192" s="645" t="s">
        <v>2699</v>
      </c>
      <c r="Q1192" s="646" t="e">
        <f>VLOOKUP(K1192,Sheet1!$C$1:$D$101,2,)</f>
        <v>#N/A</v>
      </c>
      <c r="R1192" s="496">
        <v>2000000</v>
      </c>
      <c r="S1192" s="504">
        <v>2002000</v>
      </c>
      <c r="T1192" s="648">
        <f>Data2025!T1191</f>
        <v>0</v>
      </c>
      <c r="U1192" s="497"/>
      <c r="V1192" s="648">
        <f>Data2025!V1191</f>
        <v>0</v>
      </c>
      <c r="W1192" s="648">
        <f>Data2025!X1191</f>
        <v>0</v>
      </c>
      <c r="Y1192" s="268" t="str">
        <f t="shared" si="59"/>
        <v>Jasa Tenaga TU</v>
      </c>
      <c r="Z1192" s="649" t="str">
        <f t="shared" si="60"/>
        <v>Jasa Tenaga TU</v>
      </c>
      <c r="AA1192" s="498" t="s">
        <v>3373</v>
      </c>
      <c r="AB1192" s="499">
        <v>2000000</v>
      </c>
      <c r="AC1192" s="499">
        <v>2000000</v>
      </c>
      <c r="AD1192" s="496">
        <v>2000000</v>
      </c>
      <c r="AE1192" s="500">
        <v>1801801.8018018019</v>
      </c>
      <c r="AF1192" s="500">
        <v>2000000</v>
      </c>
      <c r="AG1192" s="805" t="s">
        <v>3883</v>
      </c>
      <c r="AH1192" s="651">
        <f>Data2025!W1191</f>
        <v>0</v>
      </c>
      <c r="AI1192" s="61">
        <v>391</v>
      </c>
    </row>
    <row r="1193" spans="1:35" ht="16.5" thickTop="1" thickBot="1">
      <c r="A1193" s="636">
        <f>Data2025!G1192</f>
        <v>0</v>
      </c>
      <c r="B1193" s="637">
        <f>Data2025!K1192</f>
        <v>0</v>
      </c>
      <c r="C1193" s="638">
        <f>Data2025!D1192</f>
        <v>0</v>
      </c>
      <c r="D1193" s="639">
        <f>Data2025!C1192</f>
        <v>0</v>
      </c>
      <c r="E1193" s="265">
        <f>Data2025!E1192</f>
        <v>0</v>
      </c>
      <c r="F1193" s="640">
        <f>Data2025!F1192</f>
        <v>0</v>
      </c>
      <c r="G1193" s="265">
        <f>Data2025!H1192</f>
        <v>0</v>
      </c>
      <c r="H1193" s="265">
        <f t="shared" si="58"/>
        <v>0</v>
      </c>
      <c r="I1193" s="641">
        <f>Data2025!J1192</f>
        <v>0</v>
      </c>
      <c r="J1193" s="381">
        <f>Data2025!L1192</f>
        <v>0</v>
      </c>
      <c r="K1193" s="381">
        <f>Data2025!M1192</f>
        <v>0</v>
      </c>
      <c r="L1193" s="642">
        <f>Data2025!N1192</f>
        <v>0</v>
      </c>
      <c r="M1193" s="642">
        <f>Data2025!O1192</f>
        <v>0</v>
      </c>
      <c r="N1193" s="643">
        <f>Data2025!P1192</f>
        <v>0</v>
      </c>
      <c r="O1193" s="644">
        <f>Data2025!Q1192</f>
        <v>0</v>
      </c>
      <c r="P1193" s="645" t="s">
        <v>2699</v>
      </c>
      <c r="Q1193" s="646" t="e">
        <f>VLOOKUP(K1193,Sheet1!$C$1:$D$101,2,)</f>
        <v>#N/A</v>
      </c>
      <c r="R1193" s="496">
        <v>2000000</v>
      </c>
      <c r="S1193" s="504">
        <v>2002000</v>
      </c>
      <c r="T1193" s="648">
        <f>Data2025!T1192</f>
        <v>0</v>
      </c>
      <c r="U1193" s="497"/>
      <c r="V1193" s="648">
        <f>Data2025!V1192</f>
        <v>0</v>
      </c>
      <c r="W1193" s="648">
        <f>Data2025!X1192</f>
        <v>0</v>
      </c>
      <c r="Y1193" s="268" t="str">
        <f t="shared" si="59"/>
        <v>Jasa Tenaga TU</v>
      </c>
      <c r="Z1193" s="649" t="str">
        <f t="shared" si="60"/>
        <v>Jasa Tenaga TU</v>
      </c>
      <c r="AA1193" s="498" t="s">
        <v>3373</v>
      </c>
      <c r="AB1193" s="499">
        <v>2000000</v>
      </c>
      <c r="AC1193" s="499">
        <v>2000000</v>
      </c>
      <c r="AD1193" s="496">
        <v>2000000</v>
      </c>
      <c r="AE1193" s="500">
        <v>1801801.8018018019</v>
      </c>
      <c r="AF1193" s="500">
        <v>2000000</v>
      </c>
      <c r="AG1193" s="805" t="s">
        <v>3883</v>
      </c>
      <c r="AH1193" s="651">
        <f>Data2025!W1192</f>
        <v>0</v>
      </c>
      <c r="AI1193" s="61">
        <v>392</v>
      </c>
    </row>
    <row r="1194" spans="1:35" ht="16.5" thickTop="1" thickBot="1">
      <c r="A1194" s="636">
        <f>Data2025!G1193</f>
        <v>0</v>
      </c>
      <c r="B1194" s="637">
        <f>Data2025!K1193</f>
        <v>0</v>
      </c>
      <c r="C1194" s="638">
        <f>Data2025!D1193</f>
        <v>0</v>
      </c>
      <c r="D1194" s="639">
        <f>Data2025!C1193</f>
        <v>0</v>
      </c>
      <c r="E1194" s="265">
        <f>Data2025!E1193</f>
        <v>0</v>
      </c>
      <c r="F1194" s="640">
        <f>Data2025!F1193</f>
        <v>0</v>
      </c>
      <c r="G1194" s="265">
        <f>Data2025!H1193</f>
        <v>0</v>
      </c>
      <c r="H1194" s="265">
        <f t="shared" si="58"/>
        <v>0</v>
      </c>
      <c r="I1194" s="641">
        <f>Data2025!J1193</f>
        <v>0</v>
      </c>
      <c r="J1194" s="381">
        <f>Data2025!L1193</f>
        <v>0</v>
      </c>
      <c r="K1194" s="381">
        <f>Data2025!M1193</f>
        <v>0</v>
      </c>
      <c r="L1194" s="642">
        <f>Data2025!N1193</f>
        <v>0</v>
      </c>
      <c r="M1194" s="642">
        <f>Data2025!O1193</f>
        <v>0</v>
      </c>
      <c r="N1194" s="643">
        <f>Data2025!P1193</f>
        <v>0</v>
      </c>
      <c r="O1194" s="644">
        <f>Data2025!Q1193</f>
        <v>0</v>
      </c>
      <c r="P1194" s="645" t="s">
        <v>2699</v>
      </c>
      <c r="Q1194" s="646" t="e">
        <f>VLOOKUP(K1194,Sheet1!$C$1:$D$101,2,)</f>
        <v>#N/A</v>
      </c>
      <c r="R1194" s="496">
        <v>2000000</v>
      </c>
      <c r="S1194" s="504">
        <v>2002000</v>
      </c>
      <c r="T1194" s="648">
        <f>Data2025!T1193</f>
        <v>0</v>
      </c>
      <c r="U1194" s="497"/>
      <c r="V1194" s="648">
        <f>Data2025!V1193</f>
        <v>0</v>
      </c>
      <c r="W1194" s="648">
        <f>Data2025!X1193</f>
        <v>0</v>
      </c>
      <c r="Y1194" s="268" t="str">
        <f t="shared" si="59"/>
        <v>Jasa Tenaga TU</v>
      </c>
      <c r="Z1194" s="649" t="str">
        <f t="shared" si="60"/>
        <v>Jasa Tenaga TU</v>
      </c>
      <c r="AA1194" s="498" t="s">
        <v>3373</v>
      </c>
      <c r="AB1194" s="499">
        <v>2000000</v>
      </c>
      <c r="AC1194" s="499">
        <v>2000000</v>
      </c>
      <c r="AD1194" s="496">
        <v>2000000</v>
      </c>
      <c r="AE1194" s="500">
        <v>1801801.8018018019</v>
      </c>
      <c r="AF1194" s="500">
        <v>2000000</v>
      </c>
      <c r="AG1194" s="805" t="s">
        <v>3883</v>
      </c>
      <c r="AH1194" s="651">
        <f>Data2025!W1193</f>
        <v>0</v>
      </c>
      <c r="AI1194" s="61">
        <v>393</v>
      </c>
    </row>
    <row r="1195" spans="1:35" ht="16.5" thickTop="1" thickBot="1">
      <c r="A1195" s="636">
        <f>Data2025!G1194</f>
        <v>0</v>
      </c>
      <c r="B1195" s="637">
        <f>Data2025!K1194</f>
        <v>0</v>
      </c>
      <c r="C1195" s="638">
        <f>Data2025!D1194</f>
        <v>0</v>
      </c>
      <c r="D1195" s="639">
        <f>Data2025!C1194</f>
        <v>0</v>
      </c>
      <c r="E1195" s="265">
        <f>Data2025!E1194</f>
        <v>0</v>
      </c>
      <c r="F1195" s="640">
        <f>Data2025!F1194</f>
        <v>0</v>
      </c>
      <c r="G1195" s="265">
        <f>Data2025!H1194</f>
        <v>0</v>
      </c>
      <c r="H1195" s="265">
        <f t="shared" si="58"/>
        <v>0</v>
      </c>
      <c r="I1195" s="641">
        <f>Data2025!J1194</f>
        <v>0</v>
      </c>
      <c r="J1195" s="381">
        <f>Data2025!L1194</f>
        <v>0</v>
      </c>
      <c r="K1195" s="381">
        <f>Data2025!M1194</f>
        <v>0</v>
      </c>
      <c r="L1195" s="642">
        <f>Data2025!N1194</f>
        <v>0</v>
      </c>
      <c r="M1195" s="642">
        <f>Data2025!O1194</f>
        <v>0</v>
      </c>
      <c r="N1195" s="643">
        <f>Data2025!P1194</f>
        <v>0</v>
      </c>
      <c r="O1195" s="644">
        <f>Data2025!Q1194</f>
        <v>0</v>
      </c>
      <c r="P1195" s="645" t="s">
        <v>2699</v>
      </c>
      <c r="Q1195" s="646" t="e">
        <f>VLOOKUP(K1195,Sheet1!$C$1:$D$101,2,)</f>
        <v>#N/A</v>
      </c>
      <c r="R1195" s="496">
        <v>2000000</v>
      </c>
      <c r="S1195" s="504">
        <v>2002000</v>
      </c>
      <c r="T1195" s="648">
        <f>Data2025!T1194</f>
        <v>0</v>
      </c>
      <c r="U1195" s="497"/>
      <c r="V1195" s="648">
        <f>Data2025!V1194</f>
        <v>0</v>
      </c>
      <c r="W1195" s="648">
        <f>Data2025!X1194</f>
        <v>0</v>
      </c>
      <c r="Y1195" s="268" t="str">
        <f t="shared" si="59"/>
        <v>Jasa Tenaga TU</v>
      </c>
      <c r="Z1195" s="649" t="str">
        <f t="shared" si="60"/>
        <v>Jasa Tenaga TU</v>
      </c>
      <c r="AA1195" s="498" t="s">
        <v>3373</v>
      </c>
      <c r="AB1195" s="499">
        <v>2000000</v>
      </c>
      <c r="AC1195" s="499">
        <v>2000000</v>
      </c>
      <c r="AD1195" s="496">
        <v>2000000</v>
      </c>
      <c r="AE1195" s="500">
        <v>1801801.8018018019</v>
      </c>
      <c r="AF1195" s="500">
        <v>2000000</v>
      </c>
      <c r="AG1195" s="805" t="s">
        <v>3883</v>
      </c>
      <c r="AH1195" s="651">
        <f>Data2025!W1194</f>
        <v>0</v>
      </c>
      <c r="AI1195" s="61">
        <v>394</v>
      </c>
    </row>
    <row r="1196" spans="1:35" ht="16.5" thickTop="1" thickBot="1">
      <c r="A1196" s="636">
        <f>Data2025!G1195</f>
        <v>0</v>
      </c>
      <c r="B1196" s="637">
        <f>Data2025!K1195</f>
        <v>0</v>
      </c>
      <c r="C1196" s="638">
        <f>Data2025!D1195</f>
        <v>0</v>
      </c>
      <c r="D1196" s="639">
        <f>Data2025!C1195</f>
        <v>0</v>
      </c>
      <c r="E1196" s="265">
        <f>Data2025!E1195</f>
        <v>0</v>
      </c>
      <c r="F1196" s="640">
        <f>Data2025!F1195</f>
        <v>0</v>
      </c>
      <c r="G1196" s="265">
        <f>Data2025!H1195</f>
        <v>0</v>
      </c>
      <c r="H1196" s="265">
        <f t="shared" si="58"/>
        <v>0</v>
      </c>
      <c r="I1196" s="641">
        <f>Data2025!J1195</f>
        <v>0</v>
      </c>
      <c r="J1196" s="381">
        <f>Data2025!L1195</f>
        <v>0</v>
      </c>
      <c r="K1196" s="381">
        <f>Data2025!M1195</f>
        <v>0</v>
      </c>
      <c r="L1196" s="642">
        <f>Data2025!N1195</f>
        <v>0</v>
      </c>
      <c r="M1196" s="642">
        <f>Data2025!O1195</f>
        <v>0</v>
      </c>
      <c r="N1196" s="643">
        <f>Data2025!P1195</f>
        <v>0</v>
      </c>
      <c r="O1196" s="644">
        <f>Data2025!Q1195</f>
        <v>0</v>
      </c>
      <c r="P1196" s="645" t="s">
        <v>2664</v>
      </c>
      <c r="Q1196" s="646" t="e">
        <f>VLOOKUP(K1196,Sheet1!$C$1:$D$101,2,)</f>
        <v>#N/A</v>
      </c>
      <c r="R1196" s="267">
        <v>2000000</v>
      </c>
      <c r="S1196" s="647">
        <v>2002000</v>
      </c>
      <c r="T1196" s="648">
        <f>Data2025!T1195</f>
        <v>0</v>
      </c>
      <c r="U1196" s="268" t="s">
        <v>2531</v>
      </c>
      <c r="V1196" s="648">
        <f>Data2025!V1195</f>
        <v>0</v>
      </c>
      <c r="W1196" s="648">
        <f>Data2025!X1195</f>
        <v>0</v>
      </c>
      <c r="Y1196" s="268" t="str">
        <f t="shared" si="59"/>
        <v>Jasa PLN</v>
      </c>
      <c r="Z1196" s="649" t="str">
        <f t="shared" si="60"/>
        <v>Jasa PLN</v>
      </c>
      <c r="AA1196" s="650" t="s">
        <v>3373</v>
      </c>
      <c r="AB1196" s="269">
        <v>2000000</v>
      </c>
      <c r="AC1196" s="269">
        <v>2000000</v>
      </c>
      <c r="AD1196" s="267">
        <v>2000000</v>
      </c>
      <c r="AE1196" s="270">
        <v>1801801.8018018019</v>
      </c>
      <c r="AF1196" s="270">
        <v>2000000</v>
      </c>
      <c r="AG1196" s="805" t="s">
        <v>3883</v>
      </c>
      <c r="AH1196" s="651">
        <f>Data2025!W1195</f>
        <v>0</v>
      </c>
      <c r="AI1196" s="61">
        <v>395</v>
      </c>
    </row>
    <row r="1197" spans="1:35" ht="16.5" thickTop="1" thickBot="1">
      <c r="A1197" s="636">
        <f>Data2025!G1196</f>
        <v>0</v>
      </c>
      <c r="B1197" s="637">
        <f>Data2025!K1196</f>
        <v>0</v>
      </c>
      <c r="C1197" s="638">
        <f>Data2025!D1196</f>
        <v>0</v>
      </c>
      <c r="D1197" s="639">
        <f>Data2025!C1196</f>
        <v>0</v>
      </c>
      <c r="E1197" s="265">
        <f>Data2025!E1196</f>
        <v>0</v>
      </c>
      <c r="F1197" s="640">
        <f>Data2025!F1196</f>
        <v>0</v>
      </c>
      <c r="G1197" s="265">
        <f>Data2025!H1196</f>
        <v>0</v>
      </c>
      <c r="H1197" s="265">
        <f t="shared" si="58"/>
        <v>0</v>
      </c>
      <c r="I1197" s="641">
        <f>Data2025!J1196</f>
        <v>0</v>
      </c>
      <c r="J1197" s="381">
        <f>Data2025!L1196</f>
        <v>0</v>
      </c>
      <c r="K1197" s="381">
        <f>Data2025!M1196</f>
        <v>0</v>
      </c>
      <c r="L1197" s="642">
        <f>Data2025!N1196</f>
        <v>0</v>
      </c>
      <c r="M1197" s="642">
        <f>Data2025!O1196</f>
        <v>0</v>
      </c>
      <c r="N1197" s="643">
        <f>Data2025!P1196</f>
        <v>0</v>
      </c>
      <c r="O1197" s="644">
        <f>Data2025!Q1196</f>
        <v>0</v>
      </c>
      <c r="P1197" s="645" t="s">
        <v>2668</v>
      </c>
      <c r="Q1197" s="646" t="e">
        <f>VLOOKUP(K1197,Sheet1!$C$1:$D$101,2,)</f>
        <v>#N/A</v>
      </c>
      <c r="R1197" s="267">
        <v>1500000</v>
      </c>
      <c r="S1197" s="647">
        <v>1502000</v>
      </c>
      <c r="T1197" s="648">
        <f>Data2025!T1196</f>
        <v>0</v>
      </c>
      <c r="U1197" s="268" t="s">
        <v>2531</v>
      </c>
      <c r="V1197" s="648">
        <f>Data2025!V1196</f>
        <v>0</v>
      </c>
      <c r="W1197" s="648">
        <f>Data2025!X1196</f>
        <v>0</v>
      </c>
      <c r="Y1197" s="268" t="str">
        <f t="shared" si="59"/>
        <v>Jasa Internet</v>
      </c>
      <c r="Z1197" s="649" t="str">
        <f t="shared" si="60"/>
        <v>Jasa Internet</v>
      </c>
      <c r="AA1197" s="650" t="s">
        <v>3373</v>
      </c>
      <c r="AB1197" s="269">
        <v>1500000</v>
      </c>
      <c r="AC1197" s="269">
        <v>1500000</v>
      </c>
      <c r="AD1197" s="267">
        <v>1500000</v>
      </c>
      <c r="AE1197" s="270">
        <v>1351351.3513513515</v>
      </c>
      <c r="AF1197" s="270">
        <v>1500000</v>
      </c>
      <c r="AG1197" s="805" t="s">
        <v>3883</v>
      </c>
      <c r="AH1197" s="651">
        <f>Data2025!W1196</f>
        <v>0</v>
      </c>
      <c r="AI1197" s="61">
        <v>396</v>
      </c>
    </row>
    <row r="1198" spans="1:35" ht="16.5" thickTop="1" thickBot="1">
      <c r="A1198" s="636">
        <f>Data2025!G1197</f>
        <v>0</v>
      </c>
      <c r="B1198" s="637">
        <f>Data2025!K1197</f>
        <v>0</v>
      </c>
      <c r="C1198" s="638">
        <f>Data2025!D1197</f>
        <v>0</v>
      </c>
      <c r="D1198" s="639">
        <f>Data2025!C1197</f>
        <v>0</v>
      </c>
      <c r="E1198" s="265">
        <f>Data2025!E1197</f>
        <v>0</v>
      </c>
      <c r="F1198" s="640">
        <f>Data2025!F1197</f>
        <v>0</v>
      </c>
      <c r="G1198" s="265">
        <f>Data2025!H1197</f>
        <v>0</v>
      </c>
      <c r="H1198" s="265">
        <f t="shared" si="58"/>
        <v>0</v>
      </c>
      <c r="I1198" s="641">
        <f>Data2025!J1197</f>
        <v>0</v>
      </c>
      <c r="J1198" s="381">
        <f>Data2025!L1197</f>
        <v>0</v>
      </c>
      <c r="K1198" s="381">
        <f>Data2025!M1197</f>
        <v>0</v>
      </c>
      <c r="L1198" s="642">
        <f>Data2025!N1197</f>
        <v>0</v>
      </c>
      <c r="M1198" s="642">
        <f>Data2025!O1197</f>
        <v>0</v>
      </c>
      <c r="N1198" s="643">
        <f>Data2025!P1197</f>
        <v>0</v>
      </c>
      <c r="O1198" s="644">
        <f>Data2025!Q1197</f>
        <v>0</v>
      </c>
      <c r="P1198" s="645" t="s">
        <v>2672</v>
      </c>
      <c r="Q1198" s="646" t="e">
        <f>VLOOKUP(K1198,Sheet1!$C$1:$D$101,2,)</f>
        <v>#N/A</v>
      </c>
      <c r="R1198" s="267">
        <v>1000000</v>
      </c>
      <c r="S1198" s="647">
        <v>1002000</v>
      </c>
      <c r="T1198" s="648">
        <f>Data2025!T1197</f>
        <v>0</v>
      </c>
      <c r="U1198" s="268" t="s">
        <v>2531</v>
      </c>
      <c r="V1198" s="648">
        <f>Data2025!V1197</f>
        <v>0</v>
      </c>
      <c r="W1198" s="648">
        <f>Data2025!X1197</f>
        <v>0</v>
      </c>
      <c r="Y1198" s="268" t="str">
        <f t="shared" si="59"/>
        <v>Jasa Tenaga Operator</v>
      </c>
      <c r="Z1198" s="649" t="str">
        <f t="shared" si="60"/>
        <v>Jasa Tenaga Operator</v>
      </c>
      <c r="AA1198" s="650" t="s">
        <v>3373</v>
      </c>
      <c r="AB1198" s="269">
        <v>1000000</v>
      </c>
      <c r="AC1198" s="269">
        <v>1000000</v>
      </c>
      <c r="AD1198" s="267">
        <v>1000000</v>
      </c>
      <c r="AE1198" s="270">
        <v>900900.90090090095</v>
      </c>
      <c r="AF1198" s="270">
        <v>1000000</v>
      </c>
      <c r="AG1198" s="805" t="s">
        <v>3883</v>
      </c>
      <c r="AH1198" s="651">
        <f>Data2025!W1197</f>
        <v>0</v>
      </c>
      <c r="AI1198" s="61">
        <v>397</v>
      </c>
    </row>
    <row r="1199" spans="1:35" ht="30" thickTop="1" thickBot="1">
      <c r="A1199" s="636">
        <f>Data2025!G1198</f>
        <v>0</v>
      </c>
      <c r="B1199" s="637">
        <f>Data2025!K1198</f>
        <v>0</v>
      </c>
      <c r="C1199" s="638">
        <f>Data2025!D1198</f>
        <v>0</v>
      </c>
      <c r="D1199" s="639">
        <f>Data2025!C1198</f>
        <v>0</v>
      </c>
      <c r="E1199" s="265">
        <f>Data2025!E1198</f>
        <v>0</v>
      </c>
      <c r="F1199" s="640">
        <f>Data2025!F1198</f>
        <v>0</v>
      </c>
      <c r="G1199" s="265">
        <f>Data2025!H1198</f>
        <v>0</v>
      </c>
      <c r="H1199" s="265">
        <f t="shared" si="58"/>
        <v>0</v>
      </c>
      <c r="I1199" s="641">
        <f>Data2025!J1198</f>
        <v>0</v>
      </c>
      <c r="J1199" s="381">
        <f>Data2025!L1198</f>
        <v>0</v>
      </c>
      <c r="K1199" s="381">
        <f>Data2025!M1198</f>
        <v>0</v>
      </c>
      <c r="L1199" s="642">
        <f>Data2025!N1198</f>
        <v>0</v>
      </c>
      <c r="M1199" s="642">
        <f>Data2025!O1198</f>
        <v>0</v>
      </c>
      <c r="N1199" s="643">
        <f>Data2025!P1198</f>
        <v>0</v>
      </c>
      <c r="O1199" s="644">
        <f>Data2025!Q1198</f>
        <v>0</v>
      </c>
      <c r="P1199" s="645" t="s">
        <v>2650</v>
      </c>
      <c r="Q1199" s="646" t="e">
        <f>VLOOKUP(K1199,Sheet1!$C$1:$D$101,2,)</f>
        <v>#N/A</v>
      </c>
      <c r="R1199" s="267">
        <v>900000</v>
      </c>
      <c r="S1199" s="647">
        <v>604000</v>
      </c>
      <c r="T1199" s="648">
        <f>Data2025!T1198</f>
        <v>0</v>
      </c>
      <c r="U1199" s="268" t="s">
        <v>1040</v>
      </c>
      <c r="V1199" s="648">
        <f>Data2025!V1198</f>
        <v>0</v>
      </c>
      <c r="W1199" s="648">
        <f>Data2025!X1198</f>
        <v>0</v>
      </c>
      <c r="X1199" s="523" t="s">
        <v>541</v>
      </c>
      <c r="Y1199" s="268" t="str">
        <f t="shared" si="59"/>
        <v>Percetakan</v>
      </c>
      <c r="Z1199" s="649" t="str">
        <f t="shared" si="60"/>
        <v>Percetakan</v>
      </c>
      <c r="AA1199" s="650" t="s">
        <v>3363</v>
      </c>
      <c r="AB1199" s="269">
        <v>300000</v>
      </c>
      <c r="AC1199" s="269">
        <v>600000</v>
      </c>
      <c r="AD1199" s="267">
        <v>900000</v>
      </c>
      <c r="AE1199" s="270">
        <v>810810.81081081077</v>
      </c>
      <c r="AF1199" s="270">
        <v>900000</v>
      </c>
      <c r="AG1199" s="805" t="s">
        <v>3883</v>
      </c>
      <c r="AH1199" s="651">
        <f>Data2025!W1198</f>
        <v>0</v>
      </c>
      <c r="AI1199" s="61">
        <v>398</v>
      </c>
    </row>
    <row r="1200" spans="1:35" ht="16" thickTop="1">
      <c r="A1200" s="636">
        <f>Data2025!G1199</f>
        <v>0</v>
      </c>
      <c r="B1200" s="637">
        <f>Data2025!K1199</f>
        <v>0</v>
      </c>
      <c r="C1200" s="638">
        <f>Data2025!D1199</f>
        <v>0</v>
      </c>
      <c r="D1200" s="639">
        <f>Data2025!C1199</f>
        <v>0</v>
      </c>
      <c r="E1200" s="265">
        <f>Data2025!E1199</f>
        <v>0</v>
      </c>
      <c r="F1200" s="640">
        <f>Data2025!F1199</f>
        <v>0</v>
      </c>
      <c r="G1200" s="265">
        <f>Data2025!H1199</f>
        <v>0</v>
      </c>
      <c r="H1200" s="265">
        <f t="shared" si="58"/>
        <v>0</v>
      </c>
      <c r="I1200" s="641">
        <f>Data2025!J1199</f>
        <v>0</v>
      </c>
      <c r="J1200" s="381">
        <f>Data2025!L1199</f>
        <v>0</v>
      </c>
      <c r="K1200" s="381">
        <f>Data2025!M1199</f>
        <v>0</v>
      </c>
      <c r="L1200" s="642">
        <f>Data2025!N1199</f>
        <v>0</v>
      </c>
      <c r="M1200" s="642">
        <f>Data2025!O1199</f>
        <v>0</v>
      </c>
      <c r="N1200" s="643">
        <f>Data2025!P1199</f>
        <v>0</v>
      </c>
      <c r="O1200" s="644">
        <f>Data2025!Q1199</f>
        <v>0</v>
      </c>
      <c r="P1200" s="645" t="s">
        <v>280</v>
      </c>
      <c r="Q1200" s="646" t="e">
        <f>VLOOKUP(K1200,Sheet1!$C$1:$D$101,2,)</f>
        <v>#N/A</v>
      </c>
      <c r="R1200" s="267">
        <v>900000</v>
      </c>
      <c r="S1200" s="647">
        <v>1020000</v>
      </c>
      <c r="T1200" s="648">
        <f>Data2025!T1199</f>
        <v>0</v>
      </c>
      <c r="U1200" s="268" t="s">
        <v>2531</v>
      </c>
      <c r="V1200" s="648">
        <f>Data2025!V1199</f>
        <v>0</v>
      </c>
      <c r="W1200" s="648">
        <f>Data2025!X1199</f>
        <v>0</v>
      </c>
      <c r="X1200" s="268" t="s">
        <v>2529</v>
      </c>
      <c r="Y1200" s="268" t="str">
        <f t="shared" si="59"/>
        <v>Kudapan</v>
      </c>
      <c r="Z1200" s="649" t="str">
        <f t="shared" si="60"/>
        <v>Kudapan</v>
      </c>
      <c r="AA1200" s="650" t="s">
        <v>3363</v>
      </c>
      <c r="AB1200" s="269">
        <v>15000</v>
      </c>
      <c r="AC1200" s="269">
        <v>900000</v>
      </c>
      <c r="AD1200" s="267">
        <v>900000</v>
      </c>
      <c r="AE1200" s="270">
        <v>810810.81081081077</v>
      </c>
      <c r="AF1200" s="270">
        <v>900000</v>
      </c>
      <c r="AG1200" s="805" t="s">
        <v>3883</v>
      </c>
      <c r="AH1200" s="651">
        <f>Data2025!W1199</f>
        <v>0</v>
      </c>
      <c r="AI1200" s="61">
        <v>399</v>
      </c>
    </row>
    <row r="1201" spans="1:18" ht="15.5">
      <c r="A1201" s="583"/>
      <c r="B1201" s="584"/>
      <c r="C1201" s="585"/>
      <c r="D1201" s="586"/>
      <c r="E1201" s="587"/>
      <c r="F1201" s="588"/>
      <c r="G1201" s="587"/>
      <c r="H1201" s="587"/>
      <c r="I1201" s="589"/>
      <c r="J1201" s="590"/>
      <c r="K1201" s="590"/>
      <c r="L1201" s="591"/>
      <c r="M1201" s="591"/>
      <c r="N1201" s="592"/>
      <c r="O1201" s="593"/>
      <c r="P1201" s="645"/>
      <c r="Q1201" s="594"/>
      <c r="R1201" s="595"/>
    </row>
    <row r="1202" spans="1:18" ht="15.5">
      <c r="A1202" s="583"/>
      <c r="B1202" s="584"/>
      <c r="C1202" s="585"/>
      <c r="D1202" s="586"/>
      <c r="E1202" s="587"/>
      <c r="F1202" s="588"/>
      <c r="G1202" s="587"/>
      <c r="H1202" s="587"/>
      <c r="I1202" s="589"/>
      <c r="J1202" s="590"/>
      <c r="K1202" s="590"/>
      <c r="L1202" s="591"/>
      <c r="M1202" s="591"/>
      <c r="N1202" s="592"/>
      <c r="O1202" s="593"/>
      <c r="P1202" s="645"/>
      <c r="Q1202" s="594"/>
      <c r="R1202" s="595"/>
    </row>
    <row r="1203" spans="1:18" ht="15.5">
      <c r="A1203" s="583"/>
      <c r="B1203" s="584"/>
      <c r="C1203" s="585"/>
      <c r="D1203" s="586"/>
      <c r="E1203" s="587"/>
      <c r="F1203" s="588"/>
      <c r="G1203" s="587"/>
      <c r="H1203" s="587"/>
      <c r="I1203" s="589"/>
      <c r="J1203" s="590"/>
      <c r="K1203" s="590"/>
      <c r="L1203" s="591"/>
      <c r="M1203" s="591"/>
      <c r="N1203" s="592"/>
      <c r="O1203" s="593"/>
      <c r="P1203" s="645"/>
      <c r="Q1203" s="594"/>
      <c r="R1203" s="595"/>
    </row>
    <row r="1204" spans="1:18" ht="15.5">
      <c r="A1204" s="583"/>
      <c r="B1204" s="584"/>
      <c r="C1204" s="585"/>
      <c r="D1204" s="586"/>
      <c r="E1204" s="587"/>
      <c r="F1204" s="588"/>
      <c r="G1204" s="587"/>
      <c r="H1204" s="587"/>
      <c r="I1204" s="589"/>
      <c r="J1204" s="590"/>
      <c r="K1204" s="590"/>
      <c r="L1204" s="591"/>
      <c r="M1204" s="591"/>
      <c r="N1204" s="592"/>
      <c r="O1204" s="593"/>
      <c r="P1204" s="645"/>
      <c r="Q1204" s="594"/>
      <c r="R1204" s="595"/>
    </row>
    <row r="1205" spans="1:18" ht="15.5">
      <c r="A1205" s="583"/>
      <c r="B1205" s="584"/>
      <c r="C1205" s="585"/>
      <c r="D1205" s="586"/>
      <c r="E1205" s="587"/>
      <c r="F1205" s="588"/>
      <c r="G1205" s="587"/>
      <c r="H1205" s="587"/>
      <c r="I1205" s="589"/>
      <c r="J1205" s="590"/>
      <c r="K1205" s="590"/>
      <c r="L1205" s="591"/>
      <c r="M1205" s="591"/>
      <c r="N1205" s="592"/>
      <c r="O1205" s="593"/>
      <c r="P1205" s="645"/>
      <c r="Q1205" s="594"/>
      <c r="R1205" s="595"/>
    </row>
    <row r="1206" spans="1:18" ht="15.5">
      <c r="A1206" s="583"/>
      <c r="B1206" s="584"/>
      <c r="C1206" s="585"/>
      <c r="D1206" s="586"/>
      <c r="E1206" s="587"/>
      <c r="F1206" s="588"/>
      <c r="G1206" s="587"/>
      <c r="H1206" s="587"/>
      <c r="I1206" s="589"/>
      <c r="J1206" s="590"/>
      <c r="K1206" s="590"/>
      <c r="L1206" s="591"/>
      <c r="M1206" s="591"/>
      <c r="N1206" s="592"/>
      <c r="O1206" s="593"/>
      <c r="P1206" s="645"/>
      <c r="Q1206" s="594"/>
      <c r="R1206" s="595"/>
    </row>
    <row r="1207" spans="1:18" ht="15.5">
      <c r="A1207" s="583"/>
      <c r="B1207" s="584"/>
      <c r="C1207" s="585"/>
      <c r="D1207" s="586"/>
      <c r="E1207" s="587"/>
      <c r="F1207" s="588"/>
      <c r="G1207" s="587"/>
      <c r="H1207" s="587"/>
      <c r="I1207" s="589"/>
      <c r="J1207" s="590"/>
      <c r="K1207" s="590"/>
      <c r="L1207" s="591"/>
      <c r="M1207" s="591"/>
      <c r="N1207" s="592"/>
      <c r="O1207" s="593"/>
      <c r="P1207" s="645"/>
      <c r="Q1207" s="594"/>
      <c r="R1207" s="595"/>
    </row>
    <row r="1208" spans="1:18" ht="15.5">
      <c r="A1208" s="583"/>
      <c r="B1208" s="584"/>
      <c r="C1208" s="585"/>
      <c r="D1208" s="586"/>
      <c r="E1208" s="587"/>
      <c r="F1208" s="588"/>
      <c r="G1208" s="587"/>
      <c r="H1208" s="587"/>
      <c r="I1208" s="589"/>
      <c r="J1208" s="590"/>
      <c r="K1208" s="590"/>
      <c r="L1208" s="591"/>
      <c r="M1208" s="591"/>
      <c r="N1208" s="592"/>
      <c r="O1208" s="593"/>
      <c r="P1208" s="645"/>
      <c r="Q1208" s="594"/>
      <c r="R1208" s="595"/>
    </row>
    <row r="1209" spans="1:18" ht="15.5">
      <c r="A1209" s="583"/>
      <c r="B1209" s="584"/>
      <c r="C1209" s="585"/>
      <c r="D1209" s="586"/>
      <c r="E1209" s="587"/>
      <c r="F1209" s="588"/>
      <c r="G1209" s="587"/>
      <c r="H1209" s="587"/>
      <c r="I1209" s="589"/>
      <c r="J1209" s="590"/>
      <c r="K1209" s="590"/>
      <c r="L1209" s="591"/>
      <c r="M1209" s="591"/>
      <c r="N1209" s="592"/>
      <c r="O1209" s="593"/>
      <c r="P1209" s="645"/>
      <c r="Q1209" s="594"/>
      <c r="R1209" s="595"/>
    </row>
    <row r="1210" spans="1:18" ht="15.5">
      <c r="A1210" s="583"/>
      <c r="B1210" s="584"/>
      <c r="C1210" s="585"/>
      <c r="D1210" s="586"/>
      <c r="E1210" s="587"/>
      <c r="F1210" s="588"/>
      <c r="G1210" s="587"/>
      <c r="H1210" s="587"/>
      <c r="I1210" s="589"/>
      <c r="J1210" s="590"/>
      <c r="K1210" s="590"/>
      <c r="L1210" s="591"/>
      <c r="M1210" s="591"/>
      <c r="N1210" s="592"/>
      <c r="O1210" s="593"/>
      <c r="P1210" s="645"/>
      <c r="Q1210" s="594"/>
      <c r="R1210" s="595"/>
    </row>
    <row r="1211" spans="1:18" ht="15.5">
      <c r="A1211" s="583"/>
      <c r="B1211" s="584"/>
      <c r="C1211" s="585"/>
      <c r="D1211" s="586"/>
      <c r="E1211" s="587"/>
      <c r="F1211" s="588"/>
      <c r="G1211" s="587"/>
      <c r="H1211" s="587"/>
      <c r="I1211" s="589"/>
      <c r="J1211" s="590"/>
      <c r="K1211" s="590"/>
      <c r="L1211" s="591"/>
      <c r="M1211" s="591"/>
      <c r="N1211" s="592"/>
      <c r="O1211" s="593"/>
      <c r="P1211" s="645"/>
      <c r="Q1211" s="594"/>
      <c r="R1211" s="595"/>
    </row>
    <row r="1212" spans="1:18" ht="15.5">
      <c r="A1212" s="583"/>
      <c r="B1212" s="584"/>
      <c r="C1212" s="585"/>
      <c r="D1212" s="586"/>
      <c r="E1212" s="587"/>
      <c r="F1212" s="588"/>
      <c r="G1212" s="587"/>
      <c r="H1212" s="587"/>
      <c r="I1212" s="589"/>
      <c r="J1212" s="590"/>
      <c r="K1212" s="590"/>
      <c r="L1212" s="591"/>
      <c r="M1212" s="591"/>
      <c r="N1212" s="592"/>
      <c r="O1212" s="593"/>
      <c r="P1212" s="645"/>
      <c r="Q1212" s="594"/>
      <c r="R1212" s="595"/>
    </row>
    <row r="1213" spans="1:18" ht="15.5">
      <c r="A1213" s="583"/>
      <c r="B1213" s="584"/>
      <c r="C1213" s="585"/>
      <c r="D1213" s="586"/>
      <c r="E1213" s="587"/>
      <c r="F1213" s="588"/>
      <c r="G1213" s="587"/>
      <c r="H1213" s="587"/>
      <c r="I1213" s="589"/>
      <c r="J1213" s="590"/>
      <c r="K1213" s="590"/>
      <c r="L1213" s="591"/>
      <c r="M1213" s="591"/>
      <c r="N1213" s="592"/>
      <c r="O1213" s="593"/>
      <c r="P1213" s="645"/>
      <c r="Q1213" s="594"/>
      <c r="R1213" s="595"/>
    </row>
    <row r="1214" spans="1:18" ht="15.5">
      <c r="A1214" s="583"/>
      <c r="B1214" s="584"/>
      <c r="C1214" s="585"/>
      <c r="D1214" s="586"/>
      <c r="E1214" s="587"/>
      <c r="F1214" s="588"/>
      <c r="G1214" s="587"/>
      <c r="H1214" s="587"/>
      <c r="I1214" s="589"/>
      <c r="J1214" s="590"/>
      <c r="K1214" s="590"/>
      <c r="L1214" s="591"/>
      <c r="M1214" s="591"/>
      <c r="N1214" s="592"/>
      <c r="O1214" s="593"/>
      <c r="P1214" s="645"/>
      <c r="Q1214" s="594"/>
      <c r="R1214" s="595"/>
    </row>
    <row r="1215" spans="1:18" ht="15.5">
      <c r="A1215" s="583"/>
      <c r="B1215" s="584"/>
      <c r="C1215" s="585"/>
      <c r="D1215" s="586"/>
      <c r="E1215" s="587"/>
      <c r="F1215" s="588"/>
      <c r="G1215" s="587"/>
      <c r="H1215" s="587"/>
      <c r="I1215" s="589"/>
      <c r="J1215" s="590"/>
      <c r="K1215" s="590"/>
      <c r="L1215" s="591"/>
      <c r="M1215" s="591"/>
      <c r="N1215" s="592"/>
      <c r="O1215" s="593"/>
      <c r="P1215" s="645"/>
      <c r="Q1215" s="594"/>
      <c r="R1215" s="595"/>
    </row>
    <row r="1216" spans="1:18" ht="15.5">
      <c r="A1216" s="583"/>
      <c r="B1216" s="584"/>
      <c r="C1216" s="585"/>
      <c r="D1216" s="586"/>
      <c r="E1216" s="587"/>
      <c r="F1216" s="588"/>
      <c r="G1216" s="587"/>
      <c r="H1216" s="587"/>
      <c r="I1216" s="589"/>
      <c r="J1216" s="590"/>
      <c r="K1216" s="590"/>
      <c r="L1216" s="591"/>
      <c r="M1216" s="591"/>
      <c r="N1216" s="592"/>
      <c r="O1216" s="593"/>
      <c r="P1216" s="645"/>
      <c r="Q1216" s="594"/>
      <c r="R1216" s="595"/>
    </row>
    <row r="1217" spans="1:34" ht="15.5">
      <c r="A1217" s="583"/>
      <c r="B1217" s="584"/>
      <c r="C1217" s="585"/>
      <c r="D1217" s="586"/>
      <c r="E1217" s="587"/>
      <c r="F1217" s="588"/>
      <c r="G1217" s="587"/>
      <c r="H1217" s="587"/>
      <c r="I1217" s="589"/>
      <c r="J1217" s="590"/>
      <c r="K1217" s="590"/>
      <c r="L1217" s="591"/>
      <c r="M1217" s="591"/>
      <c r="N1217" s="592"/>
      <c r="O1217" s="593"/>
      <c r="P1217" s="645"/>
      <c r="Q1217" s="594"/>
      <c r="R1217" s="595"/>
    </row>
    <row r="1218" spans="1:34" ht="15.5">
      <c r="A1218" s="583"/>
      <c r="B1218" s="584"/>
      <c r="C1218" s="585"/>
      <c r="D1218" s="586"/>
      <c r="E1218" s="587"/>
      <c r="F1218" s="588"/>
      <c r="G1218" s="587"/>
      <c r="H1218" s="587"/>
      <c r="I1218" s="589"/>
      <c r="J1218" s="590"/>
      <c r="K1218" s="590"/>
      <c r="L1218" s="591"/>
      <c r="M1218" s="591"/>
      <c r="N1218" s="592"/>
      <c r="O1218" s="593"/>
      <c r="P1218" s="645"/>
      <c r="Q1218" s="594"/>
      <c r="R1218" s="595"/>
    </row>
    <row r="1219" spans="1:34" ht="15.5">
      <c r="A1219" s="583"/>
      <c r="B1219" s="584"/>
      <c r="C1219" s="585"/>
      <c r="D1219" s="586"/>
      <c r="E1219" s="587"/>
      <c r="F1219" s="588"/>
      <c r="G1219" s="587"/>
      <c r="H1219" s="587"/>
      <c r="I1219" s="589"/>
      <c r="J1219" s="590"/>
      <c r="K1219" s="590"/>
      <c r="L1219" s="591"/>
      <c r="M1219" s="591"/>
      <c r="N1219" s="592"/>
      <c r="O1219" s="593"/>
      <c r="P1219" s="645"/>
      <c r="Q1219" s="594"/>
      <c r="R1219" s="595"/>
    </row>
    <row r="1220" spans="1:34" ht="15.5">
      <c r="A1220" s="583"/>
      <c r="B1220" s="584"/>
      <c r="C1220" s="585"/>
      <c r="D1220" s="586"/>
      <c r="E1220" s="587"/>
      <c r="F1220" s="588"/>
      <c r="G1220" s="587"/>
      <c r="H1220" s="587"/>
      <c r="I1220" s="589"/>
      <c r="J1220" s="590"/>
      <c r="K1220" s="590"/>
      <c r="L1220" s="591"/>
      <c r="M1220" s="591"/>
      <c r="N1220" s="592"/>
      <c r="O1220" s="593"/>
      <c r="P1220" s="645"/>
      <c r="Q1220" s="594"/>
      <c r="R1220" s="595"/>
    </row>
    <row r="1221" spans="1:34" ht="15.5">
      <c r="A1221" s="583"/>
      <c r="B1221" s="584"/>
      <c r="C1221" s="585"/>
      <c r="D1221" s="586"/>
      <c r="E1221" s="587"/>
      <c r="F1221" s="588"/>
      <c r="G1221" s="587"/>
      <c r="H1221" s="587"/>
      <c r="I1221" s="589"/>
      <c r="J1221" s="590"/>
      <c r="K1221" s="590"/>
      <c r="L1221" s="591"/>
      <c r="M1221" s="591"/>
      <c r="N1221" s="592"/>
      <c r="O1221" s="593"/>
      <c r="P1221" s="645"/>
      <c r="Q1221" s="594"/>
      <c r="R1221" s="595"/>
    </row>
    <row r="1222" spans="1:34" ht="15.5">
      <c r="A1222" s="583"/>
      <c r="B1222" s="584"/>
      <c r="C1222" s="585"/>
      <c r="D1222" s="586"/>
      <c r="E1222" s="587"/>
      <c r="F1222" s="588"/>
      <c r="G1222" s="587"/>
      <c r="H1222" s="587"/>
      <c r="I1222" s="589"/>
      <c r="J1222" s="590"/>
      <c r="K1222" s="590"/>
      <c r="L1222" s="591"/>
      <c r="M1222" s="591"/>
      <c r="N1222" s="592"/>
      <c r="O1222" s="593"/>
      <c r="P1222" s="645"/>
      <c r="Q1222" s="594"/>
      <c r="R1222" s="595"/>
    </row>
    <row r="1223" spans="1:34" ht="15.5">
      <c r="A1223" s="583"/>
      <c r="B1223" s="584"/>
      <c r="C1223" s="585"/>
      <c r="D1223" s="586"/>
      <c r="E1223" s="587"/>
      <c r="F1223" s="588"/>
      <c r="G1223" s="587"/>
      <c r="H1223" s="587"/>
      <c r="I1223" s="589"/>
      <c r="J1223" s="590"/>
      <c r="K1223" s="590"/>
      <c r="L1223" s="591"/>
      <c r="M1223" s="591"/>
      <c r="N1223" s="592"/>
      <c r="O1223" s="593"/>
      <c r="P1223" s="645"/>
      <c r="Q1223" s="594"/>
      <c r="R1223" s="595"/>
    </row>
    <row r="1224" spans="1:34" ht="15.5">
      <c r="A1224" s="583"/>
      <c r="B1224" s="584"/>
      <c r="C1224" s="585"/>
      <c r="D1224" s="586"/>
      <c r="E1224" s="587"/>
      <c r="F1224" s="588"/>
      <c r="G1224" s="587"/>
      <c r="H1224" s="587"/>
      <c r="I1224" s="589"/>
      <c r="J1224" s="590"/>
      <c r="K1224" s="590"/>
      <c r="L1224" s="591"/>
      <c r="M1224" s="591"/>
      <c r="N1224" s="592"/>
      <c r="O1224" s="593"/>
      <c r="P1224" s="645"/>
      <c r="Q1224" s="594"/>
      <c r="R1224" s="595"/>
    </row>
    <row r="1225" spans="1:34" ht="15.5">
      <c r="A1225" s="583">
        <v>0</v>
      </c>
      <c r="B1225" s="584">
        <v>0</v>
      </c>
      <c r="C1225" s="585">
        <v>0</v>
      </c>
      <c r="D1225" s="586">
        <v>0</v>
      </c>
      <c r="E1225" s="587">
        <v>0</v>
      </c>
      <c r="F1225" s="588">
        <v>0</v>
      </c>
      <c r="G1225" s="587">
        <v>0</v>
      </c>
      <c r="H1225" s="587">
        <v>0</v>
      </c>
      <c r="I1225" s="589">
        <v>0</v>
      </c>
      <c r="J1225" s="590">
        <v>0</v>
      </c>
      <c r="K1225" s="590">
        <v>0</v>
      </c>
      <c r="L1225" s="591">
        <v>0</v>
      </c>
      <c r="M1225" s="591">
        <v>0</v>
      </c>
      <c r="N1225" s="592">
        <v>0</v>
      </c>
      <c r="O1225" s="593">
        <v>0</v>
      </c>
      <c r="P1225" s="645"/>
      <c r="Q1225" s="594">
        <v>0</v>
      </c>
      <c r="R1225" s="595"/>
      <c r="T1225" s="61">
        <v>0</v>
      </c>
      <c r="V1225" s="61">
        <v>0</v>
      </c>
      <c r="W1225" s="61">
        <v>0</v>
      </c>
      <c r="AH1225" s="279">
        <v>0</v>
      </c>
    </row>
    <row r="1226" spans="1:34" ht="15.5">
      <c r="A1226" s="583">
        <v>0</v>
      </c>
      <c r="B1226" s="584">
        <v>0</v>
      </c>
      <c r="C1226" s="585">
        <v>0</v>
      </c>
      <c r="D1226" s="586">
        <v>0</v>
      </c>
      <c r="E1226" s="587">
        <v>0</v>
      </c>
      <c r="F1226" s="588">
        <v>0</v>
      </c>
      <c r="G1226" s="587">
        <v>0</v>
      </c>
      <c r="H1226" s="587">
        <v>0</v>
      </c>
      <c r="I1226" s="589">
        <v>0</v>
      </c>
      <c r="J1226" s="590">
        <v>0</v>
      </c>
      <c r="K1226" s="590">
        <v>0</v>
      </c>
      <c r="L1226" s="591">
        <v>0</v>
      </c>
      <c r="M1226" s="591">
        <v>0</v>
      </c>
      <c r="N1226" s="592">
        <v>0</v>
      </c>
      <c r="O1226" s="593">
        <v>0</v>
      </c>
      <c r="P1226" s="645"/>
      <c r="Q1226" s="594">
        <v>0</v>
      </c>
      <c r="R1226" s="595"/>
      <c r="T1226" s="61">
        <v>0</v>
      </c>
      <c r="V1226" s="61">
        <v>0</v>
      </c>
      <c r="W1226" s="61">
        <v>0</v>
      </c>
      <c r="AH1226" s="279">
        <v>0</v>
      </c>
    </row>
    <row r="1227" spans="1:34" ht="15.5">
      <c r="A1227" s="583">
        <v>0</v>
      </c>
      <c r="B1227" s="584">
        <v>0</v>
      </c>
      <c r="C1227" s="585">
        <v>0</v>
      </c>
      <c r="D1227" s="586">
        <v>0</v>
      </c>
      <c r="E1227" s="587">
        <v>0</v>
      </c>
      <c r="F1227" s="588">
        <v>0</v>
      </c>
      <c r="G1227" s="587">
        <v>0</v>
      </c>
      <c r="H1227" s="587">
        <v>0</v>
      </c>
      <c r="I1227" s="589">
        <v>0</v>
      </c>
      <c r="J1227" s="590">
        <v>0</v>
      </c>
      <c r="K1227" s="590">
        <v>0</v>
      </c>
      <c r="L1227" s="591">
        <v>0</v>
      </c>
      <c r="M1227" s="591">
        <v>0</v>
      </c>
      <c r="N1227" s="592">
        <v>0</v>
      </c>
      <c r="O1227" s="593">
        <v>0</v>
      </c>
      <c r="P1227" s="645"/>
      <c r="Q1227" s="594">
        <v>0</v>
      </c>
      <c r="R1227" s="595"/>
      <c r="T1227" s="61">
        <v>0</v>
      </c>
      <c r="V1227" s="61">
        <v>0</v>
      </c>
      <c r="W1227" s="61">
        <v>0</v>
      </c>
      <c r="AH1227" s="279">
        <v>0</v>
      </c>
    </row>
    <row r="1228" spans="1:34" ht="15.5">
      <c r="A1228" s="583">
        <v>0</v>
      </c>
      <c r="B1228" s="584">
        <v>0</v>
      </c>
      <c r="C1228" s="585">
        <v>0</v>
      </c>
      <c r="D1228" s="586">
        <v>0</v>
      </c>
      <c r="E1228" s="587">
        <v>0</v>
      </c>
      <c r="F1228" s="588">
        <v>0</v>
      </c>
      <c r="G1228" s="587">
        <v>0</v>
      </c>
      <c r="H1228" s="587">
        <v>0</v>
      </c>
      <c r="I1228" s="589">
        <v>0</v>
      </c>
      <c r="J1228" s="590">
        <v>0</v>
      </c>
      <c r="K1228" s="590">
        <v>0</v>
      </c>
      <c r="L1228" s="591">
        <v>0</v>
      </c>
      <c r="M1228" s="591">
        <v>0</v>
      </c>
      <c r="N1228" s="592">
        <v>0</v>
      </c>
      <c r="O1228" s="593">
        <v>0</v>
      </c>
      <c r="P1228" s="645"/>
      <c r="Q1228" s="594">
        <v>0</v>
      </c>
      <c r="R1228" s="595"/>
      <c r="T1228" s="61">
        <v>0</v>
      </c>
      <c r="V1228" s="61">
        <v>0</v>
      </c>
      <c r="W1228" s="61">
        <v>0</v>
      </c>
      <c r="AH1228" s="279">
        <v>0</v>
      </c>
    </row>
    <row r="1229" spans="1:34" ht="15.5">
      <c r="A1229" s="583">
        <v>0</v>
      </c>
      <c r="B1229" s="584">
        <v>0</v>
      </c>
      <c r="C1229" s="585">
        <v>0</v>
      </c>
      <c r="D1229" s="586">
        <v>0</v>
      </c>
      <c r="E1229" s="587">
        <v>0</v>
      </c>
      <c r="F1229" s="588">
        <v>0</v>
      </c>
      <c r="G1229" s="587">
        <v>0</v>
      </c>
      <c r="H1229" s="587">
        <v>0</v>
      </c>
      <c r="I1229" s="589">
        <v>0</v>
      </c>
      <c r="J1229" s="590">
        <v>0</v>
      </c>
      <c r="K1229" s="590">
        <v>0</v>
      </c>
      <c r="L1229" s="591">
        <v>0</v>
      </c>
      <c r="M1229" s="591">
        <v>0</v>
      </c>
      <c r="N1229" s="592">
        <v>0</v>
      </c>
      <c r="O1229" s="593">
        <v>0</v>
      </c>
      <c r="P1229" s="645"/>
      <c r="Q1229" s="594">
        <v>0</v>
      </c>
      <c r="R1229" s="595"/>
      <c r="T1229" s="61">
        <v>0</v>
      </c>
      <c r="V1229" s="61">
        <v>0</v>
      </c>
      <c r="W1229" s="61">
        <v>0</v>
      </c>
      <c r="AH1229" s="279">
        <v>0</v>
      </c>
    </row>
    <row r="1230" spans="1:34" ht="15.5">
      <c r="A1230" s="583">
        <v>0</v>
      </c>
      <c r="B1230" s="584">
        <v>0</v>
      </c>
      <c r="C1230" s="585">
        <v>0</v>
      </c>
      <c r="D1230" s="586">
        <v>0</v>
      </c>
      <c r="E1230" s="587">
        <v>0</v>
      </c>
      <c r="F1230" s="588">
        <v>0</v>
      </c>
      <c r="G1230" s="587">
        <v>0</v>
      </c>
      <c r="H1230" s="587">
        <v>0</v>
      </c>
      <c r="I1230" s="589">
        <v>0</v>
      </c>
      <c r="J1230" s="590">
        <v>0</v>
      </c>
      <c r="K1230" s="590">
        <v>0</v>
      </c>
      <c r="L1230" s="591">
        <v>0</v>
      </c>
      <c r="M1230" s="591">
        <v>0</v>
      </c>
      <c r="N1230" s="592">
        <v>0</v>
      </c>
      <c r="O1230" s="593">
        <v>0</v>
      </c>
      <c r="P1230" s="645"/>
      <c r="Q1230" s="594">
        <v>0</v>
      </c>
      <c r="R1230" s="595"/>
      <c r="T1230" s="61">
        <v>0</v>
      </c>
      <c r="V1230" s="61">
        <v>0</v>
      </c>
      <c r="W1230" s="61">
        <v>0</v>
      </c>
      <c r="AH1230" s="279">
        <v>0</v>
      </c>
    </row>
    <row r="1231" spans="1:34" ht="15.5">
      <c r="A1231" s="583">
        <v>0</v>
      </c>
      <c r="B1231" s="584">
        <v>0</v>
      </c>
      <c r="C1231" s="585">
        <v>0</v>
      </c>
      <c r="D1231" s="586">
        <v>0</v>
      </c>
      <c r="E1231" s="587">
        <v>0</v>
      </c>
      <c r="F1231" s="588">
        <v>0</v>
      </c>
      <c r="G1231" s="587">
        <v>0</v>
      </c>
      <c r="H1231" s="587">
        <v>0</v>
      </c>
      <c r="I1231" s="589">
        <v>0</v>
      </c>
      <c r="J1231" s="590">
        <v>0</v>
      </c>
      <c r="K1231" s="590">
        <v>0</v>
      </c>
      <c r="L1231" s="591">
        <v>0</v>
      </c>
      <c r="M1231" s="591">
        <v>0</v>
      </c>
      <c r="N1231" s="592">
        <v>0</v>
      </c>
      <c r="O1231" s="593">
        <v>0</v>
      </c>
      <c r="P1231" s="645"/>
      <c r="Q1231" s="594">
        <v>0</v>
      </c>
      <c r="R1231" s="595"/>
      <c r="T1231" s="61">
        <v>0</v>
      </c>
      <c r="V1231" s="61">
        <v>0</v>
      </c>
      <c r="W1231" s="61">
        <v>0</v>
      </c>
      <c r="AH1231" s="279">
        <v>0</v>
      </c>
    </row>
    <row r="1232" spans="1:34" ht="15.5">
      <c r="A1232" s="583">
        <v>0</v>
      </c>
      <c r="B1232" s="584">
        <v>0</v>
      </c>
      <c r="C1232" s="585">
        <v>0</v>
      </c>
      <c r="D1232" s="586">
        <v>0</v>
      </c>
      <c r="E1232" s="587">
        <v>0</v>
      </c>
      <c r="F1232" s="588">
        <v>0</v>
      </c>
      <c r="G1232" s="587">
        <v>0</v>
      </c>
      <c r="H1232" s="587">
        <v>0</v>
      </c>
      <c r="I1232" s="589">
        <v>0</v>
      </c>
      <c r="J1232" s="590">
        <v>0</v>
      </c>
      <c r="K1232" s="590">
        <v>0</v>
      </c>
      <c r="L1232" s="591">
        <v>0</v>
      </c>
      <c r="M1232" s="591">
        <v>0</v>
      </c>
      <c r="N1232" s="592">
        <v>0</v>
      </c>
      <c r="O1232" s="593">
        <v>0</v>
      </c>
      <c r="P1232" s="645"/>
      <c r="Q1232" s="594">
        <v>0</v>
      </c>
      <c r="R1232" s="595"/>
      <c r="T1232" s="61">
        <v>0</v>
      </c>
      <c r="V1232" s="61">
        <v>0</v>
      </c>
      <c r="W1232" s="61">
        <v>0</v>
      </c>
      <c r="AH1232" s="279">
        <v>0</v>
      </c>
    </row>
    <row r="1233" spans="1:34" ht="15.5">
      <c r="A1233" s="583">
        <v>0</v>
      </c>
      <c r="B1233" s="584">
        <v>0</v>
      </c>
      <c r="C1233" s="585">
        <v>0</v>
      </c>
      <c r="D1233" s="586">
        <v>0</v>
      </c>
      <c r="E1233" s="587">
        <v>0</v>
      </c>
      <c r="F1233" s="588">
        <v>0</v>
      </c>
      <c r="G1233" s="587">
        <v>0</v>
      </c>
      <c r="H1233" s="587">
        <v>0</v>
      </c>
      <c r="I1233" s="589">
        <v>0</v>
      </c>
      <c r="J1233" s="590">
        <v>0</v>
      </c>
      <c r="K1233" s="590">
        <v>0</v>
      </c>
      <c r="L1233" s="591">
        <v>0</v>
      </c>
      <c r="M1233" s="591">
        <v>0</v>
      </c>
      <c r="N1233" s="592">
        <v>0</v>
      </c>
      <c r="O1233" s="593">
        <v>0</v>
      </c>
      <c r="P1233" s="645"/>
      <c r="Q1233" s="594">
        <v>0</v>
      </c>
      <c r="R1233" s="595"/>
      <c r="T1233" s="61">
        <v>0</v>
      </c>
      <c r="V1233" s="61">
        <v>0</v>
      </c>
      <c r="W1233" s="61">
        <v>0</v>
      </c>
      <c r="AH1233" s="279">
        <v>0</v>
      </c>
    </row>
    <row r="1234" spans="1:34">
      <c r="A1234" s="61">
        <v>0</v>
      </c>
      <c r="B1234" s="290">
        <v>0</v>
      </c>
      <c r="C1234" s="290">
        <v>0</v>
      </c>
      <c r="D1234" s="61">
        <v>0</v>
      </c>
      <c r="E1234" s="297">
        <v>0</v>
      </c>
      <c r="F1234" s="297">
        <v>0</v>
      </c>
      <c r="G1234" s="297">
        <v>0</v>
      </c>
      <c r="H1234" s="297">
        <v>0</v>
      </c>
      <c r="I1234" s="298">
        <v>0</v>
      </c>
      <c r="J1234" s="152">
        <v>0</v>
      </c>
      <c r="K1234" s="294">
        <v>0</v>
      </c>
      <c r="L1234" s="290">
        <v>0</v>
      </c>
      <c r="M1234" s="290">
        <v>0</v>
      </c>
      <c r="N1234" s="296">
        <v>0</v>
      </c>
      <c r="O1234" s="296">
        <v>0</v>
      </c>
      <c r="Q1234" s="61">
        <v>0</v>
      </c>
      <c r="T1234" s="61">
        <v>0</v>
      </c>
      <c r="V1234" s="61">
        <v>0</v>
      </c>
      <c r="W1234" s="61">
        <v>0</v>
      </c>
      <c r="AH1234" s="279">
        <v>0</v>
      </c>
    </row>
    <row r="1235" spans="1:34">
      <c r="A1235" s="61">
        <v>0</v>
      </c>
      <c r="B1235" s="290">
        <v>0</v>
      </c>
      <c r="C1235" s="290">
        <v>0</v>
      </c>
      <c r="D1235" s="61">
        <v>0</v>
      </c>
      <c r="E1235" s="297">
        <v>0</v>
      </c>
      <c r="F1235" s="297">
        <v>0</v>
      </c>
      <c r="G1235" s="297">
        <v>0</v>
      </c>
      <c r="H1235" s="297">
        <v>0</v>
      </c>
      <c r="I1235" s="298">
        <v>0</v>
      </c>
      <c r="J1235" s="152">
        <v>0</v>
      </c>
      <c r="K1235" s="294">
        <v>0</v>
      </c>
      <c r="L1235" s="290">
        <v>0</v>
      </c>
      <c r="M1235" s="290">
        <v>0</v>
      </c>
      <c r="N1235" s="296">
        <v>0</v>
      </c>
      <c r="O1235" s="296">
        <v>0</v>
      </c>
      <c r="Q1235" s="61">
        <v>0</v>
      </c>
      <c r="T1235" s="61">
        <v>0</v>
      </c>
      <c r="V1235" s="61">
        <v>0</v>
      </c>
      <c r="W1235" s="61">
        <v>0</v>
      </c>
      <c r="AH1235" s="279">
        <v>0</v>
      </c>
    </row>
    <row r="1236" spans="1:34">
      <c r="A1236" s="61">
        <v>0</v>
      </c>
      <c r="B1236" s="290">
        <v>0</v>
      </c>
      <c r="C1236" s="290">
        <v>0</v>
      </c>
      <c r="D1236" s="61">
        <v>0</v>
      </c>
      <c r="E1236" s="297">
        <v>0</v>
      </c>
      <c r="F1236" s="297">
        <v>0</v>
      </c>
      <c r="G1236" s="297">
        <v>0</v>
      </c>
      <c r="H1236" s="297">
        <v>0</v>
      </c>
      <c r="I1236" s="298">
        <v>0</v>
      </c>
      <c r="J1236" s="152">
        <v>0</v>
      </c>
      <c r="K1236" s="294">
        <v>0</v>
      </c>
      <c r="L1236" s="290">
        <v>0</v>
      </c>
      <c r="M1236" s="290">
        <v>0</v>
      </c>
      <c r="N1236" s="296">
        <v>0</v>
      </c>
      <c r="O1236" s="296">
        <v>0</v>
      </c>
      <c r="Q1236" s="61">
        <v>0</v>
      </c>
      <c r="T1236" s="61">
        <v>0</v>
      </c>
      <c r="V1236" s="61">
        <v>0</v>
      </c>
      <c r="W1236" s="61">
        <v>0</v>
      </c>
      <c r="AH1236" s="279">
        <v>0</v>
      </c>
    </row>
    <row r="1237" spans="1:34">
      <c r="A1237" s="61">
        <v>0</v>
      </c>
      <c r="B1237" s="290">
        <v>0</v>
      </c>
      <c r="C1237" s="290">
        <v>0</v>
      </c>
      <c r="D1237" s="61">
        <v>0</v>
      </c>
      <c r="E1237" s="297">
        <v>0</v>
      </c>
      <c r="F1237" s="297">
        <v>0</v>
      </c>
      <c r="G1237" s="297">
        <v>0</v>
      </c>
      <c r="H1237" s="297">
        <v>0</v>
      </c>
      <c r="I1237" s="298">
        <v>0</v>
      </c>
      <c r="J1237" s="152">
        <v>0</v>
      </c>
      <c r="K1237" s="294">
        <v>0</v>
      </c>
      <c r="L1237" s="290">
        <v>0</v>
      </c>
      <c r="M1237" s="290">
        <v>0</v>
      </c>
      <c r="N1237" s="296">
        <v>0</v>
      </c>
      <c r="O1237" s="296">
        <v>0</v>
      </c>
      <c r="Q1237" s="61">
        <v>0</v>
      </c>
      <c r="T1237" s="61">
        <v>0</v>
      </c>
      <c r="V1237" s="61">
        <v>0</v>
      </c>
      <c r="W1237" s="61">
        <v>0</v>
      </c>
      <c r="AH1237" s="279">
        <v>0</v>
      </c>
    </row>
    <row r="1238" spans="1:34">
      <c r="A1238" s="61">
        <v>0</v>
      </c>
      <c r="B1238" s="290">
        <v>0</v>
      </c>
      <c r="C1238" s="290">
        <v>0</v>
      </c>
      <c r="D1238" s="61">
        <v>0</v>
      </c>
      <c r="E1238" s="297">
        <v>0</v>
      </c>
      <c r="F1238" s="297">
        <v>0</v>
      </c>
      <c r="G1238" s="297">
        <v>0</v>
      </c>
      <c r="H1238" s="297">
        <v>0</v>
      </c>
      <c r="I1238" s="298">
        <v>0</v>
      </c>
      <c r="J1238" s="152">
        <v>0</v>
      </c>
      <c r="K1238" s="294">
        <v>0</v>
      </c>
      <c r="L1238" s="290">
        <v>0</v>
      </c>
      <c r="M1238" s="290">
        <v>0</v>
      </c>
      <c r="N1238" s="296">
        <v>0</v>
      </c>
      <c r="O1238" s="296">
        <v>0</v>
      </c>
      <c r="Q1238" s="61">
        <v>0</v>
      </c>
      <c r="T1238" s="61">
        <v>0</v>
      </c>
      <c r="V1238" s="61">
        <v>0</v>
      </c>
      <c r="W1238" s="61">
        <v>0</v>
      </c>
      <c r="AH1238" s="279">
        <v>0</v>
      </c>
    </row>
    <row r="1239" spans="1:34">
      <c r="A1239" s="61">
        <v>0</v>
      </c>
      <c r="B1239" s="290">
        <v>0</v>
      </c>
      <c r="C1239" s="290">
        <v>0</v>
      </c>
      <c r="D1239" s="61">
        <v>0</v>
      </c>
      <c r="E1239" s="297">
        <v>0</v>
      </c>
      <c r="F1239" s="297">
        <v>0</v>
      </c>
      <c r="G1239" s="297">
        <v>0</v>
      </c>
      <c r="H1239" s="297">
        <v>0</v>
      </c>
      <c r="I1239" s="298">
        <v>0</v>
      </c>
      <c r="J1239" s="152">
        <v>0</v>
      </c>
      <c r="K1239" s="294">
        <v>0</v>
      </c>
      <c r="L1239" s="290">
        <v>0</v>
      </c>
      <c r="M1239" s="290">
        <v>0</v>
      </c>
      <c r="N1239" s="296">
        <v>0</v>
      </c>
      <c r="O1239" s="296">
        <v>0</v>
      </c>
      <c r="Q1239" s="61">
        <v>0</v>
      </c>
      <c r="T1239" s="61">
        <v>0</v>
      </c>
      <c r="V1239" s="61">
        <v>0</v>
      </c>
      <c r="W1239" s="61">
        <v>0</v>
      </c>
      <c r="AH1239" s="279">
        <v>0</v>
      </c>
    </row>
    <row r="1240" spans="1:34">
      <c r="A1240" s="61">
        <v>0</v>
      </c>
      <c r="B1240" s="290">
        <v>0</v>
      </c>
      <c r="C1240" s="290">
        <v>0</v>
      </c>
      <c r="D1240" s="61">
        <v>0</v>
      </c>
      <c r="E1240" s="297">
        <v>0</v>
      </c>
      <c r="F1240" s="297">
        <v>0</v>
      </c>
      <c r="G1240" s="297">
        <v>0</v>
      </c>
      <c r="H1240" s="297">
        <v>0</v>
      </c>
      <c r="I1240" s="298">
        <v>0</v>
      </c>
      <c r="J1240" s="152">
        <v>0</v>
      </c>
      <c r="K1240" s="294">
        <v>0</v>
      </c>
      <c r="L1240" s="290">
        <v>0</v>
      </c>
      <c r="M1240" s="290">
        <v>0</v>
      </c>
      <c r="N1240" s="296">
        <v>0</v>
      </c>
      <c r="O1240" s="296">
        <v>0</v>
      </c>
      <c r="Q1240" s="61">
        <v>0</v>
      </c>
      <c r="T1240" s="61">
        <v>0</v>
      </c>
      <c r="V1240" s="61">
        <v>0</v>
      </c>
      <c r="W1240" s="61">
        <v>0</v>
      </c>
      <c r="AH1240" s="279">
        <v>0</v>
      </c>
    </row>
    <row r="1241" spans="1:34">
      <c r="A1241" s="61">
        <v>0</v>
      </c>
      <c r="B1241" s="290">
        <v>0</v>
      </c>
      <c r="C1241" s="290">
        <v>0</v>
      </c>
      <c r="D1241" s="61">
        <v>0</v>
      </c>
      <c r="E1241" s="297">
        <v>0</v>
      </c>
      <c r="F1241" s="297">
        <v>0</v>
      </c>
      <c r="G1241" s="297">
        <v>0</v>
      </c>
      <c r="H1241" s="297">
        <v>0</v>
      </c>
      <c r="I1241" s="298">
        <v>0</v>
      </c>
      <c r="J1241" s="152">
        <v>0</v>
      </c>
      <c r="K1241" s="294">
        <v>0</v>
      </c>
      <c r="L1241" s="290">
        <v>0</v>
      </c>
      <c r="M1241" s="290">
        <v>0</v>
      </c>
      <c r="N1241" s="296">
        <v>0</v>
      </c>
      <c r="O1241" s="296">
        <v>0</v>
      </c>
      <c r="Q1241" s="61">
        <v>0</v>
      </c>
      <c r="T1241" s="61">
        <v>0</v>
      </c>
      <c r="V1241" s="61">
        <v>0</v>
      </c>
      <c r="W1241" s="61">
        <v>0</v>
      </c>
      <c r="AH1241" s="279">
        <v>0</v>
      </c>
    </row>
    <row r="1242" spans="1:34">
      <c r="A1242" s="61">
        <v>0</v>
      </c>
      <c r="B1242" s="290">
        <v>0</v>
      </c>
      <c r="C1242" s="290">
        <v>0</v>
      </c>
      <c r="D1242" s="61">
        <v>0</v>
      </c>
      <c r="E1242" s="297">
        <v>0</v>
      </c>
      <c r="F1242" s="297">
        <v>0</v>
      </c>
      <c r="G1242" s="297">
        <v>0</v>
      </c>
      <c r="H1242" s="297">
        <v>0</v>
      </c>
      <c r="I1242" s="298">
        <v>0</v>
      </c>
      <c r="J1242" s="152">
        <v>0</v>
      </c>
      <c r="K1242" s="294">
        <v>0</v>
      </c>
      <c r="L1242" s="290">
        <v>0</v>
      </c>
      <c r="M1242" s="290">
        <v>0</v>
      </c>
      <c r="N1242" s="296">
        <v>0</v>
      </c>
      <c r="O1242" s="296">
        <v>0</v>
      </c>
      <c r="Q1242" s="61">
        <v>0</v>
      </c>
      <c r="T1242" s="61">
        <v>0</v>
      </c>
      <c r="V1242" s="61">
        <v>0</v>
      </c>
      <c r="W1242" s="61">
        <v>0</v>
      </c>
      <c r="AH1242" s="279">
        <v>0</v>
      </c>
    </row>
    <row r="1243" spans="1:34">
      <c r="A1243" s="61">
        <v>0</v>
      </c>
      <c r="B1243" s="290">
        <v>0</v>
      </c>
      <c r="C1243" s="290">
        <v>0</v>
      </c>
      <c r="D1243" s="61">
        <v>0</v>
      </c>
      <c r="E1243" s="297">
        <v>0</v>
      </c>
      <c r="F1243" s="297">
        <v>0</v>
      </c>
      <c r="G1243" s="297">
        <v>0</v>
      </c>
      <c r="H1243" s="297">
        <v>0</v>
      </c>
      <c r="I1243" s="298">
        <v>0</v>
      </c>
      <c r="J1243" s="152">
        <v>0</v>
      </c>
      <c r="K1243" s="294">
        <v>0</v>
      </c>
      <c r="L1243" s="290">
        <v>0</v>
      </c>
      <c r="M1243" s="290">
        <v>0</v>
      </c>
      <c r="N1243" s="296">
        <v>0</v>
      </c>
      <c r="O1243" s="296">
        <v>0</v>
      </c>
      <c r="Q1243" s="61">
        <v>0</v>
      </c>
      <c r="T1243" s="61">
        <v>0</v>
      </c>
      <c r="V1243" s="61">
        <v>0</v>
      </c>
      <c r="W1243" s="61">
        <v>0</v>
      </c>
      <c r="AH1243" s="279">
        <v>0</v>
      </c>
    </row>
    <row r="1244" spans="1:34">
      <c r="A1244" s="61">
        <v>0</v>
      </c>
      <c r="B1244" s="290">
        <v>0</v>
      </c>
      <c r="C1244" s="290">
        <v>0</v>
      </c>
      <c r="D1244" s="61">
        <v>0</v>
      </c>
      <c r="E1244" s="297">
        <v>0</v>
      </c>
      <c r="F1244" s="297">
        <v>0</v>
      </c>
      <c r="G1244" s="297">
        <v>0</v>
      </c>
      <c r="H1244" s="297">
        <v>0</v>
      </c>
      <c r="I1244" s="298">
        <v>0</v>
      </c>
      <c r="J1244" s="152">
        <v>0</v>
      </c>
      <c r="K1244" s="294">
        <v>0</v>
      </c>
      <c r="L1244" s="290">
        <v>0</v>
      </c>
      <c r="M1244" s="290">
        <v>0</v>
      </c>
      <c r="N1244" s="296">
        <v>0</v>
      </c>
      <c r="O1244" s="296">
        <v>0</v>
      </c>
      <c r="Q1244" s="61">
        <v>0</v>
      </c>
      <c r="T1244" s="61">
        <v>0</v>
      </c>
      <c r="V1244" s="61">
        <v>0</v>
      </c>
      <c r="W1244" s="61">
        <v>0</v>
      </c>
      <c r="AH1244" s="279">
        <v>0</v>
      </c>
    </row>
    <row r="1245" spans="1:34">
      <c r="A1245" s="61">
        <v>0</v>
      </c>
      <c r="B1245" s="290">
        <v>0</v>
      </c>
      <c r="C1245" s="290">
        <v>0</v>
      </c>
      <c r="D1245" s="61">
        <v>0</v>
      </c>
      <c r="E1245" s="297">
        <v>0</v>
      </c>
      <c r="F1245" s="297">
        <v>0</v>
      </c>
      <c r="G1245" s="297">
        <v>0</v>
      </c>
      <c r="H1245" s="297">
        <v>0</v>
      </c>
      <c r="I1245" s="298">
        <v>0</v>
      </c>
      <c r="J1245" s="152">
        <v>0</v>
      </c>
      <c r="K1245" s="294">
        <v>0</v>
      </c>
      <c r="L1245" s="290">
        <v>0</v>
      </c>
      <c r="M1245" s="290">
        <v>0</v>
      </c>
      <c r="N1245" s="296">
        <v>0</v>
      </c>
      <c r="O1245" s="296">
        <v>0</v>
      </c>
      <c r="Q1245" s="61">
        <v>0</v>
      </c>
      <c r="T1245" s="61">
        <v>0</v>
      </c>
      <c r="V1245" s="61">
        <v>0</v>
      </c>
      <c r="W1245" s="61">
        <v>0</v>
      </c>
      <c r="AH1245" s="279">
        <v>0</v>
      </c>
    </row>
    <row r="1246" spans="1:34">
      <c r="A1246" s="61">
        <v>0</v>
      </c>
      <c r="B1246" s="290">
        <v>0</v>
      </c>
      <c r="C1246" s="290">
        <v>0</v>
      </c>
      <c r="D1246" s="61">
        <v>0</v>
      </c>
      <c r="E1246" s="297">
        <v>0</v>
      </c>
      <c r="F1246" s="297">
        <v>0</v>
      </c>
      <c r="G1246" s="297">
        <v>0</v>
      </c>
      <c r="H1246" s="297">
        <v>0</v>
      </c>
      <c r="I1246" s="298">
        <v>0</v>
      </c>
      <c r="J1246" s="152">
        <v>0</v>
      </c>
      <c r="K1246" s="294">
        <v>0</v>
      </c>
      <c r="L1246" s="290">
        <v>0</v>
      </c>
      <c r="M1246" s="290">
        <v>0</v>
      </c>
      <c r="N1246" s="296">
        <v>0</v>
      </c>
      <c r="O1246" s="296">
        <v>0</v>
      </c>
      <c r="Q1246" s="61">
        <v>0</v>
      </c>
      <c r="T1246" s="61">
        <v>0</v>
      </c>
      <c r="V1246" s="61">
        <v>0</v>
      </c>
      <c r="W1246" s="61">
        <v>0</v>
      </c>
      <c r="AH1246" s="279">
        <v>0</v>
      </c>
    </row>
    <row r="1247" spans="1:34">
      <c r="A1247" s="61">
        <v>0</v>
      </c>
      <c r="B1247" s="290">
        <v>0</v>
      </c>
      <c r="C1247" s="290">
        <v>0</v>
      </c>
      <c r="D1247" s="61">
        <v>0</v>
      </c>
      <c r="E1247" s="297">
        <v>0</v>
      </c>
      <c r="F1247" s="297">
        <v>0</v>
      </c>
      <c r="G1247" s="297">
        <v>0</v>
      </c>
      <c r="H1247" s="297">
        <v>0</v>
      </c>
      <c r="I1247" s="298">
        <v>0</v>
      </c>
      <c r="J1247" s="152">
        <v>0</v>
      </c>
      <c r="K1247" s="294">
        <v>0</v>
      </c>
      <c r="L1247" s="290">
        <v>0</v>
      </c>
      <c r="M1247" s="290">
        <v>0</v>
      </c>
      <c r="N1247" s="296">
        <v>0</v>
      </c>
      <c r="O1247" s="296">
        <v>0</v>
      </c>
      <c r="Q1247" s="61">
        <v>0</v>
      </c>
      <c r="T1247" s="61">
        <v>0</v>
      </c>
      <c r="V1247" s="61">
        <v>0</v>
      </c>
      <c r="W1247" s="61">
        <v>0</v>
      </c>
      <c r="AH1247" s="279">
        <v>0</v>
      </c>
    </row>
    <row r="1248" spans="1:34">
      <c r="A1248" s="61">
        <v>0</v>
      </c>
      <c r="B1248" s="290">
        <v>0</v>
      </c>
      <c r="C1248" s="290">
        <v>0</v>
      </c>
      <c r="D1248" s="61">
        <v>0</v>
      </c>
      <c r="E1248" s="297">
        <v>0</v>
      </c>
      <c r="F1248" s="297">
        <v>0</v>
      </c>
      <c r="G1248" s="297">
        <v>0</v>
      </c>
      <c r="H1248" s="297">
        <v>0</v>
      </c>
      <c r="I1248" s="298">
        <v>0</v>
      </c>
      <c r="J1248" s="152">
        <v>0</v>
      </c>
      <c r="K1248" s="294">
        <v>0</v>
      </c>
      <c r="L1248" s="290">
        <v>0</v>
      </c>
      <c r="M1248" s="290">
        <v>0</v>
      </c>
      <c r="N1248" s="296">
        <v>0</v>
      </c>
      <c r="O1248" s="296">
        <v>0</v>
      </c>
      <c r="Q1248" s="61">
        <v>0</v>
      </c>
      <c r="T1248" s="61">
        <v>0</v>
      </c>
      <c r="V1248" s="61">
        <v>0</v>
      </c>
      <c r="W1248" s="61">
        <v>0</v>
      </c>
      <c r="AH1248" s="279">
        <v>0</v>
      </c>
    </row>
    <row r="1249" spans="1:34">
      <c r="A1249" s="61">
        <v>0</v>
      </c>
      <c r="B1249" s="290">
        <v>0</v>
      </c>
      <c r="C1249" s="290">
        <v>0</v>
      </c>
      <c r="D1249" s="61">
        <v>0</v>
      </c>
      <c r="E1249" s="297">
        <v>0</v>
      </c>
      <c r="F1249" s="297">
        <v>0</v>
      </c>
      <c r="G1249" s="297">
        <v>0</v>
      </c>
      <c r="H1249" s="297">
        <v>0</v>
      </c>
      <c r="I1249" s="298">
        <v>0</v>
      </c>
      <c r="J1249" s="152">
        <v>0</v>
      </c>
      <c r="K1249" s="294">
        <v>0</v>
      </c>
      <c r="L1249" s="290">
        <v>0</v>
      </c>
      <c r="M1249" s="290">
        <v>0</v>
      </c>
      <c r="N1249" s="296">
        <v>0</v>
      </c>
      <c r="O1249" s="296">
        <v>0</v>
      </c>
      <c r="Q1249" s="61">
        <v>0</v>
      </c>
      <c r="T1249" s="61">
        <v>0</v>
      </c>
      <c r="V1249" s="61">
        <v>0</v>
      </c>
      <c r="W1249" s="61">
        <v>0</v>
      </c>
      <c r="AH1249" s="279">
        <v>0</v>
      </c>
    </row>
    <row r="1250" spans="1:34">
      <c r="A1250" s="61">
        <v>0</v>
      </c>
      <c r="B1250" s="290">
        <v>0</v>
      </c>
      <c r="C1250" s="290">
        <v>0</v>
      </c>
      <c r="D1250" s="61">
        <v>0</v>
      </c>
      <c r="E1250" s="297">
        <v>0</v>
      </c>
      <c r="F1250" s="297">
        <v>0</v>
      </c>
      <c r="G1250" s="297">
        <v>0</v>
      </c>
      <c r="H1250" s="297">
        <v>0</v>
      </c>
      <c r="I1250" s="298">
        <v>0</v>
      </c>
      <c r="J1250" s="152">
        <v>0</v>
      </c>
      <c r="K1250" s="294">
        <v>0</v>
      </c>
      <c r="L1250" s="290">
        <v>0</v>
      </c>
      <c r="M1250" s="290">
        <v>0</v>
      </c>
      <c r="N1250" s="296">
        <v>0</v>
      </c>
      <c r="O1250" s="296">
        <v>0</v>
      </c>
      <c r="Q1250" s="61">
        <v>0</v>
      </c>
      <c r="T1250" s="61">
        <v>0</v>
      </c>
      <c r="V1250" s="61">
        <v>0</v>
      </c>
      <c r="W1250" s="61">
        <v>0</v>
      </c>
      <c r="AH1250" s="279">
        <v>0</v>
      </c>
    </row>
    <row r="1251" spans="1:34">
      <c r="A1251" s="61">
        <v>0</v>
      </c>
      <c r="B1251" s="290">
        <v>0</v>
      </c>
      <c r="C1251" s="290">
        <v>0</v>
      </c>
      <c r="D1251" s="61">
        <v>0</v>
      </c>
      <c r="E1251" s="297">
        <v>0</v>
      </c>
      <c r="F1251" s="297">
        <v>0</v>
      </c>
      <c r="G1251" s="297">
        <v>0</v>
      </c>
      <c r="H1251" s="297">
        <v>0</v>
      </c>
      <c r="I1251" s="298">
        <v>0</v>
      </c>
      <c r="J1251" s="152">
        <v>0</v>
      </c>
      <c r="K1251" s="294">
        <v>0</v>
      </c>
      <c r="L1251" s="290">
        <v>0</v>
      </c>
      <c r="M1251" s="290">
        <v>0</v>
      </c>
      <c r="N1251" s="296">
        <v>0</v>
      </c>
      <c r="O1251" s="296">
        <v>0</v>
      </c>
      <c r="Q1251" s="61">
        <v>0</v>
      </c>
      <c r="T1251" s="61">
        <v>0</v>
      </c>
      <c r="V1251" s="61">
        <v>0</v>
      </c>
      <c r="W1251" s="61">
        <v>0</v>
      </c>
      <c r="AH1251" s="279">
        <v>0</v>
      </c>
    </row>
    <row r="1252" spans="1:34">
      <c r="A1252" s="61">
        <v>0</v>
      </c>
      <c r="B1252" s="290">
        <v>0</v>
      </c>
      <c r="C1252" s="290">
        <v>0</v>
      </c>
      <c r="D1252" s="61">
        <v>0</v>
      </c>
      <c r="E1252" s="297">
        <v>0</v>
      </c>
      <c r="F1252" s="297">
        <v>0</v>
      </c>
      <c r="G1252" s="297">
        <v>0</v>
      </c>
      <c r="H1252" s="297">
        <v>0</v>
      </c>
      <c r="I1252" s="298">
        <v>0</v>
      </c>
      <c r="J1252" s="152">
        <v>0</v>
      </c>
      <c r="K1252" s="294">
        <v>0</v>
      </c>
      <c r="L1252" s="290">
        <v>0</v>
      </c>
      <c r="M1252" s="290">
        <v>0</v>
      </c>
      <c r="N1252" s="296">
        <v>0</v>
      </c>
      <c r="O1252" s="296">
        <v>0</v>
      </c>
      <c r="Q1252" s="61">
        <v>0</v>
      </c>
      <c r="T1252" s="61">
        <v>0</v>
      </c>
      <c r="V1252" s="61">
        <v>0</v>
      </c>
      <c r="W1252" s="61">
        <v>0</v>
      </c>
      <c r="AH1252" s="279">
        <v>0</v>
      </c>
    </row>
    <row r="1253" spans="1:34">
      <c r="A1253" s="61">
        <v>0</v>
      </c>
      <c r="B1253" s="290">
        <v>0</v>
      </c>
      <c r="C1253" s="290">
        <v>0</v>
      </c>
      <c r="D1253" s="61">
        <v>0</v>
      </c>
      <c r="E1253" s="297">
        <v>0</v>
      </c>
      <c r="F1253" s="297">
        <v>0</v>
      </c>
      <c r="G1253" s="297">
        <v>0</v>
      </c>
      <c r="H1253" s="297">
        <v>0</v>
      </c>
      <c r="I1253" s="298">
        <v>0</v>
      </c>
      <c r="J1253" s="152">
        <v>0</v>
      </c>
      <c r="K1253" s="294">
        <v>0</v>
      </c>
      <c r="L1253" s="290">
        <v>0</v>
      </c>
      <c r="M1253" s="290">
        <v>0</v>
      </c>
      <c r="N1253" s="296">
        <v>0</v>
      </c>
      <c r="O1253" s="296">
        <v>0</v>
      </c>
      <c r="Q1253" s="61">
        <v>0</v>
      </c>
      <c r="T1253" s="61">
        <v>0</v>
      </c>
      <c r="V1253" s="61">
        <v>0</v>
      </c>
      <c r="W1253" s="61">
        <v>0</v>
      </c>
      <c r="AH1253" s="279">
        <v>0</v>
      </c>
    </row>
    <row r="1254" spans="1:34">
      <c r="A1254" s="61">
        <v>0</v>
      </c>
      <c r="B1254" s="290">
        <v>0</v>
      </c>
      <c r="C1254" s="290">
        <v>0</v>
      </c>
      <c r="D1254" s="61">
        <v>0</v>
      </c>
      <c r="E1254" s="297">
        <v>0</v>
      </c>
      <c r="F1254" s="297">
        <v>0</v>
      </c>
      <c r="G1254" s="297">
        <v>0</v>
      </c>
      <c r="H1254" s="297">
        <v>0</v>
      </c>
      <c r="I1254" s="298">
        <v>0</v>
      </c>
      <c r="J1254" s="152">
        <v>0</v>
      </c>
      <c r="K1254" s="294">
        <v>0</v>
      </c>
      <c r="L1254" s="290">
        <v>0</v>
      </c>
      <c r="M1254" s="290">
        <v>0</v>
      </c>
      <c r="N1254" s="296">
        <v>0</v>
      </c>
      <c r="O1254" s="296">
        <v>0</v>
      </c>
      <c r="Q1254" s="61">
        <v>0</v>
      </c>
      <c r="T1254" s="61">
        <v>0</v>
      </c>
      <c r="V1254" s="61">
        <v>0</v>
      </c>
      <c r="W1254" s="61">
        <v>0</v>
      </c>
      <c r="AH1254" s="279">
        <v>0</v>
      </c>
    </row>
    <row r="1255" spans="1:34">
      <c r="A1255" s="61">
        <v>0</v>
      </c>
      <c r="B1255" s="290">
        <v>0</v>
      </c>
      <c r="C1255" s="290">
        <v>0</v>
      </c>
      <c r="D1255" s="61">
        <v>0</v>
      </c>
      <c r="E1255" s="297">
        <v>0</v>
      </c>
      <c r="F1255" s="297">
        <v>0</v>
      </c>
      <c r="G1255" s="297">
        <v>0</v>
      </c>
      <c r="H1255" s="297">
        <v>0</v>
      </c>
      <c r="I1255" s="298">
        <v>0</v>
      </c>
      <c r="J1255" s="152">
        <v>0</v>
      </c>
      <c r="K1255" s="294">
        <v>0</v>
      </c>
      <c r="L1255" s="290">
        <v>0</v>
      </c>
      <c r="M1255" s="290">
        <v>0</v>
      </c>
      <c r="N1255" s="296">
        <v>0</v>
      </c>
      <c r="O1255" s="296">
        <v>0</v>
      </c>
      <c r="Q1255" s="61">
        <v>0</v>
      </c>
      <c r="T1255" s="61">
        <v>0</v>
      </c>
      <c r="V1255" s="61">
        <v>0</v>
      </c>
      <c r="W1255" s="61">
        <v>0</v>
      </c>
      <c r="AH1255" s="279">
        <v>0</v>
      </c>
    </row>
    <row r="1256" spans="1:34">
      <c r="A1256" s="61">
        <v>0</v>
      </c>
      <c r="B1256" s="290">
        <v>0</v>
      </c>
      <c r="C1256" s="290">
        <v>0</v>
      </c>
      <c r="D1256" s="61">
        <v>0</v>
      </c>
      <c r="E1256" s="297">
        <v>0</v>
      </c>
      <c r="F1256" s="297">
        <v>0</v>
      </c>
      <c r="G1256" s="297">
        <v>0</v>
      </c>
      <c r="H1256" s="297">
        <v>0</v>
      </c>
      <c r="I1256" s="298">
        <v>0</v>
      </c>
      <c r="J1256" s="152">
        <v>0</v>
      </c>
      <c r="K1256" s="294">
        <v>0</v>
      </c>
      <c r="L1256" s="290">
        <v>0</v>
      </c>
      <c r="M1256" s="290">
        <v>0</v>
      </c>
      <c r="N1256" s="296">
        <v>0</v>
      </c>
      <c r="O1256" s="296">
        <v>0</v>
      </c>
      <c r="Q1256" s="61">
        <v>0</v>
      </c>
      <c r="T1256" s="61">
        <v>0</v>
      </c>
      <c r="V1256" s="61">
        <v>0</v>
      </c>
      <c r="W1256" s="61">
        <v>0</v>
      </c>
      <c r="AH1256" s="279">
        <v>0</v>
      </c>
    </row>
    <row r="1257" spans="1:34">
      <c r="A1257" s="61">
        <v>0</v>
      </c>
      <c r="B1257" s="290">
        <v>0</v>
      </c>
      <c r="C1257" s="290">
        <v>0</v>
      </c>
      <c r="D1257" s="61">
        <v>0</v>
      </c>
      <c r="E1257" s="297">
        <v>0</v>
      </c>
      <c r="F1257" s="297">
        <v>0</v>
      </c>
      <c r="G1257" s="297">
        <v>0</v>
      </c>
      <c r="H1257" s="297">
        <v>0</v>
      </c>
      <c r="I1257" s="298">
        <v>0</v>
      </c>
      <c r="J1257" s="152">
        <v>0</v>
      </c>
      <c r="K1257" s="294">
        <v>0</v>
      </c>
      <c r="L1257" s="290">
        <v>0</v>
      </c>
      <c r="M1257" s="290">
        <v>0</v>
      </c>
      <c r="N1257" s="296">
        <v>0</v>
      </c>
      <c r="O1257" s="296">
        <v>0</v>
      </c>
      <c r="Q1257" s="61">
        <v>0</v>
      </c>
      <c r="T1257" s="61">
        <v>0</v>
      </c>
      <c r="V1257" s="61">
        <v>0</v>
      </c>
      <c r="W1257" s="61">
        <v>0</v>
      </c>
      <c r="AH1257" s="279">
        <v>0</v>
      </c>
    </row>
    <row r="1258" spans="1:34">
      <c r="A1258" s="61">
        <v>0</v>
      </c>
      <c r="B1258" s="290">
        <v>0</v>
      </c>
      <c r="C1258" s="290">
        <v>0</v>
      </c>
      <c r="D1258" s="61">
        <v>0</v>
      </c>
      <c r="E1258" s="297">
        <v>0</v>
      </c>
      <c r="F1258" s="297">
        <v>0</v>
      </c>
      <c r="G1258" s="297">
        <v>0</v>
      </c>
      <c r="H1258" s="297">
        <v>0</v>
      </c>
      <c r="I1258" s="298">
        <v>0</v>
      </c>
      <c r="J1258" s="152">
        <v>0</v>
      </c>
      <c r="K1258" s="294">
        <v>0</v>
      </c>
      <c r="L1258" s="290">
        <v>0</v>
      </c>
      <c r="M1258" s="290">
        <v>0</v>
      </c>
      <c r="N1258" s="296">
        <v>0</v>
      </c>
      <c r="O1258" s="296">
        <v>0</v>
      </c>
      <c r="Q1258" s="61">
        <v>0</v>
      </c>
      <c r="T1258" s="61">
        <v>0</v>
      </c>
      <c r="V1258" s="61">
        <v>0</v>
      </c>
      <c r="W1258" s="61">
        <v>0</v>
      </c>
      <c r="AH1258" s="279">
        <v>0</v>
      </c>
    </row>
    <row r="1259" spans="1:34">
      <c r="A1259" s="61">
        <v>0</v>
      </c>
      <c r="B1259" s="290">
        <v>0</v>
      </c>
      <c r="C1259" s="290">
        <v>0</v>
      </c>
      <c r="D1259" s="61">
        <v>0</v>
      </c>
      <c r="E1259" s="297">
        <v>0</v>
      </c>
      <c r="F1259" s="297">
        <v>0</v>
      </c>
      <c r="G1259" s="297">
        <v>0</v>
      </c>
      <c r="H1259" s="297">
        <v>0</v>
      </c>
      <c r="I1259" s="298">
        <v>0</v>
      </c>
      <c r="J1259" s="152">
        <v>0</v>
      </c>
      <c r="K1259" s="294">
        <v>0</v>
      </c>
      <c r="L1259" s="290">
        <v>0</v>
      </c>
      <c r="M1259" s="290">
        <v>0</v>
      </c>
      <c r="N1259" s="296">
        <v>0</v>
      </c>
      <c r="O1259" s="296">
        <v>0</v>
      </c>
      <c r="Q1259" s="61">
        <v>0</v>
      </c>
      <c r="T1259" s="61">
        <v>0</v>
      </c>
      <c r="V1259" s="61">
        <v>0</v>
      </c>
      <c r="W1259" s="61">
        <v>0</v>
      </c>
      <c r="AH1259" s="279">
        <v>0</v>
      </c>
    </row>
    <row r="1260" spans="1:34">
      <c r="A1260" s="61">
        <v>0</v>
      </c>
      <c r="B1260" s="290">
        <v>0</v>
      </c>
      <c r="C1260" s="290">
        <v>0</v>
      </c>
      <c r="D1260" s="61">
        <v>0</v>
      </c>
      <c r="E1260" s="297">
        <v>0</v>
      </c>
      <c r="F1260" s="297">
        <v>0</v>
      </c>
      <c r="G1260" s="297">
        <v>0</v>
      </c>
      <c r="H1260" s="297">
        <v>0</v>
      </c>
      <c r="I1260" s="298">
        <v>0</v>
      </c>
      <c r="J1260" s="152">
        <v>0</v>
      </c>
      <c r="K1260" s="294">
        <v>0</v>
      </c>
      <c r="L1260" s="290">
        <v>0</v>
      </c>
      <c r="M1260" s="290">
        <v>0</v>
      </c>
      <c r="N1260" s="296">
        <v>0</v>
      </c>
      <c r="O1260" s="296">
        <v>0</v>
      </c>
      <c r="Q1260" s="61">
        <v>0</v>
      </c>
      <c r="T1260" s="61">
        <v>0</v>
      </c>
      <c r="V1260" s="61">
        <v>0</v>
      </c>
      <c r="W1260" s="61">
        <v>0</v>
      </c>
      <c r="AH1260" s="279">
        <v>0</v>
      </c>
    </row>
    <row r="1261" spans="1:34">
      <c r="A1261" s="61">
        <v>0</v>
      </c>
      <c r="B1261" s="290">
        <v>0</v>
      </c>
      <c r="C1261" s="290">
        <v>0</v>
      </c>
      <c r="D1261" s="61">
        <v>0</v>
      </c>
      <c r="E1261" s="297">
        <v>0</v>
      </c>
      <c r="F1261" s="297">
        <v>0</v>
      </c>
      <c r="G1261" s="297">
        <v>0</v>
      </c>
      <c r="H1261" s="297">
        <v>0</v>
      </c>
      <c r="I1261" s="298">
        <v>0</v>
      </c>
      <c r="J1261" s="152">
        <v>0</v>
      </c>
      <c r="K1261" s="294">
        <v>0</v>
      </c>
      <c r="L1261" s="290">
        <v>0</v>
      </c>
      <c r="M1261" s="290">
        <v>0</v>
      </c>
      <c r="N1261" s="296">
        <v>0</v>
      </c>
      <c r="O1261" s="296">
        <v>0</v>
      </c>
      <c r="Q1261" s="61">
        <v>0</v>
      </c>
      <c r="T1261" s="61">
        <v>0</v>
      </c>
      <c r="V1261" s="61">
        <v>0</v>
      </c>
      <c r="W1261" s="61">
        <v>0</v>
      </c>
      <c r="AH1261" s="279">
        <v>0</v>
      </c>
    </row>
    <row r="1262" spans="1:34">
      <c r="A1262" s="61">
        <v>0</v>
      </c>
      <c r="B1262" s="290">
        <v>0</v>
      </c>
      <c r="C1262" s="290">
        <v>0</v>
      </c>
      <c r="D1262" s="61">
        <v>0</v>
      </c>
      <c r="E1262" s="297">
        <v>0</v>
      </c>
      <c r="F1262" s="297">
        <v>0</v>
      </c>
      <c r="G1262" s="297">
        <v>0</v>
      </c>
      <c r="H1262" s="297">
        <v>0</v>
      </c>
      <c r="I1262" s="298">
        <v>0</v>
      </c>
      <c r="J1262" s="152">
        <v>0</v>
      </c>
      <c r="K1262" s="294">
        <v>0</v>
      </c>
      <c r="L1262" s="290">
        <v>0</v>
      </c>
      <c r="M1262" s="290">
        <v>0</v>
      </c>
      <c r="N1262" s="296">
        <v>0</v>
      </c>
      <c r="O1262" s="296">
        <v>0</v>
      </c>
      <c r="Q1262" s="61">
        <v>0</v>
      </c>
      <c r="T1262" s="61">
        <v>0</v>
      </c>
      <c r="V1262" s="61">
        <v>0</v>
      </c>
      <c r="W1262" s="61">
        <v>0</v>
      </c>
      <c r="AH1262" s="279">
        <v>0</v>
      </c>
    </row>
    <row r="1263" spans="1:34">
      <c r="A1263" s="61">
        <v>0</v>
      </c>
      <c r="B1263" s="290">
        <v>0</v>
      </c>
      <c r="C1263" s="290">
        <v>0</v>
      </c>
      <c r="D1263" s="61">
        <v>0</v>
      </c>
      <c r="E1263" s="297">
        <v>0</v>
      </c>
      <c r="F1263" s="297">
        <v>0</v>
      </c>
      <c r="G1263" s="297">
        <v>0</v>
      </c>
      <c r="H1263" s="297">
        <v>0</v>
      </c>
      <c r="I1263" s="298">
        <v>0</v>
      </c>
      <c r="J1263" s="152">
        <v>0</v>
      </c>
      <c r="K1263" s="294">
        <v>0</v>
      </c>
      <c r="L1263" s="290">
        <v>0</v>
      </c>
      <c r="M1263" s="290">
        <v>0</v>
      </c>
      <c r="N1263" s="296">
        <v>0</v>
      </c>
      <c r="O1263" s="296">
        <v>0</v>
      </c>
      <c r="Q1263" s="61">
        <v>0</v>
      </c>
      <c r="T1263" s="61">
        <v>0</v>
      </c>
      <c r="V1263" s="61">
        <v>0</v>
      </c>
      <c r="W1263" s="61">
        <v>0</v>
      </c>
      <c r="AH1263" s="279">
        <v>0</v>
      </c>
    </row>
    <row r="1264" spans="1:34">
      <c r="A1264" s="61">
        <v>0</v>
      </c>
      <c r="B1264" s="290">
        <v>0</v>
      </c>
      <c r="C1264" s="290">
        <v>0</v>
      </c>
      <c r="D1264" s="61">
        <v>0</v>
      </c>
      <c r="E1264" s="297">
        <v>0</v>
      </c>
      <c r="F1264" s="297">
        <v>0</v>
      </c>
      <c r="G1264" s="297">
        <v>0</v>
      </c>
      <c r="H1264" s="297">
        <v>0</v>
      </c>
      <c r="I1264" s="298">
        <v>0</v>
      </c>
      <c r="J1264" s="152">
        <v>0</v>
      </c>
      <c r="K1264" s="294">
        <v>0</v>
      </c>
      <c r="L1264" s="290">
        <v>0</v>
      </c>
      <c r="M1264" s="290">
        <v>0</v>
      </c>
      <c r="N1264" s="296">
        <v>0</v>
      </c>
      <c r="O1264" s="296">
        <v>0</v>
      </c>
      <c r="Q1264" s="61">
        <v>0</v>
      </c>
      <c r="T1264" s="61">
        <v>0</v>
      </c>
      <c r="V1264" s="61">
        <v>0</v>
      </c>
      <c r="W1264" s="61">
        <v>0</v>
      </c>
      <c r="AH1264" s="279">
        <v>0</v>
      </c>
    </row>
    <row r="1265" spans="1:34">
      <c r="A1265" s="61">
        <v>0</v>
      </c>
      <c r="B1265" s="290">
        <v>0</v>
      </c>
      <c r="C1265" s="290">
        <v>0</v>
      </c>
      <c r="D1265" s="61">
        <v>0</v>
      </c>
      <c r="E1265" s="297">
        <v>0</v>
      </c>
      <c r="F1265" s="297">
        <v>0</v>
      </c>
      <c r="G1265" s="297">
        <v>0</v>
      </c>
      <c r="H1265" s="297">
        <v>0</v>
      </c>
      <c r="I1265" s="298">
        <v>0</v>
      </c>
      <c r="J1265" s="152">
        <v>0</v>
      </c>
      <c r="K1265" s="294">
        <v>0</v>
      </c>
      <c r="L1265" s="290">
        <v>0</v>
      </c>
      <c r="M1265" s="290">
        <v>0</v>
      </c>
      <c r="N1265" s="296">
        <v>0</v>
      </c>
      <c r="O1265" s="296">
        <v>0</v>
      </c>
      <c r="Q1265" s="61">
        <v>0</v>
      </c>
      <c r="T1265" s="61">
        <v>0</v>
      </c>
      <c r="V1265" s="61">
        <v>0</v>
      </c>
      <c r="W1265" s="61">
        <v>0</v>
      </c>
      <c r="AH1265" s="279">
        <v>0</v>
      </c>
    </row>
    <row r="1266" spans="1:34">
      <c r="A1266" s="61">
        <v>0</v>
      </c>
      <c r="B1266" s="290">
        <v>0</v>
      </c>
      <c r="C1266" s="290">
        <v>0</v>
      </c>
      <c r="D1266" s="61">
        <v>0</v>
      </c>
      <c r="E1266" s="297">
        <v>0</v>
      </c>
      <c r="F1266" s="297">
        <v>0</v>
      </c>
      <c r="G1266" s="297">
        <v>0</v>
      </c>
      <c r="H1266" s="297">
        <v>0</v>
      </c>
      <c r="I1266" s="298">
        <v>0</v>
      </c>
      <c r="J1266" s="152">
        <v>0</v>
      </c>
      <c r="K1266" s="294">
        <v>0</v>
      </c>
      <c r="L1266" s="290">
        <v>0</v>
      </c>
      <c r="M1266" s="290">
        <v>0</v>
      </c>
      <c r="N1266" s="296">
        <v>0</v>
      </c>
      <c r="O1266" s="296">
        <v>0</v>
      </c>
      <c r="Q1266" s="61">
        <v>0</v>
      </c>
      <c r="T1266" s="61">
        <v>0</v>
      </c>
      <c r="V1266" s="61">
        <v>0</v>
      </c>
      <c r="W1266" s="61">
        <v>0</v>
      </c>
      <c r="AH1266" s="279">
        <v>0</v>
      </c>
    </row>
    <row r="1267" spans="1:34">
      <c r="A1267" s="61">
        <v>0</v>
      </c>
      <c r="B1267" s="290">
        <v>0</v>
      </c>
      <c r="C1267" s="290">
        <v>0</v>
      </c>
      <c r="D1267" s="61">
        <v>0</v>
      </c>
      <c r="E1267" s="297">
        <v>0</v>
      </c>
      <c r="F1267" s="297">
        <v>0</v>
      </c>
      <c r="G1267" s="297">
        <v>0</v>
      </c>
      <c r="H1267" s="297">
        <v>0</v>
      </c>
      <c r="I1267" s="298">
        <v>0</v>
      </c>
      <c r="J1267" s="152">
        <v>0</v>
      </c>
      <c r="K1267" s="294">
        <v>0</v>
      </c>
      <c r="L1267" s="290">
        <v>0</v>
      </c>
      <c r="M1267" s="290">
        <v>0</v>
      </c>
      <c r="N1267" s="296">
        <v>0</v>
      </c>
      <c r="O1267" s="296">
        <v>0</v>
      </c>
      <c r="Q1267" s="61">
        <v>0</v>
      </c>
      <c r="T1267" s="61">
        <v>0</v>
      </c>
      <c r="V1267" s="61">
        <v>0</v>
      </c>
      <c r="W1267" s="61">
        <v>0</v>
      </c>
      <c r="AH1267" s="279">
        <v>0</v>
      </c>
    </row>
    <row r="1268" spans="1:34">
      <c r="A1268" s="61">
        <v>0</v>
      </c>
      <c r="B1268" s="290">
        <v>0</v>
      </c>
      <c r="C1268" s="290">
        <v>0</v>
      </c>
      <c r="D1268" s="61">
        <v>0</v>
      </c>
      <c r="E1268" s="297">
        <v>0</v>
      </c>
      <c r="F1268" s="297">
        <v>0</v>
      </c>
      <c r="G1268" s="297">
        <v>0</v>
      </c>
      <c r="H1268" s="297">
        <v>0</v>
      </c>
      <c r="I1268" s="298">
        <v>0</v>
      </c>
      <c r="J1268" s="152">
        <v>0</v>
      </c>
      <c r="K1268" s="294">
        <v>0</v>
      </c>
      <c r="L1268" s="290">
        <v>0</v>
      </c>
      <c r="M1268" s="290">
        <v>0</v>
      </c>
      <c r="N1268" s="296">
        <v>0</v>
      </c>
      <c r="O1268" s="296">
        <v>0</v>
      </c>
      <c r="Q1268" s="61">
        <v>0</v>
      </c>
      <c r="T1268" s="61">
        <v>0</v>
      </c>
      <c r="V1268" s="61">
        <v>0</v>
      </c>
      <c r="W1268" s="61">
        <v>0</v>
      </c>
      <c r="AH1268" s="279">
        <v>0</v>
      </c>
    </row>
    <row r="1269" spans="1:34">
      <c r="A1269" s="61">
        <v>0</v>
      </c>
      <c r="B1269" s="290">
        <v>0</v>
      </c>
      <c r="C1269" s="290">
        <v>0</v>
      </c>
      <c r="D1269" s="61">
        <v>0</v>
      </c>
      <c r="E1269" s="297">
        <v>0</v>
      </c>
      <c r="F1269" s="297">
        <v>0</v>
      </c>
      <c r="G1269" s="297">
        <v>0</v>
      </c>
      <c r="H1269" s="297">
        <v>0</v>
      </c>
      <c r="I1269" s="298">
        <v>0</v>
      </c>
      <c r="J1269" s="152">
        <v>0</v>
      </c>
      <c r="K1269" s="294">
        <v>0</v>
      </c>
      <c r="L1269" s="290">
        <v>0</v>
      </c>
      <c r="M1269" s="290">
        <v>0</v>
      </c>
      <c r="N1269" s="296">
        <v>0</v>
      </c>
      <c r="O1269" s="296">
        <v>0</v>
      </c>
      <c r="Q1269" s="61">
        <v>0</v>
      </c>
      <c r="T1269" s="61">
        <v>0</v>
      </c>
      <c r="V1269" s="61">
        <v>0</v>
      </c>
      <c r="W1269" s="61">
        <v>0</v>
      </c>
      <c r="AH1269" s="279">
        <v>0</v>
      </c>
    </row>
    <row r="1270" spans="1:34">
      <c r="A1270" s="61">
        <v>0</v>
      </c>
      <c r="B1270" s="290">
        <v>0</v>
      </c>
      <c r="C1270" s="290">
        <v>0</v>
      </c>
      <c r="D1270" s="61">
        <v>0</v>
      </c>
      <c r="E1270" s="297">
        <v>0</v>
      </c>
      <c r="F1270" s="297">
        <v>0</v>
      </c>
      <c r="G1270" s="297">
        <v>0</v>
      </c>
      <c r="H1270" s="297">
        <v>0</v>
      </c>
      <c r="I1270" s="298">
        <v>0</v>
      </c>
      <c r="J1270" s="152">
        <v>0</v>
      </c>
      <c r="K1270" s="294">
        <v>0</v>
      </c>
      <c r="L1270" s="290">
        <v>0</v>
      </c>
      <c r="M1270" s="290">
        <v>0</v>
      </c>
      <c r="N1270" s="296">
        <v>0</v>
      </c>
      <c r="O1270" s="296">
        <v>0</v>
      </c>
      <c r="Q1270" s="61">
        <v>0</v>
      </c>
      <c r="T1270" s="61">
        <v>0</v>
      </c>
      <c r="V1270" s="61">
        <v>0</v>
      </c>
      <c r="W1270" s="61">
        <v>0</v>
      </c>
      <c r="AH1270" s="279">
        <v>0</v>
      </c>
    </row>
    <row r="1271" spans="1:34">
      <c r="A1271" s="61">
        <v>0</v>
      </c>
      <c r="B1271" s="290">
        <v>0</v>
      </c>
      <c r="C1271" s="290">
        <v>0</v>
      </c>
      <c r="D1271" s="61">
        <v>0</v>
      </c>
      <c r="E1271" s="297">
        <v>0</v>
      </c>
      <c r="F1271" s="297">
        <v>0</v>
      </c>
      <c r="G1271" s="297">
        <v>0</v>
      </c>
      <c r="H1271" s="297">
        <v>0</v>
      </c>
      <c r="I1271" s="298">
        <v>0</v>
      </c>
      <c r="J1271" s="152">
        <v>0</v>
      </c>
      <c r="K1271" s="294">
        <v>0</v>
      </c>
      <c r="L1271" s="290">
        <v>0</v>
      </c>
      <c r="M1271" s="290">
        <v>0</v>
      </c>
      <c r="N1271" s="296">
        <v>0</v>
      </c>
      <c r="O1271" s="296">
        <v>0</v>
      </c>
      <c r="Q1271" s="61">
        <v>0</v>
      </c>
      <c r="T1271" s="61">
        <v>0</v>
      </c>
      <c r="V1271" s="61">
        <v>0</v>
      </c>
      <c r="W1271" s="61">
        <v>0</v>
      </c>
      <c r="AH1271" s="279">
        <v>0</v>
      </c>
    </row>
    <row r="1272" spans="1:34">
      <c r="A1272" s="61">
        <v>0</v>
      </c>
      <c r="B1272" s="290">
        <v>0</v>
      </c>
      <c r="C1272" s="290">
        <v>0</v>
      </c>
      <c r="D1272" s="61">
        <v>0</v>
      </c>
      <c r="E1272" s="297">
        <v>0</v>
      </c>
      <c r="F1272" s="297">
        <v>0</v>
      </c>
      <c r="G1272" s="297">
        <v>0</v>
      </c>
      <c r="H1272" s="297">
        <v>0</v>
      </c>
      <c r="I1272" s="298">
        <v>0</v>
      </c>
      <c r="J1272" s="152">
        <v>0</v>
      </c>
      <c r="K1272" s="294">
        <v>0</v>
      </c>
      <c r="L1272" s="290">
        <v>0</v>
      </c>
      <c r="M1272" s="290">
        <v>0</v>
      </c>
      <c r="N1272" s="296">
        <v>0</v>
      </c>
      <c r="O1272" s="296">
        <v>0</v>
      </c>
      <c r="Q1272" s="61">
        <v>0</v>
      </c>
      <c r="T1272" s="61">
        <v>0</v>
      </c>
      <c r="V1272" s="61">
        <v>0</v>
      </c>
      <c r="W1272" s="61">
        <v>0</v>
      </c>
      <c r="AH1272" s="279">
        <v>0</v>
      </c>
    </row>
    <row r="1273" spans="1:34">
      <c r="A1273" s="61">
        <v>0</v>
      </c>
      <c r="B1273" s="290">
        <v>0</v>
      </c>
      <c r="C1273" s="290">
        <v>0</v>
      </c>
      <c r="D1273" s="61">
        <v>0</v>
      </c>
      <c r="E1273" s="297">
        <v>0</v>
      </c>
      <c r="F1273" s="297">
        <v>0</v>
      </c>
      <c r="G1273" s="297">
        <v>0</v>
      </c>
      <c r="H1273" s="297">
        <v>0</v>
      </c>
      <c r="I1273" s="298">
        <v>0</v>
      </c>
      <c r="J1273" s="152">
        <v>0</v>
      </c>
      <c r="K1273" s="294">
        <v>0</v>
      </c>
      <c r="L1273" s="290">
        <v>0</v>
      </c>
      <c r="M1273" s="290">
        <v>0</v>
      </c>
      <c r="N1273" s="296">
        <v>0</v>
      </c>
      <c r="O1273" s="296">
        <v>0</v>
      </c>
      <c r="Q1273" s="61">
        <v>0</v>
      </c>
      <c r="T1273" s="61">
        <v>0</v>
      </c>
      <c r="V1273" s="61">
        <v>0</v>
      </c>
      <c r="W1273" s="61">
        <v>0</v>
      </c>
      <c r="AH1273" s="279">
        <v>0</v>
      </c>
    </row>
    <row r="1274" spans="1:34">
      <c r="A1274" s="61">
        <v>0</v>
      </c>
      <c r="B1274" s="290">
        <v>0</v>
      </c>
      <c r="C1274" s="290">
        <v>0</v>
      </c>
      <c r="D1274" s="61">
        <v>0</v>
      </c>
      <c r="E1274" s="297">
        <v>0</v>
      </c>
      <c r="F1274" s="297">
        <v>0</v>
      </c>
      <c r="G1274" s="297">
        <v>0</v>
      </c>
      <c r="H1274" s="297">
        <v>0</v>
      </c>
      <c r="I1274" s="298">
        <v>0</v>
      </c>
      <c r="J1274" s="152">
        <v>0</v>
      </c>
      <c r="K1274" s="294">
        <v>0</v>
      </c>
      <c r="L1274" s="290">
        <v>0</v>
      </c>
      <c r="M1274" s="290">
        <v>0</v>
      </c>
      <c r="N1274" s="296">
        <v>0</v>
      </c>
      <c r="O1274" s="296">
        <v>0</v>
      </c>
      <c r="Q1274" s="61">
        <v>0</v>
      </c>
      <c r="T1274" s="61">
        <v>0</v>
      </c>
      <c r="V1274" s="61">
        <v>0</v>
      </c>
      <c r="W1274" s="61">
        <v>0</v>
      </c>
      <c r="AH1274" s="279">
        <v>0</v>
      </c>
    </row>
    <row r="1275" spans="1:34">
      <c r="A1275" s="61">
        <v>0</v>
      </c>
      <c r="B1275" s="290">
        <v>0</v>
      </c>
      <c r="C1275" s="290">
        <v>0</v>
      </c>
      <c r="D1275" s="61">
        <v>0</v>
      </c>
      <c r="E1275" s="297">
        <v>0</v>
      </c>
      <c r="F1275" s="297">
        <v>0</v>
      </c>
      <c r="G1275" s="297">
        <v>0</v>
      </c>
      <c r="H1275" s="297">
        <v>0</v>
      </c>
      <c r="I1275" s="298">
        <v>0</v>
      </c>
      <c r="J1275" s="152">
        <v>0</v>
      </c>
      <c r="K1275" s="294">
        <v>0</v>
      </c>
      <c r="L1275" s="290">
        <v>0</v>
      </c>
      <c r="M1275" s="290">
        <v>0</v>
      </c>
      <c r="N1275" s="296">
        <v>0</v>
      </c>
      <c r="O1275" s="296">
        <v>0</v>
      </c>
      <c r="Q1275" s="61">
        <v>0</v>
      </c>
      <c r="T1275" s="61">
        <v>0</v>
      </c>
      <c r="V1275" s="61">
        <v>0</v>
      </c>
      <c r="W1275" s="61">
        <v>0</v>
      </c>
      <c r="AH1275" s="279">
        <v>0</v>
      </c>
    </row>
    <row r="1276" spans="1:34">
      <c r="A1276" s="61">
        <v>0</v>
      </c>
      <c r="B1276" s="290">
        <v>0</v>
      </c>
      <c r="C1276" s="290">
        <v>0</v>
      </c>
      <c r="D1276" s="61">
        <v>0</v>
      </c>
      <c r="E1276" s="297">
        <v>0</v>
      </c>
      <c r="F1276" s="297">
        <v>0</v>
      </c>
      <c r="G1276" s="297">
        <v>0</v>
      </c>
      <c r="H1276" s="297">
        <v>0</v>
      </c>
      <c r="I1276" s="298">
        <v>0</v>
      </c>
      <c r="J1276" s="152">
        <v>0</v>
      </c>
      <c r="K1276" s="294">
        <v>0</v>
      </c>
      <c r="L1276" s="290">
        <v>0</v>
      </c>
      <c r="M1276" s="290">
        <v>0</v>
      </c>
      <c r="N1276" s="296">
        <v>0</v>
      </c>
      <c r="O1276" s="296">
        <v>0</v>
      </c>
      <c r="Q1276" s="61">
        <v>0</v>
      </c>
      <c r="T1276" s="61">
        <v>0</v>
      </c>
      <c r="V1276" s="61">
        <v>0</v>
      </c>
      <c r="W1276" s="61">
        <v>0</v>
      </c>
      <c r="AH1276" s="279">
        <v>0</v>
      </c>
    </row>
    <row r="1277" spans="1:34">
      <c r="A1277" s="61">
        <v>0</v>
      </c>
      <c r="B1277" s="290">
        <v>0</v>
      </c>
      <c r="C1277" s="290">
        <v>0</v>
      </c>
      <c r="D1277" s="61">
        <v>0</v>
      </c>
      <c r="E1277" s="297">
        <v>0</v>
      </c>
      <c r="F1277" s="297">
        <v>0</v>
      </c>
      <c r="G1277" s="297">
        <v>0</v>
      </c>
      <c r="H1277" s="297">
        <v>0</v>
      </c>
      <c r="I1277" s="298">
        <v>0</v>
      </c>
      <c r="J1277" s="152">
        <v>0</v>
      </c>
      <c r="K1277" s="294">
        <v>0</v>
      </c>
      <c r="L1277" s="290">
        <v>0</v>
      </c>
      <c r="M1277" s="290">
        <v>0</v>
      </c>
      <c r="N1277" s="296">
        <v>0</v>
      </c>
      <c r="O1277" s="296">
        <v>0</v>
      </c>
      <c r="Q1277" s="61">
        <v>0</v>
      </c>
      <c r="T1277" s="61">
        <v>0</v>
      </c>
      <c r="V1277" s="61">
        <v>0</v>
      </c>
      <c r="W1277" s="61">
        <v>0</v>
      </c>
      <c r="AH1277" s="279">
        <v>0</v>
      </c>
    </row>
    <row r="1278" spans="1:34">
      <c r="A1278" s="61">
        <v>0</v>
      </c>
      <c r="B1278" s="290">
        <v>0</v>
      </c>
      <c r="C1278" s="290">
        <v>0</v>
      </c>
      <c r="D1278" s="61">
        <v>0</v>
      </c>
      <c r="E1278" s="297">
        <v>0</v>
      </c>
      <c r="F1278" s="297">
        <v>0</v>
      </c>
      <c r="G1278" s="297">
        <v>0</v>
      </c>
      <c r="H1278" s="297">
        <v>0</v>
      </c>
      <c r="I1278" s="298">
        <v>0</v>
      </c>
      <c r="J1278" s="152">
        <v>0</v>
      </c>
      <c r="K1278" s="294">
        <v>0</v>
      </c>
      <c r="L1278" s="290">
        <v>0</v>
      </c>
      <c r="M1278" s="290">
        <v>0</v>
      </c>
      <c r="N1278" s="296">
        <v>0</v>
      </c>
      <c r="O1278" s="296">
        <v>0</v>
      </c>
      <c r="Q1278" s="61">
        <v>0</v>
      </c>
      <c r="T1278" s="61">
        <v>0</v>
      </c>
      <c r="V1278" s="61">
        <v>0</v>
      </c>
      <c r="W1278" s="61">
        <v>0</v>
      </c>
      <c r="AH1278" s="279">
        <v>0</v>
      </c>
    </row>
    <row r="1279" spans="1:34">
      <c r="A1279" s="61">
        <v>0</v>
      </c>
      <c r="B1279" s="290">
        <v>0</v>
      </c>
      <c r="C1279" s="290">
        <v>0</v>
      </c>
      <c r="D1279" s="61">
        <v>0</v>
      </c>
      <c r="E1279" s="297">
        <v>0</v>
      </c>
      <c r="F1279" s="297">
        <v>0</v>
      </c>
      <c r="G1279" s="297">
        <v>0</v>
      </c>
      <c r="H1279" s="297">
        <v>0</v>
      </c>
      <c r="I1279" s="298">
        <v>0</v>
      </c>
      <c r="J1279" s="152">
        <v>0</v>
      </c>
      <c r="K1279" s="294">
        <v>0</v>
      </c>
      <c r="L1279" s="290">
        <v>0</v>
      </c>
      <c r="M1279" s="290">
        <v>0</v>
      </c>
      <c r="N1279" s="296">
        <v>0</v>
      </c>
      <c r="O1279" s="296">
        <v>0</v>
      </c>
      <c r="Q1279" s="61">
        <v>0</v>
      </c>
      <c r="T1279" s="61">
        <v>0</v>
      </c>
      <c r="V1279" s="61">
        <v>0</v>
      </c>
      <c r="W1279" s="61">
        <v>0</v>
      </c>
      <c r="AH1279" s="279">
        <v>0</v>
      </c>
    </row>
    <row r="1280" spans="1:34">
      <c r="A1280" s="61">
        <v>0</v>
      </c>
      <c r="B1280" s="290">
        <v>0</v>
      </c>
      <c r="C1280" s="290">
        <v>0</v>
      </c>
      <c r="D1280" s="61">
        <v>0</v>
      </c>
      <c r="E1280" s="297">
        <v>0</v>
      </c>
      <c r="F1280" s="297">
        <v>0</v>
      </c>
      <c r="G1280" s="297">
        <v>0</v>
      </c>
      <c r="H1280" s="297">
        <v>0</v>
      </c>
      <c r="I1280" s="298">
        <v>0</v>
      </c>
      <c r="J1280" s="152">
        <v>0</v>
      </c>
      <c r="K1280" s="294">
        <v>0</v>
      </c>
      <c r="L1280" s="290">
        <v>0</v>
      </c>
      <c r="M1280" s="290">
        <v>0</v>
      </c>
      <c r="N1280" s="296">
        <v>0</v>
      </c>
      <c r="O1280" s="296">
        <v>0</v>
      </c>
      <c r="Q1280" s="61">
        <v>0</v>
      </c>
      <c r="T1280" s="61">
        <v>0</v>
      </c>
      <c r="V1280" s="61">
        <v>0</v>
      </c>
      <c r="W1280" s="61">
        <v>0</v>
      </c>
      <c r="AH1280" s="279">
        <v>0</v>
      </c>
    </row>
    <row r="1281" spans="1:34">
      <c r="A1281" s="61">
        <v>0</v>
      </c>
      <c r="B1281" s="290">
        <v>0</v>
      </c>
      <c r="C1281" s="290">
        <v>0</v>
      </c>
      <c r="D1281" s="61">
        <v>0</v>
      </c>
      <c r="E1281" s="297">
        <v>0</v>
      </c>
      <c r="F1281" s="297">
        <v>0</v>
      </c>
      <c r="G1281" s="297">
        <v>0</v>
      </c>
      <c r="H1281" s="297">
        <v>0</v>
      </c>
      <c r="I1281" s="298">
        <v>0</v>
      </c>
      <c r="J1281" s="152">
        <v>0</v>
      </c>
      <c r="K1281" s="294">
        <v>0</v>
      </c>
      <c r="L1281" s="290">
        <v>0</v>
      </c>
      <c r="M1281" s="290">
        <v>0</v>
      </c>
      <c r="N1281" s="296">
        <v>0</v>
      </c>
      <c r="O1281" s="296">
        <v>0</v>
      </c>
      <c r="Q1281" s="61">
        <v>0</v>
      </c>
      <c r="T1281" s="61">
        <v>0</v>
      </c>
      <c r="V1281" s="61">
        <v>0</v>
      </c>
      <c r="W1281" s="61">
        <v>0</v>
      </c>
      <c r="AH1281" s="279">
        <v>0</v>
      </c>
    </row>
    <row r="1282" spans="1:34">
      <c r="A1282" s="61">
        <v>0</v>
      </c>
      <c r="B1282" s="290">
        <v>0</v>
      </c>
      <c r="C1282" s="290">
        <v>0</v>
      </c>
      <c r="D1282" s="61">
        <v>0</v>
      </c>
      <c r="E1282" s="297">
        <v>0</v>
      </c>
      <c r="F1282" s="297">
        <v>0</v>
      </c>
      <c r="G1282" s="297">
        <v>0</v>
      </c>
      <c r="H1282" s="297">
        <v>0</v>
      </c>
      <c r="I1282" s="298">
        <v>0</v>
      </c>
      <c r="J1282" s="152">
        <v>0</v>
      </c>
      <c r="K1282" s="294">
        <v>0</v>
      </c>
      <c r="L1282" s="290">
        <v>0</v>
      </c>
      <c r="M1282" s="290">
        <v>0</v>
      </c>
      <c r="N1282" s="296">
        <v>0</v>
      </c>
      <c r="O1282" s="296">
        <v>0</v>
      </c>
      <c r="Q1282" s="61">
        <v>0</v>
      </c>
      <c r="T1282" s="61">
        <v>0</v>
      </c>
      <c r="V1282" s="61">
        <v>0</v>
      </c>
      <c r="W1282" s="61">
        <v>0</v>
      </c>
      <c r="AH1282" s="279">
        <v>0</v>
      </c>
    </row>
    <row r="1283" spans="1:34">
      <c r="A1283" s="61">
        <v>0</v>
      </c>
      <c r="B1283" s="290">
        <v>0</v>
      </c>
      <c r="C1283" s="290">
        <v>0</v>
      </c>
      <c r="D1283" s="61">
        <v>0</v>
      </c>
      <c r="E1283" s="297">
        <v>0</v>
      </c>
      <c r="F1283" s="297">
        <v>0</v>
      </c>
      <c r="G1283" s="297">
        <v>0</v>
      </c>
      <c r="H1283" s="297">
        <v>0</v>
      </c>
      <c r="I1283" s="298">
        <v>0</v>
      </c>
      <c r="J1283" s="152">
        <v>0</v>
      </c>
      <c r="K1283" s="294">
        <v>0</v>
      </c>
      <c r="L1283" s="290">
        <v>0</v>
      </c>
      <c r="M1283" s="290">
        <v>0</v>
      </c>
      <c r="N1283" s="296">
        <v>0</v>
      </c>
      <c r="O1283" s="296">
        <v>0</v>
      </c>
      <c r="Q1283" s="61">
        <v>0</v>
      </c>
      <c r="T1283" s="61">
        <v>0</v>
      </c>
      <c r="V1283" s="61">
        <v>0</v>
      </c>
      <c r="W1283" s="61">
        <v>0</v>
      </c>
      <c r="AH1283" s="279">
        <v>0</v>
      </c>
    </row>
    <row r="1284" spans="1:34">
      <c r="A1284" s="61">
        <v>0</v>
      </c>
      <c r="B1284" s="290">
        <v>0</v>
      </c>
      <c r="C1284" s="290">
        <v>0</v>
      </c>
      <c r="D1284" s="61">
        <v>0</v>
      </c>
      <c r="E1284" s="297">
        <v>0</v>
      </c>
      <c r="F1284" s="297">
        <v>0</v>
      </c>
      <c r="G1284" s="297">
        <v>0</v>
      </c>
      <c r="H1284" s="297">
        <v>0</v>
      </c>
      <c r="I1284" s="298">
        <v>0</v>
      </c>
      <c r="J1284" s="152">
        <v>0</v>
      </c>
      <c r="K1284" s="294">
        <v>0</v>
      </c>
      <c r="L1284" s="290">
        <v>0</v>
      </c>
      <c r="M1284" s="290">
        <v>0</v>
      </c>
      <c r="N1284" s="296">
        <v>0</v>
      </c>
      <c r="O1284" s="296">
        <v>0</v>
      </c>
      <c r="Q1284" s="61">
        <v>0</v>
      </c>
      <c r="T1284" s="61">
        <v>0</v>
      </c>
      <c r="V1284" s="61">
        <v>0</v>
      </c>
      <c r="W1284" s="61">
        <v>0</v>
      </c>
      <c r="AH1284" s="279">
        <v>0</v>
      </c>
    </row>
    <row r="1285" spans="1:34">
      <c r="A1285" s="61">
        <v>0</v>
      </c>
      <c r="B1285" s="290">
        <v>0</v>
      </c>
      <c r="C1285" s="290">
        <v>0</v>
      </c>
      <c r="D1285" s="61">
        <v>0</v>
      </c>
      <c r="E1285" s="297">
        <v>0</v>
      </c>
      <c r="F1285" s="297">
        <v>0</v>
      </c>
      <c r="G1285" s="297">
        <v>0</v>
      </c>
      <c r="H1285" s="297">
        <v>0</v>
      </c>
      <c r="I1285" s="298">
        <v>0</v>
      </c>
      <c r="J1285" s="152">
        <v>0</v>
      </c>
      <c r="K1285" s="294">
        <v>0</v>
      </c>
      <c r="L1285" s="290">
        <v>0</v>
      </c>
      <c r="M1285" s="290">
        <v>0</v>
      </c>
      <c r="N1285" s="296">
        <v>0</v>
      </c>
      <c r="O1285" s="296">
        <v>0</v>
      </c>
      <c r="Q1285" s="61">
        <v>0</v>
      </c>
      <c r="T1285" s="61">
        <v>0</v>
      </c>
      <c r="V1285" s="61">
        <v>0</v>
      </c>
      <c r="W1285" s="61">
        <v>0</v>
      </c>
      <c r="AH1285" s="279">
        <v>0</v>
      </c>
    </row>
    <row r="1286" spans="1:34">
      <c r="A1286" s="61">
        <v>0</v>
      </c>
      <c r="B1286" s="290">
        <v>0</v>
      </c>
      <c r="C1286" s="290">
        <v>0</v>
      </c>
      <c r="D1286" s="61">
        <v>0</v>
      </c>
      <c r="E1286" s="297">
        <v>0</v>
      </c>
      <c r="F1286" s="297">
        <v>0</v>
      </c>
      <c r="G1286" s="297">
        <v>0</v>
      </c>
      <c r="H1286" s="297">
        <v>0</v>
      </c>
      <c r="I1286" s="298">
        <v>0</v>
      </c>
      <c r="J1286" s="152">
        <v>0</v>
      </c>
      <c r="K1286" s="294">
        <v>0</v>
      </c>
      <c r="L1286" s="290">
        <v>0</v>
      </c>
      <c r="M1286" s="290">
        <v>0</v>
      </c>
      <c r="N1286" s="296">
        <v>0</v>
      </c>
      <c r="O1286" s="296">
        <v>0</v>
      </c>
      <c r="Q1286" s="61">
        <v>0</v>
      </c>
      <c r="T1286" s="61">
        <v>0</v>
      </c>
      <c r="V1286" s="61">
        <v>0</v>
      </c>
      <c r="W1286" s="61">
        <v>0</v>
      </c>
      <c r="AH1286" s="279">
        <v>0</v>
      </c>
    </row>
    <row r="1287" spans="1:34">
      <c r="A1287" s="61">
        <v>0</v>
      </c>
      <c r="B1287" s="290">
        <v>0</v>
      </c>
      <c r="C1287" s="290">
        <v>0</v>
      </c>
      <c r="D1287" s="61">
        <v>0</v>
      </c>
      <c r="E1287" s="297">
        <v>0</v>
      </c>
      <c r="F1287" s="297">
        <v>0</v>
      </c>
      <c r="G1287" s="297">
        <v>0</v>
      </c>
      <c r="H1287" s="297">
        <v>0</v>
      </c>
      <c r="I1287" s="298">
        <v>0</v>
      </c>
      <c r="J1287" s="152">
        <v>0</v>
      </c>
      <c r="K1287" s="294">
        <v>0</v>
      </c>
      <c r="L1287" s="290">
        <v>0</v>
      </c>
      <c r="M1287" s="290">
        <v>0</v>
      </c>
      <c r="N1287" s="296">
        <v>0</v>
      </c>
      <c r="O1287" s="296">
        <v>0</v>
      </c>
      <c r="Q1287" s="61">
        <v>0</v>
      </c>
      <c r="T1287" s="61">
        <v>0</v>
      </c>
      <c r="V1287" s="61">
        <v>0</v>
      </c>
      <c r="W1287" s="61">
        <v>0</v>
      </c>
      <c r="AH1287" s="279">
        <v>0</v>
      </c>
    </row>
    <row r="1288" spans="1:34">
      <c r="A1288" s="61">
        <v>0</v>
      </c>
      <c r="B1288" s="290">
        <v>0</v>
      </c>
      <c r="C1288" s="290">
        <v>0</v>
      </c>
      <c r="D1288" s="61">
        <v>0</v>
      </c>
      <c r="E1288" s="297">
        <v>0</v>
      </c>
      <c r="F1288" s="297">
        <v>0</v>
      </c>
      <c r="G1288" s="297">
        <v>0</v>
      </c>
      <c r="H1288" s="297">
        <v>0</v>
      </c>
      <c r="I1288" s="298">
        <v>0</v>
      </c>
      <c r="J1288" s="152">
        <v>0</v>
      </c>
      <c r="K1288" s="294">
        <v>0</v>
      </c>
      <c r="L1288" s="290">
        <v>0</v>
      </c>
      <c r="M1288" s="290">
        <v>0</v>
      </c>
      <c r="N1288" s="296">
        <v>0</v>
      </c>
      <c r="O1288" s="296">
        <v>0</v>
      </c>
      <c r="Q1288" s="61">
        <v>0</v>
      </c>
      <c r="T1288" s="61">
        <v>0</v>
      </c>
      <c r="V1288" s="61">
        <v>0</v>
      </c>
      <c r="W1288" s="61">
        <v>0</v>
      </c>
      <c r="AH1288" s="279">
        <v>0</v>
      </c>
    </row>
    <row r="1289" spans="1:34">
      <c r="A1289" s="61">
        <v>0</v>
      </c>
      <c r="B1289" s="290">
        <v>0</v>
      </c>
      <c r="C1289" s="290">
        <v>0</v>
      </c>
      <c r="D1289" s="61">
        <v>0</v>
      </c>
      <c r="E1289" s="297">
        <v>0</v>
      </c>
      <c r="F1289" s="297">
        <v>0</v>
      </c>
      <c r="G1289" s="297">
        <v>0</v>
      </c>
      <c r="H1289" s="297">
        <v>0</v>
      </c>
      <c r="I1289" s="298">
        <v>0</v>
      </c>
      <c r="J1289" s="152">
        <v>0</v>
      </c>
      <c r="K1289" s="294">
        <v>0</v>
      </c>
      <c r="L1289" s="290">
        <v>0</v>
      </c>
      <c r="M1289" s="290">
        <v>0</v>
      </c>
      <c r="N1289" s="296">
        <v>0</v>
      </c>
      <c r="O1289" s="296">
        <v>0</v>
      </c>
      <c r="Q1289" s="61">
        <v>0</v>
      </c>
      <c r="T1289" s="61">
        <v>0</v>
      </c>
      <c r="V1289" s="61">
        <v>0</v>
      </c>
      <c r="W1289" s="61">
        <v>0</v>
      </c>
      <c r="AH1289" s="279">
        <v>0</v>
      </c>
    </row>
    <row r="1290" spans="1:34">
      <c r="A1290" s="61">
        <v>0</v>
      </c>
      <c r="B1290" s="290">
        <v>0</v>
      </c>
      <c r="C1290" s="290">
        <v>0</v>
      </c>
      <c r="D1290" s="61">
        <v>0</v>
      </c>
      <c r="E1290" s="297">
        <v>0</v>
      </c>
      <c r="F1290" s="297">
        <v>0</v>
      </c>
      <c r="G1290" s="297">
        <v>0</v>
      </c>
      <c r="H1290" s="297">
        <v>0</v>
      </c>
      <c r="I1290" s="298">
        <v>0</v>
      </c>
      <c r="J1290" s="152">
        <v>0</v>
      </c>
      <c r="K1290" s="294">
        <v>0</v>
      </c>
      <c r="L1290" s="290">
        <v>0</v>
      </c>
      <c r="M1290" s="290">
        <v>0</v>
      </c>
      <c r="N1290" s="296">
        <v>0</v>
      </c>
      <c r="O1290" s="296">
        <v>0</v>
      </c>
      <c r="Q1290" s="61">
        <v>0</v>
      </c>
      <c r="T1290" s="61">
        <v>0</v>
      </c>
      <c r="V1290" s="61">
        <v>0</v>
      </c>
      <c r="W1290" s="61">
        <v>0</v>
      </c>
      <c r="AH1290" s="279">
        <v>0</v>
      </c>
    </row>
    <row r="1291" spans="1:34">
      <c r="A1291" s="61">
        <v>0</v>
      </c>
      <c r="B1291" s="290">
        <v>0</v>
      </c>
      <c r="C1291" s="290">
        <v>0</v>
      </c>
      <c r="D1291" s="61">
        <v>0</v>
      </c>
      <c r="E1291" s="297">
        <v>0</v>
      </c>
      <c r="F1291" s="297">
        <v>0</v>
      </c>
      <c r="G1291" s="297">
        <v>0</v>
      </c>
      <c r="H1291" s="297">
        <v>0</v>
      </c>
      <c r="I1291" s="298">
        <v>0</v>
      </c>
      <c r="J1291" s="152">
        <v>0</v>
      </c>
      <c r="K1291" s="294">
        <v>0</v>
      </c>
      <c r="L1291" s="290">
        <v>0</v>
      </c>
      <c r="M1291" s="290">
        <v>0</v>
      </c>
      <c r="N1291" s="296">
        <v>0</v>
      </c>
      <c r="O1291" s="296">
        <v>0</v>
      </c>
      <c r="Q1291" s="61">
        <v>0</v>
      </c>
      <c r="T1291" s="61">
        <v>0</v>
      </c>
      <c r="V1291" s="61">
        <v>0</v>
      </c>
      <c r="W1291" s="61">
        <v>0</v>
      </c>
      <c r="AH1291" s="279">
        <v>0</v>
      </c>
    </row>
    <row r="1292" spans="1:34">
      <c r="A1292" s="61">
        <v>0</v>
      </c>
      <c r="B1292" s="290">
        <v>0</v>
      </c>
      <c r="C1292" s="290">
        <v>0</v>
      </c>
      <c r="D1292" s="61">
        <v>0</v>
      </c>
      <c r="E1292" s="297">
        <v>0</v>
      </c>
      <c r="F1292" s="297">
        <v>0</v>
      </c>
      <c r="G1292" s="297">
        <v>0</v>
      </c>
      <c r="H1292" s="297">
        <v>0</v>
      </c>
      <c r="I1292" s="298">
        <v>0</v>
      </c>
      <c r="J1292" s="152">
        <v>0</v>
      </c>
      <c r="K1292" s="294">
        <v>0</v>
      </c>
      <c r="L1292" s="290">
        <v>0</v>
      </c>
      <c r="M1292" s="290">
        <v>0</v>
      </c>
      <c r="N1292" s="296">
        <v>0</v>
      </c>
      <c r="O1292" s="296">
        <v>0</v>
      </c>
      <c r="Q1292" s="61">
        <v>0</v>
      </c>
      <c r="T1292" s="61">
        <v>0</v>
      </c>
      <c r="V1292" s="61">
        <v>0</v>
      </c>
      <c r="W1292" s="61">
        <v>0</v>
      </c>
      <c r="AH1292" s="279">
        <v>0</v>
      </c>
    </row>
    <row r="1293" spans="1:34">
      <c r="A1293" s="61">
        <v>0</v>
      </c>
      <c r="B1293" s="290">
        <v>0</v>
      </c>
      <c r="C1293" s="290">
        <v>0</v>
      </c>
      <c r="D1293" s="61">
        <v>0</v>
      </c>
      <c r="E1293" s="297">
        <v>0</v>
      </c>
      <c r="F1293" s="297">
        <v>0</v>
      </c>
      <c r="G1293" s="297">
        <v>0</v>
      </c>
      <c r="H1293" s="297">
        <v>0</v>
      </c>
      <c r="I1293" s="298">
        <v>0</v>
      </c>
      <c r="J1293" s="152">
        <v>0</v>
      </c>
      <c r="K1293" s="294">
        <v>0</v>
      </c>
      <c r="L1293" s="290">
        <v>0</v>
      </c>
      <c r="M1293" s="290">
        <v>0</v>
      </c>
      <c r="N1293" s="296">
        <v>0</v>
      </c>
      <c r="O1293" s="296">
        <v>0</v>
      </c>
      <c r="Q1293" s="61">
        <v>0</v>
      </c>
      <c r="T1293" s="61">
        <v>0</v>
      </c>
      <c r="V1293" s="61">
        <v>0</v>
      </c>
      <c r="W1293" s="61">
        <v>0</v>
      </c>
      <c r="AH1293" s="279">
        <v>0</v>
      </c>
    </row>
    <row r="1294" spans="1:34">
      <c r="A1294" s="61">
        <v>0</v>
      </c>
      <c r="B1294" s="290">
        <v>0</v>
      </c>
      <c r="C1294" s="290">
        <v>0</v>
      </c>
      <c r="D1294" s="61">
        <v>0</v>
      </c>
      <c r="E1294" s="297">
        <v>0</v>
      </c>
      <c r="F1294" s="297">
        <v>0</v>
      </c>
      <c r="G1294" s="297">
        <v>0</v>
      </c>
      <c r="H1294" s="297">
        <v>0</v>
      </c>
      <c r="I1294" s="298">
        <v>0</v>
      </c>
      <c r="J1294" s="152">
        <v>0</v>
      </c>
      <c r="K1294" s="294">
        <v>0</v>
      </c>
      <c r="L1294" s="290">
        <v>0</v>
      </c>
      <c r="M1294" s="290">
        <v>0</v>
      </c>
      <c r="N1294" s="296">
        <v>0</v>
      </c>
      <c r="O1294" s="296">
        <v>0</v>
      </c>
      <c r="Q1294" s="61">
        <v>0</v>
      </c>
      <c r="T1294" s="61">
        <v>0</v>
      </c>
      <c r="V1294" s="61">
        <v>0</v>
      </c>
      <c r="W1294" s="61">
        <v>0</v>
      </c>
      <c r="AH1294" s="279">
        <v>0</v>
      </c>
    </row>
    <row r="1295" spans="1:34">
      <c r="A1295" s="61">
        <v>0</v>
      </c>
      <c r="B1295" s="290">
        <v>0</v>
      </c>
      <c r="C1295" s="290">
        <v>0</v>
      </c>
      <c r="D1295" s="61">
        <v>0</v>
      </c>
      <c r="E1295" s="297">
        <v>0</v>
      </c>
      <c r="F1295" s="297">
        <v>0</v>
      </c>
      <c r="G1295" s="297">
        <v>0</v>
      </c>
      <c r="H1295" s="297">
        <v>0</v>
      </c>
      <c r="I1295" s="298">
        <v>0</v>
      </c>
      <c r="J1295" s="152">
        <v>0</v>
      </c>
      <c r="K1295" s="294">
        <v>0</v>
      </c>
      <c r="L1295" s="290">
        <v>0</v>
      </c>
      <c r="M1295" s="290">
        <v>0</v>
      </c>
      <c r="N1295" s="296">
        <v>0</v>
      </c>
      <c r="O1295" s="296">
        <v>0</v>
      </c>
      <c r="Q1295" s="61">
        <v>0</v>
      </c>
      <c r="T1295" s="61">
        <v>0</v>
      </c>
      <c r="V1295" s="61">
        <v>0</v>
      </c>
      <c r="W1295" s="61">
        <v>0</v>
      </c>
      <c r="AH1295" s="279">
        <v>0</v>
      </c>
    </row>
    <row r="1296" spans="1:34">
      <c r="A1296" s="61">
        <v>0</v>
      </c>
      <c r="B1296" s="290">
        <v>0</v>
      </c>
      <c r="C1296" s="290">
        <v>0</v>
      </c>
      <c r="D1296" s="61">
        <v>0</v>
      </c>
      <c r="E1296" s="297">
        <v>0</v>
      </c>
      <c r="F1296" s="297">
        <v>0</v>
      </c>
      <c r="G1296" s="297">
        <v>0</v>
      </c>
      <c r="H1296" s="297">
        <v>0</v>
      </c>
      <c r="I1296" s="298">
        <v>0</v>
      </c>
      <c r="J1296" s="152">
        <v>0</v>
      </c>
      <c r="K1296" s="294">
        <v>0</v>
      </c>
      <c r="L1296" s="290">
        <v>0</v>
      </c>
      <c r="M1296" s="290">
        <v>0</v>
      </c>
      <c r="N1296" s="296">
        <v>0</v>
      </c>
      <c r="O1296" s="296">
        <v>0</v>
      </c>
      <c r="Q1296" s="61">
        <v>0</v>
      </c>
      <c r="T1296" s="61">
        <v>0</v>
      </c>
      <c r="V1296" s="61">
        <v>0</v>
      </c>
      <c r="W1296" s="61">
        <v>0</v>
      </c>
      <c r="AH1296" s="279">
        <v>0</v>
      </c>
    </row>
    <row r="1297" spans="1:34">
      <c r="A1297" s="61">
        <v>0</v>
      </c>
      <c r="B1297" s="290">
        <v>0</v>
      </c>
      <c r="C1297" s="290">
        <v>0</v>
      </c>
      <c r="D1297" s="61">
        <v>0</v>
      </c>
      <c r="E1297" s="297">
        <v>0</v>
      </c>
      <c r="F1297" s="297">
        <v>0</v>
      </c>
      <c r="G1297" s="297">
        <v>0</v>
      </c>
      <c r="H1297" s="297">
        <v>0</v>
      </c>
      <c r="I1297" s="298">
        <v>0</v>
      </c>
      <c r="J1297" s="152">
        <v>0</v>
      </c>
      <c r="K1297" s="294">
        <v>0</v>
      </c>
      <c r="L1297" s="290">
        <v>0</v>
      </c>
      <c r="M1297" s="290">
        <v>0</v>
      </c>
      <c r="N1297" s="296">
        <v>0</v>
      </c>
      <c r="O1297" s="296">
        <v>0</v>
      </c>
      <c r="Q1297" s="61">
        <v>0</v>
      </c>
      <c r="T1297" s="61">
        <v>0</v>
      </c>
      <c r="V1297" s="61">
        <v>0</v>
      </c>
      <c r="W1297" s="61">
        <v>0</v>
      </c>
      <c r="AH1297" s="279">
        <v>0</v>
      </c>
    </row>
    <row r="1298" spans="1:34">
      <c r="A1298" s="61">
        <v>0</v>
      </c>
      <c r="B1298" s="290">
        <v>0</v>
      </c>
      <c r="C1298" s="290">
        <v>0</v>
      </c>
      <c r="D1298" s="61">
        <v>0</v>
      </c>
      <c r="E1298" s="297">
        <v>0</v>
      </c>
      <c r="F1298" s="297">
        <v>0</v>
      </c>
      <c r="G1298" s="297">
        <v>0</v>
      </c>
      <c r="H1298" s="297">
        <v>0</v>
      </c>
      <c r="I1298" s="298">
        <v>0</v>
      </c>
      <c r="J1298" s="152">
        <v>0</v>
      </c>
      <c r="K1298" s="294">
        <v>0</v>
      </c>
      <c r="L1298" s="290">
        <v>0</v>
      </c>
      <c r="M1298" s="290">
        <v>0</v>
      </c>
      <c r="N1298" s="296">
        <v>0</v>
      </c>
      <c r="O1298" s="296">
        <v>0</v>
      </c>
      <c r="Q1298" s="61">
        <v>0</v>
      </c>
      <c r="T1298" s="61">
        <v>0</v>
      </c>
      <c r="V1298" s="61">
        <v>0</v>
      </c>
      <c r="W1298" s="61">
        <v>0</v>
      </c>
      <c r="AH1298" s="279">
        <v>0</v>
      </c>
    </row>
    <row r="1299" spans="1:34">
      <c r="A1299" s="61">
        <v>0</v>
      </c>
      <c r="B1299" s="290">
        <v>0</v>
      </c>
      <c r="C1299" s="290">
        <v>0</v>
      </c>
      <c r="D1299" s="61">
        <v>0</v>
      </c>
      <c r="E1299" s="297">
        <v>0</v>
      </c>
      <c r="F1299" s="297">
        <v>0</v>
      </c>
      <c r="G1299" s="297">
        <v>0</v>
      </c>
      <c r="H1299" s="297">
        <v>0</v>
      </c>
      <c r="I1299" s="298">
        <v>0</v>
      </c>
      <c r="J1299" s="152">
        <v>0</v>
      </c>
      <c r="K1299" s="294">
        <v>0</v>
      </c>
      <c r="L1299" s="290">
        <v>0</v>
      </c>
      <c r="M1299" s="290">
        <v>0</v>
      </c>
      <c r="N1299" s="296">
        <v>0</v>
      </c>
      <c r="O1299" s="296">
        <v>0</v>
      </c>
      <c r="Q1299" s="61">
        <v>0</v>
      </c>
      <c r="T1299" s="61">
        <v>0</v>
      </c>
      <c r="V1299" s="61">
        <v>0</v>
      </c>
      <c r="W1299" s="61">
        <v>0</v>
      </c>
      <c r="AH1299" s="279">
        <v>0</v>
      </c>
    </row>
    <row r="1300" spans="1:34">
      <c r="A1300" s="61">
        <v>0</v>
      </c>
      <c r="B1300" s="290">
        <v>0</v>
      </c>
      <c r="C1300" s="290">
        <v>0</v>
      </c>
      <c r="D1300" s="61">
        <v>0</v>
      </c>
      <c r="E1300" s="297">
        <v>0</v>
      </c>
      <c r="F1300" s="297">
        <v>0</v>
      </c>
      <c r="G1300" s="297">
        <v>0</v>
      </c>
      <c r="H1300" s="297">
        <v>0</v>
      </c>
      <c r="I1300" s="298">
        <v>0</v>
      </c>
      <c r="J1300" s="152">
        <v>0</v>
      </c>
      <c r="K1300" s="294">
        <v>0</v>
      </c>
      <c r="L1300" s="290">
        <v>0</v>
      </c>
      <c r="M1300" s="290">
        <v>0</v>
      </c>
      <c r="N1300" s="296">
        <v>0</v>
      </c>
      <c r="O1300" s="296">
        <v>0</v>
      </c>
      <c r="Q1300" s="61">
        <v>0</v>
      </c>
      <c r="T1300" s="61">
        <v>0</v>
      </c>
      <c r="V1300" s="61">
        <v>0</v>
      </c>
      <c r="W1300" s="61">
        <v>0</v>
      </c>
      <c r="AH1300" s="279">
        <v>0</v>
      </c>
    </row>
    <row r="1301" spans="1:34">
      <c r="A1301" s="61">
        <v>0</v>
      </c>
      <c r="B1301" s="290">
        <v>0</v>
      </c>
      <c r="C1301" s="290">
        <v>0</v>
      </c>
      <c r="D1301" s="61">
        <v>0</v>
      </c>
      <c r="E1301" s="297">
        <v>0</v>
      </c>
      <c r="F1301" s="297">
        <v>0</v>
      </c>
      <c r="G1301" s="297">
        <v>0</v>
      </c>
      <c r="H1301" s="297">
        <v>0</v>
      </c>
      <c r="I1301" s="298">
        <v>0</v>
      </c>
      <c r="J1301" s="152">
        <v>0</v>
      </c>
      <c r="K1301" s="294">
        <v>0</v>
      </c>
      <c r="Q1301" s="61">
        <v>0</v>
      </c>
      <c r="T1301" s="61">
        <v>0</v>
      </c>
      <c r="V1301" s="61">
        <v>0</v>
      </c>
      <c r="W1301" s="61">
        <v>0</v>
      </c>
      <c r="AH1301" s="279">
        <v>0</v>
      </c>
    </row>
    <row r="1302" spans="1:34">
      <c r="A1302" s="61">
        <v>0</v>
      </c>
      <c r="B1302" s="290">
        <v>0</v>
      </c>
      <c r="C1302" s="290">
        <v>0</v>
      </c>
      <c r="D1302" s="61">
        <v>0</v>
      </c>
      <c r="E1302" s="297">
        <v>0</v>
      </c>
      <c r="F1302" s="297">
        <v>0</v>
      </c>
      <c r="G1302" s="297">
        <v>0</v>
      </c>
      <c r="H1302" s="297">
        <v>0</v>
      </c>
      <c r="I1302" s="298">
        <v>0</v>
      </c>
      <c r="J1302" s="152">
        <v>0</v>
      </c>
      <c r="K1302" s="294">
        <v>0</v>
      </c>
      <c r="Q1302" s="61">
        <v>0</v>
      </c>
      <c r="T1302" s="61">
        <v>0</v>
      </c>
      <c r="V1302" s="61">
        <v>0</v>
      </c>
      <c r="W1302" s="61">
        <v>0</v>
      </c>
      <c r="AH1302" s="279">
        <v>0</v>
      </c>
    </row>
    <row r="1303" spans="1:34">
      <c r="A1303" s="61">
        <v>0</v>
      </c>
      <c r="B1303" s="290">
        <v>0</v>
      </c>
      <c r="C1303" s="290">
        <v>0</v>
      </c>
      <c r="D1303" s="61">
        <v>0</v>
      </c>
      <c r="E1303" s="297">
        <v>0</v>
      </c>
      <c r="F1303" s="297">
        <v>0</v>
      </c>
      <c r="G1303" s="297">
        <v>0</v>
      </c>
      <c r="H1303" s="297">
        <v>0</v>
      </c>
      <c r="I1303" s="298">
        <v>0</v>
      </c>
      <c r="J1303" s="152">
        <v>0</v>
      </c>
      <c r="K1303" s="294">
        <v>0</v>
      </c>
      <c r="Q1303" s="61">
        <v>0</v>
      </c>
      <c r="T1303" s="61">
        <v>0</v>
      </c>
      <c r="V1303" s="61">
        <v>0</v>
      </c>
      <c r="W1303" s="61">
        <v>0</v>
      </c>
      <c r="AH1303" s="279">
        <v>0</v>
      </c>
    </row>
    <row r="1304" spans="1:34">
      <c r="A1304" s="61">
        <v>0</v>
      </c>
      <c r="B1304" s="290">
        <v>0</v>
      </c>
      <c r="C1304" s="290">
        <v>0</v>
      </c>
      <c r="D1304" s="61">
        <v>0</v>
      </c>
      <c r="E1304" s="297">
        <v>0</v>
      </c>
      <c r="F1304" s="297">
        <v>0</v>
      </c>
      <c r="G1304" s="297">
        <v>0</v>
      </c>
      <c r="H1304" s="297">
        <v>0</v>
      </c>
      <c r="I1304" s="298">
        <v>0</v>
      </c>
      <c r="J1304" s="152">
        <v>0</v>
      </c>
      <c r="K1304" s="294">
        <v>0</v>
      </c>
      <c r="Q1304" s="61">
        <v>0</v>
      </c>
      <c r="T1304" s="61">
        <v>0</v>
      </c>
      <c r="V1304" s="61">
        <v>0</v>
      </c>
      <c r="W1304" s="61">
        <v>0</v>
      </c>
      <c r="AH1304" s="279">
        <v>0</v>
      </c>
    </row>
    <row r="1305" spans="1:34">
      <c r="A1305" s="61">
        <v>0</v>
      </c>
      <c r="B1305" s="290">
        <v>0</v>
      </c>
      <c r="C1305" s="290">
        <v>0</v>
      </c>
      <c r="D1305" s="61">
        <v>0</v>
      </c>
      <c r="E1305" s="297">
        <v>0</v>
      </c>
      <c r="F1305" s="297">
        <v>0</v>
      </c>
      <c r="G1305" s="297">
        <v>0</v>
      </c>
      <c r="H1305" s="297">
        <v>0</v>
      </c>
      <c r="I1305" s="298">
        <v>0</v>
      </c>
      <c r="J1305" s="152">
        <v>0</v>
      </c>
      <c r="K1305" s="294">
        <v>0</v>
      </c>
      <c r="Q1305" s="61">
        <v>0</v>
      </c>
      <c r="T1305" s="61">
        <v>0</v>
      </c>
      <c r="V1305" s="61">
        <v>0</v>
      </c>
      <c r="W1305" s="61">
        <v>0</v>
      </c>
      <c r="AH1305" s="279">
        <v>0</v>
      </c>
    </row>
    <row r="1306" spans="1:34">
      <c r="A1306" s="61">
        <v>0</v>
      </c>
      <c r="B1306" s="290">
        <v>0</v>
      </c>
      <c r="C1306" s="290">
        <v>0</v>
      </c>
      <c r="D1306" s="61">
        <v>0</v>
      </c>
      <c r="E1306" s="297">
        <v>0</v>
      </c>
      <c r="F1306" s="297">
        <v>0</v>
      </c>
      <c r="G1306" s="297">
        <v>0</v>
      </c>
      <c r="H1306" s="297">
        <v>0</v>
      </c>
      <c r="I1306" s="298">
        <v>0</v>
      </c>
      <c r="J1306" s="152">
        <v>0</v>
      </c>
      <c r="K1306" s="294">
        <v>0</v>
      </c>
      <c r="Q1306" s="61">
        <v>0</v>
      </c>
      <c r="T1306" s="61">
        <v>0</v>
      </c>
      <c r="V1306" s="61">
        <v>0</v>
      </c>
      <c r="W1306" s="61">
        <v>0</v>
      </c>
      <c r="AH1306" s="279">
        <v>0</v>
      </c>
    </row>
    <row r="1307" spans="1:34">
      <c r="A1307" s="61">
        <v>0</v>
      </c>
      <c r="B1307" s="290">
        <v>0</v>
      </c>
      <c r="C1307" s="290">
        <v>0</v>
      </c>
      <c r="D1307" s="61">
        <v>0</v>
      </c>
      <c r="E1307" s="297">
        <v>0</v>
      </c>
      <c r="F1307" s="297">
        <v>0</v>
      </c>
      <c r="G1307" s="297">
        <v>0</v>
      </c>
      <c r="H1307" s="297">
        <v>0</v>
      </c>
      <c r="I1307" s="298">
        <v>0</v>
      </c>
      <c r="J1307" s="152">
        <v>0</v>
      </c>
      <c r="K1307" s="294">
        <v>0</v>
      </c>
      <c r="Q1307" s="61">
        <v>0</v>
      </c>
      <c r="T1307" s="61">
        <v>0</v>
      </c>
      <c r="V1307" s="61">
        <v>0</v>
      </c>
      <c r="W1307" s="61">
        <v>0</v>
      </c>
      <c r="AH1307" s="279">
        <v>0</v>
      </c>
    </row>
    <row r="1308" spans="1:34">
      <c r="A1308" s="61">
        <v>0</v>
      </c>
      <c r="B1308" s="290">
        <v>0</v>
      </c>
      <c r="C1308" s="290">
        <v>0</v>
      </c>
      <c r="D1308" s="61">
        <v>0</v>
      </c>
      <c r="E1308" s="297">
        <v>0</v>
      </c>
      <c r="F1308" s="297">
        <v>0</v>
      </c>
      <c r="G1308" s="297">
        <v>0</v>
      </c>
      <c r="H1308" s="297">
        <v>0</v>
      </c>
      <c r="I1308" s="298">
        <v>0</v>
      </c>
      <c r="J1308" s="152">
        <v>0</v>
      </c>
      <c r="K1308" s="294">
        <v>0</v>
      </c>
      <c r="Q1308" s="61">
        <v>0</v>
      </c>
      <c r="T1308" s="61">
        <v>0</v>
      </c>
      <c r="V1308" s="61">
        <v>0</v>
      </c>
      <c r="W1308" s="61">
        <v>0</v>
      </c>
      <c r="AH1308" s="279">
        <v>0</v>
      </c>
    </row>
    <row r="1309" spans="1:34">
      <c r="A1309" s="61">
        <v>0</v>
      </c>
      <c r="B1309" s="290">
        <v>0</v>
      </c>
      <c r="C1309" s="290">
        <v>0</v>
      </c>
      <c r="D1309" s="61">
        <v>0</v>
      </c>
      <c r="E1309" s="297">
        <v>0</v>
      </c>
      <c r="F1309" s="297">
        <v>0</v>
      </c>
      <c r="G1309" s="297">
        <v>0</v>
      </c>
      <c r="H1309" s="297">
        <v>0</v>
      </c>
      <c r="I1309" s="298">
        <v>0</v>
      </c>
      <c r="J1309" s="152">
        <v>0</v>
      </c>
      <c r="K1309" s="294">
        <v>0</v>
      </c>
      <c r="Q1309" s="61">
        <v>0</v>
      </c>
      <c r="T1309" s="61">
        <v>0</v>
      </c>
      <c r="V1309" s="61">
        <v>0</v>
      </c>
      <c r="W1309" s="61">
        <v>0</v>
      </c>
      <c r="AH1309" s="279">
        <v>0</v>
      </c>
    </row>
    <row r="1310" spans="1:34">
      <c r="A1310" s="61">
        <v>0</v>
      </c>
      <c r="B1310" s="290">
        <v>0</v>
      </c>
      <c r="C1310" s="290">
        <v>0</v>
      </c>
      <c r="D1310" s="61">
        <v>0</v>
      </c>
      <c r="E1310" s="297">
        <v>0</v>
      </c>
      <c r="F1310" s="297">
        <v>0</v>
      </c>
      <c r="G1310" s="297">
        <v>0</v>
      </c>
      <c r="H1310" s="297">
        <v>0</v>
      </c>
      <c r="I1310" s="298">
        <v>0</v>
      </c>
      <c r="J1310" s="152">
        <v>0</v>
      </c>
      <c r="K1310" s="294">
        <v>0</v>
      </c>
      <c r="Q1310" s="61">
        <v>0</v>
      </c>
      <c r="T1310" s="61">
        <v>0</v>
      </c>
      <c r="V1310" s="61">
        <v>0</v>
      </c>
      <c r="W1310" s="61">
        <v>0</v>
      </c>
      <c r="AH1310" s="279">
        <v>0</v>
      </c>
    </row>
    <row r="1311" spans="1:34">
      <c r="A1311" s="61">
        <v>0</v>
      </c>
      <c r="B1311" s="290">
        <v>0</v>
      </c>
      <c r="C1311" s="290">
        <v>0</v>
      </c>
      <c r="D1311" s="61">
        <v>0</v>
      </c>
      <c r="E1311" s="297">
        <v>0</v>
      </c>
      <c r="F1311" s="297">
        <v>0</v>
      </c>
      <c r="G1311" s="297">
        <v>0</v>
      </c>
      <c r="H1311" s="297">
        <v>0</v>
      </c>
      <c r="I1311" s="298">
        <v>0</v>
      </c>
      <c r="J1311" s="152">
        <v>0</v>
      </c>
      <c r="K1311" s="294">
        <v>0</v>
      </c>
      <c r="Q1311" s="61">
        <v>0</v>
      </c>
      <c r="T1311" s="61">
        <v>0</v>
      </c>
      <c r="V1311" s="61">
        <v>0</v>
      </c>
      <c r="W1311" s="61">
        <v>0</v>
      </c>
      <c r="AH1311" s="279">
        <v>0</v>
      </c>
    </row>
    <row r="1312" spans="1:34">
      <c r="A1312" s="61">
        <v>0</v>
      </c>
      <c r="B1312" s="290">
        <v>0</v>
      </c>
      <c r="C1312" s="290">
        <v>0</v>
      </c>
      <c r="D1312" s="61">
        <v>0</v>
      </c>
      <c r="E1312" s="297">
        <v>0</v>
      </c>
      <c r="F1312" s="297">
        <v>0</v>
      </c>
      <c r="G1312" s="297">
        <v>0</v>
      </c>
      <c r="H1312" s="297">
        <v>0</v>
      </c>
      <c r="I1312" s="298">
        <v>0</v>
      </c>
      <c r="J1312" s="152">
        <v>0</v>
      </c>
      <c r="K1312" s="294">
        <v>0</v>
      </c>
      <c r="Q1312" s="61">
        <v>0</v>
      </c>
      <c r="T1312" s="61">
        <v>0</v>
      </c>
      <c r="V1312" s="61">
        <v>0</v>
      </c>
      <c r="W1312" s="61">
        <v>0</v>
      </c>
      <c r="AH1312" s="279">
        <v>0</v>
      </c>
    </row>
    <row r="1313" spans="1:34">
      <c r="A1313" s="61">
        <v>0</v>
      </c>
      <c r="B1313" s="290">
        <v>0</v>
      </c>
      <c r="C1313" s="290">
        <v>0</v>
      </c>
      <c r="D1313" s="61">
        <v>0</v>
      </c>
      <c r="E1313" s="297">
        <v>0</v>
      </c>
      <c r="F1313" s="297">
        <v>0</v>
      </c>
      <c r="G1313" s="297">
        <v>0</v>
      </c>
      <c r="H1313" s="297">
        <v>0</v>
      </c>
      <c r="I1313" s="298">
        <v>0</v>
      </c>
      <c r="J1313" s="152">
        <v>0</v>
      </c>
      <c r="K1313" s="294">
        <v>0</v>
      </c>
      <c r="Q1313" s="61">
        <v>0</v>
      </c>
      <c r="T1313" s="61">
        <v>0</v>
      </c>
      <c r="V1313" s="61">
        <v>0</v>
      </c>
      <c r="W1313" s="61">
        <v>0</v>
      </c>
      <c r="AH1313" s="279">
        <v>0</v>
      </c>
    </row>
    <row r="1314" spans="1:34">
      <c r="A1314" s="61">
        <v>0</v>
      </c>
      <c r="B1314" s="290">
        <v>0</v>
      </c>
      <c r="C1314" s="290">
        <v>0</v>
      </c>
      <c r="D1314" s="61">
        <v>0</v>
      </c>
      <c r="E1314" s="297">
        <v>0</v>
      </c>
      <c r="F1314" s="297">
        <v>0</v>
      </c>
      <c r="G1314" s="297">
        <v>0</v>
      </c>
      <c r="H1314" s="297">
        <v>0</v>
      </c>
      <c r="I1314" s="298">
        <v>0</v>
      </c>
      <c r="J1314" s="152">
        <v>0</v>
      </c>
      <c r="K1314" s="294">
        <v>0</v>
      </c>
      <c r="Q1314" s="61">
        <v>0</v>
      </c>
      <c r="T1314" s="61">
        <v>0</v>
      </c>
      <c r="V1314" s="61">
        <v>0</v>
      </c>
      <c r="W1314" s="61">
        <v>0</v>
      </c>
      <c r="AH1314" s="279">
        <v>0</v>
      </c>
    </row>
    <row r="1315" spans="1:34">
      <c r="A1315" s="61">
        <v>0</v>
      </c>
      <c r="B1315" s="290">
        <v>0</v>
      </c>
      <c r="C1315" s="290">
        <v>0</v>
      </c>
      <c r="D1315" s="61">
        <v>0</v>
      </c>
      <c r="E1315" s="297">
        <v>0</v>
      </c>
      <c r="F1315" s="297">
        <v>0</v>
      </c>
      <c r="G1315" s="297">
        <v>0</v>
      </c>
      <c r="H1315" s="297">
        <v>0</v>
      </c>
      <c r="I1315" s="298">
        <v>0</v>
      </c>
      <c r="J1315" s="152">
        <v>0</v>
      </c>
      <c r="K1315" s="294">
        <v>0</v>
      </c>
      <c r="Q1315" s="61">
        <v>0</v>
      </c>
      <c r="T1315" s="61">
        <v>0</v>
      </c>
      <c r="V1315" s="61">
        <v>0</v>
      </c>
      <c r="W1315" s="61">
        <v>0</v>
      </c>
      <c r="AH1315" s="279">
        <v>0</v>
      </c>
    </row>
    <row r="1316" spans="1:34">
      <c r="A1316" s="61">
        <v>0</v>
      </c>
      <c r="B1316" s="290">
        <v>0</v>
      </c>
      <c r="C1316" s="290">
        <v>0</v>
      </c>
      <c r="D1316" s="61">
        <v>0</v>
      </c>
      <c r="E1316" s="297">
        <v>0</v>
      </c>
      <c r="F1316" s="297">
        <v>0</v>
      </c>
      <c r="G1316" s="297">
        <v>0</v>
      </c>
      <c r="H1316" s="297">
        <v>0</v>
      </c>
      <c r="I1316" s="298">
        <v>0</v>
      </c>
      <c r="J1316" s="152">
        <v>0</v>
      </c>
      <c r="K1316" s="294">
        <v>0</v>
      </c>
      <c r="Q1316" s="61">
        <v>0</v>
      </c>
      <c r="T1316" s="61">
        <v>0</v>
      </c>
      <c r="V1316" s="61">
        <v>0</v>
      </c>
      <c r="W1316" s="61">
        <v>0</v>
      </c>
      <c r="AH1316" s="279">
        <v>0</v>
      </c>
    </row>
    <row r="1317" spans="1:34">
      <c r="A1317" s="61">
        <v>0</v>
      </c>
      <c r="B1317" s="290">
        <v>0</v>
      </c>
      <c r="C1317" s="290">
        <v>0</v>
      </c>
      <c r="D1317" s="61">
        <v>0</v>
      </c>
      <c r="E1317" s="297">
        <v>0</v>
      </c>
      <c r="F1317" s="297">
        <v>0</v>
      </c>
      <c r="G1317" s="297">
        <v>0</v>
      </c>
      <c r="H1317" s="297">
        <v>0</v>
      </c>
      <c r="I1317" s="298">
        <v>0</v>
      </c>
      <c r="J1317" s="152">
        <v>0</v>
      </c>
      <c r="K1317" s="294">
        <v>0</v>
      </c>
      <c r="Q1317" s="61">
        <v>0</v>
      </c>
      <c r="T1317" s="61">
        <v>0</v>
      </c>
      <c r="V1317" s="61">
        <v>0</v>
      </c>
      <c r="W1317" s="61">
        <v>0</v>
      </c>
      <c r="AH1317" s="279">
        <v>0</v>
      </c>
    </row>
    <row r="1318" spans="1:34">
      <c r="A1318" s="61">
        <v>0</v>
      </c>
      <c r="B1318" s="290">
        <v>0</v>
      </c>
      <c r="C1318" s="290">
        <v>0</v>
      </c>
      <c r="D1318" s="61">
        <v>0</v>
      </c>
      <c r="E1318" s="297">
        <v>0</v>
      </c>
      <c r="F1318" s="297">
        <v>0</v>
      </c>
      <c r="G1318" s="297">
        <v>0</v>
      </c>
      <c r="H1318" s="297">
        <v>0</v>
      </c>
      <c r="I1318" s="298">
        <v>0</v>
      </c>
      <c r="J1318" s="152">
        <v>0</v>
      </c>
      <c r="K1318" s="294">
        <v>0</v>
      </c>
      <c r="Q1318" s="61">
        <v>0</v>
      </c>
      <c r="T1318" s="61">
        <v>0</v>
      </c>
      <c r="V1318" s="61">
        <v>0</v>
      </c>
      <c r="W1318" s="61">
        <v>0</v>
      </c>
      <c r="AH1318" s="279">
        <v>0</v>
      </c>
    </row>
    <row r="1319" spans="1:34">
      <c r="A1319" s="61">
        <v>0</v>
      </c>
      <c r="B1319" s="290">
        <v>0</v>
      </c>
      <c r="C1319" s="290">
        <v>0</v>
      </c>
      <c r="D1319" s="61">
        <v>0</v>
      </c>
      <c r="E1319" s="297">
        <v>0</v>
      </c>
      <c r="F1319" s="297">
        <v>0</v>
      </c>
      <c r="G1319" s="297">
        <v>0</v>
      </c>
      <c r="H1319" s="297">
        <v>0</v>
      </c>
      <c r="I1319" s="298">
        <v>0</v>
      </c>
      <c r="J1319" s="152">
        <v>0</v>
      </c>
      <c r="K1319" s="294">
        <v>0</v>
      </c>
      <c r="Q1319" s="61">
        <v>0</v>
      </c>
      <c r="T1319" s="61">
        <v>0</v>
      </c>
      <c r="V1319" s="61">
        <v>0</v>
      </c>
      <c r="W1319" s="61">
        <v>0</v>
      </c>
      <c r="AH1319" s="279">
        <v>0</v>
      </c>
    </row>
    <row r="1320" spans="1:34">
      <c r="A1320" s="61">
        <v>0</v>
      </c>
      <c r="B1320" s="290">
        <v>0</v>
      </c>
      <c r="C1320" s="290">
        <v>0</v>
      </c>
      <c r="D1320" s="61">
        <v>0</v>
      </c>
      <c r="E1320" s="297">
        <v>0</v>
      </c>
      <c r="F1320" s="297">
        <v>0</v>
      </c>
      <c r="G1320" s="297">
        <v>0</v>
      </c>
      <c r="H1320" s="297">
        <v>0</v>
      </c>
      <c r="I1320" s="298">
        <v>0</v>
      </c>
      <c r="J1320" s="152">
        <v>0</v>
      </c>
      <c r="K1320" s="294">
        <v>0</v>
      </c>
      <c r="Q1320" s="61">
        <v>0</v>
      </c>
      <c r="T1320" s="61">
        <v>0</v>
      </c>
      <c r="V1320" s="61">
        <v>0</v>
      </c>
      <c r="W1320" s="61">
        <v>0</v>
      </c>
      <c r="AH1320" s="279">
        <v>0</v>
      </c>
    </row>
    <row r="1321" spans="1:34">
      <c r="A1321" s="61">
        <v>0</v>
      </c>
      <c r="B1321" s="290">
        <v>0</v>
      </c>
      <c r="C1321" s="290">
        <v>0</v>
      </c>
      <c r="D1321" s="61">
        <v>0</v>
      </c>
      <c r="E1321" s="297">
        <v>0</v>
      </c>
      <c r="F1321" s="297">
        <v>0</v>
      </c>
      <c r="G1321" s="297">
        <v>0</v>
      </c>
      <c r="H1321" s="297">
        <v>0</v>
      </c>
      <c r="I1321" s="298">
        <v>0</v>
      </c>
      <c r="J1321" s="152">
        <v>0</v>
      </c>
      <c r="K1321" s="294">
        <v>0</v>
      </c>
      <c r="Q1321" s="61">
        <v>0</v>
      </c>
      <c r="T1321" s="61">
        <v>0</v>
      </c>
      <c r="V1321" s="61">
        <v>0</v>
      </c>
      <c r="W1321" s="61">
        <v>0</v>
      </c>
      <c r="AH1321" s="279">
        <v>0</v>
      </c>
    </row>
    <row r="1322" spans="1:34">
      <c r="A1322" s="61">
        <v>0</v>
      </c>
      <c r="B1322" s="290">
        <v>0</v>
      </c>
      <c r="C1322" s="290">
        <v>0</v>
      </c>
      <c r="D1322" s="61">
        <v>0</v>
      </c>
      <c r="E1322" s="297">
        <v>0</v>
      </c>
      <c r="F1322" s="297">
        <v>0</v>
      </c>
      <c r="G1322" s="297">
        <v>0</v>
      </c>
      <c r="H1322" s="297">
        <v>0</v>
      </c>
      <c r="I1322" s="298">
        <v>0</v>
      </c>
      <c r="J1322" s="152">
        <v>0</v>
      </c>
      <c r="K1322" s="294">
        <v>0</v>
      </c>
      <c r="Q1322" s="61">
        <v>0</v>
      </c>
      <c r="T1322" s="61">
        <v>0</v>
      </c>
      <c r="V1322" s="61">
        <v>0</v>
      </c>
      <c r="W1322" s="61">
        <v>0</v>
      </c>
      <c r="AH1322" s="279">
        <v>0</v>
      </c>
    </row>
    <row r="1323" spans="1:34">
      <c r="A1323" s="61">
        <v>0</v>
      </c>
      <c r="B1323" s="290">
        <v>0</v>
      </c>
      <c r="C1323" s="290">
        <v>0</v>
      </c>
      <c r="D1323" s="61">
        <v>0</v>
      </c>
      <c r="E1323" s="297">
        <v>0</v>
      </c>
      <c r="F1323" s="297">
        <v>0</v>
      </c>
      <c r="G1323" s="297">
        <v>0</v>
      </c>
      <c r="H1323" s="297">
        <v>0</v>
      </c>
      <c r="I1323" s="298">
        <v>0</v>
      </c>
      <c r="J1323" s="152">
        <v>0</v>
      </c>
      <c r="K1323" s="294">
        <v>0</v>
      </c>
      <c r="Q1323" s="61">
        <v>0</v>
      </c>
      <c r="T1323" s="61">
        <v>0</v>
      </c>
      <c r="V1323" s="61">
        <v>0</v>
      </c>
      <c r="W1323" s="61">
        <v>0</v>
      </c>
      <c r="AH1323" s="279">
        <v>0</v>
      </c>
    </row>
    <row r="1324" spans="1:34">
      <c r="A1324" s="61">
        <v>0</v>
      </c>
      <c r="B1324" s="290">
        <v>0</v>
      </c>
      <c r="C1324" s="290">
        <v>0</v>
      </c>
      <c r="D1324" s="61">
        <v>0</v>
      </c>
      <c r="E1324" s="297">
        <v>0</v>
      </c>
      <c r="F1324" s="297">
        <v>0</v>
      </c>
      <c r="G1324" s="297">
        <v>0</v>
      </c>
      <c r="H1324" s="297">
        <v>0</v>
      </c>
      <c r="I1324" s="298">
        <v>0</v>
      </c>
      <c r="J1324" s="152">
        <v>0</v>
      </c>
      <c r="K1324" s="294">
        <v>0</v>
      </c>
      <c r="Q1324" s="61">
        <v>0</v>
      </c>
      <c r="T1324" s="61">
        <v>0</v>
      </c>
      <c r="V1324" s="61">
        <v>0</v>
      </c>
      <c r="W1324" s="61">
        <v>0</v>
      </c>
      <c r="AH1324" s="279">
        <v>0</v>
      </c>
    </row>
    <row r="1325" spans="1:34">
      <c r="A1325" s="61">
        <v>0</v>
      </c>
      <c r="B1325" s="290">
        <v>0</v>
      </c>
      <c r="C1325" s="290">
        <v>0</v>
      </c>
      <c r="D1325" s="61">
        <v>0</v>
      </c>
      <c r="E1325" s="297">
        <v>0</v>
      </c>
      <c r="F1325" s="297">
        <v>0</v>
      </c>
      <c r="G1325" s="297">
        <v>0</v>
      </c>
      <c r="H1325" s="297">
        <v>0</v>
      </c>
      <c r="I1325" s="298">
        <v>0</v>
      </c>
      <c r="J1325" s="152">
        <v>0</v>
      </c>
      <c r="K1325" s="294">
        <v>0</v>
      </c>
      <c r="Q1325" s="61">
        <v>0</v>
      </c>
      <c r="T1325" s="61">
        <v>0</v>
      </c>
      <c r="V1325" s="61">
        <v>0</v>
      </c>
      <c r="W1325" s="61">
        <v>0</v>
      </c>
      <c r="AH1325" s="279">
        <v>0</v>
      </c>
    </row>
    <row r="1326" spans="1:34">
      <c r="A1326" s="61">
        <v>0</v>
      </c>
      <c r="B1326" s="290">
        <v>0</v>
      </c>
      <c r="C1326" s="290">
        <v>0</v>
      </c>
      <c r="D1326" s="61">
        <v>0</v>
      </c>
      <c r="E1326" s="297">
        <v>0</v>
      </c>
      <c r="F1326" s="297">
        <v>0</v>
      </c>
      <c r="G1326" s="297">
        <v>0</v>
      </c>
      <c r="H1326" s="297">
        <v>0</v>
      </c>
      <c r="I1326" s="298">
        <v>0</v>
      </c>
      <c r="J1326" s="152">
        <v>0</v>
      </c>
      <c r="K1326" s="294">
        <v>0</v>
      </c>
      <c r="Q1326" s="61">
        <v>0</v>
      </c>
      <c r="T1326" s="61">
        <v>0</v>
      </c>
      <c r="V1326" s="61">
        <v>0</v>
      </c>
      <c r="W1326" s="61">
        <v>0</v>
      </c>
      <c r="AH1326" s="279">
        <v>0</v>
      </c>
    </row>
    <row r="1327" spans="1:34">
      <c r="A1327" s="61">
        <v>0</v>
      </c>
      <c r="B1327" s="290">
        <v>0</v>
      </c>
      <c r="C1327" s="290">
        <v>0</v>
      </c>
      <c r="D1327" s="61">
        <v>0</v>
      </c>
      <c r="E1327" s="297">
        <v>0</v>
      </c>
      <c r="F1327" s="297">
        <v>0</v>
      </c>
      <c r="G1327" s="297">
        <v>0</v>
      </c>
      <c r="H1327" s="297">
        <v>0</v>
      </c>
      <c r="I1327" s="298">
        <v>0</v>
      </c>
      <c r="J1327" s="152">
        <v>0</v>
      </c>
      <c r="K1327" s="294">
        <v>0</v>
      </c>
      <c r="Q1327" s="61">
        <v>0</v>
      </c>
      <c r="T1327" s="61">
        <v>0</v>
      </c>
      <c r="V1327" s="61">
        <v>0</v>
      </c>
      <c r="W1327" s="61">
        <v>0</v>
      </c>
      <c r="AH1327" s="279">
        <v>0</v>
      </c>
    </row>
    <row r="1328" spans="1:34">
      <c r="A1328" s="61">
        <v>0</v>
      </c>
      <c r="B1328" s="290">
        <v>0</v>
      </c>
      <c r="C1328" s="290">
        <v>0</v>
      </c>
      <c r="D1328" s="61">
        <v>0</v>
      </c>
      <c r="E1328" s="297">
        <v>0</v>
      </c>
      <c r="F1328" s="297">
        <v>0</v>
      </c>
      <c r="G1328" s="297">
        <v>0</v>
      </c>
      <c r="H1328" s="297">
        <v>0</v>
      </c>
      <c r="I1328" s="298">
        <v>0</v>
      </c>
      <c r="J1328" s="152">
        <v>0</v>
      </c>
      <c r="K1328" s="294">
        <v>0</v>
      </c>
      <c r="Q1328" s="61">
        <v>0</v>
      </c>
      <c r="T1328" s="61">
        <v>0</v>
      </c>
      <c r="V1328" s="61">
        <v>0</v>
      </c>
      <c r="W1328" s="61">
        <v>0</v>
      </c>
      <c r="AH1328" s="279">
        <v>0</v>
      </c>
    </row>
    <row r="1329" spans="1:34">
      <c r="A1329" s="61">
        <v>0</v>
      </c>
      <c r="B1329" s="290">
        <v>0</v>
      </c>
      <c r="C1329" s="290">
        <v>0</v>
      </c>
      <c r="D1329" s="61">
        <v>0</v>
      </c>
      <c r="E1329" s="297">
        <v>0</v>
      </c>
      <c r="F1329" s="297">
        <v>0</v>
      </c>
      <c r="G1329" s="297">
        <v>0</v>
      </c>
      <c r="H1329" s="297">
        <v>0</v>
      </c>
      <c r="I1329" s="298">
        <v>0</v>
      </c>
      <c r="J1329" s="152">
        <v>0</v>
      </c>
      <c r="K1329" s="294">
        <v>0</v>
      </c>
      <c r="Q1329" s="61">
        <v>0</v>
      </c>
      <c r="T1329" s="61">
        <v>0</v>
      </c>
      <c r="V1329" s="61">
        <v>0</v>
      </c>
      <c r="W1329" s="61">
        <v>0</v>
      </c>
      <c r="AH1329" s="279">
        <v>0</v>
      </c>
    </row>
    <row r="1330" spans="1:34">
      <c r="A1330" s="61">
        <v>0</v>
      </c>
      <c r="B1330" s="290">
        <v>0</v>
      </c>
      <c r="C1330" s="290">
        <v>0</v>
      </c>
      <c r="D1330" s="61">
        <v>0</v>
      </c>
      <c r="E1330" s="297">
        <v>0</v>
      </c>
      <c r="F1330" s="297">
        <v>0</v>
      </c>
      <c r="G1330" s="297">
        <v>0</v>
      </c>
      <c r="H1330" s="297">
        <v>0</v>
      </c>
      <c r="I1330" s="298">
        <v>0</v>
      </c>
      <c r="J1330" s="152">
        <v>0</v>
      </c>
      <c r="K1330" s="294">
        <v>0</v>
      </c>
      <c r="Q1330" s="61">
        <v>0</v>
      </c>
      <c r="T1330" s="61">
        <v>0</v>
      </c>
      <c r="V1330" s="61">
        <v>0</v>
      </c>
      <c r="W1330" s="61">
        <v>0</v>
      </c>
      <c r="AH1330" s="279">
        <v>0</v>
      </c>
    </row>
    <row r="1331" spans="1:34">
      <c r="A1331" s="61">
        <v>0</v>
      </c>
      <c r="B1331" s="290">
        <v>0</v>
      </c>
      <c r="C1331" s="290">
        <v>0</v>
      </c>
      <c r="D1331" s="61">
        <v>0</v>
      </c>
      <c r="E1331" s="297">
        <v>0</v>
      </c>
      <c r="F1331" s="297">
        <v>0</v>
      </c>
      <c r="G1331" s="297">
        <v>0</v>
      </c>
      <c r="H1331" s="297">
        <v>0</v>
      </c>
      <c r="I1331" s="298">
        <v>0</v>
      </c>
      <c r="J1331" s="152">
        <v>0</v>
      </c>
      <c r="K1331" s="294">
        <v>0</v>
      </c>
      <c r="Q1331" s="61">
        <v>0</v>
      </c>
      <c r="T1331" s="61">
        <v>0</v>
      </c>
      <c r="V1331" s="61">
        <v>0</v>
      </c>
      <c r="W1331" s="61">
        <v>0</v>
      </c>
      <c r="AH1331" s="279">
        <v>0</v>
      </c>
    </row>
    <row r="1332" spans="1:34">
      <c r="A1332" s="61">
        <v>0</v>
      </c>
      <c r="B1332" s="290">
        <v>0</v>
      </c>
      <c r="C1332" s="290">
        <v>0</v>
      </c>
      <c r="D1332" s="61">
        <v>0</v>
      </c>
      <c r="E1332" s="297">
        <v>0</v>
      </c>
      <c r="F1332" s="297">
        <v>0</v>
      </c>
      <c r="G1332" s="297">
        <v>0</v>
      </c>
      <c r="H1332" s="297">
        <v>0</v>
      </c>
      <c r="I1332" s="298">
        <v>0</v>
      </c>
      <c r="J1332" s="152">
        <v>0</v>
      </c>
      <c r="K1332" s="294">
        <v>0</v>
      </c>
      <c r="Q1332" s="61">
        <v>0</v>
      </c>
      <c r="T1332" s="61">
        <v>0</v>
      </c>
      <c r="V1332" s="61">
        <v>0</v>
      </c>
      <c r="W1332" s="61">
        <v>0</v>
      </c>
      <c r="AH1332" s="279">
        <v>0</v>
      </c>
    </row>
    <row r="1333" spans="1:34">
      <c r="A1333" s="61">
        <v>0</v>
      </c>
      <c r="B1333" s="290">
        <v>0</v>
      </c>
      <c r="C1333" s="290">
        <v>0</v>
      </c>
      <c r="D1333" s="61">
        <v>0</v>
      </c>
      <c r="E1333" s="297">
        <v>0</v>
      </c>
      <c r="F1333" s="297">
        <v>0</v>
      </c>
      <c r="G1333" s="297">
        <v>0</v>
      </c>
      <c r="H1333" s="297">
        <v>0</v>
      </c>
      <c r="I1333" s="298">
        <v>0</v>
      </c>
      <c r="J1333" s="152">
        <v>0</v>
      </c>
      <c r="K1333" s="294">
        <v>0</v>
      </c>
      <c r="Q1333" s="61">
        <v>0</v>
      </c>
      <c r="T1333" s="61">
        <v>0</v>
      </c>
      <c r="V1333" s="61">
        <v>0</v>
      </c>
      <c r="W1333" s="61">
        <v>0</v>
      </c>
      <c r="AH1333" s="279">
        <v>0</v>
      </c>
    </row>
    <row r="1334" spans="1:34">
      <c r="A1334" s="61">
        <v>0</v>
      </c>
      <c r="B1334" s="290">
        <v>0</v>
      </c>
      <c r="C1334" s="290">
        <v>0</v>
      </c>
      <c r="D1334" s="61">
        <v>0</v>
      </c>
      <c r="E1334" s="297">
        <v>0</v>
      </c>
      <c r="F1334" s="297">
        <v>0</v>
      </c>
      <c r="G1334" s="297">
        <v>0</v>
      </c>
      <c r="H1334" s="297">
        <v>0</v>
      </c>
      <c r="I1334" s="298">
        <v>0</v>
      </c>
      <c r="J1334" s="152">
        <v>0</v>
      </c>
      <c r="K1334" s="294">
        <v>0</v>
      </c>
      <c r="Q1334" s="61">
        <v>0</v>
      </c>
      <c r="T1334" s="61">
        <v>0</v>
      </c>
      <c r="V1334" s="61">
        <v>0</v>
      </c>
      <c r="W1334" s="61">
        <v>0</v>
      </c>
      <c r="AH1334" s="279">
        <v>0</v>
      </c>
    </row>
    <row r="1335" spans="1:34">
      <c r="A1335" s="61">
        <v>0</v>
      </c>
      <c r="B1335" s="290">
        <v>0</v>
      </c>
      <c r="C1335" s="290">
        <v>0</v>
      </c>
      <c r="D1335" s="61">
        <v>0</v>
      </c>
      <c r="E1335" s="297">
        <v>0</v>
      </c>
      <c r="F1335" s="297">
        <v>0</v>
      </c>
      <c r="G1335" s="297">
        <v>0</v>
      </c>
      <c r="H1335" s="297">
        <v>0</v>
      </c>
      <c r="I1335" s="298">
        <v>0</v>
      </c>
      <c r="J1335" s="152">
        <v>0</v>
      </c>
      <c r="K1335" s="294">
        <v>0</v>
      </c>
      <c r="Q1335" s="61">
        <v>0</v>
      </c>
      <c r="T1335" s="61">
        <v>0</v>
      </c>
      <c r="V1335" s="61">
        <v>0</v>
      </c>
      <c r="W1335" s="61">
        <v>0</v>
      </c>
      <c r="AH1335" s="279">
        <v>0</v>
      </c>
    </row>
    <row r="1336" spans="1:34">
      <c r="A1336" s="61">
        <v>0</v>
      </c>
      <c r="B1336" s="290">
        <v>0</v>
      </c>
      <c r="C1336" s="290">
        <v>0</v>
      </c>
      <c r="D1336" s="61">
        <v>0</v>
      </c>
      <c r="E1336" s="297">
        <v>0</v>
      </c>
      <c r="F1336" s="297">
        <v>0</v>
      </c>
      <c r="G1336" s="297">
        <v>0</v>
      </c>
      <c r="H1336" s="297">
        <v>0</v>
      </c>
      <c r="I1336" s="298">
        <v>0</v>
      </c>
      <c r="J1336" s="152">
        <v>0</v>
      </c>
      <c r="K1336" s="294">
        <v>0</v>
      </c>
      <c r="Q1336" s="61">
        <v>0</v>
      </c>
      <c r="T1336" s="61">
        <v>0</v>
      </c>
      <c r="V1336" s="61">
        <v>0</v>
      </c>
      <c r="W1336" s="61">
        <v>0</v>
      </c>
      <c r="AH1336" s="279">
        <v>0</v>
      </c>
    </row>
    <row r="1337" spans="1:34">
      <c r="A1337" s="61">
        <v>0</v>
      </c>
      <c r="B1337" s="290">
        <v>0</v>
      </c>
      <c r="C1337" s="290">
        <v>0</v>
      </c>
      <c r="D1337" s="61">
        <v>0</v>
      </c>
      <c r="E1337" s="297">
        <v>0</v>
      </c>
      <c r="F1337" s="297">
        <v>0</v>
      </c>
      <c r="G1337" s="297">
        <v>0</v>
      </c>
      <c r="H1337" s="297">
        <v>0</v>
      </c>
      <c r="I1337" s="298">
        <v>0</v>
      </c>
      <c r="J1337" s="152">
        <v>0</v>
      </c>
      <c r="K1337" s="294">
        <v>0</v>
      </c>
      <c r="Q1337" s="61">
        <v>0</v>
      </c>
      <c r="T1337" s="61">
        <v>0</v>
      </c>
      <c r="V1337" s="61">
        <v>0</v>
      </c>
      <c r="W1337" s="61">
        <v>0</v>
      </c>
      <c r="AH1337" s="279">
        <v>0</v>
      </c>
    </row>
    <row r="1338" spans="1:34">
      <c r="A1338" s="61">
        <v>0</v>
      </c>
      <c r="B1338" s="290">
        <v>0</v>
      </c>
      <c r="C1338" s="290">
        <v>0</v>
      </c>
      <c r="D1338" s="61">
        <v>0</v>
      </c>
      <c r="E1338" s="297">
        <v>0</v>
      </c>
      <c r="F1338" s="297">
        <v>0</v>
      </c>
      <c r="G1338" s="297">
        <v>0</v>
      </c>
      <c r="H1338" s="297">
        <v>0</v>
      </c>
      <c r="I1338" s="298">
        <v>0</v>
      </c>
      <c r="J1338" s="152">
        <v>0</v>
      </c>
      <c r="K1338" s="294">
        <v>0</v>
      </c>
      <c r="Q1338" s="61">
        <v>0</v>
      </c>
      <c r="T1338" s="61">
        <v>0</v>
      </c>
      <c r="V1338" s="61">
        <v>0</v>
      </c>
      <c r="W1338" s="61">
        <v>0</v>
      </c>
      <c r="AH1338" s="279">
        <v>0</v>
      </c>
    </row>
    <row r="1339" spans="1:34">
      <c r="A1339" s="61">
        <v>0</v>
      </c>
      <c r="B1339" s="290">
        <v>0</v>
      </c>
      <c r="C1339" s="290">
        <v>0</v>
      </c>
      <c r="D1339" s="61">
        <v>0</v>
      </c>
      <c r="E1339" s="297">
        <v>0</v>
      </c>
      <c r="F1339" s="297">
        <v>0</v>
      </c>
      <c r="G1339" s="297">
        <v>0</v>
      </c>
      <c r="H1339" s="297">
        <v>0</v>
      </c>
      <c r="I1339" s="298">
        <v>0</v>
      </c>
      <c r="J1339" s="152">
        <v>0</v>
      </c>
      <c r="K1339" s="294">
        <v>0</v>
      </c>
      <c r="Q1339" s="61">
        <v>0</v>
      </c>
      <c r="T1339" s="61">
        <v>0</v>
      </c>
      <c r="V1339" s="61">
        <v>0</v>
      </c>
      <c r="W1339" s="61">
        <v>0</v>
      </c>
      <c r="AH1339" s="279">
        <v>0</v>
      </c>
    </row>
    <row r="1340" spans="1:34">
      <c r="A1340" s="61">
        <v>0</v>
      </c>
      <c r="B1340" s="290">
        <v>0</v>
      </c>
      <c r="C1340" s="290">
        <v>0</v>
      </c>
      <c r="D1340" s="61">
        <v>0</v>
      </c>
      <c r="E1340" s="297">
        <v>0</v>
      </c>
      <c r="F1340" s="297">
        <v>0</v>
      </c>
      <c r="G1340" s="297">
        <v>0</v>
      </c>
      <c r="H1340" s="297">
        <v>0</v>
      </c>
      <c r="I1340" s="298">
        <v>0</v>
      </c>
      <c r="J1340" s="152">
        <v>0</v>
      </c>
      <c r="K1340" s="294">
        <v>0</v>
      </c>
      <c r="Q1340" s="61">
        <v>0</v>
      </c>
      <c r="T1340" s="61">
        <v>0</v>
      </c>
      <c r="V1340" s="61">
        <v>0</v>
      </c>
      <c r="W1340" s="61">
        <v>0</v>
      </c>
      <c r="AH1340" s="279">
        <v>0</v>
      </c>
    </row>
    <row r="1341" spans="1:34">
      <c r="A1341" s="61">
        <v>0</v>
      </c>
      <c r="B1341" s="290">
        <v>0</v>
      </c>
      <c r="C1341" s="290">
        <v>0</v>
      </c>
      <c r="D1341" s="61">
        <v>0</v>
      </c>
      <c r="E1341" s="297">
        <v>0</v>
      </c>
      <c r="F1341" s="297">
        <v>0</v>
      </c>
      <c r="G1341" s="297">
        <v>0</v>
      </c>
      <c r="H1341" s="297">
        <v>0</v>
      </c>
      <c r="I1341" s="298">
        <v>0</v>
      </c>
      <c r="J1341" s="152">
        <v>0</v>
      </c>
      <c r="K1341" s="294">
        <v>0</v>
      </c>
      <c r="Q1341" s="61">
        <v>0</v>
      </c>
      <c r="T1341" s="61">
        <v>0</v>
      </c>
      <c r="V1341" s="61">
        <v>0</v>
      </c>
      <c r="W1341" s="61">
        <v>0</v>
      </c>
      <c r="AH1341" s="279">
        <v>0</v>
      </c>
    </row>
    <row r="1342" spans="1:34">
      <c r="A1342" s="61">
        <v>0</v>
      </c>
      <c r="B1342" s="290">
        <v>0</v>
      </c>
      <c r="C1342" s="290">
        <v>0</v>
      </c>
      <c r="D1342" s="61">
        <v>0</v>
      </c>
      <c r="E1342" s="297">
        <v>0</v>
      </c>
      <c r="F1342" s="297">
        <v>0</v>
      </c>
      <c r="G1342" s="297">
        <v>0</v>
      </c>
      <c r="H1342" s="297">
        <v>0</v>
      </c>
      <c r="I1342" s="298">
        <v>0</v>
      </c>
      <c r="J1342" s="152">
        <v>0</v>
      </c>
      <c r="K1342" s="294">
        <v>0</v>
      </c>
      <c r="Q1342" s="61">
        <v>0</v>
      </c>
      <c r="T1342" s="61">
        <v>0</v>
      </c>
      <c r="V1342" s="61">
        <v>0</v>
      </c>
      <c r="W1342" s="61">
        <v>0</v>
      </c>
      <c r="AH1342" s="279">
        <v>0</v>
      </c>
    </row>
    <row r="1343" spans="1:34">
      <c r="A1343" s="61">
        <v>0</v>
      </c>
      <c r="B1343" s="290">
        <v>0</v>
      </c>
      <c r="C1343" s="290">
        <v>0</v>
      </c>
      <c r="D1343" s="61">
        <v>0</v>
      </c>
      <c r="E1343" s="297">
        <v>0</v>
      </c>
      <c r="F1343" s="297">
        <v>0</v>
      </c>
      <c r="G1343" s="297">
        <v>0</v>
      </c>
      <c r="H1343" s="297">
        <v>0</v>
      </c>
      <c r="I1343" s="298">
        <v>0</v>
      </c>
      <c r="J1343" s="152">
        <v>0</v>
      </c>
      <c r="K1343" s="294">
        <v>0</v>
      </c>
      <c r="Q1343" s="61">
        <v>0</v>
      </c>
      <c r="T1343" s="61">
        <v>0</v>
      </c>
      <c r="V1343" s="61">
        <v>0</v>
      </c>
      <c r="W1343" s="61">
        <v>0</v>
      </c>
      <c r="AH1343" s="279">
        <v>0</v>
      </c>
    </row>
    <row r="1344" spans="1:34">
      <c r="A1344" s="61">
        <v>0</v>
      </c>
      <c r="B1344" s="290">
        <v>0</v>
      </c>
      <c r="C1344" s="290">
        <v>0</v>
      </c>
      <c r="D1344" s="61">
        <v>0</v>
      </c>
      <c r="E1344" s="297">
        <v>0</v>
      </c>
      <c r="F1344" s="297">
        <v>0</v>
      </c>
      <c r="G1344" s="297">
        <v>0</v>
      </c>
      <c r="H1344" s="297">
        <v>0</v>
      </c>
      <c r="I1344" s="298">
        <v>0</v>
      </c>
      <c r="J1344" s="152">
        <v>0</v>
      </c>
      <c r="K1344" s="294">
        <v>0</v>
      </c>
      <c r="Q1344" s="61">
        <v>0</v>
      </c>
      <c r="T1344" s="61">
        <v>0</v>
      </c>
      <c r="V1344" s="61">
        <v>0</v>
      </c>
      <c r="W1344" s="61">
        <v>0</v>
      </c>
      <c r="AH1344" s="279">
        <v>0</v>
      </c>
    </row>
    <row r="1345" spans="1:34">
      <c r="A1345" s="61">
        <v>0</v>
      </c>
      <c r="B1345" s="290">
        <v>0</v>
      </c>
      <c r="C1345" s="290">
        <v>0</v>
      </c>
      <c r="D1345" s="61">
        <v>0</v>
      </c>
      <c r="E1345" s="297">
        <v>0</v>
      </c>
      <c r="F1345" s="297">
        <v>0</v>
      </c>
      <c r="G1345" s="297">
        <v>0</v>
      </c>
      <c r="H1345" s="297">
        <v>0</v>
      </c>
      <c r="I1345" s="298">
        <v>0</v>
      </c>
      <c r="J1345" s="152">
        <v>0</v>
      </c>
      <c r="K1345" s="294">
        <v>0</v>
      </c>
      <c r="Q1345" s="61">
        <v>0</v>
      </c>
      <c r="T1345" s="61">
        <v>0</v>
      </c>
      <c r="V1345" s="61">
        <v>0</v>
      </c>
      <c r="W1345" s="61">
        <v>0</v>
      </c>
      <c r="AH1345" s="279">
        <v>0</v>
      </c>
    </row>
    <row r="1346" spans="1:34">
      <c r="A1346" s="61">
        <v>0</v>
      </c>
      <c r="B1346" s="290">
        <v>0</v>
      </c>
      <c r="C1346" s="290">
        <v>0</v>
      </c>
      <c r="D1346" s="61">
        <v>0</v>
      </c>
      <c r="E1346" s="297">
        <v>0</v>
      </c>
      <c r="F1346" s="297">
        <v>0</v>
      </c>
      <c r="G1346" s="297">
        <v>0</v>
      </c>
      <c r="H1346" s="297">
        <v>0</v>
      </c>
      <c r="I1346" s="298">
        <v>0</v>
      </c>
      <c r="J1346" s="152">
        <v>0</v>
      </c>
      <c r="K1346" s="294">
        <v>0</v>
      </c>
      <c r="Q1346" s="61">
        <v>0</v>
      </c>
      <c r="T1346" s="61">
        <v>0</v>
      </c>
      <c r="V1346" s="61">
        <v>0</v>
      </c>
      <c r="W1346" s="61">
        <v>0</v>
      </c>
      <c r="AH1346" s="279">
        <v>0</v>
      </c>
    </row>
    <row r="1347" spans="1:34">
      <c r="A1347" s="61">
        <v>0</v>
      </c>
      <c r="B1347" s="290">
        <v>0</v>
      </c>
      <c r="C1347" s="290">
        <v>0</v>
      </c>
      <c r="D1347" s="61">
        <v>0</v>
      </c>
      <c r="E1347" s="297">
        <v>0</v>
      </c>
      <c r="F1347" s="297">
        <v>0</v>
      </c>
      <c r="G1347" s="297">
        <v>0</v>
      </c>
      <c r="H1347" s="297">
        <v>0</v>
      </c>
      <c r="I1347" s="298">
        <v>0</v>
      </c>
      <c r="J1347" s="152">
        <v>0</v>
      </c>
      <c r="K1347" s="294">
        <v>0</v>
      </c>
      <c r="Q1347" s="61">
        <v>0</v>
      </c>
      <c r="T1347" s="61">
        <v>0</v>
      </c>
      <c r="V1347" s="61">
        <v>0</v>
      </c>
      <c r="W1347" s="61">
        <v>0</v>
      </c>
      <c r="AH1347" s="279">
        <v>0</v>
      </c>
    </row>
    <row r="1348" spans="1:34">
      <c r="A1348" s="61">
        <v>0</v>
      </c>
      <c r="B1348" s="290">
        <v>0</v>
      </c>
      <c r="C1348" s="290">
        <v>0</v>
      </c>
      <c r="D1348" s="61">
        <v>0</v>
      </c>
      <c r="E1348" s="297">
        <v>0</v>
      </c>
      <c r="F1348" s="297">
        <v>0</v>
      </c>
      <c r="G1348" s="297">
        <v>0</v>
      </c>
      <c r="H1348" s="297">
        <v>0</v>
      </c>
      <c r="I1348" s="298">
        <v>0</v>
      </c>
      <c r="J1348" s="152">
        <v>0</v>
      </c>
      <c r="K1348" s="294">
        <v>0</v>
      </c>
      <c r="Q1348" s="61">
        <v>0</v>
      </c>
      <c r="T1348" s="61">
        <v>0</v>
      </c>
      <c r="V1348" s="61">
        <v>0</v>
      </c>
      <c r="W1348" s="61">
        <v>0</v>
      </c>
      <c r="AH1348" s="279">
        <v>0</v>
      </c>
    </row>
    <row r="1349" spans="1:34">
      <c r="A1349" s="61">
        <v>0</v>
      </c>
      <c r="B1349" s="290">
        <v>0</v>
      </c>
      <c r="C1349" s="290">
        <v>0</v>
      </c>
      <c r="D1349" s="61">
        <v>0</v>
      </c>
      <c r="E1349" s="297">
        <v>0</v>
      </c>
      <c r="F1349" s="297">
        <v>0</v>
      </c>
      <c r="G1349" s="297">
        <v>0</v>
      </c>
      <c r="H1349" s="297">
        <v>0</v>
      </c>
      <c r="I1349" s="298">
        <v>0</v>
      </c>
      <c r="J1349" s="152">
        <v>0</v>
      </c>
      <c r="K1349" s="294">
        <v>0</v>
      </c>
      <c r="Q1349" s="61">
        <v>0</v>
      </c>
      <c r="T1349" s="61">
        <v>0</v>
      </c>
      <c r="V1349" s="61">
        <v>0</v>
      </c>
      <c r="W1349" s="61">
        <v>0</v>
      </c>
      <c r="AH1349" s="279">
        <v>0</v>
      </c>
    </row>
    <row r="1350" spans="1:34">
      <c r="A1350" s="61">
        <v>0</v>
      </c>
      <c r="B1350" s="290">
        <v>0</v>
      </c>
      <c r="C1350" s="290">
        <v>0</v>
      </c>
      <c r="D1350" s="61">
        <v>0</v>
      </c>
      <c r="E1350" s="297">
        <v>0</v>
      </c>
      <c r="F1350" s="297">
        <v>0</v>
      </c>
      <c r="G1350" s="297">
        <v>0</v>
      </c>
      <c r="H1350" s="297">
        <v>0</v>
      </c>
      <c r="I1350" s="298">
        <v>0</v>
      </c>
      <c r="J1350" s="152">
        <v>0</v>
      </c>
      <c r="K1350" s="294">
        <v>0</v>
      </c>
      <c r="Q1350" s="61">
        <v>0</v>
      </c>
      <c r="T1350" s="61">
        <v>0</v>
      </c>
      <c r="V1350" s="61">
        <v>0</v>
      </c>
      <c r="W1350" s="61">
        <v>0</v>
      </c>
      <c r="AH1350" s="279">
        <v>0</v>
      </c>
    </row>
    <row r="1351" spans="1:34">
      <c r="A1351" s="61">
        <v>0</v>
      </c>
      <c r="B1351" s="290">
        <v>0</v>
      </c>
      <c r="C1351" s="290">
        <v>0</v>
      </c>
      <c r="D1351" s="61">
        <v>0</v>
      </c>
      <c r="E1351" s="297">
        <v>0</v>
      </c>
      <c r="F1351" s="297">
        <v>0</v>
      </c>
      <c r="G1351" s="297">
        <v>0</v>
      </c>
      <c r="H1351" s="297">
        <v>0</v>
      </c>
      <c r="I1351" s="298">
        <v>0</v>
      </c>
      <c r="J1351" s="152">
        <v>0</v>
      </c>
      <c r="K1351" s="294">
        <v>0</v>
      </c>
      <c r="Q1351" s="61">
        <v>0</v>
      </c>
      <c r="T1351" s="61">
        <v>0</v>
      </c>
      <c r="V1351" s="61">
        <v>0</v>
      </c>
      <c r="W1351" s="61">
        <v>0</v>
      </c>
      <c r="AH1351" s="279">
        <v>0</v>
      </c>
    </row>
    <row r="1352" spans="1:34">
      <c r="A1352" s="61">
        <v>0</v>
      </c>
      <c r="B1352" s="290">
        <v>0</v>
      </c>
      <c r="C1352" s="290">
        <v>0</v>
      </c>
      <c r="D1352" s="61">
        <v>0</v>
      </c>
      <c r="E1352" s="297">
        <v>0</v>
      </c>
      <c r="F1352" s="297">
        <v>0</v>
      </c>
      <c r="G1352" s="297">
        <v>0</v>
      </c>
      <c r="H1352" s="297">
        <v>0</v>
      </c>
      <c r="I1352" s="298">
        <v>0</v>
      </c>
      <c r="J1352" s="152">
        <v>0</v>
      </c>
      <c r="K1352" s="294">
        <v>0</v>
      </c>
      <c r="Q1352" s="61">
        <v>0</v>
      </c>
      <c r="T1352" s="61">
        <v>0</v>
      </c>
      <c r="V1352" s="61">
        <v>0</v>
      </c>
      <c r="W1352" s="61">
        <v>0</v>
      </c>
      <c r="AH1352" s="279">
        <v>0</v>
      </c>
    </row>
    <row r="1353" spans="1:34">
      <c r="A1353" s="61">
        <v>0</v>
      </c>
      <c r="B1353" s="290">
        <v>0</v>
      </c>
      <c r="C1353" s="290">
        <v>0</v>
      </c>
      <c r="D1353" s="61">
        <v>0</v>
      </c>
      <c r="E1353" s="297">
        <v>0</v>
      </c>
      <c r="F1353" s="297">
        <v>0</v>
      </c>
      <c r="G1353" s="297">
        <v>0</v>
      </c>
      <c r="H1353" s="297">
        <v>0</v>
      </c>
      <c r="I1353" s="298">
        <v>0</v>
      </c>
      <c r="J1353" s="152">
        <v>0</v>
      </c>
      <c r="K1353" s="294">
        <v>0</v>
      </c>
      <c r="Q1353" s="61">
        <v>0</v>
      </c>
      <c r="T1353" s="61">
        <v>0</v>
      </c>
      <c r="V1353" s="61">
        <v>0</v>
      </c>
      <c r="W1353" s="61">
        <v>0</v>
      </c>
      <c r="AH1353" s="279">
        <v>0</v>
      </c>
    </row>
    <row r="1354" spans="1:34">
      <c r="A1354" s="61">
        <v>0</v>
      </c>
      <c r="B1354" s="290">
        <v>0</v>
      </c>
      <c r="C1354" s="290">
        <v>0</v>
      </c>
      <c r="D1354" s="61">
        <v>0</v>
      </c>
      <c r="E1354" s="297">
        <v>0</v>
      </c>
      <c r="F1354" s="297">
        <v>0</v>
      </c>
      <c r="G1354" s="297">
        <v>0</v>
      </c>
      <c r="H1354" s="297">
        <v>0</v>
      </c>
      <c r="I1354" s="298">
        <v>0</v>
      </c>
      <c r="J1354" s="152">
        <v>0</v>
      </c>
      <c r="K1354" s="294">
        <v>0</v>
      </c>
      <c r="Q1354" s="61">
        <v>0</v>
      </c>
      <c r="T1354" s="61">
        <v>0</v>
      </c>
      <c r="V1354" s="61">
        <v>0</v>
      </c>
      <c r="W1354" s="61">
        <v>0</v>
      </c>
      <c r="AH1354" s="279">
        <v>0</v>
      </c>
    </row>
    <row r="1355" spans="1:34">
      <c r="A1355" s="61">
        <v>0</v>
      </c>
      <c r="B1355" s="290">
        <v>0</v>
      </c>
      <c r="C1355" s="290">
        <v>0</v>
      </c>
      <c r="D1355" s="61">
        <v>0</v>
      </c>
      <c r="E1355" s="297">
        <v>0</v>
      </c>
      <c r="F1355" s="297">
        <v>0</v>
      </c>
      <c r="G1355" s="297">
        <v>0</v>
      </c>
      <c r="H1355" s="297">
        <v>0</v>
      </c>
      <c r="I1355" s="298">
        <v>0</v>
      </c>
      <c r="J1355" s="152">
        <v>0</v>
      </c>
      <c r="K1355" s="294">
        <v>0</v>
      </c>
      <c r="Q1355" s="61">
        <v>0</v>
      </c>
      <c r="T1355" s="61">
        <v>0</v>
      </c>
      <c r="V1355" s="61">
        <v>0</v>
      </c>
      <c r="W1355" s="61">
        <v>0</v>
      </c>
      <c r="AH1355" s="279">
        <v>0</v>
      </c>
    </row>
    <row r="1356" spans="1:34">
      <c r="A1356" s="61">
        <v>0</v>
      </c>
      <c r="B1356" s="290">
        <v>0</v>
      </c>
      <c r="C1356" s="290">
        <v>0</v>
      </c>
      <c r="D1356" s="61">
        <v>0</v>
      </c>
      <c r="E1356" s="297">
        <v>0</v>
      </c>
      <c r="F1356" s="297">
        <v>0</v>
      </c>
      <c r="G1356" s="297">
        <v>0</v>
      </c>
      <c r="H1356" s="297">
        <v>0</v>
      </c>
      <c r="I1356" s="298">
        <v>0</v>
      </c>
      <c r="J1356" s="152">
        <v>0</v>
      </c>
      <c r="K1356" s="294">
        <v>0</v>
      </c>
      <c r="Q1356" s="61">
        <v>0</v>
      </c>
      <c r="T1356" s="61">
        <v>0</v>
      </c>
      <c r="V1356" s="61">
        <v>0</v>
      </c>
      <c r="W1356" s="61">
        <v>0</v>
      </c>
      <c r="AH1356" s="279">
        <v>0</v>
      </c>
    </row>
    <row r="1357" spans="1:34">
      <c r="A1357" s="61">
        <v>0</v>
      </c>
      <c r="B1357" s="290">
        <v>0</v>
      </c>
      <c r="C1357" s="290">
        <v>0</v>
      </c>
      <c r="D1357" s="61">
        <v>0</v>
      </c>
      <c r="E1357" s="297">
        <v>0</v>
      </c>
      <c r="F1357" s="297">
        <v>0</v>
      </c>
      <c r="G1357" s="297">
        <v>0</v>
      </c>
      <c r="H1357" s="297">
        <v>0</v>
      </c>
      <c r="I1357" s="298">
        <v>0</v>
      </c>
      <c r="J1357" s="152">
        <v>0</v>
      </c>
      <c r="K1357" s="294">
        <v>0</v>
      </c>
      <c r="Q1357" s="61">
        <v>0</v>
      </c>
      <c r="T1357" s="61">
        <v>0</v>
      </c>
      <c r="V1357" s="61">
        <v>0</v>
      </c>
      <c r="W1357" s="61">
        <v>0</v>
      </c>
      <c r="AH1357" s="279">
        <v>0</v>
      </c>
    </row>
    <row r="1358" spans="1:34">
      <c r="A1358" s="61">
        <v>0</v>
      </c>
      <c r="B1358" s="290">
        <v>0</v>
      </c>
      <c r="C1358" s="290">
        <v>0</v>
      </c>
      <c r="D1358" s="61">
        <v>0</v>
      </c>
      <c r="E1358" s="297">
        <v>0</v>
      </c>
      <c r="F1358" s="297">
        <v>0</v>
      </c>
      <c r="G1358" s="297">
        <v>0</v>
      </c>
      <c r="H1358" s="297">
        <v>0</v>
      </c>
      <c r="I1358" s="298">
        <v>0</v>
      </c>
      <c r="J1358" s="152">
        <v>0</v>
      </c>
      <c r="K1358" s="294">
        <v>0</v>
      </c>
      <c r="Q1358" s="61">
        <v>0</v>
      </c>
      <c r="T1358" s="61">
        <v>0</v>
      </c>
      <c r="V1358" s="61">
        <v>0</v>
      </c>
      <c r="W1358" s="61">
        <v>0</v>
      </c>
      <c r="AH1358" s="279">
        <v>0</v>
      </c>
    </row>
    <row r="1359" spans="1:34">
      <c r="A1359" s="61">
        <v>0</v>
      </c>
      <c r="B1359" s="290">
        <v>0</v>
      </c>
      <c r="C1359" s="290">
        <v>0</v>
      </c>
      <c r="D1359" s="61">
        <v>0</v>
      </c>
      <c r="E1359" s="297">
        <v>0</v>
      </c>
      <c r="F1359" s="297">
        <v>0</v>
      </c>
      <c r="G1359" s="297">
        <v>0</v>
      </c>
      <c r="H1359" s="297">
        <v>0</v>
      </c>
      <c r="I1359" s="298">
        <v>0</v>
      </c>
      <c r="J1359" s="152">
        <v>0</v>
      </c>
      <c r="K1359" s="294">
        <v>0</v>
      </c>
      <c r="Q1359" s="61">
        <v>0</v>
      </c>
      <c r="T1359" s="61">
        <v>0</v>
      </c>
      <c r="V1359" s="61">
        <v>0</v>
      </c>
      <c r="W1359" s="61">
        <v>0</v>
      </c>
      <c r="AH1359" s="279">
        <v>0</v>
      </c>
    </row>
    <row r="1360" spans="1:34">
      <c r="A1360" s="61">
        <v>0</v>
      </c>
      <c r="B1360" s="290">
        <v>0</v>
      </c>
      <c r="C1360" s="290">
        <v>0</v>
      </c>
      <c r="D1360" s="61">
        <v>0</v>
      </c>
      <c r="E1360" s="297">
        <v>0</v>
      </c>
      <c r="F1360" s="297">
        <v>0</v>
      </c>
      <c r="G1360" s="297">
        <v>0</v>
      </c>
      <c r="H1360" s="297">
        <v>0</v>
      </c>
      <c r="I1360" s="298">
        <v>0</v>
      </c>
      <c r="J1360" s="152">
        <v>0</v>
      </c>
      <c r="K1360" s="294">
        <v>0</v>
      </c>
      <c r="Q1360" s="61">
        <v>0</v>
      </c>
      <c r="T1360" s="61">
        <v>0</v>
      </c>
      <c r="V1360" s="61">
        <v>0</v>
      </c>
      <c r="W1360" s="61">
        <v>0</v>
      </c>
      <c r="AH1360" s="279">
        <v>0</v>
      </c>
    </row>
    <row r="1361" spans="1:34">
      <c r="A1361" s="61">
        <v>0</v>
      </c>
      <c r="B1361" s="290">
        <v>0</v>
      </c>
      <c r="C1361" s="290">
        <v>0</v>
      </c>
      <c r="D1361" s="61">
        <v>0</v>
      </c>
      <c r="E1361" s="297">
        <v>0</v>
      </c>
      <c r="F1361" s="297">
        <v>0</v>
      </c>
      <c r="G1361" s="297">
        <v>0</v>
      </c>
      <c r="H1361" s="297">
        <v>0</v>
      </c>
      <c r="I1361" s="298">
        <v>0</v>
      </c>
      <c r="J1361" s="152">
        <v>0</v>
      </c>
      <c r="K1361" s="294">
        <v>0</v>
      </c>
      <c r="Q1361" s="61">
        <v>0</v>
      </c>
      <c r="T1361" s="61">
        <v>0</v>
      </c>
      <c r="V1361" s="61">
        <v>0</v>
      </c>
      <c r="W1361" s="61">
        <v>0</v>
      </c>
      <c r="AH1361" s="279">
        <v>0</v>
      </c>
    </row>
    <row r="1362" spans="1:34">
      <c r="A1362" s="61">
        <v>0</v>
      </c>
      <c r="B1362" s="290">
        <v>0</v>
      </c>
      <c r="C1362" s="290">
        <v>0</v>
      </c>
      <c r="D1362" s="61">
        <v>0</v>
      </c>
      <c r="E1362" s="297">
        <v>0</v>
      </c>
      <c r="F1362" s="297">
        <v>0</v>
      </c>
      <c r="G1362" s="297">
        <v>0</v>
      </c>
      <c r="H1362" s="297">
        <v>0</v>
      </c>
      <c r="I1362" s="298">
        <v>0</v>
      </c>
      <c r="J1362" s="152">
        <v>0</v>
      </c>
      <c r="K1362" s="294">
        <v>0</v>
      </c>
      <c r="Q1362" s="61">
        <v>0</v>
      </c>
      <c r="T1362" s="61">
        <v>0</v>
      </c>
      <c r="V1362" s="61">
        <v>0</v>
      </c>
      <c r="W1362" s="61">
        <v>0</v>
      </c>
      <c r="AH1362" s="279">
        <v>0</v>
      </c>
    </row>
    <row r="1363" spans="1:34">
      <c r="A1363" s="61">
        <v>0</v>
      </c>
      <c r="B1363" s="290">
        <v>0</v>
      </c>
      <c r="C1363" s="290">
        <v>0</v>
      </c>
      <c r="D1363" s="61">
        <v>0</v>
      </c>
      <c r="E1363" s="297">
        <v>0</v>
      </c>
      <c r="F1363" s="297">
        <v>0</v>
      </c>
      <c r="G1363" s="297">
        <v>0</v>
      </c>
      <c r="H1363" s="297">
        <v>0</v>
      </c>
      <c r="I1363" s="298">
        <v>0</v>
      </c>
      <c r="J1363" s="152">
        <v>0</v>
      </c>
      <c r="K1363" s="294">
        <v>0</v>
      </c>
      <c r="Q1363" s="61">
        <v>0</v>
      </c>
      <c r="T1363" s="61">
        <v>0</v>
      </c>
      <c r="V1363" s="61">
        <v>0</v>
      </c>
      <c r="W1363" s="61">
        <v>0</v>
      </c>
      <c r="AH1363" s="279">
        <v>0</v>
      </c>
    </row>
    <row r="1364" spans="1:34">
      <c r="A1364" s="61">
        <v>0</v>
      </c>
      <c r="B1364" s="290">
        <v>0</v>
      </c>
      <c r="C1364" s="290">
        <v>0</v>
      </c>
      <c r="D1364" s="61">
        <v>0</v>
      </c>
      <c r="E1364" s="297">
        <v>0</v>
      </c>
      <c r="F1364" s="297">
        <v>0</v>
      </c>
      <c r="G1364" s="297">
        <v>0</v>
      </c>
      <c r="H1364" s="297">
        <v>0</v>
      </c>
      <c r="I1364" s="298">
        <v>0</v>
      </c>
      <c r="J1364" s="152">
        <v>0</v>
      </c>
      <c r="K1364" s="294">
        <v>0</v>
      </c>
      <c r="Q1364" s="61">
        <v>0</v>
      </c>
      <c r="T1364" s="61">
        <v>0</v>
      </c>
      <c r="V1364" s="61">
        <v>0</v>
      </c>
      <c r="W1364" s="61">
        <v>0</v>
      </c>
      <c r="AH1364" s="279">
        <v>0</v>
      </c>
    </row>
    <row r="1365" spans="1:34">
      <c r="A1365" s="61">
        <v>0</v>
      </c>
      <c r="B1365" s="290">
        <v>0</v>
      </c>
      <c r="C1365" s="290">
        <v>0</v>
      </c>
      <c r="D1365" s="61">
        <v>0</v>
      </c>
      <c r="E1365" s="297">
        <v>0</v>
      </c>
      <c r="F1365" s="297">
        <v>0</v>
      </c>
      <c r="G1365" s="297">
        <v>0</v>
      </c>
      <c r="H1365" s="297">
        <v>0</v>
      </c>
      <c r="I1365" s="298">
        <v>0</v>
      </c>
      <c r="J1365" s="152">
        <v>0</v>
      </c>
      <c r="K1365" s="294">
        <v>0</v>
      </c>
      <c r="Q1365" s="61">
        <v>0</v>
      </c>
      <c r="T1365" s="61">
        <v>0</v>
      </c>
      <c r="V1365" s="61">
        <v>0</v>
      </c>
      <c r="W1365" s="61">
        <v>0</v>
      </c>
      <c r="AH1365" s="279">
        <v>0</v>
      </c>
    </row>
    <row r="1366" spans="1:34">
      <c r="A1366" s="61">
        <v>0</v>
      </c>
      <c r="B1366" s="290">
        <v>0</v>
      </c>
      <c r="C1366" s="290">
        <v>0</v>
      </c>
      <c r="D1366" s="61">
        <v>0</v>
      </c>
      <c r="E1366" s="297">
        <v>0</v>
      </c>
      <c r="F1366" s="297">
        <v>0</v>
      </c>
      <c r="G1366" s="297">
        <v>0</v>
      </c>
      <c r="H1366" s="297">
        <v>0</v>
      </c>
      <c r="I1366" s="298">
        <v>0</v>
      </c>
      <c r="J1366" s="152">
        <v>0</v>
      </c>
      <c r="K1366" s="294">
        <v>0</v>
      </c>
      <c r="Q1366" s="61">
        <v>0</v>
      </c>
      <c r="T1366" s="61">
        <v>0</v>
      </c>
      <c r="V1366" s="61">
        <v>0</v>
      </c>
      <c r="W1366" s="61">
        <v>0</v>
      </c>
      <c r="AH1366" s="279">
        <v>0</v>
      </c>
    </row>
    <row r="1367" spans="1:34">
      <c r="A1367" s="61">
        <v>0</v>
      </c>
      <c r="B1367" s="290">
        <v>0</v>
      </c>
      <c r="C1367" s="290">
        <v>0</v>
      </c>
      <c r="D1367" s="61">
        <v>0</v>
      </c>
      <c r="E1367" s="297">
        <v>0</v>
      </c>
      <c r="F1367" s="297">
        <v>0</v>
      </c>
      <c r="G1367" s="297">
        <v>0</v>
      </c>
      <c r="H1367" s="297">
        <v>0</v>
      </c>
      <c r="I1367" s="298">
        <v>0</v>
      </c>
      <c r="J1367" s="152">
        <v>0</v>
      </c>
      <c r="K1367" s="294">
        <v>0</v>
      </c>
      <c r="Q1367" s="61">
        <v>0</v>
      </c>
      <c r="T1367" s="61">
        <v>0</v>
      </c>
      <c r="V1367" s="61">
        <v>0</v>
      </c>
      <c r="W1367" s="61">
        <v>0</v>
      </c>
      <c r="AH1367" s="279">
        <v>0</v>
      </c>
    </row>
    <row r="1368" spans="1:34">
      <c r="A1368" s="61">
        <v>0</v>
      </c>
      <c r="B1368" s="290">
        <v>0</v>
      </c>
      <c r="C1368" s="290">
        <v>0</v>
      </c>
      <c r="D1368" s="61">
        <v>0</v>
      </c>
      <c r="E1368" s="297">
        <v>0</v>
      </c>
      <c r="F1368" s="297">
        <v>0</v>
      </c>
      <c r="G1368" s="297">
        <v>0</v>
      </c>
      <c r="H1368" s="297">
        <v>0</v>
      </c>
      <c r="I1368" s="298">
        <v>0</v>
      </c>
      <c r="J1368" s="152">
        <v>0</v>
      </c>
      <c r="K1368" s="294">
        <v>0</v>
      </c>
      <c r="Q1368" s="61">
        <v>0</v>
      </c>
      <c r="T1368" s="61">
        <v>0</v>
      </c>
      <c r="V1368" s="61">
        <v>0</v>
      </c>
      <c r="W1368" s="61">
        <v>0</v>
      </c>
      <c r="AH1368" s="279">
        <v>0</v>
      </c>
    </row>
    <row r="1369" spans="1:34">
      <c r="A1369" s="61">
        <v>0</v>
      </c>
      <c r="B1369" s="290">
        <v>0</v>
      </c>
      <c r="C1369" s="290">
        <v>0</v>
      </c>
      <c r="D1369" s="61">
        <v>0</v>
      </c>
      <c r="E1369" s="297">
        <v>0</v>
      </c>
      <c r="F1369" s="297">
        <v>0</v>
      </c>
      <c r="G1369" s="297">
        <v>0</v>
      </c>
      <c r="H1369" s="297">
        <v>0</v>
      </c>
      <c r="I1369" s="298">
        <v>0</v>
      </c>
      <c r="J1369" s="152">
        <v>0</v>
      </c>
      <c r="K1369" s="294">
        <v>0</v>
      </c>
      <c r="Q1369" s="61">
        <v>0</v>
      </c>
      <c r="T1369" s="61">
        <v>0</v>
      </c>
      <c r="V1369" s="61">
        <v>0</v>
      </c>
      <c r="W1369" s="61">
        <v>0</v>
      </c>
      <c r="AH1369" s="279">
        <v>0</v>
      </c>
    </row>
    <row r="1370" spans="1:34">
      <c r="A1370" s="61">
        <v>0</v>
      </c>
      <c r="B1370" s="290">
        <v>0</v>
      </c>
      <c r="C1370" s="290">
        <v>0</v>
      </c>
      <c r="D1370" s="61">
        <v>0</v>
      </c>
      <c r="E1370" s="297">
        <v>0</v>
      </c>
      <c r="F1370" s="297">
        <v>0</v>
      </c>
      <c r="G1370" s="297">
        <v>0</v>
      </c>
      <c r="H1370" s="297">
        <v>0</v>
      </c>
      <c r="I1370" s="298">
        <v>0</v>
      </c>
      <c r="J1370" s="152">
        <v>0</v>
      </c>
      <c r="K1370" s="294">
        <v>0</v>
      </c>
      <c r="Q1370" s="61">
        <v>0</v>
      </c>
      <c r="T1370" s="61">
        <v>0</v>
      </c>
      <c r="V1370" s="61">
        <v>0</v>
      </c>
      <c r="W1370" s="61">
        <v>0</v>
      </c>
      <c r="AH1370" s="279">
        <v>0</v>
      </c>
    </row>
    <row r="1371" spans="1:34">
      <c r="A1371" s="61">
        <v>0</v>
      </c>
      <c r="B1371" s="290">
        <v>0</v>
      </c>
      <c r="C1371" s="290">
        <v>0</v>
      </c>
      <c r="D1371" s="61">
        <v>0</v>
      </c>
      <c r="E1371" s="297">
        <v>0</v>
      </c>
      <c r="F1371" s="297">
        <v>0</v>
      </c>
      <c r="G1371" s="297">
        <v>0</v>
      </c>
      <c r="H1371" s="297">
        <v>0</v>
      </c>
      <c r="I1371" s="298">
        <v>0</v>
      </c>
      <c r="J1371" s="152">
        <v>0</v>
      </c>
      <c r="K1371" s="294">
        <v>0</v>
      </c>
      <c r="Q1371" s="61">
        <v>0</v>
      </c>
      <c r="T1371" s="61">
        <v>0</v>
      </c>
      <c r="V1371" s="61">
        <v>0</v>
      </c>
      <c r="W1371" s="61">
        <v>0</v>
      </c>
      <c r="AH1371" s="279">
        <v>0</v>
      </c>
    </row>
    <row r="1372" spans="1:34">
      <c r="A1372" s="61">
        <v>0</v>
      </c>
      <c r="B1372" s="290">
        <v>0</v>
      </c>
      <c r="C1372" s="290">
        <v>0</v>
      </c>
      <c r="D1372" s="61">
        <v>0</v>
      </c>
      <c r="E1372" s="297">
        <v>0</v>
      </c>
      <c r="F1372" s="297">
        <v>0</v>
      </c>
      <c r="G1372" s="297">
        <v>0</v>
      </c>
      <c r="H1372" s="297">
        <v>0</v>
      </c>
      <c r="I1372" s="298">
        <v>0</v>
      </c>
      <c r="J1372" s="152">
        <v>0</v>
      </c>
      <c r="K1372" s="294">
        <v>0</v>
      </c>
      <c r="Q1372" s="61">
        <v>0</v>
      </c>
      <c r="T1372" s="61">
        <v>0</v>
      </c>
      <c r="V1372" s="61">
        <v>0</v>
      </c>
      <c r="W1372" s="61">
        <v>0</v>
      </c>
      <c r="AH1372" s="279">
        <v>0</v>
      </c>
    </row>
    <row r="1373" spans="1:34">
      <c r="A1373" s="61">
        <v>0</v>
      </c>
      <c r="B1373" s="290">
        <v>0</v>
      </c>
      <c r="C1373" s="290">
        <v>0</v>
      </c>
      <c r="D1373" s="61">
        <v>0</v>
      </c>
      <c r="E1373" s="297">
        <v>0</v>
      </c>
      <c r="F1373" s="297">
        <v>0</v>
      </c>
      <c r="G1373" s="297">
        <v>0</v>
      </c>
      <c r="H1373" s="297">
        <v>0</v>
      </c>
      <c r="I1373" s="298">
        <v>0</v>
      </c>
      <c r="J1373" s="152">
        <v>0</v>
      </c>
      <c r="K1373" s="294">
        <v>0</v>
      </c>
      <c r="Q1373" s="61">
        <v>0</v>
      </c>
      <c r="T1373" s="61">
        <v>0</v>
      </c>
      <c r="V1373" s="61">
        <v>0</v>
      </c>
      <c r="W1373" s="61">
        <v>0</v>
      </c>
      <c r="AH1373" s="279">
        <v>0</v>
      </c>
    </row>
    <row r="1374" spans="1:34">
      <c r="A1374" s="61">
        <v>0</v>
      </c>
      <c r="B1374" s="290">
        <v>0</v>
      </c>
      <c r="C1374" s="290">
        <v>0</v>
      </c>
      <c r="D1374" s="61">
        <v>0</v>
      </c>
      <c r="E1374" s="297">
        <v>0</v>
      </c>
      <c r="F1374" s="297">
        <v>0</v>
      </c>
      <c r="G1374" s="297">
        <v>0</v>
      </c>
      <c r="H1374" s="297">
        <v>0</v>
      </c>
      <c r="I1374" s="298">
        <v>0</v>
      </c>
      <c r="J1374" s="152">
        <v>0</v>
      </c>
      <c r="K1374" s="294">
        <v>0</v>
      </c>
      <c r="Q1374" s="61">
        <v>0</v>
      </c>
      <c r="T1374" s="61">
        <v>0</v>
      </c>
      <c r="V1374" s="61">
        <v>0</v>
      </c>
      <c r="W1374" s="61">
        <v>0</v>
      </c>
      <c r="AH1374" s="279">
        <v>0</v>
      </c>
    </row>
    <row r="1375" spans="1:34">
      <c r="A1375" s="61">
        <v>0</v>
      </c>
      <c r="B1375" s="290">
        <v>0</v>
      </c>
      <c r="C1375" s="290">
        <v>0</v>
      </c>
      <c r="D1375" s="61">
        <v>0</v>
      </c>
      <c r="E1375" s="297">
        <v>0</v>
      </c>
      <c r="F1375" s="297">
        <v>0</v>
      </c>
      <c r="G1375" s="297">
        <v>0</v>
      </c>
      <c r="H1375" s="297">
        <v>0</v>
      </c>
      <c r="I1375" s="298">
        <v>0</v>
      </c>
      <c r="J1375" s="152">
        <v>0</v>
      </c>
      <c r="K1375" s="294">
        <v>0</v>
      </c>
      <c r="Q1375" s="61">
        <v>0</v>
      </c>
      <c r="T1375" s="61">
        <v>0</v>
      </c>
      <c r="V1375" s="61">
        <v>0</v>
      </c>
      <c r="W1375" s="61">
        <v>0</v>
      </c>
      <c r="AH1375" s="279">
        <v>0</v>
      </c>
    </row>
    <row r="1376" spans="1:34">
      <c r="A1376" s="61">
        <v>0</v>
      </c>
      <c r="B1376" s="290">
        <v>0</v>
      </c>
      <c r="C1376" s="290">
        <v>0</v>
      </c>
      <c r="D1376" s="61">
        <v>0</v>
      </c>
      <c r="E1376" s="297">
        <v>0</v>
      </c>
      <c r="F1376" s="297">
        <v>0</v>
      </c>
      <c r="G1376" s="297">
        <v>0</v>
      </c>
      <c r="H1376" s="297">
        <v>0</v>
      </c>
      <c r="I1376" s="298">
        <v>0</v>
      </c>
      <c r="J1376" s="152">
        <v>0</v>
      </c>
      <c r="K1376" s="294">
        <v>0</v>
      </c>
      <c r="Q1376" s="61">
        <v>0</v>
      </c>
      <c r="T1376" s="61">
        <v>0</v>
      </c>
      <c r="V1376" s="61">
        <v>0</v>
      </c>
      <c r="W1376" s="61">
        <v>0</v>
      </c>
      <c r="AH1376" s="279">
        <v>0</v>
      </c>
    </row>
    <row r="1377" spans="1:34">
      <c r="A1377" s="61">
        <v>0</v>
      </c>
      <c r="B1377" s="290">
        <v>0</v>
      </c>
      <c r="C1377" s="290">
        <v>0</v>
      </c>
      <c r="D1377" s="61">
        <v>0</v>
      </c>
      <c r="E1377" s="297">
        <v>0</v>
      </c>
      <c r="F1377" s="297">
        <v>0</v>
      </c>
      <c r="G1377" s="297">
        <v>0</v>
      </c>
      <c r="H1377" s="297">
        <v>0</v>
      </c>
      <c r="I1377" s="298">
        <v>0</v>
      </c>
      <c r="J1377" s="152">
        <v>0</v>
      </c>
      <c r="K1377" s="294">
        <v>0</v>
      </c>
      <c r="Q1377" s="61">
        <v>0</v>
      </c>
      <c r="T1377" s="61">
        <v>0</v>
      </c>
      <c r="V1377" s="61">
        <v>0</v>
      </c>
      <c r="W1377" s="61">
        <v>0</v>
      </c>
      <c r="AH1377" s="279">
        <v>0</v>
      </c>
    </row>
    <row r="1378" spans="1:34">
      <c r="A1378" s="61">
        <v>0</v>
      </c>
      <c r="B1378" s="290">
        <v>0</v>
      </c>
      <c r="C1378" s="290">
        <v>0</v>
      </c>
      <c r="D1378" s="61">
        <v>0</v>
      </c>
      <c r="E1378" s="297">
        <v>0</v>
      </c>
      <c r="F1378" s="297">
        <v>0</v>
      </c>
      <c r="G1378" s="297">
        <v>0</v>
      </c>
      <c r="H1378" s="297">
        <v>0</v>
      </c>
      <c r="I1378" s="298">
        <v>0</v>
      </c>
      <c r="J1378" s="152">
        <v>0</v>
      </c>
      <c r="K1378" s="294">
        <v>0</v>
      </c>
      <c r="Q1378" s="61">
        <v>0</v>
      </c>
      <c r="T1378" s="61">
        <v>0</v>
      </c>
      <c r="V1378" s="61">
        <v>0</v>
      </c>
      <c r="W1378" s="61">
        <v>0</v>
      </c>
      <c r="AH1378" s="279">
        <v>0</v>
      </c>
    </row>
    <row r="1379" spans="1:34">
      <c r="A1379" s="61">
        <v>0</v>
      </c>
      <c r="B1379" s="290">
        <v>0</v>
      </c>
      <c r="C1379" s="290">
        <v>0</v>
      </c>
      <c r="D1379" s="61">
        <v>0</v>
      </c>
      <c r="E1379" s="297">
        <v>0</v>
      </c>
      <c r="F1379" s="297">
        <v>0</v>
      </c>
      <c r="G1379" s="297">
        <v>0</v>
      </c>
      <c r="H1379" s="297">
        <v>0</v>
      </c>
      <c r="I1379" s="298">
        <v>0</v>
      </c>
      <c r="J1379" s="152">
        <v>0</v>
      </c>
      <c r="K1379" s="294">
        <v>0</v>
      </c>
      <c r="Q1379" s="61">
        <v>0</v>
      </c>
      <c r="T1379" s="61">
        <v>0</v>
      </c>
      <c r="V1379" s="61">
        <v>0</v>
      </c>
      <c r="W1379" s="61">
        <v>0</v>
      </c>
      <c r="AH1379" s="279">
        <v>0</v>
      </c>
    </row>
    <row r="1380" spans="1:34">
      <c r="A1380" s="61">
        <v>0</v>
      </c>
      <c r="B1380" s="290">
        <v>0</v>
      </c>
      <c r="C1380" s="290">
        <v>0</v>
      </c>
      <c r="D1380" s="61">
        <v>0</v>
      </c>
      <c r="E1380" s="297">
        <v>0</v>
      </c>
      <c r="F1380" s="297">
        <v>0</v>
      </c>
      <c r="G1380" s="297">
        <v>0</v>
      </c>
      <c r="H1380" s="297">
        <v>0</v>
      </c>
      <c r="I1380" s="298">
        <v>0</v>
      </c>
      <c r="J1380" s="152">
        <v>0</v>
      </c>
      <c r="K1380" s="294">
        <v>0</v>
      </c>
      <c r="Q1380" s="61">
        <v>0</v>
      </c>
      <c r="T1380" s="61">
        <v>0</v>
      </c>
      <c r="V1380" s="61">
        <v>0</v>
      </c>
      <c r="W1380" s="61">
        <v>0</v>
      </c>
      <c r="AH1380" s="279">
        <v>0</v>
      </c>
    </row>
    <row r="1381" spans="1:34">
      <c r="A1381" s="61">
        <v>0</v>
      </c>
      <c r="B1381" s="290">
        <v>0</v>
      </c>
      <c r="C1381" s="290">
        <v>0</v>
      </c>
      <c r="D1381" s="61">
        <v>0</v>
      </c>
      <c r="E1381" s="297">
        <v>0</v>
      </c>
      <c r="F1381" s="297">
        <v>0</v>
      </c>
      <c r="G1381" s="297">
        <v>0</v>
      </c>
      <c r="H1381" s="297">
        <v>0</v>
      </c>
      <c r="I1381" s="298">
        <v>0</v>
      </c>
      <c r="J1381" s="152">
        <v>0</v>
      </c>
      <c r="K1381" s="294">
        <v>0</v>
      </c>
      <c r="Q1381" s="61">
        <v>0</v>
      </c>
      <c r="T1381" s="61">
        <v>0</v>
      </c>
      <c r="V1381" s="61">
        <v>0</v>
      </c>
      <c r="W1381" s="61">
        <v>0</v>
      </c>
      <c r="AH1381" s="279">
        <v>0</v>
      </c>
    </row>
    <row r="1382" spans="1:34">
      <c r="A1382" s="61">
        <v>0</v>
      </c>
      <c r="B1382" s="290">
        <v>0</v>
      </c>
      <c r="C1382" s="290">
        <v>0</v>
      </c>
      <c r="D1382" s="61">
        <v>0</v>
      </c>
      <c r="E1382" s="297">
        <v>0</v>
      </c>
      <c r="F1382" s="297">
        <v>0</v>
      </c>
      <c r="G1382" s="297">
        <v>0</v>
      </c>
      <c r="H1382" s="297">
        <v>0</v>
      </c>
      <c r="I1382" s="298">
        <v>0</v>
      </c>
      <c r="J1382" s="152">
        <v>0</v>
      </c>
      <c r="K1382" s="294">
        <v>0</v>
      </c>
      <c r="Q1382" s="61">
        <v>0</v>
      </c>
      <c r="T1382" s="61">
        <v>0</v>
      </c>
      <c r="V1382" s="61">
        <v>0</v>
      </c>
      <c r="W1382" s="61">
        <v>0</v>
      </c>
      <c r="AH1382" s="279">
        <v>0</v>
      </c>
    </row>
    <row r="1383" spans="1:34">
      <c r="A1383" s="61">
        <v>0</v>
      </c>
      <c r="B1383" s="290">
        <v>0</v>
      </c>
      <c r="C1383" s="290">
        <v>0</v>
      </c>
      <c r="D1383" s="61">
        <v>0</v>
      </c>
      <c r="E1383" s="297">
        <v>0</v>
      </c>
      <c r="F1383" s="297">
        <v>0</v>
      </c>
      <c r="G1383" s="297">
        <v>0</v>
      </c>
      <c r="H1383" s="297">
        <v>0</v>
      </c>
      <c r="I1383" s="298">
        <v>0</v>
      </c>
      <c r="J1383" s="152">
        <v>0</v>
      </c>
      <c r="K1383" s="294">
        <v>0</v>
      </c>
      <c r="Q1383" s="61">
        <v>0</v>
      </c>
      <c r="T1383" s="61">
        <v>0</v>
      </c>
      <c r="V1383" s="61">
        <v>0</v>
      </c>
      <c r="W1383" s="61">
        <v>0</v>
      </c>
      <c r="AH1383" s="279">
        <v>0</v>
      </c>
    </row>
    <row r="1384" spans="1:34">
      <c r="A1384" s="61">
        <v>0</v>
      </c>
      <c r="B1384" s="290">
        <v>0</v>
      </c>
      <c r="C1384" s="290">
        <v>0</v>
      </c>
      <c r="D1384" s="61">
        <v>0</v>
      </c>
      <c r="E1384" s="297">
        <v>0</v>
      </c>
      <c r="F1384" s="297">
        <v>0</v>
      </c>
      <c r="G1384" s="297">
        <v>0</v>
      </c>
      <c r="H1384" s="297">
        <v>0</v>
      </c>
      <c r="I1384" s="298">
        <v>0</v>
      </c>
      <c r="J1384" s="152">
        <v>0</v>
      </c>
      <c r="K1384" s="294">
        <v>0</v>
      </c>
      <c r="Q1384" s="61">
        <v>0</v>
      </c>
      <c r="T1384" s="61">
        <v>0</v>
      </c>
      <c r="V1384" s="61">
        <v>0</v>
      </c>
      <c r="W1384" s="61">
        <v>0</v>
      </c>
      <c r="AH1384" s="279">
        <v>0</v>
      </c>
    </row>
    <row r="1385" spans="1:34">
      <c r="A1385" s="61">
        <v>0</v>
      </c>
      <c r="B1385" s="290">
        <v>0</v>
      </c>
      <c r="C1385" s="290">
        <v>0</v>
      </c>
      <c r="D1385" s="61">
        <v>0</v>
      </c>
      <c r="E1385" s="297">
        <v>0</v>
      </c>
      <c r="F1385" s="297">
        <v>0</v>
      </c>
      <c r="G1385" s="297">
        <v>0</v>
      </c>
      <c r="H1385" s="297">
        <v>0</v>
      </c>
      <c r="I1385" s="298">
        <v>0</v>
      </c>
      <c r="J1385" s="152">
        <v>0</v>
      </c>
      <c r="K1385" s="294">
        <v>0</v>
      </c>
      <c r="Q1385" s="61">
        <v>0</v>
      </c>
      <c r="T1385" s="61">
        <v>0</v>
      </c>
      <c r="V1385" s="61">
        <v>0</v>
      </c>
      <c r="W1385" s="61">
        <v>0</v>
      </c>
      <c r="AH1385" s="279">
        <v>0</v>
      </c>
    </row>
    <row r="1386" spans="1:34">
      <c r="A1386" s="61">
        <v>0</v>
      </c>
      <c r="B1386" s="290">
        <v>0</v>
      </c>
      <c r="C1386" s="290">
        <v>0</v>
      </c>
      <c r="D1386" s="61">
        <v>0</v>
      </c>
      <c r="E1386" s="297">
        <v>0</v>
      </c>
      <c r="F1386" s="297">
        <v>0</v>
      </c>
      <c r="G1386" s="297">
        <v>0</v>
      </c>
      <c r="H1386" s="297">
        <v>0</v>
      </c>
      <c r="I1386" s="298">
        <v>0</v>
      </c>
      <c r="J1386" s="152">
        <v>0</v>
      </c>
      <c r="K1386" s="294">
        <v>0</v>
      </c>
      <c r="Q1386" s="61">
        <v>0</v>
      </c>
      <c r="T1386" s="61">
        <v>0</v>
      </c>
      <c r="V1386" s="61">
        <v>0</v>
      </c>
      <c r="W1386" s="61">
        <v>0</v>
      </c>
    </row>
    <row r="1387" spans="1:34">
      <c r="A1387" s="61">
        <v>0</v>
      </c>
      <c r="B1387" s="290">
        <v>0</v>
      </c>
      <c r="C1387" s="290">
        <v>0</v>
      </c>
      <c r="D1387" s="61">
        <v>0</v>
      </c>
      <c r="E1387" s="297">
        <v>0</v>
      </c>
      <c r="F1387" s="297">
        <v>0</v>
      </c>
      <c r="G1387" s="297">
        <v>0</v>
      </c>
      <c r="H1387" s="297">
        <v>0</v>
      </c>
      <c r="I1387" s="298">
        <v>0</v>
      </c>
      <c r="J1387" s="152">
        <v>0</v>
      </c>
      <c r="K1387" s="294">
        <v>0</v>
      </c>
      <c r="Q1387" s="61">
        <v>0</v>
      </c>
      <c r="T1387" s="61">
        <v>0</v>
      </c>
      <c r="V1387" s="61">
        <v>0</v>
      </c>
      <c r="W1387" s="61">
        <v>0</v>
      </c>
    </row>
    <row r="1388" spans="1:34">
      <c r="A1388" s="61">
        <v>0</v>
      </c>
      <c r="B1388" s="290">
        <v>0</v>
      </c>
      <c r="C1388" s="290">
        <v>0</v>
      </c>
      <c r="D1388" s="61">
        <v>0</v>
      </c>
      <c r="E1388" s="297">
        <v>0</v>
      </c>
      <c r="F1388" s="297">
        <v>0</v>
      </c>
      <c r="G1388" s="297">
        <v>0</v>
      </c>
      <c r="H1388" s="297">
        <v>0</v>
      </c>
      <c r="I1388" s="298">
        <v>0</v>
      </c>
      <c r="J1388" s="152">
        <v>0</v>
      </c>
      <c r="K1388" s="294">
        <v>0</v>
      </c>
      <c r="Q1388" s="61">
        <v>0</v>
      </c>
      <c r="T1388" s="61">
        <v>0</v>
      </c>
      <c r="V1388" s="61">
        <v>0</v>
      </c>
      <c r="W1388" s="61">
        <v>0</v>
      </c>
    </row>
    <row r="1389" spans="1:34">
      <c r="A1389" s="61">
        <v>0</v>
      </c>
      <c r="B1389" s="290">
        <v>0</v>
      </c>
      <c r="C1389" s="290">
        <v>0</v>
      </c>
      <c r="D1389" s="61">
        <v>0</v>
      </c>
      <c r="E1389" s="297">
        <v>0</v>
      </c>
      <c r="F1389" s="297">
        <v>0</v>
      </c>
      <c r="G1389" s="297">
        <v>0</v>
      </c>
      <c r="H1389" s="297">
        <v>0</v>
      </c>
      <c r="I1389" s="298">
        <v>0</v>
      </c>
      <c r="J1389" s="152">
        <v>0</v>
      </c>
      <c r="K1389" s="294">
        <v>0</v>
      </c>
      <c r="Q1389" s="61">
        <v>0</v>
      </c>
      <c r="T1389" s="61">
        <v>0</v>
      </c>
      <c r="V1389" s="61">
        <v>0</v>
      </c>
      <c r="W1389" s="61">
        <v>0</v>
      </c>
    </row>
    <row r="1390" spans="1:34">
      <c r="A1390" s="61">
        <v>0</v>
      </c>
      <c r="B1390" s="290">
        <v>0</v>
      </c>
      <c r="C1390" s="290">
        <v>0</v>
      </c>
      <c r="D1390" s="61">
        <v>0</v>
      </c>
      <c r="E1390" s="297">
        <v>0</v>
      </c>
      <c r="F1390" s="297">
        <v>0</v>
      </c>
      <c r="G1390" s="297">
        <v>0</v>
      </c>
      <c r="H1390" s="297">
        <v>0</v>
      </c>
      <c r="I1390" s="298">
        <v>0</v>
      </c>
      <c r="J1390" s="152">
        <v>0</v>
      </c>
      <c r="K1390" s="294">
        <v>0</v>
      </c>
      <c r="Q1390" s="61">
        <v>0</v>
      </c>
      <c r="T1390" s="61">
        <v>0</v>
      </c>
      <c r="V1390" s="61">
        <v>0</v>
      </c>
      <c r="W1390" s="61">
        <v>0</v>
      </c>
    </row>
    <row r="1391" spans="1:34">
      <c r="A1391" s="61">
        <v>0</v>
      </c>
      <c r="B1391" s="290">
        <v>0</v>
      </c>
      <c r="C1391" s="290">
        <v>0</v>
      </c>
      <c r="D1391" s="61">
        <v>0</v>
      </c>
      <c r="E1391" s="297">
        <v>0</v>
      </c>
      <c r="F1391" s="297">
        <v>0</v>
      </c>
      <c r="G1391" s="297">
        <v>0</v>
      </c>
      <c r="H1391" s="297">
        <v>0</v>
      </c>
      <c r="I1391" s="298">
        <v>0</v>
      </c>
      <c r="J1391" s="152">
        <v>0</v>
      </c>
      <c r="K1391" s="294">
        <v>0</v>
      </c>
      <c r="Q1391" s="61">
        <v>0</v>
      </c>
      <c r="T1391" s="61">
        <v>0</v>
      </c>
      <c r="V1391" s="61">
        <v>0</v>
      </c>
      <c r="W1391" s="61">
        <v>0</v>
      </c>
    </row>
    <row r="1392" spans="1:34">
      <c r="A1392" s="61">
        <v>0</v>
      </c>
      <c r="B1392" s="290">
        <v>0</v>
      </c>
      <c r="C1392" s="290">
        <v>0</v>
      </c>
      <c r="D1392" s="61">
        <v>0</v>
      </c>
      <c r="E1392" s="297">
        <v>0</v>
      </c>
      <c r="F1392" s="297">
        <v>0</v>
      </c>
      <c r="G1392" s="297">
        <v>0</v>
      </c>
      <c r="H1392" s="297">
        <v>0</v>
      </c>
      <c r="I1392" s="298">
        <v>0</v>
      </c>
      <c r="J1392" s="152">
        <v>0</v>
      </c>
      <c r="K1392" s="294">
        <v>0</v>
      </c>
      <c r="Q1392" s="61">
        <v>0</v>
      </c>
      <c r="T1392" s="61">
        <v>0</v>
      </c>
      <c r="V1392" s="61">
        <v>0</v>
      </c>
      <c r="W1392" s="61">
        <v>0</v>
      </c>
    </row>
    <row r="1393" spans="1:23">
      <c r="A1393" s="61">
        <v>0</v>
      </c>
      <c r="B1393" s="290">
        <v>0</v>
      </c>
      <c r="C1393" s="290">
        <v>0</v>
      </c>
      <c r="D1393" s="61">
        <v>0</v>
      </c>
      <c r="E1393" s="297">
        <v>0</v>
      </c>
      <c r="F1393" s="297">
        <v>0</v>
      </c>
      <c r="G1393" s="297">
        <v>0</v>
      </c>
      <c r="H1393" s="297">
        <v>0</v>
      </c>
      <c r="I1393" s="298">
        <v>0</v>
      </c>
      <c r="J1393" s="152">
        <v>0</v>
      </c>
      <c r="K1393" s="294">
        <v>0</v>
      </c>
      <c r="Q1393" s="61">
        <v>0</v>
      </c>
      <c r="T1393" s="61">
        <v>0</v>
      </c>
      <c r="V1393" s="61">
        <v>0</v>
      </c>
      <c r="W1393" s="61">
        <v>0</v>
      </c>
    </row>
    <row r="1394" spans="1:23">
      <c r="A1394" s="61">
        <v>0</v>
      </c>
      <c r="B1394" s="290">
        <v>0</v>
      </c>
      <c r="C1394" s="290">
        <v>0</v>
      </c>
      <c r="D1394" s="61">
        <v>0</v>
      </c>
      <c r="E1394" s="297">
        <v>0</v>
      </c>
      <c r="F1394" s="297">
        <v>0</v>
      </c>
      <c r="G1394" s="297">
        <v>0</v>
      </c>
      <c r="H1394" s="297">
        <v>0</v>
      </c>
      <c r="I1394" s="298">
        <v>0</v>
      </c>
      <c r="J1394" s="152">
        <v>0</v>
      </c>
      <c r="K1394" s="294">
        <v>0</v>
      </c>
      <c r="Q1394" s="61">
        <v>0</v>
      </c>
      <c r="T1394" s="61">
        <v>0</v>
      </c>
      <c r="V1394" s="61">
        <v>0</v>
      </c>
      <c r="W1394" s="61">
        <v>0</v>
      </c>
    </row>
    <row r="1395" spans="1:23">
      <c r="A1395" s="61">
        <v>0</v>
      </c>
      <c r="B1395" s="290">
        <v>0</v>
      </c>
      <c r="C1395" s="290">
        <v>0</v>
      </c>
      <c r="D1395" s="61">
        <v>0</v>
      </c>
      <c r="E1395" s="297">
        <v>0</v>
      </c>
      <c r="F1395" s="297">
        <v>0</v>
      </c>
      <c r="G1395" s="297">
        <v>0</v>
      </c>
      <c r="H1395" s="297">
        <v>0</v>
      </c>
      <c r="I1395" s="298">
        <v>0</v>
      </c>
      <c r="J1395" s="152">
        <v>0</v>
      </c>
      <c r="K1395" s="294">
        <v>0</v>
      </c>
      <c r="Q1395" s="61">
        <v>0</v>
      </c>
      <c r="T1395" s="61">
        <v>0</v>
      </c>
      <c r="V1395" s="61">
        <v>0</v>
      </c>
      <c r="W1395" s="61">
        <v>0</v>
      </c>
    </row>
    <row r="1396" spans="1:23">
      <c r="A1396" s="61">
        <v>0</v>
      </c>
      <c r="B1396" s="290">
        <v>0</v>
      </c>
      <c r="C1396" s="290">
        <v>0</v>
      </c>
      <c r="D1396" s="61">
        <v>0</v>
      </c>
      <c r="E1396" s="297">
        <v>0</v>
      </c>
      <c r="F1396" s="297">
        <v>0</v>
      </c>
      <c r="G1396" s="297">
        <v>0</v>
      </c>
      <c r="H1396" s="297">
        <v>0</v>
      </c>
      <c r="I1396" s="298">
        <v>0</v>
      </c>
      <c r="J1396" s="152">
        <v>0</v>
      </c>
      <c r="K1396" s="294">
        <v>0</v>
      </c>
      <c r="Q1396" s="61">
        <v>0</v>
      </c>
      <c r="T1396" s="61">
        <v>0</v>
      </c>
      <c r="V1396" s="61">
        <v>0</v>
      </c>
      <c r="W1396" s="61">
        <v>0</v>
      </c>
    </row>
    <row r="1397" spans="1:23">
      <c r="A1397" s="61">
        <v>0</v>
      </c>
      <c r="B1397" s="290">
        <v>0</v>
      </c>
      <c r="C1397" s="290">
        <v>0</v>
      </c>
      <c r="D1397" s="61">
        <v>0</v>
      </c>
      <c r="E1397" s="297">
        <v>0</v>
      </c>
      <c r="F1397" s="297">
        <v>0</v>
      </c>
      <c r="G1397" s="297">
        <v>0</v>
      </c>
      <c r="H1397" s="297">
        <v>0</v>
      </c>
      <c r="I1397" s="298">
        <v>0</v>
      </c>
      <c r="J1397" s="152">
        <v>0</v>
      </c>
      <c r="K1397" s="294">
        <v>0</v>
      </c>
      <c r="Q1397" s="61">
        <v>0</v>
      </c>
      <c r="T1397" s="61">
        <v>0</v>
      </c>
      <c r="V1397" s="61">
        <v>0</v>
      </c>
      <c r="W1397" s="61">
        <v>0</v>
      </c>
    </row>
    <row r="1398" spans="1:23">
      <c r="A1398" s="61">
        <v>0</v>
      </c>
      <c r="B1398" s="290">
        <v>0</v>
      </c>
      <c r="C1398" s="290">
        <v>0</v>
      </c>
      <c r="D1398" s="61">
        <v>0</v>
      </c>
      <c r="E1398" s="297">
        <v>0</v>
      </c>
      <c r="F1398" s="297">
        <v>0</v>
      </c>
      <c r="G1398" s="297">
        <v>0</v>
      </c>
      <c r="H1398" s="297">
        <v>0</v>
      </c>
      <c r="I1398" s="298">
        <v>0</v>
      </c>
      <c r="J1398" s="152">
        <v>0</v>
      </c>
      <c r="K1398" s="294">
        <v>0</v>
      </c>
      <c r="Q1398" s="61">
        <v>0</v>
      </c>
      <c r="T1398" s="61">
        <v>0</v>
      </c>
      <c r="V1398" s="61">
        <v>0</v>
      </c>
      <c r="W1398" s="61">
        <v>0</v>
      </c>
    </row>
    <row r="1399" spans="1:23">
      <c r="A1399" s="61">
        <v>0</v>
      </c>
      <c r="B1399" s="290">
        <v>0</v>
      </c>
      <c r="C1399" s="290">
        <v>0</v>
      </c>
      <c r="D1399" s="61">
        <v>0</v>
      </c>
      <c r="E1399" s="297">
        <v>0</v>
      </c>
      <c r="F1399" s="297">
        <v>0</v>
      </c>
      <c r="G1399" s="297">
        <v>0</v>
      </c>
      <c r="H1399" s="297">
        <v>0</v>
      </c>
      <c r="I1399" s="298">
        <v>0</v>
      </c>
      <c r="J1399" s="152">
        <v>0</v>
      </c>
      <c r="K1399" s="294">
        <v>0</v>
      </c>
      <c r="Q1399" s="61">
        <v>0</v>
      </c>
      <c r="T1399" s="61">
        <v>0</v>
      </c>
    </row>
    <row r="1400" spans="1:23">
      <c r="A1400" s="61">
        <v>0</v>
      </c>
      <c r="B1400" s="290">
        <v>0</v>
      </c>
      <c r="C1400" s="290">
        <v>0</v>
      </c>
      <c r="D1400" s="61">
        <v>0</v>
      </c>
      <c r="E1400" s="297">
        <v>0</v>
      </c>
      <c r="F1400" s="297">
        <v>0</v>
      </c>
      <c r="G1400" s="297">
        <v>0</v>
      </c>
      <c r="H1400" s="297">
        <v>0</v>
      </c>
      <c r="I1400" s="298">
        <v>0</v>
      </c>
      <c r="J1400" s="152">
        <v>0</v>
      </c>
      <c r="K1400" s="294">
        <v>0</v>
      </c>
      <c r="Q1400" s="61">
        <v>0</v>
      </c>
      <c r="T1400" s="61">
        <v>0</v>
      </c>
    </row>
    <row r="1401" spans="1:23">
      <c r="A1401" s="61">
        <v>0</v>
      </c>
      <c r="B1401" s="290">
        <v>0</v>
      </c>
      <c r="C1401" s="290">
        <v>0</v>
      </c>
      <c r="D1401" s="61">
        <v>0</v>
      </c>
      <c r="E1401" s="297">
        <v>0</v>
      </c>
      <c r="F1401" s="297">
        <v>0</v>
      </c>
      <c r="G1401" s="297">
        <v>0</v>
      </c>
      <c r="H1401" s="297">
        <v>0</v>
      </c>
      <c r="I1401" s="298">
        <v>0</v>
      </c>
      <c r="J1401" s="152">
        <v>0</v>
      </c>
      <c r="K1401" s="294">
        <v>0</v>
      </c>
      <c r="Q1401" s="61">
        <v>0</v>
      </c>
      <c r="T1401" s="61">
        <v>0</v>
      </c>
    </row>
    <row r="1402" spans="1:23">
      <c r="A1402" s="61">
        <v>0</v>
      </c>
      <c r="B1402" s="290">
        <v>0</v>
      </c>
      <c r="C1402" s="290">
        <v>0</v>
      </c>
      <c r="D1402" s="61">
        <v>0</v>
      </c>
      <c r="E1402" s="297">
        <v>0</v>
      </c>
      <c r="F1402" s="297">
        <v>0</v>
      </c>
      <c r="G1402" s="297">
        <v>0</v>
      </c>
      <c r="H1402" s="297">
        <v>0</v>
      </c>
      <c r="I1402" s="298">
        <v>0</v>
      </c>
      <c r="J1402" s="152">
        <v>0</v>
      </c>
      <c r="K1402" s="294">
        <v>0</v>
      </c>
      <c r="Q1402" s="61">
        <v>0</v>
      </c>
      <c r="T1402" s="61">
        <v>0</v>
      </c>
    </row>
    <row r="1403" spans="1:23">
      <c r="A1403" s="61">
        <v>0</v>
      </c>
      <c r="B1403" s="290">
        <v>0</v>
      </c>
      <c r="C1403" s="290">
        <v>0</v>
      </c>
      <c r="D1403" s="61">
        <v>0</v>
      </c>
      <c r="E1403" s="297">
        <v>0</v>
      </c>
      <c r="F1403" s="297">
        <v>0</v>
      </c>
      <c r="G1403" s="297">
        <v>0</v>
      </c>
      <c r="H1403" s="297">
        <v>0</v>
      </c>
      <c r="I1403" s="298">
        <v>0</v>
      </c>
      <c r="J1403" s="152">
        <v>0</v>
      </c>
      <c r="K1403" s="294">
        <v>0</v>
      </c>
      <c r="Q1403" s="61">
        <v>0</v>
      </c>
      <c r="T1403" s="61">
        <v>0</v>
      </c>
    </row>
    <row r="1404" spans="1:23">
      <c r="A1404" s="61">
        <v>0</v>
      </c>
      <c r="B1404" s="290">
        <v>0</v>
      </c>
      <c r="C1404" s="290">
        <v>0</v>
      </c>
      <c r="D1404" s="61">
        <v>0</v>
      </c>
      <c r="E1404" s="297">
        <v>0</v>
      </c>
      <c r="F1404" s="297">
        <v>0</v>
      </c>
      <c r="G1404" s="297">
        <v>0</v>
      </c>
      <c r="H1404" s="297">
        <v>0</v>
      </c>
      <c r="I1404" s="298">
        <v>0</v>
      </c>
      <c r="J1404" s="152">
        <v>0</v>
      </c>
      <c r="K1404" s="294">
        <v>0</v>
      </c>
      <c r="Q1404" s="61">
        <v>0</v>
      </c>
      <c r="T1404" s="61">
        <v>0</v>
      </c>
    </row>
    <row r="1405" spans="1:23">
      <c r="A1405" s="61">
        <v>0</v>
      </c>
      <c r="B1405" s="290">
        <v>0</v>
      </c>
      <c r="C1405" s="290">
        <v>0</v>
      </c>
      <c r="D1405" s="61">
        <v>0</v>
      </c>
      <c r="E1405" s="297">
        <v>0</v>
      </c>
      <c r="F1405" s="297">
        <v>0</v>
      </c>
      <c r="G1405" s="297">
        <v>0</v>
      </c>
      <c r="H1405" s="297">
        <v>0</v>
      </c>
      <c r="I1405" s="298">
        <v>0</v>
      </c>
      <c r="J1405" s="152">
        <v>0</v>
      </c>
      <c r="K1405" s="294">
        <v>0</v>
      </c>
      <c r="Q1405" s="61">
        <v>0</v>
      </c>
    </row>
    <row r="1406" spans="1:23">
      <c r="A1406" s="61">
        <v>0</v>
      </c>
      <c r="B1406" s="290">
        <v>0</v>
      </c>
      <c r="C1406" s="290">
        <v>0</v>
      </c>
      <c r="D1406" s="61">
        <v>0</v>
      </c>
      <c r="E1406" s="297">
        <v>0</v>
      </c>
      <c r="F1406" s="297">
        <v>0</v>
      </c>
      <c r="G1406" s="297">
        <v>0</v>
      </c>
      <c r="H1406" s="297">
        <v>0</v>
      </c>
      <c r="I1406" s="298">
        <v>0</v>
      </c>
      <c r="J1406" s="152">
        <v>0</v>
      </c>
      <c r="K1406" s="294">
        <v>0</v>
      </c>
      <c r="Q1406" s="61">
        <v>0</v>
      </c>
    </row>
    <row r="1407" spans="1:23">
      <c r="A1407" s="61">
        <v>0</v>
      </c>
      <c r="B1407" s="290">
        <v>0</v>
      </c>
      <c r="C1407" s="290">
        <v>0</v>
      </c>
      <c r="D1407" s="61">
        <v>0</v>
      </c>
      <c r="E1407" s="297">
        <v>0</v>
      </c>
      <c r="F1407" s="297">
        <v>0</v>
      </c>
      <c r="G1407" s="297">
        <v>0</v>
      </c>
      <c r="H1407" s="297">
        <v>0</v>
      </c>
      <c r="I1407" s="298">
        <v>0</v>
      </c>
      <c r="J1407" s="152">
        <v>0</v>
      </c>
      <c r="K1407" s="294">
        <v>0</v>
      </c>
      <c r="Q1407" s="61">
        <v>0</v>
      </c>
    </row>
    <row r="1408" spans="1:23">
      <c r="A1408" s="61">
        <v>0</v>
      </c>
      <c r="B1408" s="290">
        <v>0</v>
      </c>
      <c r="C1408" s="290">
        <v>0</v>
      </c>
      <c r="D1408" s="61">
        <v>0</v>
      </c>
      <c r="E1408" s="297">
        <v>0</v>
      </c>
      <c r="F1408" s="297">
        <v>0</v>
      </c>
      <c r="G1408" s="297">
        <v>0</v>
      </c>
      <c r="H1408" s="297">
        <v>0</v>
      </c>
      <c r="I1408" s="298">
        <v>0</v>
      </c>
      <c r="J1408" s="152">
        <v>0</v>
      </c>
      <c r="K1408" s="294">
        <v>0</v>
      </c>
      <c r="Q1408" s="61">
        <v>0</v>
      </c>
    </row>
    <row r="1409" spans="1:17">
      <c r="A1409" s="61">
        <v>0</v>
      </c>
      <c r="B1409" s="290">
        <v>0</v>
      </c>
      <c r="C1409" s="290">
        <v>0</v>
      </c>
      <c r="D1409" s="61">
        <v>0</v>
      </c>
      <c r="E1409" s="297">
        <v>0</v>
      </c>
      <c r="F1409" s="297">
        <v>0</v>
      </c>
      <c r="G1409" s="297">
        <v>0</v>
      </c>
      <c r="H1409" s="297">
        <v>0</v>
      </c>
      <c r="I1409" s="298">
        <v>0</v>
      </c>
      <c r="J1409" s="152">
        <v>0</v>
      </c>
      <c r="K1409" s="294">
        <v>0</v>
      </c>
      <c r="Q1409" s="61">
        <v>0</v>
      </c>
    </row>
    <row r="1410" spans="1:17">
      <c r="A1410" s="61">
        <v>0</v>
      </c>
      <c r="B1410" s="290">
        <v>0</v>
      </c>
      <c r="C1410" s="290">
        <v>0</v>
      </c>
      <c r="D1410" s="61">
        <v>0</v>
      </c>
      <c r="E1410" s="297">
        <v>0</v>
      </c>
      <c r="F1410" s="297">
        <v>0</v>
      </c>
      <c r="G1410" s="297">
        <v>0</v>
      </c>
      <c r="H1410" s="297">
        <v>0</v>
      </c>
      <c r="I1410" s="298">
        <v>0</v>
      </c>
      <c r="J1410" s="152">
        <v>0</v>
      </c>
      <c r="K1410" s="294">
        <v>0</v>
      </c>
      <c r="Q1410" s="61">
        <v>0</v>
      </c>
    </row>
    <row r="1411" spans="1:17">
      <c r="A1411" s="61">
        <v>0</v>
      </c>
      <c r="B1411" s="290">
        <v>0</v>
      </c>
      <c r="C1411" s="290">
        <v>0</v>
      </c>
      <c r="D1411" s="61">
        <v>0</v>
      </c>
      <c r="E1411" s="297">
        <v>0</v>
      </c>
      <c r="F1411" s="297">
        <v>0</v>
      </c>
      <c r="G1411" s="297">
        <v>0</v>
      </c>
      <c r="H1411" s="297">
        <v>0</v>
      </c>
      <c r="I1411" s="298">
        <v>0</v>
      </c>
      <c r="J1411" s="152">
        <v>0</v>
      </c>
      <c r="K1411" s="294">
        <v>0</v>
      </c>
      <c r="Q1411" s="61">
        <v>0</v>
      </c>
    </row>
    <row r="1412" spans="1:17">
      <c r="A1412" s="61">
        <v>0</v>
      </c>
      <c r="B1412" s="290">
        <v>0</v>
      </c>
      <c r="C1412" s="290">
        <v>0</v>
      </c>
      <c r="D1412" s="61">
        <v>0</v>
      </c>
      <c r="E1412" s="297">
        <v>0</v>
      </c>
      <c r="F1412" s="297">
        <v>0</v>
      </c>
      <c r="G1412" s="297">
        <v>0</v>
      </c>
      <c r="H1412" s="297">
        <v>0</v>
      </c>
      <c r="I1412" s="298">
        <v>0</v>
      </c>
      <c r="J1412" s="152">
        <v>0</v>
      </c>
      <c r="K1412" s="294">
        <v>0</v>
      </c>
      <c r="Q1412" s="61">
        <v>0</v>
      </c>
    </row>
    <row r="1413" spans="1:17">
      <c r="A1413" s="61">
        <v>0</v>
      </c>
      <c r="B1413" s="290">
        <v>0</v>
      </c>
      <c r="C1413" s="290">
        <v>0</v>
      </c>
      <c r="D1413" s="61">
        <v>0</v>
      </c>
      <c r="E1413" s="297">
        <v>0</v>
      </c>
      <c r="F1413" s="297">
        <v>0</v>
      </c>
      <c r="G1413" s="297">
        <v>0</v>
      </c>
      <c r="H1413" s="297">
        <v>0</v>
      </c>
      <c r="I1413" s="298">
        <v>0</v>
      </c>
      <c r="J1413" s="152">
        <v>0</v>
      </c>
      <c r="K1413" s="294">
        <v>0</v>
      </c>
      <c r="Q1413" s="61">
        <v>0</v>
      </c>
    </row>
    <row r="1414" spans="1:17">
      <c r="A1414" s="61">
        <v>0</v>
      </c>
      <c r="B1414" s="290">
        <v>0</v>
      </c>
      <c r="C1414" s="290">
        <v>0</v>
      </c>
      <c r="D1414" s="61">
        <v>0</v>
      </c>
      <c r="E1414" s="297">
        <v>0</v>
      </c>
      <c r="F1414" s="297">
        <v>0</v>
      </c>
      <c r="G1414" s="297">
        <v>0</v>
      </c>
      <c r="H1414" s="297">
        <v>0</v>
      </c>
      <c r="I1414" s="298">
        <v>0</v>
      </c>
      <c r="J1414" s="152">
        <v>0</v>
      </c>
      <c r="K1414" s="294">
        <v>0</v>
      </c>
      <c r="Q1414" s="61">
        <v>0</v>
      </c>
    </row>
    <row r="1415" spans="1:17">
      <c r="A1415" s="61">
        <v>0</v>
      </c>
      <c r="B1415" s="290">
        <v>0</v>
      </c>
      <c r="C1415" s="290">
        <v>0</v>
      </c>
      <c r="D1415" s="61">
        <v>0</v>
      </c>
      <c r="E1415" s="297">
        <v>0</v>
      </c>
      <c r="F1415" s="297">
        <v>0</v>
      </c>
      <c r="G1415" s="297">
        <v>0</v>
      </c>
      <c r="H1415" s="297">
        <v>0</v>
      </c>
      <c r="I1415" s="298">
        <v>0</v>
      </c>
      <c r="J1415" s="152">
        <v>0</v>
      </c>
      <c r="K1415" s="294">
        <v>0</v>
      </c>
      <c r="Q1415" s="61">
        <v>0</v>
      </c>
    </row>
    <row r="1416" spans="1:17">
      <c r="A1416" s="61">
        <v>0</v>
      </c>
      <c r="B1416" s="290">
        <v>0</v>
      </c>
      <c r="C1416" s="290">
        <v>0</v>
      </c>
      <c r="D1416" s="61">
        <v>0</v>
      </c>
      <c r="E1416" s="297">
        <v>0</v>
      </c>
      <c r="F1416" s="297">
        <v>0</v>
      </c>
      <c r="G1416" s="297">
        <v>0</v>
      </c>
      <c r="H1416" s="297">
        <v>0</v>
      </c>
      <c r="I1416" s="298">
        <v>0</v>
      </c>
      <c r="J1416" s="152">
        <v>0</v>
      </c>
      <c r="K1416" s="294">
        <v>0</v>
      </c>
      <c r="Q1416" s="61">
        <v>0</v>
      </c>
    </row>
    <row r="1417" spans="1:17">
      <c r="A1417" s="61">
        <v>0</v>
      </c>
      <c r="B1417" s="290">
        <v>0</v>
      </c>
      <c r="C1417" s="290">
        <v>0</v>
      </c>
      <c r="D1417" s="61">
        <v>0</v>
      </c>
      <c r="E1417" s="297">
        <v>0</v>
      </c>
      <c r="F1417" s="297">
        <v>0</v>
      </c>
      <c r="G1417" s="297">
        <v>0</v>
      </c>
      <c r="H1417" s="297">
        <v>0</v>
      </c>
      <c r="I1417" s="298">
        <v>0</v>
      </c>
      <c r="J1417" s="152">
        <v>0</v>
      </c>
      <c r="K1417" s="294">
        <v>0</v>
      </c>
      <c r="Q1417" s="61">
        <v>0</v>
      </c>
    </row>
    <row r="1418" spans="1:17">
      <c r="A1418" s="61">
        <v>0</v>
      </c>
      <c r="B1418" s="290">
        <v>0</v>
      </c>
      <c r="C1418" s="290">
        <v>0</v>
      </c>
      <c r="D1418" s="61">
        <v>0</v>
      </c>
      <c r="E1418" s="297">
        <v>0</v>
      </c>
      <c r="F1418" s="297">
        <v>0</v>
      </c>
      <c r="G1418" s="297">
        <v>0</v>
      </c>
      <c r="H1418" s="297">
        <v>0</v>
      </c>
      <c r="I1418" s="298">
        <v>0</v>
      </c>
      <c r="J1418" s="152">
        <v>0</v>
      </c>
      <c r="K1418" s="294">
        <v>0</v>
      </c>
      <c r="Q1418" s="61">
        <v>0</v>
      </c>
    </row>
    <row r="1419" spans="1:17">
      <c r="A1419" s="61">
        <v>0</v>
      </c>
      <c r="B1419" s="290">
        <v>0</v>
      </c>
      <c r="C1419" s="290">
        <v>0</v>
      </c>
      <c r="D1419" s="61">
        <v>0</v>
      </c>
      <c r="E1419" s="297">
        <v>0</v>
      </c>
      <c r="F1419" s="297">
        <v>0</v>
      </c>
      <c r="G1419" s="297">
        <v>0</v>
      </c>
      <c r="H1419" s="297">
        <v>0</v>
      </c>
      <c r="I1419" s="298">
        <v>0</v>
      </c>
      <c r="J1419" s="152">
        <v>0</v>
      </c>
      <c r="K1419" s="294">
        <v>0</v>
      </c>
      <c r="Q1419" s="61">
        <v>0</v>
      </c>
    </row>
    <row r="1420" spans="1:17">
      <c r="A1420" s="61">
        <v>0</v>
      </c>
      <c r="B1420" s="290">
        <v>0</v>
      </c>
      <c r="C1420" s="290">
        <v>0</v>
      </c>
      <c r="D1420" s="61">
        <v>0</v>
      </c>
      <c r="E1420" s="297">
        <v>0</v>
      </c>
      <c r="F1420" s="297">
        <v>0</v>
      </c>
      <c r="G1420" s="297">
        <v>0</v>
      </c>
      <c r="H1420" s="297">
        <v>0</v>
      </c>
      <c r="I1420" s="298">
        <v>0</v>
      </c>
      <c r="J1420" s="152">
        <v>0</v>
      </c>
      <c r="K1420" s="294">
        <v>0</v>
      </c>
      <c r="Q1420" s="61">
        <v>0</v>
      </c>
    </row>
    <row r="1421" spans="1:17">
      <c r="A1421" s="61">
        <v>0</v>
      </c>
      <c r="B1421" s="290">
        <v>0</v>
      </c>
      <c r="C1421" s="290">
        <v>0</v>
      </c>
      <c r="D1421" s="61">
        <v>0</v>
      </c>
      <c r="E1421" s="297">
        <v>0</v>
      </c>
      <c r="F1421" s="297">
        <v>0</v>
      </c>
      <c r="G1421" s="297">
        <v>0</v>
      </c>
      <c r="H1421" s="297">
        <v>0</v>
      </c>
      <c r="I1421" s="298">
        <v>0</v>
      </c>
      <c r="J1421" s="152">
        <v>0</v>
      </c>
      <c r="K1421" s="294">
        <v>0</v>
      </c>
      <c r="Q1421" s="61">
        <v>0</v>
      </c>
    </row>
    <row r="1422" spans="1:17">
      <c r="A1422" s="61">
        <v>0</v>
      </c>
      <c r="B1422" s="290">
        <v>0</v>
      </c>
      <c r="C1422" s="290">
        <v>0</v>
      </c>
      <c r="D1422" s="61">
        <v>0</v>
      </c>
      <c r="E1422" s="297">
        <v>0</v>
      </c>
      <c r="F1422" s="297">
        <v>0</v>
      </c>
      <c r="G1422" s="297">
        <v>0</v>
      </c>
      <c r="H1422" s="297">
        <v>0</v>
      </c>
      <c r="I1422" s="298">
        <v>0</v>
      </c>
      <c r="J1422" s="152">
        <v>0</v>
      </c>
      <c r="K1422" s="294">
        <v>0</v>
      </c>
      <c r="Q1422" s="61">
        <v>0</v>
      </c>
    </row>
    <row r="1423" spans="1:17">
      <c r="A1423" s="61">
        <v>0</v>
      </c>
      <c r="B1423" s="290">
        <v>0</v>
      </c>
      <c r="C1423" s="290">
        <v>0</v>
      </c>
      <c r="D1423" s="61">
        <v>0</v>
      </c>
      <c r="E1423" s="297">
        <v>0</v>
      </c>
      <c r="F1423" s="297">
        <v>0</v>
      </c>
      <c r="G1423" s="297">
        <v>0</v>
      </c>
      <c r="H1423" s="297">
        <v>0</v>
      </c>
      <c r="I1423" s="298">
        <v>0</v>
      </c>
      <c r="J1423" s="152">
        <v>0</v>
      </c>
      <c r="K1423" s="294">
        <v>0</v>
      </c>
      <c r="Q1423" s="61">
        <v>0</v>
      </c>
    </row>
    <row r="1424" spans="1:17">
      <c r="A1424" s="61">
        <v>0</v>
      </c>
      <c r="B1424" s="290">
        <v>0</v>
      </c>
      <c r="C1424" s="290">
        <v>0</v>
      </c>
      <c r="D1424" s="61">
        <v>0</v>
      </c>
      <c r="E1424" s="297">
        <v>0</v>
      </c>
      <c r="F1424" s="297">
        <v>0</v>
      </c>
      <c r="G1424" s="297">
        <v>0</v>
      </c>
      <c r="H1424" s="297">
        <v>0</v>
      </c>
      <c r="I1424" s="298">
        <v>0</v>
      </c>
      <c r="J1424" s="152">
        <v>0</v>
      </c>
      <c r="K1424" s="294">
        <v>0</v>
      </c>
      <c r="Q1424" s="61">
        <v>0</v>
      </c>
    </row>
    <row r="1425" spans="1:17">
      <c r="A1425" s="61">
        <v>0</v>
      </c>
      <c r="B1425" s="290">
        <v>0</v>
      </c>
      <c r="C1425" s="290">
        <v>0</v>
      </c>
      <c r="D1425" s="61">
        <v>0</v>
      </c>
      <c r="E1425" s="297">
        <v>0</v>
      </c>
      <c r="F1425" s="297">
        <v>0</v>
      </c>
      <c r="G1425" s="297">
        <v>0</v>
      </c>
      <c r="H1425" s="297">
        <v>0</v>
      </c>
      <c r="I1425" s="298">
        <v>0</v>
      </c>
      <c r="J1425" s="152">
        <v>0</v>
      </c>
      <c r="K1425" s="294">
        <v>0</v>
      </c>
      <c r="Q1425" s="61">
        <v>0</v>
      </c>
    </row>
    <row r="1426" spans="1:17">
      <c r="A1426" s="61">
        <v>0</v>
      </c>
      <c r="B1426" s="290">
        <v>0</v>
      </c>
      <c r="C1426" s="290">
        <v>0</v>
      </c>
      <c r="D1426" s="61">
        <v>0</v>
      </c>
      <c r="E1426" s="297">
        <v>0</v>
      </c>
      <c r="F1426" s="297">
        <v>0</v>
      </c>
      <c r="G1426" s="297">
        <v>0</v>
      </c>
      <c r="H1426" s="297">
        <v>0</v>
      </c>
      <c r="I1426" s="298">
        <v>0</v>
      </c>
      <c r="J1426" s="152">
        <v>0</v>
      </c>
      <c r="K1426" s="294">
        <v>0</v>
      </c>
      <c r="Q1426" s="61">
        <v>0</v>
      </c>
    </row>
    <row r="1427" spans="1:17">
      <c r="A1427" s="61">
        <v>0</v>
      </c>
      <c r="B1427" s="290">
        <v>0</v>
      </c>
      <c r="C1427" s="290">
        <v>0</v>
      </c>
      <c r="D1427" s="61">
        <v>0</v>
      </c>
      <c r="E1427" s="297">
        <v>0</v>
      </c>
      <c r="F1427" s="297">
        <v>0</v>
      </c>
      <c r="G1427" s="297">
        <v>0</v>
      </c>
      <c r="H1427" s="297">
        <v>0</v>
      </c>
      <c r="I1427" s="298">
        <v>0</v>
      </c>
      <c r="J1427" s="152">
        <v>0</v>
      </c>
      <c r="K1427" s="294">
        <v>0</v>
      </c>
      <c r="Q1427" s="61">
        <v>0</v>
      </c>
    </row>
    <row r="1428" spans="1:17">
      <c r="A1428" s="61">
        <v>0</v>
      </c>
      <c r="B1428" s="290">
        <v>0</v>
      </c>
      <c r="C1428" s="290">
        <v>0</v>
      </c>
      <c r="D1428" s="61">
        <v>0</v>
      </c>
      <c r="E1428" s="297">
        <v>0</v>
      </c>
      <c r="F1428" s="297">
        <v>0</v>
      </c>
      <c r="G1428" s="297">
        <v>0</v>
      </c>
      <c r="H1428" s="297">
        <v>0</v>
      </c>
      <c r="I1428" s="298">
        <v>0</v>
      </c>
      <c r="J1428" s="152">
        <v>0</v>
      </c>
      <c r="K1428" s="294">
        <v>0</v>
      </c>
      <c r="Q1428" s="61">
        <v>0</v>
      </c>
    </row>
    <row r="1429" spans="1:17">
      <c r="A1429" s="61">
        <v>0</v>
      </c>
      <c r="B1429" s="290">
        <v>0</v>
      </c>
      <c r="C1429" s="290">
        <v>0</v>
      </c>
      <c r="D1429" s="61">
        <v>0</v>
      </c>
      <c r="E1429" s="297">
        <v>0</v>
      </c>
      <c r="F1429" s="297">
        <v>0</v>
      </c>
      <c r="G1429" s="297">
        <v>0</v>
      </c>
      <c r="H1429" s="297">
        <v>0</v>
      </c>
      <c r="I1429" s="298">
        <v>0</v>
      </c>
      <c r="J1429" s="152">
        <v>0</v>
      </c>
      <c r="K1429" s="294">
        <v>0</v>
      </c>
      <c r="Q1429" s="61">
        <v>0</v>
      </c>
    </row>
    <row r="1430" spans="1:17">
      <c r="A1430" s="61">
        <v>0</v>
      </c>
      <c r="B1430" s="290">
        <v>0</v>
      </c>
      <c r="C1430" s="290">
        <v>0</v>
      </c>
      <c r="D1430" s="61">
        <v>0</v>
      </c>
      <c r="E1430" s="297">
        <v>0</v>
      </c>
      <c r="F1430" s="297">
        <v>0</v>
      </c>
      <c r="G1430" s="297">
        <v>0</v>
      </c>
      <c r="H1430" s="297">
        <v>0</v>
      </c>
      <c r="I1430" s="298">
        <v>0</v>
      </c>
      <c r="J1430" s="152">
        <v>0</v>
      </c>
      <c r="K1430" s="294">
        <v>0</v>
      </c>
      <c r="Q1430" s="61">
        <v>0</v>
      </c>
    </row>
    <row r="1431" spans="1:17">
      <c r="A1431" s="61">
        <v>0</v>
      </c>
      <c r="B1431" s="290">
        <v>0</v>
      </c>
      <c r="C1431" s="290">
        <v>0</v>
      </c>
      <c r="D1431" s="61">
        <v>0</v>
      </c>
      <c r="E1431" s="297">
        <v>0</v>
      </c>
      <c r="F1431" s="297">
        <v>0</v>
      </c>
      <c r="G1431" s="297">
        <v>0</v>
      </c>
      <c r="H1431" s="297">
        <v>0</v>
      </c>
      <c r="I1431" s="298">
        <v>0</v>
      </c>
      <c r="J1431" s="152">
        <v>0</v>
      </c>
      <c r="K1431" s="294">
        <v>0</v>
      </c>
      <c r="Q1431" s="61">
        <v>0</v>
      </c>
    </row>
    <row r="1432" spans="1:17">
      <c r="A1432" s="61">
        <v>0</v>
      </c>
      <c r="B1432" s="290">
        <v>0</v>
      </c>
      <c r="C1432" s="290">
        <v>0</v>
      </c>
      <c r="D1432" s="61">
        <v>0</v>
      </c>
      <c r="E1432" s="297">
        <v>0</v>
      </c>
      <c r="F1432" s="297">
        <v>0</v>
      </c>
      <c r="G1432" s="297">
        <v>0</v>
      </c>
      <c r="H1432" s="297">
        <v>0</v>
      </c>
      <c r="I1432" s="298">
        <v>0</v>
      </c>
      <c r="J1432" s="152">
        <v>0</v>
      </c>
      <c r="K1432" s="294">
        <v>0</v>
      </c>
    </row>
    <row r="1433" spans="1:17">
      <c r="A1433" s="61">
        <v>0</v>
      </c>
      <c r="B1433" s="290">
        <v>0</v>
      </c>
      <c r="C1433" s="290">
        <v>0</v>
      </c>
      <c r="D1433" s="61">
        <v>0</v>
      </c>
      <c r="E1433" s="297">
        <v>0</v>
      </c>
      <c r="F1433" s="297">
        <v>0</v>
      </c>
      <c r="G1433" s="297">
        <v>0</v>
      </c>
      <c r="H1433" s="297">
        <v>0</v>
      </c>
      <c r="I1433" s="298">
        <v>0</v>
      </c>
      <c r="J1433" s="152">
        <v>0</v>
      </c>
      <c r="K1433" s="294">
        <v>0</v>
      </c>
    </row>
    <row r="1434" spans="1:17">
      <c r="A1434" s="61">
        <v>0</v>
      </c>
      <c r="B1434" s="290">
        <v>0</v>
      </c>
      <c r="C1434" s="290">
        <v>0</v>
      </c>
      <c r="D1434" s="61">
        <v>0</v>
      </c>
      <c r="E1434" s="297">
        <v>0</v>
      </c>
      <c r="F1434" s="297">
        <v>0</v>
      </c>
      <c r="G1434" s="297">
        <v>0</v>
      </c>
      <c r="H1434" s="297">
        <v>0</v>
      </c>
      <c r="I1434" s="298">
        <v>0</v>
      </c>
      <c r="J1434" s="152">
        <v>0</v>
      </c>
      <c r="K1434" s="294">
        <v>0</v>
      </c>
    </row>
    <row r="1435" spans="1:17">
      <c r="A1435" s="61">
        <v>0</v>
      </c>
      <c r="B1435" s="290">
        <v>0</v>
      </c>
      <c r="C1435" s="290">
        <v>0</v>
      </c>
      <c r="D1435" s="61">
        <v>0</v>
      </c>
      <c r="E1435" s="297">
        <v>0</v>
      </c>
      <c r="F1435" s="297">
        <v>0</v>
      </c>
      <c r="G1435" s="297">
        <v>0</v>
      </c>
      <c r="H1435" s="297">
        <v>0</v>
      </c>
      <c r="I1435" s="298">
        <v>0</v>
      </c>
      <c r="J1435" s="152">
        <v>0</v>
      </c>
      <c r="K1435" s="294">
        <v>0</v>
      </c>
    </row>
    <row r="1436" spans="1:17">
      <c r="A1436" s="61">
        <v>0</v>
      </c>
      <c r="B1436" s="290">
        <v>0</v>
      </c>
      <c r="C1436" s="290">
        <v>0</v>
      </c>
      <c r="D1436" s="61">
        <v>0</v>
      </c>
      <c r="E1436" s="297">
        <v>0</v>
      </c>
      <c r="F1436" s="297">
        <v>0</v>
      </c>
      <c r="G1436" s="297">
        <v>0</v>
      </c>
      <c r="H1436" s="297">
        <v>0</v>
      </c>
      <c r="I1436" s="298">
        <v>0</v>
      </c>
      <c r="J1436" s="152">
        <v>0</v>
      </c>
      <c r="K1436" s="294">
        <v>0</v>
      </c>
    </row>
    <row r="1437" spans="1:17">
      <c r="A1437" s="61">
        <v>0</v>
      </c>
      <c r="B1437" s="290">
        <v>0</v>
      </c>
      <c r="C1437" s="290">
        <v>0</v>
      </c>
      <c r="D1437" s="61">
        <v>0</v>
      </c>
      <c r="E1437" s="297">
        <v>0</v>
      </c>
      <c r="F1437" s="297">
        <v>0</v>
      </c>
      <c r="G1437" s="297">
        <v>0</v>
      </c>
      <c r="H1437" s="297">
        <v>0</v>
      </c>
      <c r="I1437" s="298">
        <v>0</v>
      </c>
      <c r="J1437" s="152">
        <v>0</v>
      </c>
      <c r="K1437" s="294">
        <v>0</v>
      </c>
    </row>
    <row r="1438" spans="1:17">
      <c r="A1438" s="61">
        <v>0</v>
      </c>
      <c r="B1438" s="290">
        <v>0</v>
      </c>
      <c r="C1438" s="290">
        <v>0</v>
      </c>
      <c r="D1438" s="61">
        <v>0</v>
      </c>
      <c r="E1438" s="297">
        <v>0</v>
      </c>
      <c r="F1438" s="297">
        <v>0</v>
      </c>
      <c r="G1438" s="297">
        <v>0</v>
      </c>
      <c r="H1438" s="297">
        <v>0</v>
      </c>
      <c r="I1438" s="298">
        <v>0</v>
      </c>
      <c r="J1438" s="152">
        <v>0</v>
      </c>
      <c r="K1438" s="294">
        <v>0</v>
      </c>
    </row>
    <row r="1439" spans="1:17">
      <c r="A1439" s="61">
        <v>0</v>
      </c>
      <c r="B1439" s="290">
        <v>0</v>
      </c>
      <c r="C1439" s="290">
        <v>0</v>
      </c>
      <c r="D1439" s="61">
        <v>0</v>
      </c>
      <c r="E1439" s="297">
        <v>0</v>
      </c>
      <c r="F1439" s="297">
        <v>0</v>
      </c>
      <c r="G1439" s="297">
        <v>0</v>
      </c>
      <c r="H1439" s="297">
        <v>0</v>
      </c>
      <c r="I1439" s="298">
        <v>0</v>
      </c>
      <c r="J1439" s="152">
        <v>0</v>
      </c>
      <c r="K1439" s="294">
        <v>0</v>
      </c>
    </row>
    <row r="1440" spans="1:17">
      <c r="A1440" s="61">
        <v>0</v>
      </c>
      <c r="B1440" s="290">
        <v>0</v>
      </c>
      <c r="C1440" s="290">
        <v>0</v>
      </c>
      <c r="D1440" s="61">
        <v>0</v>
      </c>
      <c r="E1440" s="297">
        <v>0</v>
      </c>
      <c r="F1440" s="297">
        <v>0</v>
      </c>
      <c r="G1440" s="297">
        <v>0</v>
      </c>
      <c r="H1440" s="297">
        <v>0</v>
      </c>
      <c r="I1440" s="298">
        <v>0</v>
      </c>
      <c r="J1440" s="152">
        <v>0</v>
      </c>
      <c r="K1440" s="294">
        <v>0</v>
      </c>
    </row>
    <row r="1441" spans="1:11">
      <c r="A1441" s="61">
        <v>0</v>
      </c>
      <c r="B1441" s="290">
        <v>0</v>
      </c>
      <c r="C1441" s="290">
        <v>0</v>
      </c>
      <c r="D1441" s="61">
        <v>0</v>
      </c>
      <c r="E1441" s="297">
        <v>0</v>
      </c>
      <c r="F1441" s="297">
        <v>0</v>
      </c>
      <c r="G1441" s="297">
        <v>0</v>
      </c>
      <c r="H1441" s="297">
        <v>0</v>
      </c>
      <c r="I1441" s="298">
        <v>0</v>
      </c>
      <c r="J1441" s="152">
        <v>0</v>
      </c>
      <c r="K1441" s="294">
        <v>0</v>
      </c>
    </row>
    <row r="1442" spans="1:11">
      <c r="A1442" s="61">
        <v>0</v>
      </c>
      <c r="B1442" s="290">
        <v>0</v>
      </c>
      <c r="C1442" s="290">
        <v>0</v>
      </c>
      <c r="D1442" s="61">
        <v>0</v>
      </c>
      <c r="E1442" s="297">
        <v>0</v>
      </c>
      <c r="F1442" s="297">
        <v>0</v>
      </c>
      <c r="G1442" s="297">
        <v>0</v>
      </c>
      <c r="H1442" s="297">
        <v>0</v>
      </c>
      <c r="I1442" s="298">
        <v>0</v>
      </c>
      <c r="J1442" s="152">
        <v>0</v>
      </c>
      <c r="K1442" s="294">
        <v>0</v>
      </c>
    </row>
    <row r="1443" spans="1:11">
      <c r="A1443" s="61">
        <v>0</v>
      </c>
      <c r="B1443" s="290">
        <v>0</v>
      </c>
      <c r="C1443" s="290">
        <v>0</v>
      </c>
      <c r="D1443" s="61">
        <v>0</v>
      </c>
      <c r="E1443" s="297">
        <v>0</v>
      </c>
      <c r="F1443" s="297">
        <v>0</v>
      </c>
      <c r="G1443" s="297">
        <v>0</v>
      </c>
      <c r="H1443" s="297">
        <v>0</v>
      </c>
      <c r="I1443" s="298">
        <v>0</v>
      </c>
      <c r="J1443" s="152">
        <v>0</v>
      </c>
      <c r="K1443" s="294">
        <v>0</v>
      </c>
    </row>
    <row r="1444" spans="1:11">
      <c r="A1444" s="61">
        <v>0</v>
      </c>
      <c r="B1444" s="290">
        <v>0</v>
      </c>
      <c r="C1444" s="290">
        <v>0</v>
      </c>
      <c r="D1444" s="61">
        <v>0</v>
      </c>
      <c r="E1444" s="297">
        <v>0</v>
      </c>
      <c r="F1444" s="297">
        <v>0</v>
      </c>
      <c r="G1444" s="297">
        <v>0</v>
      </c>
      <c r="H1444" s="297">
        <v>0</v>
      </c>
      <c r="I1444" s="298">
        <v>0</v>
      </c>
      <c r="J1444" s="152">
        <v>0</v>
      </c>
      <c r="K1444" s="294">
        <v>0</v>
      </c>
    </row>
    <row r="1445" spans="1:11">
      <c r="A1445" s="61">
        <v>0</v>
      </c>
      <c r="B1445" s="290">
        <v>0</v>
      </c>
      <c r="C1445" s="290">
        <v>0</v>
      </c>
      <c r="D1445" s="61">
        <v>0</v>
      </c>
      <c r="E1445" s="297">
        <v>0</v>
      </c>
      <c r="F1445" s="297">
        <v>0</v>
      </c>
      <c r="G1445" s="297">
        <v>0</v>
      </c>
      <c r="H1445" s="297">
        <v>0</v>
      </c>
      <c r="I1445" s="298">
        <v>0</v>
      </c>
      <c r="J1445" s="152">
        <v>0</v>
      </c>
      <c r="K1445" s="294">
        <v>0</v>
      </c>
    </row>
    <row r="1446" spans="1:11">
      <c r="A1446" s="61">
        <v>0</v>
      </c>
      <c r="B1446" s="290">
        <v>0</v>
      </c>
      <c r="C1446" s="290">
        <v>0</v>
      </c>
      <c r="D1446" s="61">
        <v>0</v>
      </c>
      <c r="E1446" s="297">
        <v>0</v>
      </c>
      <c r="F1446" s="297">
        <v>0</v>
      </c>
      <c r="G1446" s="297">
        <v>0</v>
      </c>
      <c r="H1446" s="297">
        <v>0</v>
      </c>
      <c r="I1446" s="298">
        <v>0</v>
      </c>
      <c r="J1446" s="152">
        <v>0</v>
      </c>
      <c r="K1446" s="294">
        <v>0</v>
      </c>
    </row>
    <row r="1447" spans="1:11">
      <c r="A1447" s="61">
        <v>0</v>
      </c>
      <c r="B1447" s="290">
        <v>0</v>
      </c>
      <c r="C1447" s="290">
        <v>0</v>
      </c>
      <c r="D1447" s="61">
        <v>0</v>
      </c>
      <c r="E1447" s="297">
        <v>0</v>
      </c>
      <c r="F1447" s="297">
        <v>0</v>
      </c>
      <c r="G1447" s="297">
        <v>0</v>
      </c>
      <c r="H1447" s="297">
        <v>0</v>
      </c>
      <c r="I1447" s="298">
        <v>0</v>
      </c>
      <c r="J1447" s="152">
        <v>0</v>
      </c>
      <c r="K1447" s="294">
        <v>0</v>
      </c>
    </row>
    <row r="1448" spans="1:11">
      <c r="A1448" s="61">
        <v>0</v>
      </c>
      <c r="B1448" s="290">
        <v>0</v>
      </c>
      <c r="C1448" s="290">
        <v>0</v>
      </c>
      <c r="D1448" s="61">
        <v>0</v>
      </c>
      <c r="E1448" s="297">
        <v>0</v>
      </c>
      <c r="F1448" s="297">
        <v>0</v>
      </c>
      <c r="G1448" s="297">
        <v>0</v>
      </c>
      <c r="H1448" s="297">
        <v>0</v>
      </c>
      <c r="I1448" s="298">
        <v>0</v>
      </c>
      <c r="J1448" s="152">
        <v>0</v>
      </c>
      <c r="K1448" s="294">
        <v>0</v>
      </c>
    </row>
    <row r="1449" spans="1:11">
      <c r="A1449" s="61">
        <v>0</v>
      </c>
      <c r="B1449" s="290">
        <v>0</v>
      </c>
      <c r="C1449" s="290">
        <v>0</v>
      </c>
      <c r="D1449" s="61">
        <v>0</v>
      </c>
      <c r="E1449" s="297">
        <v>0</v>
      </c>
      <c r="F1449" s="297">
        <v>0</v>
      </c>
      <c r="G1449" s="297">
        <v>0</v>
      </c>
      <c r="H1449" s="297">
        <v>0</v>
      </c>
      <c r="I1449" s="298">
        <v>0</v>
      </c>
      <c r="J1449" s="152">
        <v>0</v>
      </c>
      <c r="K1449" s="294">
        <v>0</v>
      </c>
    </row>
    <row r="1450" spans="1:11">
      <c r="A1450" s="61">
        <v>0</v>
      </c>
      <c r="B1450" s="290">
        <v>0</v>
      </c>
      <c r="C1450" s="290">
        <v>0</v>
      </c>
      <c r="D1450" s="61">
        <v>0</v>
      </c>
      <c r="E1450" s="297">
        <v>0</v>
      </c>
      <c r="F1450" s="297">
        <v>0</v>
      </c>
      <c r="G1450" s="297">
        <v>0</v>
      </c>
      <c r="H1450" s="297">
        <v>0</v>
      </c>
      <c r="I1450" s="298">
        <v>0</v>
      </c>
      <c r="J1450" s="152">
        <v>0</v>
      </c>
      <c r="K1450" s="294">
        <v>0</v>
      </c>
    </row>
    <row r="1451" spans="1:11">
      <c r="A1451" s="61">
        <v>0</v>
      </c>
      <c r="B1451" s="290">
        <v>0</v>
      </c>
      <c r="C1451" s="290">
        <v>0</v>
      </c>
      <c r="D1451" s="61">
        <v>0</v>
      </c>
      <c r="E1451" s="297">
        <v>0</v>
      </c>
      <c r="F1451" s="297">
        <v>0</v>
      </c>
      <c r="G1451" s="297">
        <v>0</v>
      </c>
      <c r="H1451" s="297">
        <v>0</v>
      </c>
      <c r="I1451" s="298">
        <v>0</v>
      </c>
      <c r="J1451" s="152">
        <v>0</v>
      </c>
      <c r="K1451" s="294">
        <v>0</v>
      </c>
    </row>
    <row r="1452" spans="1:11">
      <c r="A1452" s="61">
        <v>0</v>
      </c>
      <c r="B1452" s="290">
        <v>0</v>
      </c>
      <c r="C1452" s="290">
        <v>0</v>
      </c>
      <c r="D1452" s="61">
        <v>0</v>
      </c>
      <c r="E1452" s="297">
        <v>0</v>
      </c>
      <c r="F1452" s="297">
        <v>0</v>
      </c>
      <c r="G1452" s="297">
        <v>0</v>
      </c>
      <c r="H1452" s="297">
        <v>0</v>
      </c>
      <c r="I1452" s="298">
        <v>0</v>
      </c>
      <c r="J1452" s="152">
        <v>0</v>
      </c>
      <c r="K1452" s="294">
        <v>0</v>
      </c>
    </row>
    <row r="1453" spans="1:11">
      <c r="A1453" s="61">
        <v>0</v>
      </c>
      <c r="B1453" s="290">
        <v>0</v>
      </c>
      <c r="C1453" s="290">
        <v>0</v>
      </c>
      <c r="D1453" s="61">
        <v>0</v>
      </c>
      <c r="E1453" s="297">
        <v>0</v>
      </c>
      <c r="F1453" s="297">
        <v>0</v>
      </c>
      <c r="G1453" s="297">
        <v>0</v>
      </c>
      <c r="H1453" s="297">
        <v>0</v>
      </c>
      <c r="I1453" s="298">
        <v>0</v>
      </c>
      <c r="J1453" s="152">
        <v>0</v>
      </c>
      <c r="K1453" s="294">
        <v>0</v>
      </c>
    </row>
    <row r="1454" spans="1:11">
      <c r="A1454" s="61">
        <v>0</v>
      </c>
      <c r="B1454" s="290">
        <v>0</v>
      </c>
      <c r="C1454" s="290">
        <v>0</v>
      </c>
      <c r="D1454" s="61">
        <v>0</v>
      </c>
      <c r="E1454" s="297">
        <v>0</v>
      </c>
      <c r="F1454" s="297">
        <v>0</v>
      </c>
      <c r="G1454" s="297">
        <v>0</v>
      </c>
      <c r="H1454" s="297">
        <v>0</v>
      </c>
      <c r="I1454" s="298">
        <v>0</v>
      </c>
      <c r="J1454" s="152">
        <v>0</v>
      </c>
      <c r="K1454" s="294">
        <v>0</v>
      </c>
    </row>
    <row r="1455" spans="1:11">
      <c r="A1455" s="61">
        <v>0</v>
      </c>
      <c r="B1455" s="290">
        <v>0</v>
      </c>
      <c r="C1455" s="290">
        <v>0</v>
      </c>
      <c r="D1455" s="61">
        <v>0</v>
      </c>
      <c r="E1455" s="297">
        <v>0</v>
      </c>
      <c r="F1455" s="297">
        <v>0</v>
      </c>
      <c r="G1455" s="297">
        <v>0</v>
      </c>
      <c r="H1455" s="297">
        <v>0</v>
      </c>
      <c r="I1455" s="298">
        <v>0</v>
      </c>
      <c r="J1455" s="152">
        <v>0</v>
      </c>
      <c r="K1455" s="294">
        <v>0</v>
      </c>
    </row>
    <row r="1456" spans="1:11">
      <c r="A1456" s="61">
        <v>0</v>
      </c>
      <c r="B1456" s="290">
        <v>0</v>
      </c>
      <c r="C1456" s="290">
        <v>0</v>
      </c>
      <c r="D1456" s="61">
        <v>0</v>
      </c>
      <c r="E1456" s="297">
        <v>0</v>
      </c>
      <c r="F1456" s="297">
        <v>0</v>
      </c>
      <c r="G1456" s="297">
        <v>0</v>
      </c>
      <c r="H1456" s="297">
        <v>0</v>
      </c>
      <c r="I1456" s="298">
        <v>0</v>
      </c>
      <c r="J1456" s="152">
        <v>0</v>
      </c>
      <c r="K1456" s="294">
        <v>0</v>
      </c>
    </row>
    <row r="1457" spans="1:11">
      <c r="A1457" s="61">
        <v>0</v>
      </c>
      <c r="B1457" s="290">
        <v>0</v>
      </c>
      <c r="C1457" s="290">
        <v>0</v>
      </c>
      <c r="D1457" s="61">
        <v>0</v>
      </c>
      <c r="E1457" s="297">
        <v>0</v>
      </c>
      <c r="F1457" s="297">
        <v>0</v>
      </c>
      <c r="G1457" s="297">
        <v>0</v>
      </c>
      <c r="H1457" s="297">
        <v>0</v>
      </c>
      <c r="I1457" s="298">
        <v>0</v>
      </c>
      <c r="J1457" s="152">
        <v>0</v>
      </c>
      <c r="K1457" s="294">
        <v>0</v>
      </c>
    </row>
    <row r="1458" spans="1:11">
      <c r="A1458" s="61">
        <v>0</v>
      </c>
      <c r="B1458" s="290">
        <v>0</v>
      </c>
      <c r="C1458" s="290">
        <v>0</v>
      </c>
      <c r="D1458" s="61">
        <v>0</v>
      </c>
      <c r="E1458" s="297">
        <v>0</v>
      </c>
      <c r="F1458" s="297">
        <v>0</v>
      </c>
      <c r="G1458" s="297">
        <v>0</v>
      </c>
      <c r="H1458" s="297">
        <v>0</v>
      </c>
      <c r="I1458" s="298">
        <v>0</v>
      </c>
      <c r="J1458" s="152">
        <v>0</v>
      </c>
      <c r="K1458" s="294">
        <v>0</v>
      </c>
    </row>
    <row r="1459" spans="1:11">
      <c r="A1459" s="61">
        <v>0</v>
      </c>
      <c r="B1459" s="290">
        <v>0</v>
      </c>
      <c r="C1459" s="290">
        <v>0</v>
      </c>
      <c r="D1459" s="61">
        <v>0</v>
      </c>
      <c r="E1459" s="297">
        <v>0</v>
      </c>
      <c r="F1459" s="297">
        <v>0</v>
      </c>
      <c r="G1459" s="297">
        <v>0</v>
      </c>
      <c r="H1459" s="297">
        <v>0</v>
      </c>
      <c r="I1459" s="298">
        <v>0</v>
      </c>
      <c r="J1459" s="152">
        <v>0</v>
      </c>
      <c r="K1459" s="294">
        <v>0</v>
      </c>
    </row>
    <row r="1460" spans="1:11">
      <c r="A1460" s="61">
        <v>0</v>
      </c>
      <c r="B1460" s="290">
        <v>0</v>
      </c>
      <c r="C1460" s="290">
        <v>0</v>
      </c>
      <c r="D1460" s="61">
        <v>0</v>
      </c>
      <c r="E1460" s="297">
        <v>0</v>
      </c>
      <c r="F1460" s="297">
        <v>0</v>
      </c>
      <c r="G1460" s="297">
        <v>0</v>
      </c>
      <c r="H1460" s="297">
        <v>0</v>
      </c>
      <c r="I1460" s="298">
        <v>0</v>
      </c>
      <c r="J1460" s="152">
        <v>0</v>
      </c>
      <c r="K1460" s="294">
        <v>0</v>
      </c>
    </row>
    <row r="1461" spans="1:11">
      <c r="A1461" s="61">
        <v>0</v>
      </c>
      <c r="B1461" s="290">
        <v>0</v>
      </c>
      <c r="C1461" s="290">
        <v>0</v>
      </c>
      <c r="D1461" s="61">
        <v>0</v>
      </c>
      <c r="E1461" s="297">
        <v>0</v>
      </c>
      <c r="F1461" s="297">
        <v>0</v>
      </c>
      <c r="G1461" s="297">
        <v>0</v>
      </c>
      <c r="H1461" s="297">
        <v>0</v>
      </c>
      <c r="I1461" s="298">
        <v>0</v>
      </c>
      <c r="J1461" s="152">
        <v>0</v>
      </c>
      <c r="K1461" s="294">
        <v>0</v>
      </c>
    </row>
    <row r="1462" spans="1:11">
      <c r="A1462" s="61">
        <v>0</v>
      </c>
      <c r="B1462" s="290">
        <v>0</v>
      </c>
      <c r="C1462" s="290">
        <v>0</v>
      </c>
      <c r="D1462" s="61">
        <v>0</v>
      </c>
      <c r="E1462" s="297">
        <v>0</v>
      </c>
      <c r="F1462" s="297">
        <v>0</v>
      </c>
      <c r="G1462" s="297">
        <v>0</v>
      </c>
      <c r="H1462" s="297">
        <v>0</v>
      </c>
      <c r="I1462" s="298">
        <v>0</v>
      </c>
      <c r="J1462" s="152">
        <v>0</v>
      </c>
      <c r="K1462" s="294">
        <v>0</v>
      </c>
    </row>
    <row r="1463" spans="1:11">
      <c r="A1463" s="61">
        <v>0</v>
      </c>
      <c r="B1463" s="290">
        <v>0</v>
      </c>
      <c r="C1463" s="290">
        <v>0</v>
      </c>
      <c r="D1463" s="61">
        <v>0</v>
      </c>
      <c r="E1463" s="297">
        <v>0</v>
      </c>
      <c r="F1463" s="297">
        <v>0</v>
      </c>
      <c r="G1463" s="297">
        <v>0</v>
      </c>
      <c r="H1463" s="297">
        <v>0</v>
      </c>
      <c r="I1463" s="298">
        <v>0</v>
      </c>
      <c r="J1463" s="152">
        <v>0</v>
      </c>
      <c r="K1463" s="294">
        <v>0</v>
      </c>
    </row>
    <row r="1464" spans="1:11">
      <c r="A1464" s="61">
        <v>0</v>
      </c>
      <c r="B1464" s="290">
        <v>0</v>
      </c>
      <c r="C1464" s="290">
        <v>0</v>
      </c>
      <c r="D1464" s="61">
        <v>0</v>
      </c>
      <c r="E1464" s="297">
        <v>0</v>
      </c>
      <c r="F1464" s="297">
        <v>0</v>
      </c>
      <c r="G1464" s="297">
        <v>0</v>
      </c>
      <c r="H1464" s="297">
        <v>0</v>
      </c>
      <c r="I1464" s="298">
        <v>0</v>
      </c>
      <c r="J1464" s="152">
        <v>0</v>
      </c>
      <c r="K1464" s="294">
        <v>0</v>
      </c>
    </row>
    <row r="1465" spans="1:11">
      <c r="A1465" s="61">
        <v>0</v>
      </c>
      <c r="B1465" s="290">
        <v>0</v>
      </c>
      <c r="C1465" s="290">
        <v>0</v>
      </c>
      <c r="D1465" s="61">
        <v>0</v>
      </c>
      <c r="E1465" s="297">
        <v>0</v>
      </c>
      <c r="F1465" s="297">
        <v>0</v>
      </c>
      <c r="G1465" s="297">
        <v>0</v>
      </c>
      <c r="H1465" s="297">
        <v>0</v>
      </c>
      <c r="I1465" s="298">
        <v>0</v>
      </c>
      <c r="J1465" s="152">
        <v>0</v>
      </c>
      <c r="K1465" s="294">
        <v>0</v>
      </c>
    </row>
    <row r="1466" spans="1:11">
      <c r="A1466" s="61">
        <v>0</v>
      </c>
      <c r="B1466" s="290">
        <v>0</v>
      </c>
      <c r="C1466" s="290">
        <v>0</v>
      </c>
      <c r="D1466" s="61">
        <v>0</v>
      </c>
      <c r="E1466" s="297">
        <v>0</v>
      </c>
      <c r="F1466" s="297">
        <v>0</v>
      </c>
      <c r="G1466" s="297">
        <v>0</v>
      </c>
      <c r="H1466" s="297">
        <v>0</v>
      </c>
      <c r="I1466" s="298">
        <v>0</v>
      </c>
      <c r="J1466" s="152">
        <v>0</v>
      </c>
      <c r="K1466" s="294">
        <v>0</v>
      </c>
    </row>
    <row r="1467" spans="1:11">
      <c r="A1467" s="61">
        <v>0</v>
      </c>
      <c r="B1467" s="290">
        <v>0</v>
      </c>
      <c r="C1467" s="290">
        <v>0</v>
      </c>
      <c r="D1467" s="61">
        <v>0</v>
      </c>
      <c r="E1467" s="297">
        <v>0</v>
      </c>
      <c r="F1467" s="297">
        <v>0</v>
      </c>
      <c r="G1467" s="297">
        <v>0</v>
      </c>
      <c r="H1467" s="297">
        <v>0</v>
      </c>
      <c r="I1467" s="298">
        <v>0</v>
      </c>
      <c r="J1467" s="152">
        <v>0</v>
      </c>
      <c r="K1467" s="294">
        <v>0</v>
      </c>
    </row>
    <row r="1468" spans="1:11">
      <c r="A1468" s="61">
        <v>0</v>
      </c>
      <c r="B1468" s="290">
        <v>0</v>
      </c>
      <c r="C1468" s="290">
        <v>0</v>
      </c>
      <c r="D1468" s="61">
        <v>0</v>
      </c>
      <c r="E1468" s="297">
        <v>0</v>
      </c>
      <c r="F1468" s="297">
        <v>0</v>
      </c>
      <c r="G1468" s="297">
        <v>0</v>
      </c>
      <c r="H1468" s="297">
        <v>0</v>
      </c>
      <c r="I1468" s="298">
        <v>0</v>
      </c>
      <c r="J1468" s="152">
        <v>0</v>
      </c>
      <c r="K1468" s="294">
        <v>0</v>
      </c>
    </row>
    <row r="1469" spans="1:11">
      <c r="A1469" s="61">
        <v>0</v>
      </c>
      <c r="B1469" s="290">
        <v>0</v>
      </c>
      <c r="C1469" s="290">
        <v>0</v>
      </c>
      <c r="D1469" s="61">
        <v>0</v>
      </c>
      <c r="E1469" s="297">
        <v>0</v>
      </c>
      <c r="F1469" s="297">
        <v>0</v>
      </c>
      <c r="G1469" s="297">
        <v>0</v>
      </c>
      <c r="H1469" s="297">
        <v>0</v>
      </c>
      <c r="I1469" s="298">
        <v>0</v>
      </c>
      <c r="J1469" s="152">
        <v>0</v>
      </c>
      <c r="K1469" s="294">
        <v>0</v>
      </c>
    </row>
    <row r="1470" spans="1:11">
      <c r="A1470" s="61">
        <v>0</v>
      </c>
      <c r="B1470" s="290">
        <v>0</v>
      </c>
      <c r="C1470" s="290">
        <v>0</v>
      </c>
      <c r="D1470" s="61">
        <v>0</v>
      </c>
      <c r="E1470" s="297">
        <v>0</v>
      </c>
      <c r="F1470" s="297">
        <v>0</v>
      </c>
      <c r="G1470" s="297">
        <v>0</v>
      </c>
      <c r="H1470" s="297">
        <v>0</v>
      </c>
      <c r="I1470" s="298">
        <v>0</v>
      </c>
      <c r="J1470" s="152">
        <v>0</v>
      </c>
      <c r="K1470" s="294">
        <v>0</v>
      </c>
    </row>
    <row r="1471" spans="1:11">
      <c r="A1471" s="61">
        <v>0</v>
      </c>
      <c r="B1471" s="290">
        <v>0</v>
      </c>
      <c r="C1471" s="290">
        <v>0</v>
      </c>
      <c r="D1471" s="61">
        <v>0</v>
      </c>
      <c r="E1471" s="297">
        <v>0</v>
      </c>
      <c r="F1471" s="297">
        <v>0</v>
      </c>
      <c r="G1471" s="297">
        <v>0</v>
      </c>
      <c r="H1471" s="297">
        <v>0</v>
      </c>
      <c r="I1471" s="298">
        <v>0</v>
      </c>
      <c r="J1471" s="152">
        <v>0</v>
      </c>
      <c r="K1471" s="294">
        <v>0</v>
      </c>
    </row>
    <row r="1472" spans="1:11">
      <c r="A1472" s="61">
        <v>0</v>
      </c>
      <c r="B1472" s="290">
        <v>0</v>
      </c>
      <c r="C1472" s="290">
        <v>0</v>
      </c>
      <c r="D1472" s="61">
        <v>0</v>
      </c>
      <c r="E1472" s="297">
        <v>0</v>
      </c>
      <c r="F1472" s="297">
        <v>0</v>
      </c>
      <c r="G1472" s="297">
        <v>0</v>
      </c>
      <c r="H1472" s="297">
        <v>0</v>
      </c>
      <c r="I1472" s="298">
        <v>0</v>
      </c>
      <c r="J1472" s="152">
        <v>0</v>
      </c>
      <c r="K1472" s="294">
        <v>0</v>
      </c>
    </row>
    <row r="1473" spans="1:11">
      <c r="A1473" s="61">
        <v>0</v>
      </c>
      <c r="B1473" s="290">
        <v>0</v>
      </c>
      <c r="C1473" s="290">
        <v>0</v>
      </c>
      <c r="D1473" s="61">
        <v>0</v>
      </c>
      <c r="E1473" s="297">
        <v>0</v>
      </c>
      <c r="F1473" s="297">
        <v>0</v>
      </c>
      <c r="G1473" s="297">
        <v>0</v>
      </c>
      <c r="H1473" s="297">
        <v>0</v>
      </c>
      <c r="I1473" s="298">
        <v>0</v>
      </c>
      <c r="J1473" s="152">
        <v>0</v>
      </c>
      <c r="K1473" s="294">
        <v>0</v>
      </c>
    </row>
    <row r="1474" spans="1:11">
      <c r="A1474" s="61">
        <v>0</v>
      </c>
      <c r="B1474" s="290">
        <v>0</v>
      </c>
      <c r="C1474" s="290">
        <v>0</v>
      </c>
      <c r="D1474" s="61">
        <v>0</v>
      </c>
      <c r="E1474" s="297">
        <v>0</v>
      </c>
      <c r="F1474" s="297">
        <v>0</v>
      </c>
      <c r="G1474" s="297">
        <v>0</v>
      </c>
      <c r="H1474" s="297">
        <v>0</v>
      </c>
      <c r="I1474" s="298">
        <v>0</v>
      </c>
      <c r="J1474" s="152">
        <v>0</v>
      </c>
      <c r="K1474" s="294">
        <v>0</v>
      </c>
    </row>
    <row r="1475" spans="1:11">
      <c r="A1475" s="61">
        <v>0</v>
      </c>
      <c r="B1475" s="290">
        <v>0</v>
      </c>
      <c r="C1475" s="290">
        <v>0</v>
      </c>
      <c r="D1475" s="61">
        <v>0</v>
      </c>
      <c r="E1475" s="297">
        <v>0</v>
      </c>
      <c r="F1475" s="297">
        <v>0</v>
      </c>
      <c r="G1475" s="297">
        <v>0</v>
      </c>
      <c r="H1475" s="297">
        <v>0</v>
      </c>
      <c r="I1475" s="298">
        <v>0</v>
      </c>
      <c r="J1475" s="152">
        <v>0</v>
      </c>
      <c r="K1475" s="294">
        <v>0</v>
      </c>
    </row>
    <row r="1476" spans="1:11">
      <c r="A1476" s="61">
        <v>0</v>
      </c>
      <c r="B1476" s="290">
        <v>0</v>
      </c>
      <c r="C1476" s="290">
        <v>0</v>
      </c>
      <c r="D1476" s="61">
        <v>0</v>
      </c>
      <c r="E1476" s="297">
        <v>0</v>
      </c>
      <c r="F1476" s="297">
        <v>0</v>
      </c>
      <c r="G1476" s="297">
        <v>0</v>
      </c>
      <c r="H1476" s="297">
        <v>0</v>
      </c>
      <c r="I1476" s="298">
        <v>0</v>
      </c>
      <c r="J1476" s="152">
        <v>0</v>
      </c>
      <c r="K1476" s="294">
        <v>0</v>
      </c>
    </row>
    <row r="1477" spans="1:11">
      <c r="A1477" s="61">
        <v>0</v>
      </c>
      <c r="B1477" s="290">
        <v>0</v>
      </c>
      <c r="C1477" s="290">
        <v>0</v>
      </c>
      <c r="D1477" s="61">
        <v>0</v>
      </c>
      <c r="E1477" s="297">
        <v>0</v>
      </c>
      <c r="F1477" s="297">
        <v>0</v>
      </c>
      <c r="G1477" s="297">
        <v>0</v>
      </c>
      <c r="H1477" s="297">
        <v>0</v>
      </c>
      <c r="I1477" s="298">
        <v>0</v>
      </c>
      <c r="J1477" s="152">
        <v>0</v>
      </c>
      <c r="K1477" s="294">
        <v>0</v>
      </c>
    </row>
    <row r="1478" spans="1:11">
      <c r="A1478" s="61">
        <v>0</v>
      </c>
      <c r="B1478" s="290">
        <v>0</v>
      </c>
      <c r="C1478" s="290">
        <v>0</v>
      </c>
      <c r="D1478" s="61">
        <v>0</v>
      </c>
      <c r="E1478" s="297">
        <v>0</v>
      </c>
      <c r="F1478" s="297">
        <v>0</v>
      </c>
      <c r="G1478" s="297">
        <v>0</v>
      </c>
      <c r="H1478" s="297">
        <v>0</v>
      </c>
      <c r="I1478" s="298">
        <v>0</v>
      </c>
      <c r="J1478" s="152">
        <v>0</v>
      </c>
      <c r="K1478" s="294">
        <v>0</v>
      </c>
    </row>
    <row r="1479" spans="1:11">
      <c r="A1479" s="61">
        <v>0</v>
      </c>
      <c r="B1479" s="290">
        <v>0</v>
      </c>
      <c r="C1479" s="290">
        <v>0</v>
      </c>
      <c r="D1479" s="61">
        <v>0</v>
      </c>
      <c r="E1479" s="297">
        <v>0</v>
      </c>
      <c r="F1479" s="297">
        <v>0</v>
      </c>
      <c r="G1479" s="297">
        <v>0</v>
      </c>
      <c r="H1479" s="297">
        <v>0</v>
      </c>
      <c r="I1479" s="298">
        <v>0</v>
      </c>
      <c r="J1479" s="152">
        <v>0</v>
      </c>
      <c r="K1479" s="294">
        <v>0</v>
      </c>
    </row>
    <row r="1480" spans="1:11">
      <c r="A1480" s="61">
        <v>0</v>
      </c>
      <c r="B1480" s="290">
        <v>0</v>
      </c>
      <c r="C1480" s="290">
        <v>0</v>
      </c>
      <c r="D1480" s="61">
        <v>0</v>
      </c>
      <c r="E1480" s="297">
        <v>0</v>
      </c>
      <c r="F1480" s="297">
        <v>0</v>
      </c>
      <c r="G1480" s="297">
        <v>0</v>
      </c>
      <c r="H1480" s="297">
        <v>0</v>
      </c>
      <c r="I1480" s="298">
        <v>0</v>
      </c>
      <c r="J1480" s="152">
        <v>0</v>
      </c>
      <c r="K1480" s="294">
        <v>0</v>
      </c>
    </row>
    <row r="1481" spans="1:11">
      <c r="A1481" s="61">
        <v>0</v>
      </c>
      <c r="B1481" s="290">
        <v>0</v>
      </c>
      <c r="C1481" s="290">
        <v>0</v>
      </c>
      <c r="D1481" s="61">
        <v>0</v>
      </c>
      <c r="E1481" s="297">
        <v>0</v>
      </c>
      <c r="F1481" s="297">
        <v>0</v>
      </c>
      <c r="G1481" s="297">
        <v>0</v>
      </c>
      <c r="H1481" s="297">
        <v>0</v>
      </c>
      <c r="I1481" s="298">
        <v>0</v>
      </c>
      <c r="J1481" s="152">
        <v>0</v>
      </c>
      <c r="K1481" s="294">
        <v>0</v>
      </c>
    </row>
    <row r="1482" spans="1:11">
      <c r="A1482" s="61">
        <v>0</v>
      </c>
      <c r="B1482" s="290">
        <v>0</v>
      </c>
      <c r="C1482" s="290">
        <v>0</v>
      </c>
      <c r="D1482" s="61">
        <v>0</v>
      </c>
      <c r="E1482" s="297">
        <v>0</v>
      </c>
      <c r="F1482" s="297">
        <v>0</v>
      </c>
      <c r="G1482" s="297">
        <v>0</v>
      </c>
      <c r="H1482" s="297">
        <v>0</v>
      </c>
      <c r="I1482" s="298">
        <v>0</v>
      </c>
      <c r="J1482" s="152">
        <v>0</v>
      </c>
      <c r="K1482" s="294">
        <v>0</v>
      </c>
    </row>
    <row r="1483" spans="1:11">
      <c r="A1483" s="61">
        <v>0</v>
      </c>
      <c r="B1483" s="290">
        <v>0</v>
      </c>
      <c r="C1483" s="290">
        <v>0</v>
      </c>
      <c r="D1483" s="61">
        <v>0</v>
      </c>
      <c r="E1483" s="297">
        <v>0</v>
      </c>
      <c r="F1483" s="297">
        <v>0</v>
      </c>
      <c r="G1483" s="297">
        <v>0</v>
      </c>
      <c r="H1483" s="297">
        <v>0</v>
      </c>
      <c r="I1483" s="298">
        <v>0</v>
      </c>
      <c r="J1483" s="152">
        <v>0</v>
      </c>
      <c r="K1483" s="294">
        <v>0</v>
      </c>
    </row>
    <row r="1484" spans="1:11">
      <c r="A1484" s="61">
        <v>0</v>
      </c>
      <c r="B1484" s="290">
        <v>0</v>
      </c>
      <c r="C1484" s="290">
        <v>0</v>
      </c>
      <c r="D1484" s="61">
        <v>0</v>
      </c>
      <c r="E1484" s="297">
        <v>0</v>
      </c>
      <c r="F1484" s="297">
        <v>0</v>
      </c>
      <c r="G1484" s="297">
        <v>0</v>
      </c>
      <c r="H1484" s="297">
        <v>0</v>
      </c>
      <c r="I1484" s="298">
        <v>0</v>
      </c>
      <c r="J1484" s="152">
        <v>0</v>
      </c>
      <c r="K1484" s="294">
        <v>0</v>
      </c>
    </row>
    <row r="1485" spans="1:11">
      <c r="A1485" s="61">
        <v>0</v>
      </c>
      <c r="B1485" s="290">
        <v>0</v>
      </c>
      <c r="C1485" s="290">
        <v>0</v>
      </c>
      <c r="D1485" s="61">
        <v>0</v>
      </c>
      <c r="E1485" s="297">
        <v>0</v>
      </c>
      <c r="F1485" s="297">
        <v>0</v>
      </c>
      <c r="G1485" s="297">
        <v>0</v>
      </c>
      <c r="H1485" s="297">
        <v>0</v>
      </c>
      <c r="I1485" s="298">
        <v>0</v>
      </c>
      <c r="J1485" s="152">
        <v>0</v>
      </c>
      <c r="K1485" s="294">
        <v>0</v>
      </c>
    </row>
    <row r="1486" spans="1:11">
      <c r="A1486" s="61">
        <v>0</v>
      </c>
      <c r="B1486" s="290">
        <v>0</v>
      </c>
      <c r="C1486" s="290">
        <v>0</v>
      </c>
      <c r="D1486" s="61">
        <v>0</v>
      </c>
      <c r="E1486" s="297">
        <v>0</v>
      </c>
      <c r="F1486" s="297">
        <v>0</v>
      </c>
      <c r="G1486" s="297">
        <v>0</v>
      </c>
      <c r="H1486" s="297">
        <v>0</v>
      </c>
      <c r="I1486" s="298">
        <v>0</v>
      </c>
      <c r="J1486" s="152">
        <v>0</v>
      </c>
      <c r="K1486" s="294">
        <v>0</v>
      </c>
    </row>
    <row r="1487" spans="1:11">
      <c r="A1487" s="61">
        <v>0</v>
      </c>
      <c r="B1487" s="290">
        <v>0</v>
      </c>
      <c r="C1487" s="290">
        <v>0</v>
      </c>
      <c r="D1487" s="61">
        <v>0</v>
      </c>
      <c r="E1487" s="297">
        <v>0</v>
      </c>
      <c r="F1487" s="297">
        <v>0</v>
      </c>
      <c r="G1487" s="297">
        <v>0</v>
      </c>
      <c r="H1487" s="297">
        <v>0</v>
      </c>
      <c r="I1487" s="298">
        <v>0</v>
      </c>
      <c r="J1487" s="152">
        <v>0</v>
      </c>
      <c r="K1487" s="294">
        <v>0</v>
      </c>
    </row>
    <row r="1488" spans="1:11">
      <c r="A1488" s="61">
        <v>0</v>
      </c>
      <c r="B1488" s="290">
        <v>0</v>
      </c>
      <c r="C1488" s="290">
        <v>0</v>
      </c>
      <c r="D1488" s="61">
        <v>0</v>
      </c>
      <c r="E1488" s="297">
        <v>0</v>
      </c>
      <c r="F1488" s="297">
        <v>0</v>
      </c>
      <c r="G1488" s="297">
        <v>0</v>
      </c>
      <c r="H1488" s="297">
        <v>0</v>
      </c>
      <c r="I1488" s="298">
        <v>0</v>
      </c>
      <c r="J1488" s="152">
        <v>0</v>
      </c>
      <c r="K1488" s="294">
        <v>0</v>
      </c>
    </row>
    <row r="1489" spans="1:11">
      <c r="A1489" s="61">
        <v>0</v>
      </c>
      <c r="B1489" s="290">
        <v>0</v>
      </c>
      <c r="C1489" s="290">
        <v>0</v>
      </c>
      <c r="D1489" s="61">
        <v>0</v>
      </c>
      <c r="E1489" s="297">
        <v>0</v>
      </c>
      <c r="F1489" s="297">
        <v>0</v>
      </c>
      <c r="G1489" s="297">
        <v>0</v>
      </c>
      <c r="H1489" s="297">
        <v>0</v>
      </c>
      <c r="I1489" s="298">
        <v>0</v>
      </c>
      <c r="J1489" s="152">
        <v>0</v>
      </c>
      <c r="K1489" s="294">
        <v>0</v>
      </c>
    </row>
    <row r="1490" spans="1:11">
      <c r="A1490" s="61">
        <v>0</v>
      </c>
      <c r="B1490" s="290">
        <v>0</v>
      </c>
      <c r="C1490" s="290">
        <v>0</v>
      </c>
      <c r="D1490" s="61">
        <v>0</v>
      </c>
      <c r="E1490" s="297">
        <v>0</v>
      </c>
      <c r="F1490" s="297">
        <v>0</v>
      </c>
      <c r="G1490" s="297">
        <v>0</v>
      </c>
      <c r="H1490" s="297">
        <v>0</v>
      </c>
      <c r="I1490" s="298">
        <v>0</v>
      </c>
      <c r="J1490" s="152">
        <v>0</v>
      </c>
      <c r="K1490" s="294">
        <v>0</v>
      </c>
    </row>
    <row r="1491" spans="1:11">
      <c r="A1491" s="61">
        <v>0</v>
      </c>
      <c r="B1491" s="290">
        <v>0</v>
      </c>
      <c r="C1491" s="290">
        <v>0</v>
      </c>
      <c r="D1491" s="61">
        <v>0</v>
      </c>
      <c r="E1491" s="297">
        <v>0</v>
      </c>
      <c r="F1491" s="297">
        <v>0</v>
      </c>
      <c r="G1491" s="297">
        <v>0</v>
      </c>
      <c r="H1491" s="297">
        <v>0</v>
      </c>
      <c r="I1491" s="298">
        <v>0</v>
      </c>
      <c r="J1491" s="152">
        <v>0</v>
      </c>
      <c r="K1491" s="294">
        <v>0</v>
      </c>
    </row>
    <row r="1492" spans="1:11">
      <c r="A1492" s="61">
        <v>0</v>
      </c>
      <c r="B1492" s="290">
        <v>0</v>
      </c>
      <c r="C1492" s="290">
        <v>0</v>
      </c>
      <c r="D1492" s="61">
        <v>0</v>
      </c>
      <c r="E1492" s="297">
        <v>0</v>
      </c>
      <c r="F1492" s="297">
        <v>0</v>
      </c>
      <c r="G1492" s="297">
        <v>0</v>
      </c>
      <c r="H1492" s="297">
        <v>0</v>
      </c>
      <c r="I1492" s="298">
        <v>0</v>
      </c>
      <c r="J1492" s="152">
        <v>0</v>
      </c>
      <c r="K1492" s="294">
        <v>0</v>
      </c>
    </row>
    <row r="1493" spans="1:11">
      <c r="A1493" s="61">
        <v>0</v>
      </c>
      <c r="B1493" s="290">
        <v>0</v>
      </c>
      <c r="C1493" s="290">
        <v>0</v>
      </c>
      <c r="D1493" s="61">
        <v>0</v>
      </c>
      <c r="E1493" s="297">
        <v>0</v>
      </c>
      <c r="F1493" s="297">
        <v>0</v>
      </c>
      <c r="G1493" s="297">
        <v>0</v>
      </c>
      <c r="H1493" s="297">
        <v>0</v>
      </c>
      <c r="I1493" s="298">
        <v>0</v>
      </c>
      <c r="J1493" s="152">
        <v>0</v>
      </c>
      <c r="K1493" s="294">
        <v>0</v>
      </c>
    </row>
    <row r="1494" spans="1:11">
      <c r="A1494" s="61">
        <v>0</v>
      </c>
      <c r="B1494" s="290">
        <v>0</v>
      </c>
      <c r="C1494" s="290">
        <v>0</v>
      </c>
      <c r="D1494" s="61">
        <v>0</v>
      </c>
      <c r="E1494" s="297">
        <v>0</v>
      </c>
      <c r="F1494" s="297">
        <v>0</v>
      </c>
      <c r="G1494" s="297">
        <v>0</v>
      </c>
      <c r="H1494" s="297">
        <v>0</v>
      </c>
      <c r="I1494" s="298">
        <v>0</v>
      </c>
      <c r="J1494" s="152">
        <v>0</v>
      </c>
      <c r="K1494" s="294">
        <v>0</v>
      </c>
    </row>
    <row r="1495" spans="1:11">
      <c r="A1495" s="61">
        <v>0</v>
      </c>
      <c r="B1495" s="290">
        <v>0</v>
      </c>
      <c r="C1495" s="290">
        <v>0</v>
      </c>
      <c r="D1495" s="61">
        <v>0</v>
      </c>
      <c r="E1495" s="297">
        <v>0</v>
      </c>
      <c r="F1495" s="297">
        <v>0</v>
      </c>
      <c r="G1495" s="297">
        <v>0</v>
      </c>
      <c r="H1495" s="297">
        <v>0</v>
      </c>
      <c r="I1495" s="298">
        <v>0</v>
      </c>
      <c r="J1495" s="152">
        <v>0</v>
      </c>
      <c r="K1495" s="294">
        <v>0</v>
      </c>
    </row>
    <row r="1496" spans="1:11">
      <c r="A1496" s="61">
        <v>0</v>
      </c>
      <c r="B1496" s="290">
        <v>0</v>
      </c>
      <c r="C1496" s="290">
        <v>0</v>
      </c>
      <c r="D1496" s="61">
        <v>0</v>
      </c>
      <c r="E1496" s="297">
        <v>0</v>
      </c>
      <c r="F1496" s="297">
        <v>0</v>
      </c>
      <c r="G1496" s="297">
        <v>0</v>
      </c>
      <c r="H1496" s="297">
        <v>0</v>
      </c>
      <c r="I1496" s="298">
        <v>0</v>
      </c>
      <c r="J1496" s="152">
        <v>0</v>
      </c>
      <c r="K1496" s="294">
        <v>0</v>
      </c>
    </row>
    <row r="1497" spans="1:11">
      <c r="A1497" s="61">
        <v>0</v>
      </c>
      <c r="B1497" s="290">
        <v>0</v>
      </c>
      <c r="C1497" s="290">
        <v>0</v>
      </c>
      <c r="D1497" s="61">
        <v>0</v>
      </c>
      <c r="E1497" s="297">
        <v>0</v>
      </c>
      <c r="F1497" s="297">
        <v>0</v>
      </c>
      <c r="G1497" s="297">
        <v>0</v>
      </c>
      <c r="H1497" s="297">
        <v>0</v>
      </c>
      <c r="I1497" s="298">
        <v>0</v>
      </c>
      <c r="J1497" s="152">
        <v>0</v>
      </c>
      <c r="K1497" s="294">
        <v>0</v>
      </c>
    </row>
    <row r="1498" spans="1:11">
      <c r="A1498" s="61">
        <v>0</v>
      </c>
      <c r="B1498" s="290">
        <v>0</v>
      </c>
      <c r="C1498" s="290">
        <v>0</v>
      </c>
      <c r="D1498" s="61">
        <v>0</v>
      </c>
      <c r="E1498" s="297">
        <v>0</v>
      </c>
      <c r="F1498" s="297">
        <v>0</v>
      </c>
      <c r="G1498" s="297">
        <v>0</v>
      </c>
      <c r="H1498" s="297">
        <v>0</v>
      </c>
      <c r="I1498" s="298">
        <v>0</v>
      </c>
      <c r="J1498" s="152">
        <v>0</v>
      </c>
      <c r="K1498" s="294">
        <v>0</v>
      </c>
    </row>
    <row r="1499" spans="1:11">
      <c r="A1499" s="61">
        <v>0</v>
      </c>
      <c r="B1499" s="290">
        <v>0</v>
      </c>
      <c r="C1499" s="290">
        <v>0</v>
      </c>
      <c r="D1499" s="61">
        <v>0</v>
      </c>
      <c r="E1499" s="297">
        <v>0</v>
      </c>
      <c r="F1499" s="297">
        <v>0</v>
      </c>
      <c r="G1499" s="297">
        <v>0</v>
      </c>
      <c r="H1499" s="297">
        <v>0</v>
      </c>
      <c r="I1499" s="298">
        <v>0</v>
      </c>
      <c r="J1499" s="152">
        <v>0</v>
      </c>
      <c r="K1499" s="294">
        <v>0</v>
      </c>
    </row>
    <row r="1500" spans="1:11">
      <c r="A1500" s="61">
        <v>0</v>
      </c>
      <c r="B1500" s="290">
        <v>0</v>
      </c>
      <c r="C1500" s="290">
        <v>0</v>
      </c>
      <c r="D1500" s="61">
        <v>0</v>
      </c>
      <c r="E1500" s="297">
        <v>0</v>
      </c>
      <c r="F1500" s="297">
        <v>0</v>
      </c>
      <c r="G1500" s="297">
        <v>0</v>
      </c>
      <c r="H1500" s="297">
        <v>0</v>
      </c>
      <c r="I1500" s="298">
        <v>0</v>
      </c>
      <c r="J1500" s="152">
        <v>0</v>
      </c>
      <c r="K1500" s="294">
        <v>0</v>
      </c>
    </row>
    <row r="1501" spans="1:11">
      <c r="A1501" s="61">
        <v>0</v>
      </c>
      <c r="B1501" s="290">
        <v>0</v>
      </c>
      <c r="C1501" s="290">
        <v>0</v>
      </c>
      <c r="D1501" s="61">
        <v>0</v>
      </c>
      <c r="E1501" s="297">
        <v>0</v>
      </c>
      <c r="F1501" s="297">
        <v>0</v>
      </c>
      <c r="G1501" s="297">
        <v>0</v>
      </c>
      <c r="H1501" s="297">
        <v>0</v>
      </c>
      <c r="I1501" s="298">
        <v>0</v>
      </c>
      <c r="J1501" s="152">
        <v>0</v>
      </c>
      <c r="K1501" s="294">
        <v>0</v>
      </c>
    </row>
    <row r="1502" spans="1:11">
      <c r="A1502" s="61">
        <v>0</v>
      </c>
      <c r="B1502" s="290">
        <v>0</v>
      </c>
      <c r="C1502" s="290">
        <v>0</v>
      </c>
      <c r="D1502" s="61">
        <v>0</v>
      </c>
      <c r="E1502" s="297">
        <v>0</v>
      </c>
      <c r="F1502" s="297">
        <v>0</v>
      </c>
      <c r="G1502" s="297">
        <v>0</v>
      </c>
      <c r="H1502" s="297">
        <v>0</v>
      </c>
      <c r="I1502" s="298">
        <v>0</v>
      </c>
      <c r="J1502" s="152">
        <v>0</v>
      </c>
      <c r="K1502" s="294">
        <v>0</v>
      </c>
    </row>
    <row r="1503" spans="1:11">
      <c r="A1503" s="61">
        <v>0</v>
      </c>
      <c r="B1503" s="290">
        <v>0</v>
      </c>
      <c r="C1503" s="290">
        <v>0</v>
      </c>
      <c r="D1503" s="61">
        <v>0</v>
      </c>
      <c r="E1503" s="297">
        <v>0</v>
      </c>
      <c r="F1503" s="297">
        <v>0</v>
      </c>
      <c r="G1503" s="297">
        <v>0</v>
      </c>
      <c r="H1503" s="297">
        <v>0</v>
      </c>
      <c r="I1503" s="298">
        <v>0</v>
      </c>
      <c r="J1503" s="152">
        <v>0</v>
      </c>
      <c r="K1503" s="294">
        <v>0</v>
      </c>
    </row>
    <row r="1504" spans="1:11">
      <c r="A1504" s="61">
        <v>0</v>
      </c>
      <c r="B1504" s="290">
        <v>0</v>
      </c>
      <c r="C1504" s="290">
        <v>0</v>
      </c>
      <c r="D1504" s="61">
        <v>0</v>
      </c>
      <c r="E1504" s="297">
        <v>0</v>
      </c>
      <c r="F1504" s="297">
        <v>0</v>
      </c>
      <c r="G1504" s="297">
        <v>0</v>
      </c>
      <c r="H1504" s="297">
        <v>0</v>
      </c>
      <c r="I1504" s="298">
        <v>0</v>
      </c>
      <c r="J1504" s="152">
        <v>0</v>
      </c>
      <c r="K1504" s="294">
        <v>0</v>
      </c>
    </row>
    <row r="1505" spans="1:11">
      <c r="A1505" s="61">
        <v>0</v>
      </c>
      <c r="B1505" s="290">
        <v>0</v>
      </c>
      <c r="C1505" s="290">
        <v>0</v>
      </c>
      <c r="D1505" s="61">
        <v>0</v>
      </c>
      <c r="E1505" s="297">
        <v>0</v>
      </c>
      <c r="F1505" s="297">
        <v>0</v>
      </c>
      <c r="G1505" s="297">
        <v>0</v>
      </c>
      <c r="H1505" s="297">
        <v>0</v>
      </c>
      <c r="I1505" s="298">
        <v>0</v>
      </c>
      <c r="J1505" s="152">
        <v>0</v>
      </c>
      <c r="K1505" s="294">
        <v>0</v>
      </c>
    </row>
    <row r="1506" spans="1:11">
      <c r="A1506" s="61">
        <v>0</v>
      </c>
      <c r="B1506" s="290">
        <v>0</v>
      </c>
      <c r="C1506" s="290">
        <v>0</v>
      </c>
      <c r="D1506" s="61">
        <v>0</v>
      </c>
      <c r="E1506" s="297">
        <v>0</v>
      </c>
      <c r="F1506" s="297">
        <v>0</v>
      </c>
      <c r="G1506" s="297">
        <v>0</v>
      </c>
      <c r="H1506" s="297">
        <v>0</v>
      </c>
      <c r="I1506" s="298">
        <v>0</v>
      </c>
      <c r="J1506" s="152">
        <v>0</v>
      </c>
      <c r="K1506" s="294">
        <v>0</v>
      </c>
    </row>
    <row r="1507" spans="1:11">
      <c r="A1507" s="61">
        <v>0</v>
      </c>
      <c r="B1507" s="290">
        <v>0</v>
      </c>
      <c r="C1507" s="290">
        <v>0</v>
      </c>
      <c r="D1507" s="61">
        <v>0</v>
      </c>
      <c r="E1507" s="297">
        <v>0</v>
      </c>
      <c r="F1507" s="297">
        <v>0</v>
      </c>
      <c r="G1507" s="297">
        <v>0</v>
      </c>
      <c r="H1507" s="297">
        <v>0</v>
      </c>
      <c r="I1507" s="298">
        <v>0</v>
      </c>
      <c r="J1507" s="152">
        <v>0</v>
      </c>
      <c r="K1507" s="294">
        <v>0</v>
      </c>
    </row>
    <row r="1508" spans="1:11">
      <c r="A1508" s="61">
        <v>0</v>
      </c>
      <c r="B1508" s="290">
        <v>0</v>
      </c>
      <c r="C1508" s="290">
        <v>0</v>
      </c>
      <c r="D1508" s="61">
        <v>0</v>
      </c>
      <c r="E1508" s="297">
        <v>0</v>
      </c>
      <c r="F1508" s="297">
        <v>0</v>
      </c>
      <c r="G1508" s="297">
        <v>0</v>
      </c>
      <c r="H1508" s="297">
        <v>0</v>
      </c>
      <c r="I1508" s="298">
        <v>0</v>
      </c>
      <c r="J1508" s="152">
        <v>0</v>
      </c>
      <c r="K1508" s="294">
        <v>0</v>
      </c>
    </row>
    <row r="1509" spans="1:11">
      <c r="A1509" s="61">
        <v>0</v>
      </c>
      <c r="B1509" s="290">
        <v>0</v>
      </c>
      <c r="C1509" s="290">
        <v>0</v>
      </c>
      <c r="D1509" s="61">
        <v>0</v>
      </c>
      <c r="E1509" s="297">
        <v>0</v>
      </c>
      <c r="F1509" s="297">
        <v>0</v>
      </c>
      <c r="G1509" s="297">
        <v>0</v>
      </c>
      <c r="H1509" s="297">
        <v>0</v>
      </c>
      <c r="I1509" s="298">
        <v>0</v>
      </c>
      <c r="J1509" s="152">
        <v>0</v>
      </c>
      <c r="K1509" s="294">
        <v>0</v>
      </c>
    </row>
    <row r="1510" spans="1:11">
      <c r="A1510" s="61">
        <v>0</v>
      </c>
      <c r="B1510" s="290">
        <v>0</v>
      </c>
      <c r="C1510" s="290">
        <v>0</v>
      </c>
      <c r="D1510" s="61">
        <v>0</v>
      </c>
      <c r="E1510" s="297">
        <v>0</v>
      </c>
      <c r="F1510" s="297">
        <v>0</v>
      </c>
      <c r="G1510" s="297">
        <v>0</v>
      </c>
      <c r="H1510" s="297">
        <v>0</v>
      </c>
      <c r="I1510" s="298">
        <v>0</v>
      </c>
      <c r="J1510" s="152">
        <v>0</v>
      </c>
      <c r="K1510" s="294">
        <v>0</v>
      </c>
    </row>
    <row r="1511" spans="1:11">
      <c r="A1511" s="61">
        <v>0</v>
      </c>
      <c r="B1511" s="290">
        <v>0</v>
      </c>
      <c r="C1511" s="290">
        <v>0</v>
      </c>
      <c r="D1511" s="61">
        <v>0</v>
      </c>
      <c r="E1511" s="297">
        <v>0</v>
      </c>
      <c r="F1511" s="297">
        <v>0</v>
      </c>
      <c r="G1511" s="297">
        <v>0</v>
      </c>
      <c r="H1511" s="297">
        <v>0</v>
      </c>
      <c r="I1511" s="298">
        <v>0</v>
      </c>
      <c r="J1511" s="152">
        <v>0</v>
      </c>
      <c r="K1511" s="294">
        <v>0</v>
      </c>
    </row>
    <row r="1512" spans="1:11">
      <c r="A1512" s="61">
        <v>0</v>
      </c>
      <c r="B1512" s="290">
        <v>0</v>
      </c>
      <c r="C1512" s="290">
        <v>0</v>
      </c>
      <c r="D1512" s="61">
        <v>0</v>
      </c>
      <c r="E1512" s="297">
        <v>0</v>
      </c>
      <c r="F1512" s="297">
        <v>0</v>
      </c>
      <c r="G1512" s="297">
        <v>0</v>
      </c>
      <c r="H1512" s="297">
        <v>0</v>
      </c>
      <c r="I1512" s="298">
        <v>0</v>
      </c>
      <c r="J1512" s="152">
        <v>0</v>
      </c>
      <c r="K1512" s="294">
        <v>0</v>
      </c>
    </row>
    <row r="1513" spans="1:11">
      <c r="A1513" s="61">
        <v>0</v>
      </c>
      <c r="B1513" s="290">
        <v>0</v>
      </c>
      <c r="C1513" s="290">
        <v>0</v>
      </c>
      <c r="D1513" s="61">
        <v>0</v>
      </c>
      <c r="E1513" s="297">
        <v>0</v>
      </c>
      <c r="F1513" s="297">
        <v>0</v>
      </c>
      <c r="G1513" s="297">
        <v>0</v>
      </c>
      <c r="H1513" s="297">
        <v>0</v>
      </c>
      <c r="I1513" s="298">
        <v>0</v>
      </c>
      <c r="J1513" s="152">
        <v>0</v>
      </c>
      <c r="K1513" s="294">
        <v>0</v>
      </c>
    </row>
    <row r="1514" spans="1:11">
      <c r="A1514" s="61">
        <v>0</v>
      </c>
      <c r="B1514" s="290">
        <v>0</v>
      </c>
      <c r="C1514" s="290">
        <v>0</v>
      </c>
      <c r="D1514" s="61">
        <v>0</v>
      </c>
      <c r="E1514" s="297">
        <v>0</v>
      </c>
      <c r="F1514" s="297">
        <v>0</v>
      </c>
      <c r="G1514" s="297">
        <v>0</v>
      </c>
      <c r="H1514" s="297">
        <v>0</v>
      </c>
      <c r="I1514" s="298">
        <v>0</v>
      </c>
      <c r="J1514" s="152">
        <v>0</v>
      </c>
      <c r="K1514" s="294">
        <v>0</v>
      </c>
    </row>
    <row r="1515" spans="1:11">
      <c r="A1515" s="61">
        <v>0</v>
      </c>
      <c r="B1515" s="290">
        <v>0</v>
      </c>
      <c r="C1515" s="290">
        <v>0</v>
      </c>
      <c r="D1515" s="61">
        <v>0</v>
      </c>
      <c r="E1515" s="297">
        <v>0</v>
      </c>
      <c r="F1515" s="297">
        <v>0</v>
      </c>
      <c r="G1515" s="297">
        <v>0</v>
      </c>
      <c r="H1515" s="297">
        <v>0</v>
      </c>
      <c r="I1515" s="298">
        <v>0</v>
      </c>
      <c r="J1515" s="152">
        <v>0</v>
      </c>
      <c r="K1515" s="294">
        <v>0</v>
      </c>
    </row>
    <row r="1516" spans="1:11">
      <c r="A1516" s="61">
        <v>0</v>
      </c>
      <c r="B1516" s="290">
        <v>0</v>
      </c>
      <c r="C1516" s="290">
        <v>0</v>
      </c>
      <c r="D1516" s="61">
        <v>0</v>
      </c>
      <c r="E1516" s="297">
        <v>0</v>
      </c>
      <c r="F1516" s="297">
        <v>0</v>
      </c>
      <c r="G1516" s="297">
        <v>0</v>
      </c>
      <c r="H1516" s="297">
        <v>0</v>
      </c>
      <c r="I1516" s="298">
        <v>0</v>
      </c>
      <c r="J1516" s="152">
        <v>0</v>
      </c>
      <c r="K1516" s="294">
        <v>0</v>
      </c>
    </row>
    <row r="1517" spans="1:11">
      <c r="A1517" s="61">
        <v>0</v>
      </c>
      <c r="B1517" s="290">
        <v>0</v>
      </c>
      <c r="C1517" s="290">
        <v>0</v>
      </c>
      <c r="D1517" s="61">
        <v>0</v>
      </c>
      <c r="E1517" s="297">
        <v>0</v>
      </c>
      <c r="F1517" s="297">
        <v>0</v>
      </c>
      <c r="G1517" s="297">
        <v>0</v>
      </c>
      <c r="H1517" s="297">
        <v>0</v>
      </c>
      <c r="I1517" s="298">
        <v>0</v>
      </c>
      <c r="J1517" s="152">
        <v>0</v>
      </c>
      <c r="K1517" s="294">
        <v>0</v>
      </c>
    </row>
    <row r="1518" spans="1:11">
      <c r="A1518" s="61">
        <v>0</v>
      </c>
      <c r="B1518" s="290">
        <v>0</v>
      </c>
      <c r="C1518" s="290">
        <v>0</v>
      </c>
      <c r="D1518" s="61">
        <v>0</v>
      </c>
      <c r="E1518" s="297">
        <v>0</v>
      </c>
      <c r="F1518" s="297">
        <v>0</v>
      </c>
      <c r="G1518" s="297">
        <v>0</v>
      </c>
      <c r="H1518" s="297">
        <v>0</v>
      </c>
      <c r="I1518" s="298">
        <v>0</v>
      </c>
      <c r="J1518" s="152">
        <v>0</v>
      </c>
      <c r="K1518" s="294">
        <v>0</v>
      </c>
    </row>
    <row r="1519" spans="1:11">
      <c r="A1519" s="61">
        <v>0</v>
      </c>
      <c r="B1519" s="290">
        <v>0</v>
      </c>
      <c r="C1519" s="290">
        <v>0</v>
      </c>
      <c r="D1519" s="61">
        <v>0</v>
      </c>
      <c r="E1519" s="297">
        <v>0</v>
      </c>
      <c r="F1519" s="297">
        <v>0</v>
      </c>
      <c r="G1519" s="297">
        <v>0</v>
      </c>
      <c r="H1519" s="297">
        <v>0</v>
      </c>
      <c r="I1519" s="298">
        <v>0</v>
      </c>
      <c r="J1519" s="152">
        <v>0</v>
      </c>
      <c r="K1519" s="294">
        <v>0</v>
      </c>
    </row>
    <row r="1520" spans="1:11">
      <c r="A1520" s="61">
        <v>0</v>
      </c>
      <c r="B1520" s="290">
        <v>0</v>
      </c>
      <c r="C1520" s="290">
        <v>0</v>
      </c>
      <c r="D1520" s="61">
        <v>0</v>
      </c>
      <c r="E1520" s="297">
        <v>0</v>
      </c>
      <c r="F1520" s="297">
        <v>0</v>
      </c>
      <c r="G1520" s="297">
        <v>0</v>
      </c>
      <c r="H1520" s="297">
        <v>0</v>
      </c>
      <c r="I1520" s="298">
        <v>0</v>
      </c>
      <c r="J1520" s="152">
        <v>0</v>
      </c>
      <c r="K1520" s="294">
        <v>0</v>
      </c>
    </row>
    <row r="1521" spans="1:11">
      <c r="A1521" s="61">
        <v>0</v>
      </c>
      <c r="B1521" s="290">
        <v>0</v>
      </c>
      <c r="C1521" s="290">
        <v>0</v>
      </c>
      <c r="D1521" s="61">
        <v>0</v>
      </c>
      <c r="E1521" s="297">
        <v>0</v>
      </c>
      <c r="F1521" s="297">
        <v>0</v>
      </c>
      <c r="G1521" s="297">
        <v>0</v>
      </c>
      <c r="H1521" s="297">
        <v>0</v>
      </c>
      <c r="I1521" s="298">
        <v>0</v>
      </c>
      <c r="J1521" s="152">
        <v>0</v>
      </c>
      <c r="K1521" s="294">
        <v>0</v>
      </c>
    </row>
    <row r="1522" spans="1:11">
      <c r="A1522" s="61">
        <v>0</v>
      </c>
      <c r="B1522" s="290">
        <v>0</v>
      </c>
      <c r="C1522" s="290">
        <v>0</v>
      </c>
      <c r="D1522" s="61">
        <v>0</v>
      </c>
      <c r="E1522" s="297">
        <v>0</v>
      </c>
      <c r="F1522" s="297">
        <v>0</v>
      </c>
      <c r="G1522" s="297">
        <v>0</v>
      </c>
      <c r="H1522" s="297">
        <v>0</v>
      </c>
      <c r="I1522" s="298">
        <v>0</v>
      </c>
      <c r="J1522" s="152">
        <v>0</v>
      </c>
      <c r="K1522" s="294">
        <v>0</v>
      </c>
    </row>
    <row r="1523" spans="1:11">
      <c r="A1523" s="61">
        <v>0</v>
      </c>
      <c r="B1523" s="290">
        <v>0</v>
      </c>
      <c r="C1523" s="290">
        <v>0</v>
      </c>
      <c r="D1523" s="61">
        <v>0</v>
      </c>
      <c r="E1523" s="297">
        <v>0</v>
      </c>
      <c r="F1523" s="297">
        <v>0</v>
      </c>
      <c r="G1523" s="297">
        <v>0</v>
      </c>
      <c r="H1523" s="297">
        <v>0</v>
      </c>
      <c r="I1523" s="298">
        <v>0</v>
      </c>
      <c r="J1523" s="152">
        <v>0</v>
      </c>
      <c r="K1523" s="294">
        <v>0</v>
      </c>
    </row>
    <row r="1524" spans="1:11">
      <c r="A1524" s="61">
        <v>0</v>
      </c>
      <c r="B1524" s="290">
        <v>0</v>
      </c>
      <c r="C1524" s="290">
        <v>0</v>
      </c>
      <c r="D1524" s="61">
        <v>0</v>
      </c>
      <c r="E1524" s="297">
        <v>0</v>
      </c>
      <c r="F1524" s="297">
        <v>0</v>
      </c>
      <c r="G1524" s="297">
        <v>0</v>
      </c>
      <c r="H1524" s="297">
        <v>0</v>
      </c>
      <c r="I1524" s="298">
        <v>0</v>
      </c>
      <c r="J1524" s="152">
        <v>0</v>
      </c>
      <c r="K1524" s="294">
        <v>0</v>
      </c>
    </row>
    <row r="1525" spans="1:11">
      <c r="A1525" s="61">
        <v>0</v>
      </c>
      <c r="B1525" s="290">
        <v>0</v>
      </c>
      <c r="C1525" s="290">
        <v>0</v>
      </c>
      <c r="D1525" s="61">
        <v>0</v>
      </c>
      <c r="E1525" s="297">
        <v>0</v>
      </c>
      <c r="F1525" s="297">
        <v>0</v>
      </c>
      <c r="G1525" s="297">
        <v>0</v>
      </c>
      <c r="H1525" s="297">
        <v>0</v>
      </c>
      <c r="I1525" s="298">
        <v>0</v>
      </c>
      <c r="J1525" s="152">
        <v>0</v>
      </c>
      <c r="K1525" s="294">
        <v>0</v>
      </c>
    </row>
    <row r="1526" spans="1:11">
      <c r="A1526" s="61">
        <v>0</v>
      </c>
      <c r="B1526" s="290">
        <v>0</v>
      </c>
      <c r="C1526" s="290">
        <v>0</v>
      </c>
      <c r="D1526" s="61">
        <v>0</v>
      </c>
      <c r="E1526" s="297">
        <v>0</v>
      </c>
      <c r="F1526" s="297">
        <v>0</v>
      </c>
      <c r="G1526" s="297">
        <v>0</v>
      </c>
      <c r="H1526" s="297">
        <v>0</v>
      </c>
      <c r="I1526" s="298">
        <v>0</v>
      </c>
      <c r="J1526" s="152">
        <v>0</v>
      </c>
      <c r="K1526" s="294">
        <v>0</v>
      </c>
    </row>
    <row r="1527" spans="1:11">
      <c r="A1527" s="61">
        <v>0</v>
      </c>
      <c r="B1527" s="290">
        <v>0</v>
      </c>
      <c r="C1527" s="290">
        <v>0</v>
      </c>
      <c r="D1527" s="61">
        <v>0</v>
      </c>
      <c r="E1527" s="297">
        <v>0</v>
      </c>
      <c r="F1527" s="297">
        <v>0</v>
      </c>
      <c r="G1527" s="297">
        <v>0</v>
      </c>
      <c r="H1527" s="297">
        <v>0</v>
      </c>
      <c r="I1527" s="298">
        <v>0</v>
      </c>
      <c r="J1527" s="152">
        <v>0</v>
      </c>
      <c r="K1527" s="294">
        <v>0</v>
      </c>
    </row>
    <row r="1528" spans="1:11">
      <c r="A1528" s="61">
        <v>0</v>
      </c>
      <c r="B1528" s="290">
        <v>0</v>
      </c>
      <c r="C1528" s="290">
        <v>0</v>
      </c>
      <c r="D1528" s="61">
        <v>0</v>
      </c>
      <c r="E1528" s="297">
        <v>0</v>
      </c>
      <c r="F1528" s="297">
        <v>0</v>
      </c>
      <c r="G1528" s="297">
        <v>0</v>
      </c>
      <c r="H1528" s="297">
        <v>0</v>
      </c>
      <c r="I1528" s="298">
        <v>0</v>
      </c>
      <c r="J1528" s="152">
        <v>0</v>
      </c>
      <c r="K1528" s="294">
        <v>0</v>
      </c>
    </row>
    <row r="1529" spans="1:11">
      <c r="A1529" s="61">
        <v>0</v>
      </c>
      <c r="B1529" s="290">
        <v>0</v>
      </c>
      <c r="C1529" s="290">
        <v>0</v>
      </c>
      <c r="D1529" s="61">
        <v>0</v>
      </c>
      <c r="E1529" s="297">
        <v>0</v>
      </c>
      <c r="F1529" s="297">
        <v>0</v>
      </c>
      <c r="G1529" s="297">
        <v>0</v>
      </c>
      <c r="H1529" s="297">
        <v>0</v>
      </c>
      <c r="I1529" s="298">
        <v>0</v>
      </c>
      <c r="J1529" s="152">
        <v>0</v>
      </c>
      <c r="K1529" s="294">
        <v>0</v>
      </c>
    </row>
    <row r="1530" spans="1:11">
      <c r="A1530" s="61">
        <v>0</v>
      </c>
      <c r="B1530" s="290">
        <v>0</v>
      </c>
      <c r="C1530" s="290">
        <v>0</v>
      </c>
      <c r="D1530" s="61">
        <v>0</v>
      </c>
      <c r="E1530" s="297">
        <v>0</v>
      </c>
      <c r="F1530" s="297">
        <v>0</v>
      </c>
      <c r="G1530" s="297">
        <v>0</v>
      </c>
      <c r="H1530" s="297">
        <v>0</v>
      </c>
      <c r="I1530" s="298">
        <v>0</v>
      </c>
      <c r="J1530" s="152">
        <v>0</v>
      </c>
      <c r="K1530" s="294">
        <v>0</v>
      </c>
    </row>
    <row r="1531" spans="1:11">
      <c r="A1531" s="61">
        <v>0</v>
      </c>
      <c r="B1531" s="290">
        <v>0</v>
      </c>
      <c r="C1531" s="290">
        <v>0</v>
      </c>
      <c r="D1531" s="61">
        <v>0</v>
      </c>
      <c r="E1531" s="297">
        <v>0</v>
      </c>
      <c r="F1531" s="297">
        <v>0</v>
      </c>
      <c r="G1531" s="297">
        <v>0</v>
      </c>
      <c r="H1531" s="297">
        <v>0</v>
      </c>
      <c r="I1531" s="298">
        <v>0</v>
      </c>
      <c r="J1531" s="152">
        <v>0</v>
      </c>
      <c r="K1531" s="294">
        <v>0</v>
      </c>
    </row>
    <row r="1532" spans="1:11">
      <c r="A1532" s="61">
        <v>0</v>
      </c>
      <c r="B1532" s="290">
        <v>0</v>
      </c>
      <c r="C1532" s="290">
        <v>0</v>
      </c>
      <c r="D1532" s="61">
        <v>0</v>
      </c>
      <c r="E1532" s="297">
        <v>0</v>
      </c>
      <c r="F1532" s="297">
        <v>0</v>
      </c>
      <c r="G1532" s="297">
        <v>0</v>
      </c>
      <c r="H1532" s="297">
        <v>0</v>
      </c>
      <c r="I1532" s="298">
        <v>0</v>
      </c>
      <c r="J1532" s="152">
        <v>0</v>
      </c>
      <c r="K1532" s="294">
        <v>0</v>
      </c>
    </row>
    <row r="1533" spans="1:11">
      <c r="A1533" s="61">
        <v>0</v>
      </c>
      <c r="B1533" s="290">
        <v>0</v>
      </c>
      <c r="C1533" s="290">
        <v>0</v>
      </c>
      <c r="D1533" s="61">
        <v>0</v>
      </c>
      <c r="E1533" s="297">
        <v>0</v>
      </c>
      <c r="F1533" s="297">
        <v>0</v>
      </c>
      <c r="G1533" s="297">
        <v>0</v>
      </c>
      <c r="H1533" s="297">
        <v>0</v>
      </c>
      <c r="I1533" s="298">
        <v>0</v>
      </c>
      <c r="J1533" s="152">
        <v>0</v>
      </c>
      <c r="K1533" s="294">
        <v>0</v>
      </c>
    </row>
    <row r="1534" spans="1:11">
      <c r="A1534" s="61">
        <v>0</v>
      </c>
      <c r="B1534" s="290">
        <v>0</v>
      </c>
      <c r="C1534" s="290">
        <v>0</v>
      </c>
      <c r="D1534" s="61">
        <v>0</v>
      </c>
      <c r="E1534" s="297">
        <v>0</v>
      </c>
      <c r="F1534" s="297">
        <v>0</v>
      </c>
      <c r="G1534" s="297">
        <v>0</v>
      </c>
      <c r="H1534" s="297">
        <v>0</v>
      </c>
      <c r="I1534" s="298">
        <v>0</v>
      </c>
      <c r="J1534" s="152">
        <v>0</v>
      </c>
      <c r="K1534" s="294">
        <v>0</v>
      </c>
    </row>
    <row r="1535" spans="1:11">
      <c r="A1535" s="61">
        <v>0</v>
      </c>
      <c r="B1535" s="290">
        <v>0</v>
      </c>
      <c r="C1535" s="290">
        <v>0</v>
      </c>
      <c r="D1535" s="61">
        <v>0</v>
      </c>
      <c r="E1535" s="297">
        <v>0</v>
      </c>
      <c r="F1535" s="297">
        <v>0</v>
      </c>
      <c r="G1535" s="297">
        <v>0</v>
      </c>
      <c r="H1535" s="297">
        <v>0</v>
      </c>
      <c r="I1535" s="298">
        <v>0</v>
      </c>
      <c r="J1535" s="152">
        <v>0</v>
      </c>
      <c r="K1535" s="294">
        <v>0</v>
      </c>
    </row>
    <row r="1536" spans="1:11">
      <c r="A1536" s="61">
        <v>0</v>
      </c>
      <c r="B1536" s="290">
        <v>0</v>
      </c>
      <c r="C1536" s="290">
        <v>0</v>
      </c>
      <c r="D1536" s="61">
        <v>0</v>
      </c>
      <c r="E1536" s="297">
        <v>0</v>
      </c>
      <c r="F1536" s="297">
        <v>0</v>
      </c>
      <c r="G1536" s="297">
        <v>0</v>
      </c>
      <c r="H1536" s="297">
        <v>0</v>
      </c>
      <c r="I1536" s="298">
        <v>0</v>
      </c>
      <c r="J1536" s="152">
        <v>0</v>
      </c>
      <c r="K1536" s="294">
        <v>0</v>
      </c>
    </row>
    <row r="1537" spans="1:11">
      <c r="A1537" s="61">
        <v>0</v>
      </c>
      <c r="B1537" s="290">
        <v>0</v>
      </c>
      <c r="C1537" s="290">
        <v>0</v>
      </c>
      <c r="D1537" s="61">
        <v>0</v>
      </c>
      <c r="E1537" s="297">
        <v>0</v>
      </c>
      <c r="F1537" s="297">
        <v>0</v>
      </c>
      <c r="G1537" s="297">
        <v>0</v>
      </c>
      <c r="H1537" s="297">
        <v>0</v>
      </c>
      <c r="I1537" s="298">
        <v>0</v>
      </c>
      <c r="J1537" s="152">
        <v>0</v>
      </c>
      <c r="K1537" s="294">
        <v>0</v>
      </c>
    </row>
    <row r="1538" spans="1:11">
      <c r="A1538" s="61">
        <v>0</v>
      </c>
      <c r="B1538" s="290">
        <v>0</v>
      </c>
      <c r="C1538" s="290">
        <v>0</v>
      </c>
      <c r="D1538" s="61">
        <v>0</v>
      </c>
      <c r="E1538" s="297">
        <v>0</v>
      </c>
      <c r="F1538" s="297">
        <v>0</v>
      </c>
      <c r="G1538" s="297">
        <v>0</v>
      </c>
      <c r="H1538" s="297">
        <v>0</v>
      </c>
      <c r="I1538" s="298">
        <v>0</v>
      </c>
      <c r="J1538" s="152">
        <v>0</v>
      </c>
      <c r="K1538" s="294">
        <v>0</v>
      </c>
    </row>
    <row r="1539" spans="1:11">
      <c r="A1539" s="61">
        <v>0</v>
      </c>
      <c r="B1539" s="290">
        <v>0</v>
      </c>
      <c r="C1539" s="290">
        <v>0</v>
      </c>
      <c r="D1539" s="61">
        <v>0</v>
      </c>
      <c r="E1539" s="297">
        <v>0</v>
      </c>
      <c r="F1539" s="297">
        <v>0</v>
      </c>
      <c r="G1539" s="297">
        <v>0</v>
      </c>
      <c r="H1539" s="297">
        <v>0</v>
      </c>
      <c r="I1539" s="298">
        <v>0</v>
      </c>
      <c r="J1539" s="152">
        <v>0</v>
      </c>
      <c r="K1539" s="294">
        <v>0</v>
      </c>
    </row>
    <row r="1540" spans="1:11">
      <c r="A1540" s="61">
        <v>0</v>
      </c>
      <c r="B1540" s="290">
        <v>0</v>
      </c>
      <c r="C1540" s="290">
        <v>0</v>
      </c>
      <c r="D1540" s="61">
        <v>0</v>
      </c>
      <c r="E1540" s="297">
        <v>0</v>
      </c>
      <c r="F1540" s="297">
        <v>0</v>
      </c>
      <c r="G1540" s="297">
        <v>0</v>
      </c>
      <c r="H1540" s="297">
        <v>0</v>
      </c>
      <c r="I1540" s="298">
        <v>0</v>
      </c>
      <c r="J1540" s="152">
        <v>0</v>
      </c>
      <c r="K1540" s="294">
        <v>0</v>
      </c>
    </row>
    <row r="1541" spans="1:11">
      <c r="A1541" s="61">
        <v>0</v>
      </c>
      <c r="B1541" s="290">
        <v>0</v>
      </c>
      <c r="C1541" s="290">
        <v>0</v>
      </c>
      <c r="D1541" s="61">
        <v>0</v>
      </c>
      <c r="E1541" s="297">
        <v>0</v>
      </c>
      <c r="F1541" s="297">
        <v>0</v>
      </c>
      <c r="G1541" s="297">
        <v>0</v>
      </c>
      <c r="H1541" s="297">
        <v>0</v>
      </c>
      <c r="I1541" s="298">
        <v>0</v>
      </c>
      <c r="J1541" s="152">
        <v>0</v>
      </c>
      <c r="K1541" s="294">
        <v>0</v>
      </c>
    </row>
    <row r="1542" spans="1:11">
      <c r="A1542" s="61">
        <v>0</v>
      </c>
      <c r="B1542" s="290">
        <v>0</v>
      </c>
      <c r="C1542" s="290">
        <v>0</v>
      </c>
      <c r="D1542" s="61">
        <v>0</v>
      </c>
      <c r="E1542" s="297">
        <v>0</v>
      </c>
      <c r="F1542" s="297">
        <v>0</v>
      </c>
      <c r="G1542" s="297">
        <v>0</v>
      </c>
      <c r="H1542" s="297">
        <v>0</v>
      </c>
      <c r="I1542" s="298">
        <v>0</v>
      </c>
      <c r="J1542" s="152">
        <v>0</v>
      </c>
      <c r="K1542" s="294">
        <v>0</v>
      </c>
    </row>
    <row r="1543" spans="1:11">
      <c r="A1543" s="61">
        <v>0</v>
      </c>
      <c r="B1543" s="290">
        <v>0</v>
      </c>
      <c r="C1543" s="290">
        <v>0</v>
      </c>
      <c r="D1543" s="61">
        <v>0</v>
      </c>
      <c r="E1543" s="297">
        <v>0</v>
      </c>
      <c r="F1543" s="297">
        <v>0</v>
      </c>
      <c r="G1543" s="297">
        <v>0</v>
      </c>
      <c r="H1543" s="297">
        <v>0</v>
      </c>
      <c r="I1543" s="298">
        <v>0</v>
      </c>
      <c r="J1543" s="152">
        <v>0</v>
      </c>
      <c r="K1543" s="294">
        <v>0</v>
      </c>
    </row>
    <row r="1544" spans="1:11">
      <c r="A1544" s="61">
        <v>0</v>
      </c>
      <c r="B1544" s="290">
        <v>0</v>
      </c>
      <c r="C1544" s="290">
        <v>0</v>
      </c>
      <c r="D1544" s="61">
        <v>0</v>
      </c>
      <c r="E1544" s="297">
        <v>0</v>
      </c>
      <c r="F1544" s="297">
        <v>0</v>
      </c>
      <c r="G1544" s="297">
        <v>0</v>
      </c>
      <c r="H1544" s="297">
        <v>0</v>
      </c>
      <c r="I1544" s="298">
        <v>0</v>
      </c>
      <c r="J1544" s="152">
        <v>0</v>
      </c>
      <c r="K1544" s="294">
        <v>0</v>
      </c>
    </row>
    <row r="1545" spans="1:11">
      <c r="A1545" s="61">
        <v>0</v>
      </c>
      <c r="B1545" s="290">
        <v>0</v>
      </c>
      <c r="C1545" s="290">
        <v>0</v>
      </c>
      <c r="D1545" s="61">
        <v>0</v>
      </c>
      <c r="E1545" s="297">
        <v>0</v>
      </c>
      <c r="F1545" s="297">
        <v>0</v>
      </c>
      <c r="G1545" s="297">
        <v>0</v>
      </c>
      <c r="H1545" s="297">
        <v>0</v>
      </c>
      <c r="I1545" s="298">
        <v>0</v>
      </c>
      <c r="J1545" s="152">
        <v>0</v>
      </c>
      <c r="K1545" s="294">
        <v>0</v>
      </c>
    </row>
    <row r="1546" spans="1:11">
      <c r="A1546" s="61">
        <v>0</v>
      </c>
      <c r="B1546" s="290">
        <v>0</v>
      </c>
      <c r="C1546" s="290">
        <v>0</v>
      </c>
      <c r="D1546" s="61">
        <v>0</v>
      </c>
      <c r="E1546" s="297">
        <v>0</v>
      </c>
      <c r="F1546" s="297">
        <v>0</v>
      </c>
      <c r="G1546" s="297">
        <v>0</v>
      </c>
      <c r="H1546" s="297">
        <v>0</v>
      </c>
      <c r="I1546" s="298">
        <v>0</v>
      </c>
      <c r="J1546" s="152">
        <v>0</v>
      </c>
      <c r="K1546" s="294">
        <v>0</v>
      </c>
    </row>
    <row r="1547" spans="1:11">
      <c r="A1547" s="61">
        <v>0</v>
      </c>
      <c r="B1547" s="290">
        <v>0</v>
      </c>
      <c r="C1547" s="290">
        <v>0</v>
      </c>
      <c r="D1547" s="61">
        <v>0</v>
      </c>
      <c r="E1547" s="297">
        <v>0</v>
      </c>
      <c r="F1547" s="297">
        <v>0</v>
      </c>
      <c r="G1547" s="297">
        <v>0</v>
      </c>
      <c r="H1547" s="297">
        <v>0</v>
      </c>
      <c r="I1547" s="298">
        <v>0</v>
      </c>
      <c r="J1547" s="152">
        <v>0</v>
      </c>
      <c r="K1547" s="294">
        <v>0</v>
      </c>
    </row>
    <row r="1548" spans="1:11">
      <c r="A1548" s="61">
        <v>0</v>
      </c>
      <c r="B1548" s="290">
        <v>0</v>
      </c>
      <c r="C1548" s="290">
        <v>0</v>
      </c>
      <c r="D1548" s="61">
        <v>0</v>
      </c>
      <c r="E1548" s="297">
        <v>0</v>
      </c>
      <c r="F1548" s="297">
        <v>0</v>
      </c>
      <c r="G1548" s="297">
        <v>0</v>
      </c>
      <c r="H1548" s="297">
        <v>0</v>
      </c>
      <c r="I1548" s="298">
        <v>0</v>
      </c>
      <c r="J1548" s="152">
        <v>0</v>
      </c>
      <c r="K1548" s="294">
        <v>0</v>
      </c>
    </row>
    <row r="1549" spans="1:11">
      <c r="A1549" s="61">
        <v>0</v>
      </c>
      <c r="B1549" s="290">
        <v>0</v>
      </c>
      <c r="C1549" s="290">
        <v>0</v>
      </c>
      <c r="D1549" s="61">
        <v>0</v>
      </c>
      <c r="E1549" s="297">
        <v>0</v>
      </c>
      <c r="F1549" s="297">
        <v>0</v>
      </c>
      <c r="G1549" s="297">
        <v>0</v>
      </c>
      <c r="H1549" s="297">
        <v>0</v>
      </c>
      <c r="I1549" s="298">
        <v>0</v>
      </c>
      <c r="J1549" s="152">
        <v>0</v>
      </c>
      <c r="K1549" s="294">
        <v>0</v>
      </c>
    </row>
    <row r="1550" spans="1:11">
      <c r="A1550" s="61">
        <v>0</v>
      </c>
      <c r="B1550" s="290">
        <v>0</v>
      </c>
      <c r="C1550" s="290">
        <v>0</v>
      </c>
      <c r="D1550" s="61">
        <v>0</v>
      </c>
      <c r="E1550" s="297">
        <v>0</v>
      </c>
      <c r="F1550" s="297">
        <v>0</v>
      </c>
      <c r="G1550" s="297">
        <v>0</v>
      </c>
      <c r="H1550" s="297">
        <v>0</v>
      </c>
      <c r="I1550" s="298">
        <v>0</v>
      </c>
      <c r="J1550" s="152">
        <v>0</v>
      </c>
      <c r="K1550" s="294">
        <v>0</v>
      </c>
    </row>
    <row r="1551" spans="1:11">
      <c r="A1551" s="61">
        <v>0</v>
      </c>
      <c r="B1551" s="290">
        <v>0</v>
      </c>
      <c r="C1551" s="290">
        <v>0</v>
      </c>
      <c r="D1551" s="61">
        <v>0</v>
      </c>
      <c r="E1551" s="297">
        <v>0</v>
      </c>
      <c r="F1551" s="297">
        <v>0</v>
      </c>
      <c r="G1551" s="297">
        <v>0</v>
      </c>
      <c r="H1551" s="297">
        <v>0</v>
      </c>
      <c r="I1551" s="298">
        <v>0</v>
      </c>
      <c r="J1551" s="152">
        <v>0</v>
      </c>
      <c r="K1551" s="294">
        <v>0</v>
      </c>
    </row>
    <row r="1552" spans="1:11">
      <c r="A1552" s="61">
        <v>0</v>
      </c>
      <c r="B1552" s="290">
        <v>0</v>
      </c>
      <c r="C1552" s="290">
        <v>0</v>
      </c>
      <c r="D1552" s="61">
        <v>0</v>
      </c>
      <c r="E1552" s="297">
        <v>0</v>
      </c>
      <c r="F1552" s="297">
        <v>0</v>
      </c>
      <c r="G1552" s="297">
        <v>0</v>
      </c>
      <c r="H1552" s="297">
        <v>0</v>
      </c>
      <c r="I1552" s="298">
        <v>0</v>
      </c>
      <c r="J1552" s="152">
        <v>0</v>
      </c>
      <c r="K1552" s="294">
        <v>0</v>
      </c>
    </row>
    <row r="1553" spans="1:11">
      <c r="A1553" s="61">
        <v>0</v>
      </c>
      <c r="B1553" s="290">
        <v>0</v>
      </c>
      <c r="C1553" s="290">
        <v>0</v>
      </c>
      <c r="D1553" s="61">
        <v>0</v>
      </c>
      <c r="E1553" s="297">
        <v>0</v>
      </c>
      <c r="F1553" s="297">
        <v>0</v>
      </c>
      <c r="G1553" s="297">
        <v>0</v>
      </c>
      <c r="H1553" s="297">
        <v>0</v>
      </c>
      <c r="I1553" s="298">
        <v>0</v>
      </c>
      <c r="J1553" s="152">
        <v>0</v>
      </c>
      <c r="K1553" s="294">
        <v>0</v>
      </c>
    </row>
    <row r="1554" spans="1:11">
      <c r="A1554" s="61">
        <v>0</v>
      </c>
      <c r="B1554" s="290">
        <v>0</v>
      </c>
      <c r="C1554" s="290">
        <v>0</v>
      </c>
      <c r="D1554" s="61">
        <v>0</v>
      </c>
      <c r="E1554" s="297">
        <v>0</v>
      </c>
      <c r="F1554" s="297">
        <v>0</v>
      </c>
      <c r="G1554" s="297">
        <v>0</v>
      </c>
      <c r="H1554" s="297">
        <v>0</v>
      </c>
      <c r="I1554" s="298">
        <v>0</v>
      </c>
      <c r="J1554" s="152">
        <v>0</v>
      </c>
      <c r="K1554" s="294">
        <v>0</v>
      </c>
    </row>
    <row r="1555" spans="1:11">
      <c r="A1555" s="61">
        <v>0</v>
      </c>
      <c r="B1555" s="290">
        <v>0</v>
      </c>
      <c r="C1555" s="290">
        <v>0</v>
      </c>
      <c r="D1555" s="61">
        <v>0</v>
      </c>
      <c r="E1555" s="297">
        <v>0</v>
      </c>
      <c r="F1555" s="297">
        <v>0</v>
      </c>
      <c r="G1555" s="297">
        <v>0</v>
      </c>
      <c r="H1555" s="297">
        <v>0</v>
      </c>
      <c r="I1555" s="298">
        <v>0</v>
      </c>
      <c r="J1555" s="152">
        <v>0</v>
      </c>
      <c r="K1555" s="294">
        <v>0</v>
      </c>
    </row>
    <row r="1556" spans="1:11">
      <c r="A1556" s="61">
        <v>0</v>
      </c>
      <c r="B1556" s="290">
        <v>0</v>
      </c>
      <c r="C1556" s="290">
        <v>0</v>
      </c>
      <c r="D1556" s="61">
        <v>0</v>
      </c>
      <c r="E1556" s="297">
        <v>0</v>
      </c>
      <c r="F1556" s="297">
        <v>0</v>
      </c>
      <c r="G1556" s="297">
        <v>0</v>
      </c>
      <c r="H1556" s="297">
        <v>0</v>
      </c>
      <c r="I1556" s="298">
        <v>0</v>
      </c>
      <c r="J1556" s="152">
        <v>0</v>
      </c>
      <c r="K1556" s="294">
        <v>0</v>
      </c>
    </row>
    <row r="1557" spans="1:11">
      <c r="A1557" s="61">
        <v>0</v>
      </c>
      <c r="B1557" s="290">
        <v>0</v>
      </c>
      <c r="C1557" s="290">
        <v>0</v>
      </c>
      <c r="D1557" s="61">
        <v>0</v>
      </c>
      <c r="E1557" s="297">
        <v>0</v>
      </c>
      <c r="F1557" s="297">
        <v>0</v>
      </c>
      <c r="G1557" s="297">
        <v>0</v>
      </c>
      <c r="H1557" s="297">
        <v>0</v>
      </c>
      <c r="I1557" s="298">
        <v>0</v>
      </c>
      <c r="J1557" s="152">
        <v>0</v>
      </c>
      <c r="K1557" s="294">
        <v>0</v>
      </c>
    </row>
    <row r="1558" spans="1:11">
      <c r="A1558" s="61">
        <v>0</v>
      </c>
      <c r="B1558" s="290">
        <v>0</v>
      </c>
      <c r="C1558" s="290">
        <v>0</v>
      </c>
      <c r="D1558" s="61">
        <v>0</v>
      </c>
      <c r="E1558" s="297">
        <v>0</v>
      </c>
      <c r="F1558" s="297">
        <v>0</v>
      </c>
      <c r="G1558" s="297">
        <v>0</v>
      </c>
      <c r="H1558" s="297">
        <v>0</v>
      </c>
      <c r="I1558" s="298">
        <v>0</v>
      </c>
      <c r="J1558" s="152">
        <v>0</v>
      </c>
      <c r="K1558" s="294">
        <v>0</v>
      </c>
    </row>
    <row r="1559" spans="1:11">
      <c r="A1559" s="61">
        <v>0</v>
      </c>
      <c r="B1559" s="290">
        <v>0</v>
      </c>
      <c r="C1559" s="290">
        <v>0</v>
      </c>
      <c r="D1559" s="61">
        <v>0</v>
      </c>
      <c r="E1559" s="297">
        <v>0</v>
      </c>
      <c r="F1559" s="297">
        <v>0</v>
      </c>
      <c r="G1559" s="297">
        <v>0</v>
      </c>
      <c r="H1559" s="297">
        <v>0</v>
      </c>
      <c r="I1559" s="298">
        <v>0</v>
      </c>
      <c r="J1559" s="152">
        <v>0</v>
      </c>
      <c r="K1559" s="294">
        <v>0</v>
      </c>
    </row>
    <row r="1560" spans="1:11">
      <c r="A1560" s="61">
        <v>0</v>
      </c>
      <c r="B1560" s="290">
        <v>0</v>
      </c>
      <c r="C1560" s="290">
        <v>0</v>
      </c>
      <c r="D1560" s="61">
        <v>0</v>
      </c>
      <c r="E1560" s="297">
        <v>0</v>
      </c>
      <c r="F1560" s="297">
        <v>0</v>
      </c>
      <c r="G1560" s="297">
        <v>0</v>
      </c>
      <c r="H1560" s="297">
        <v>0</v>
      </c>
      <c r="I1560" s="298">
        <v>0</v>
      </c>
      <c r="J1560" s="152">
        <v>0</v>
      </c>
      <c r="K1560" s="294">
        <v>0</v>
      </c>
    </row>
    <row r="1561" spans="1:11">
      <c r="A1561" s="61">
        <v>0</v>
      </c>
      <c r="B1561" s="290">
        <v>0</v>
      </c>
      <c r="C1561" s="290">
        <v>0</v>
      </c>
      <c r="D1561" s="61">
        <v>0</v>
      </c>
      <c r="E1561" s="297">
        <v>0</v>
      </c>
      <c r="F1561" s="297">
        <v>0</v>
      </c>
      <c r="G1561" s="297">
        <v>0</v>
      </c>
      <c r="H1561" s="297">
        <v>0</v>
      </c>
      <c r="I1561" s="298">
        <v>0</v>
      </c>
      <c r="J1561" s="152">
        <v>0</v>
      </c>
      <c r="K1561" s="294">
        <v>0</v>
      </c>
    </row>
    <row r="1562" spans="1:11">
      <c r="A1562" s="61">
        <v>0</v>
      </c>
      <c r="B1562" s="290">
        <v>0</v>
      </c>
      <c r="C1562" s="290">
        <v>0</v>
      </c>
      <c r="D1562" s="61">
        <v>0</v>
      </c>
      <c r="E1562" s="297">
        <v>0</v>
      </c>
      <c r="F1562" s="297">
        <v>0</v>
      </c>
      <c r="G1562" s="297">
        <v>0</v>
      </c>
      <c r="H1562" s="297">
        <v>0</v>
      </c>
      <c r="I1562" s="298">
        <v>0</v>
      </c>
      <c r="J1562" s="152">
        <v>0</v>
      </c>
      <c r="K1562" s="294">
        <v>0</v>
      </c>
    </row>
    <row r="1563" spans="1:11">
      <c r="A1563" s="61">
        <v>0</v>
      </c>
      <c r="B1563" s="290">
        <v>0</v>
      </c>
      <c r="C1563" s="290">
        <v>0</v>
      </c>
      <c r="D1563" s="61">
        <v>0</v>
      </c>
      <c r="E1563" s="297">
        <v>0</v>
      </c>
      <c r="F1563" s="297">
        <v>0</v>
      </c>
      <c r="G1563" s="297">
        <v>0</v>
      </c>
      <c r="H1563" s="297">
        <v>0</v>
      </c>
      <c r="I1563" s="298">
        <v>0</v>
      </c>
      <c r="J1563" s="152">
        <v>0</v>
      </c>
      <c r="K1563" s="294">
        <v>0</v>
      </c>
    </row>
    <row r="1564" spans="1:11">
      <c r="A1564" s="61">
        <v>0</v>
      </c>
      <c r="B1564" s="290">
        <v>0</v>
      </c>
      <c r="C1564" s="290">
        <v>0</v>
      </c>
      <c r="D1564" s="61">
        <v>0</v>
      </c>
      <c r="E1564" s="297">
        <v>0</v>
      </c>
      <c r="F1564" s="297">
        <v>0</v>
      </c>
      <c r="G1564" s="297">
        <v>0</v>
      </c>
      <c r="H1564" s="297">
        <v>0</v>
      </c>
      <c r="I1564" s="298">
        <v>0</v>
      </c>
      <c r="J1564" s="152">
        <v>0</v>
      </c>
      <c r="K1564" s="294">
        <v>0</v>
      </c>
    </row>
    <row r="1565" spans="1:11">
      <c r="A1565" s="61">
        <v>0</v>
      </c>
      <c r="B1565" s="290">
        <v>0</v>
      </c>
      <c r="C1565" s="290">
        <v>0</v>
      </c>
      <c r="D1565" s="61">
        <v>0</v>
      </c>
      <c r="E1565" s="297">
        <v>0</v>
      </c>
      <c r="F1565" s="297">
        <v>0</v>
      </c>
      <c r="G1565" s="297">
        <v>0</v>
      </c>
      <c r="H1565" s="297">
        <v>0</v>
      </c>
      <c r="I1565" s="298">
        <v>0</v>
      </c>
      <c r="J1565" s="152">
        <v>0</v>
      </c>
      <c r="K1565" s="294">
        <v>0</v>
      </c>
    </row>
    <row r="1566" spans="1:11">
      <c r="A1566" s="61">
        <v>0</v>
      </c>
      <c r="B1566" s="290">
        <v>0</v>
      </c>
      <c r="C1566" s="290">
        <v>0</v>
      </c>
      <c r="D1566" s="61">
        <v>0</v>
      </c>
      <c r="E1566" s="297">
        <v>0</v>
      </c>
      <c r="F1566" s="297">
        <v>0</v>
      </c>
      <c r="G1566" s="297">
        <v>0</v>
      </c>
      <c r="H1566" s="297">
        <v>0</v>
      </c>
      <c r="I1566" s="298">
        <v>0</v>
      </c>
      <c r="J1566" s="152">
        <v>0</v>
      </c>
      <c r="K1566" s="294">
        <v>0</v>
      </c>
    </row>
    <row r="1567" spans="1:11">
      <c r="A1567" s="61">
        <v>0</v>
      </c>
      <c r="B1567" s="290">
        <v>0</v>
      </c>
      <c r="C1567" s="290">
        <v>0</v>
      </c>
      <c r="D1567" s="61">
        <v>0</v>
      </c>
      <c r="E1567" s="297">
        <v>0</v>
      </c>
      <c r="F1567" s="297">
        <v>0</v>
      </c>
      <c r="G1567" s="297">
        <v>0</v>
      </c>
      <c r="H1567" s="297">
        <v>0</v>
      </c>
      <c r="I1567" s="298">
        <v>0</v>
      </c>
      <c r="J1567" s="152">
        <v>0</v>
      </c>
      <c r="K1567" s="294">
        <v>0</v>
      </c>
    </row>
    <row r="1568" spans="1:11">
      <c r="A1568" s="61">
        <v>0</v>
      </c>
      <c r="B1568" s="290">
        <v>0</v>
      </c>
      <c r="C1568" s="290">
        <v>0</v>
      </c>
      <c r="D1568" s="61">
        <v>0</v>
      </c>
      <c r="E1568" s="297">
        <v>0</v>
      </c>
      <c r="F1568" s="297">
        <v>0</v>
      </c>
      <c r="G1568" s="297">
        <v>0</v>
      </c>
      <c r="H1568" s="297">
        <v>0</v>
      </c>
      <c r="I1568" s="298">
        <v>0</v>
      </c>
      <c r="J1568" s="152">
        <v>0</v>
      </c>
      <c r="K1568" s="294">
        <v>0</v>
      </c>
    </row>
    <row r="1569" spans="1:11">
      <c r="A1569" s="61">
        <v>0</v>
      </c>
      <c r="B1569" s="290">
        <v>0</v>
      </c>
      <c r="C1569" s="290">
        <v>0</v>
      </c>
      <c r="D1569" s="61">
        <v>0</v>
      </c>
      <c r="E1569" s="297">
        <v>0</v>
      </c>
      <c r="F1569" s="297">
        <v>0</v>
      </c>
      <c r="G1569" s="297">
        <v>0</v>
      </c>
      <c r="H1569" s="297">
        <v>0</v>
      </c>
      <c r="I1569" s="298">
        <v>0</v>
      </c>
      <c r="J1569" s="152">
        <v>0</v>
      </c>
      <c r="K1569" s="294">
        <v>0</v>
      </c>
    </row>
    <row r="1570" spans="1:11">
      <c r="A1570" s="61">
        <v>0</v>
      </c>
      <c r="B1570" s="290">
        <v>0</v>
      </c>
      <c r="C1570" s="290">
        <v>0</v>
      </c>
      <c r="D1570" s="61">
        <v>0</v>
      </c>
      <c r="E1570" s="297">
        <v>0</v>
      </c>
      <c r="F1570" s="297">
        <v>0</v>
      </c>
      <c r="G1570" s="297">
        <v>0</v>
      </c>
      <c r="H1570" s="297">
        <v>0</v>
      </c>
      <c r="I1570" s="298">
        <v>0</v>
      </c>
      <c r="J1570" s="152">
        <v>0</v>
      </c>
      <c r="K1570" s="294">
        <v>0</v>
      </c>
    </row>
    <row r="1571" spans="1:11">
      <c r="A1571" s="61">
        <v>0</v>
      </c>
      <c r="B1571" s="290">
        <v>0</v>
      </c>
      <c r="C1571" s="290">
        <v>0</v>
      </c>
      <c r="D1571" s="61">
        <v>0</v>
      </c>
      <c r="E1571" s="297">
        <v>0</v>
      </c>
      <c r="F1571" s="297">
        <v>0</v>
      </c>
      <c r="G1571" s="297">
        <v>0</v>
      </c>
      <c r="H1571" s="297">
        <v>0</v>
      </c>
      <c r="I1571" s="298">
        <v>0</v>
      </c>
      <c r="J1571" s="152">
        <v>0</v>
      </c>
      <c r="K1571" s="294">
        <v>0</v>
      </c>
    </row>
    <row r="1572" spans="1:11">
      <c r="A1572" s="61">
        <v>0</v>
      </c>
      <c r="B1572" s="290">
        <v>0</v>
      </c>
      <c r="C1572" s="290">
        <v>0</v>
      </c>
      <c r="D1572" s="61">
        <v>0</v>
      </c>
      <c r="E1572" s="297">
        <v>0</v>
      </c>
      <c r="F1572" s="297">
        <v>0</v>
      </c>
      <c r="G1572" s="297">
        <v>0</v>
      </c>
      <c r="H1572" s="297">
        <v>0</v>
      </c>
      <c r="I1572" s="298">
        <v>0</v>
      </c>
      <c r="J1572" s="152">
        <v>0</v>
      </c>
      <c r="K1572" s="294">
        <v>0</v>
      </c>
    </row>
    <row r="1573" spans="1:11">
      <c r="A1573" s="61">
        <v>0</v>
      </c>
      <c r="B1573" s="290">
        <v>0</v>
      </c>
      <c r="C1573" s="290">
        <v>0</v>
      </c>
      <c r="D1573" s="61">
        <v>0</v>
      </c>
      <c r="E1573" s="297">
        <v>0</v>
      </c>
      <c r="F1573" s="297">
        <v>0</v>
      </c>
      <c r="G1573" s="297">
        <v>0</v>
      </c>
      <c r="H1573" s="297">
        <v>0</v>
      </c>
      <c r="I1573" s="298">
        <v>0</v>
      </c>
      <c r="J1573" s="152">
        <v>0</v>
      </c>
      <c r="K1573" s="294">
        <v>0</v>
      </c>
    </row>
    <row r="1574" spans="1:11">
      <c r="A1574" s="61">
        <v>0</v>
      </c>
      <c r="B1574" s="290">
        <v>0</v>
      </c>
      <c r="C1574" s="290">
        <v>0</v>
      </c>
      <c r="D1574" s="61">
        <v>0</v>
      </c>
      <c r="E1574" s="297">
        <v>0</v>
      </c>
      <c r="F1574" s="297">
        <v>0</v>
      </c>
      <c r="G1574" s="297">
        <v>0</v>
      </c>
      <c r="H1574" s="297">
        <v>0</v>
      </c>
      <c r="I1574" s="298">
        <v>0</v>
      </c>
      <c r="J1574" s="152">
        <v>0</v>
      </c>
      <c r="K1574" s="294">
        <v>0</v>
      </c>
    </row>
    <row r="1575" spans="1:11">
      <c r="A1575" s="61">
        <v>0</v>
      </c>
      <c r="B1575" s="290">
        <v>0</v>
      </c>
      <c r="C1575" s="290">
        <v>0</v>
      </c>
      <c r="D1575" s="61">
        <v>0</v>
      </c>
      <c r="E1575" s="297">
        <v>0</v>
      </c>
      <c r="F1575" s="297">
        <v>0</v>
      </c>
      <c r="G1575" s="297">
        <v>0</v>
      </c>
      <c r="H1575" s="297">
        <v>0</v>
      </c>
      <c r="I1575" s="298">
        <v>0</v>
      </c>
      <c r="J1575" s="152">
        <v>0</v>
      </c>
      <c r="K1575" s="294">
        <v>0</v>
      </c>
    </row>
    <row r="1576" spans="1:11">
      <c r="A1576" s="61">
        <v>0</v>
      </c>
      <c r="B1576" s="290">
        <v>0</v>
      </c>
      <c r="C1576" s="290">
        <v>0</v>
      </c>
      <c r="D1576" s="61">
        <v>0</v>
      </c>
      <c r="E1576" s="297">
        <v>0</v>
      </c>
      <c r="F1576" s="297">
        <v>0</v>
      </c>
      <c r="G1576" s="297">
        <v>0</v>
      </c>
      <c r="H1576" s="297">
        <v>0</v>
      </c>
      <c r="I1576" s="298">
        <v>0</v>
      </c>
      <c r="J1576" s="152">
        <v>0</v>
      </c>
      <c r="K1576" s="294">
        <v>0</v>
      </c>
    </row>
    <row r="1577" spans="1:11">
      <c r="A1577" s="61">
        <v>0</v>
      </c>
      <c r="B1577" s="290">
        <v>0</v>
      </c>
      <c r="C1577" s="290">
        <v>0</v>
      </c>
      <c r="D1577" s="61">
        <v>0</v>
      </c>
      <c r="E1577" s="297">
        <v>0</v>
      </c>
      <c r="F1577" s="297">
        <v>0</v>
      </c>
      <c r="G1577" s="297">
        <v>0</v>
      </c>
      <c r="H1577" s="297">
        <v>0</v>
      </c>
      <c r="I1577" s="298">
        <v>0</v>
      </c>
      <c r="J1577" s="152">
        <v>0</v>
      </c>
      <c r="K1577" s="294">
        <v>0</v>
      </c>
    </row>
    <row r="1578" spans="1:11">
      <c r="A1578" s="61">
        <v>0</v>
      </c>
      <c r="B1578" s="290">
        <v>0</v>
      </c>
      <c r="C1578" s="290">
        <v>0</v>
      </c>
      <c r="D1578" s="61">
        <v>0</v>
      </c>
      <c r="E1578" s="297">
        <v>0</v>
      </c>
      <c r="F1578" s="297">
        <v>0</v>
      </c>
      <c r="G1578" s="297">
        <v>0</v>
      </c>
      <c r="H1578" s="297">
        <v>0</v>
      </c>
      <c r="I1578" s="298">
        <v>0</v>
      </c>
      <c r="J1578" s="152">
        <v>0</v>
      </c>
      <c r="K1578" s="294">
        <v>0</v>
      </c>
    </row>
    <row r="1579" spans="1:11">
      <c r="A1579" s="61">
        <v>0</v>
      </c>
      <c r="B1579" s="290">
        <v>0</v>
      </c>
      <c r="C1579" s="290">
        <v>0</v>
      </c>
      <c r="D1579" s="61">
        <v>0</v>
      </c>
      <c r="E1579" s="297">
        <v>0</v>
      </c>
      <c r="F1579" s="297">
        <v>0</v>
      </c>
      <c r="G1579" s="297">
        <v>0</v>
      </c>
      <c r="H1579" s="297">
        <v>0</v>
      </c>
      <c r="I1579" s="298">
        <v>0</v>
      </c>
      <c r="J1579" s="152">
        <v>0</v>
      </c>
      <c r="K1579" s="294">
        <v>0</v>
      </c>
    </row>
    <row r="1580" spans="1:11">
      <c r="A1580" s="61">
        <v>0</v>
      </c>
      <c r="B1580" s="290">
        <v>0</v>
      </c>
      <c r="C1580" s="290">
        <v>0</v>
      </c>
      <c r="D1580" s="61">
        <v>0</v>
      </c>
      <c r="E1580" s="297">
        <v>0</v>
      </c>
      <c r="F1580" s="297">
        <v>0</v>
      </c>
      <c r="G1580" s="297">
        <v>0</v>
      </c>
      <c r="H1580" s="297">
        <v>0</v>
      </c>
      <c r="I1580" s="298">
        <v>0</v>
      </c>
      <c r="J1580" s="152">
        <v>0</v>
      </c>
      <c r="K1580" s="294">
        <v>0</v>
      </c>
    </row>
    <row r="1581" spans="1:11">
      <c r="A1581" s="61">
        <v>0</v>
      </c>
      <c r="B1581" s="290">
        <v>0</v>
      </c>
      <c r="C1581" s="290">
        <v>0</v>
      </c>
      <c r="D1581" s="61">
        <v>0</v>
      </c>
      <c r="E1581" s="297">
        <v>0</v>
      </c>
      <c r="F1581" s="297">
        <v>0</v>
      </c>
      <c r="G1581" s="297">
        <v>0</v>
      </c>
      <c r="H1581" s="297">
        <v>0</v>
      </c>
      <c r="I1581" s="298">
        <v>0</v>
      </c>
      <c r="J1581" s="152">
        <v>0</v>
      </c>
      <c r="K1581" s="294">
        <v>0</v>
      </c>
    </row>
  </sheetData>
  <mergeCells count="1">
    <mergeCell ref="A1:AH1"/>
  </mergeCells>
  <pageMargins left="0.7" right="0.7" top="0.75" bottom="0.75" header="0.3" footer="0.3"/>
  <pageSetup paperSize="9" orientation="portrait" horizontalDpi="4294967293"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7D0C4-B3AA-4B14-BE01-2158135DE29D}">
  <sheetPr codeName="Sheet17">
    <tabColor theme="5" tint="0.39997558519241921"/>
  </sheetPr>
  <dimension ref="A1:X426"/>
  <sheetViews>
    <sheetView topLeftCell="B1" zoomScale="76" zoomScaleNormal="80" workbookViewId="0">
      <pane ySplit="1" topLeftCell="A2" activePane="bottomLeft" state="frozen"/>
      <selection activeCell="B19" sqref="B19"/>
      <selection pane="bottomLeft" activeCell="B19" sqref="B19"/>
    </sheetView>
  </sheetViews>
  <sheetFormatPr defaultRowHeight="13"/>
  <cols>
    <col min="1" max="1" width="47.6328125" style="61" hidden="1" customWidth="1"/>
    <col min="2" max="2" width="8.7265625" style="294"/>
    <col min="3" max="3" width="8" style="61" customWidth="1"/>
    <col min="4" max="4" width="9.81640625" style="61" bestFit="1" customWidth="1"/>
    <col min="5" max="5" width="16.6328125" style="61" customWidth="1"/>
    <col min="6" max="6" width="11.08984375" style="61" customWidth="1"/>
    <col min="7" max="7" width="5.81640625" style="294" customWidth="1"/>
    <col min="8" max="8" width="11.08984375" style="61" customWidth="1"/>
    <col min="9" max="9" width="7.1796875" style="61" customWidth="1"/>
    <col min="10" max="11" width="11.08984375" style="61" customWidth="1"/>
    <col min="12" max="13" width="42.81640625" style="61" customWidth="1"/>
    <col min="14" max="14" width="8.6328125" style="294" customWidth="1"/>
    <col min="15" max="15" width="9.54296875" style="279" customWidth="1"/>
    <col min="16" max="18" width="9.90625" style="279" customWidth="1"/>
    <col min="19" max="19" width="6.90625" style="759" customWidth="1"/>
    <col min="20" max="20" width="25.453125" style="61" bestFit="1" customWidth="1"/>
    <col min="21" max="21" width="12.90625" style="61" customWidth="1"/>
    <col min="22" max="22" width="13.08984375" style="61" customWidth="1"/>
    <col min="23" max="16384" width="8.7265625" style="61"/>
  </cols>
  <sheetData>
    <row r="1" spans="1:24" ht="26">
      <c r="B1" s="814" t="s">
        <v>3526</v>
      </c>
      <c r="C1" s="822" t="s">
        <v>3527</v>
      </c>
      <c r="D1" s="722" t="s">
        <v>3528</v>
      </c>
      <c r="E1" s="823" t="s">
        <v>3529</v>
      </c>
      <c r="F1" s="723" t="s">
        <v>3530</v>
      </c>
      <c r="G1" s="823" t="s">
        <v>3531</v>
      </c>
      <c r="H1" s="723" t="s">
        <v>3532</v>
      </c>
      <c r="I1" s="823" t="s">
        <v>2577</v>
      </c>
      <c r="J1" s="723" t="s">
        <v>3533</v>
      </c>
      <c r="K1" s="723" t="s">
        <v>446</v>
      </c>
      <c r="L1" s="812" t="s">
        <v>3534</v>
      </c>
      <c r="M1" s="813" t="s">
        <v>451</v>
      </c>
      <c r="N1" s="1211" t="s">
        <v>3535</v>
      </c>
      <c r="O1" s="1212"/>
      <c r="P1" s="1213"/>
      <c r="Q1" s="1214" t="s">
        <v>3536</v>
      </c>
      <c r="R1" s="815" t="s">
        <v>3537</v>
      </c>
      <c r="S1" s="1216" t="s">
        <v>2586</v>
      </c>
      <c r="T1" s="724" t="s">
        <v>3538</v>
      </c>
      <c r="U1" s="725" t="s">
        <v>3539</v>
      </c>
      <c r="V1" s="61" t="s">
        <v>3879</v>
      </c>
      <c r="W1" s="61" t="s">
        <v>3880</v>
      </c>
      <c r="X1" s="61" t="s">
        <v>2518</v>
      </c>
    </row>
    <row r="2" spans="1:24">
      <c r="B2" s="824"/>
      <c r="C2" s="825"/>
      <c r="D2" s="826"/>
      <c r="E2" s="827"/>
      <c r="F2" s="816"/>
      <c r="G2" s="828"/>
      <c r="H2" s="816"/>
      <c r="I2" s="827"/>
      <c r="J2" s="816"/>
      <c r="K2" s="816"/>
      <c r="L2" s="817"/>
      <c r="M2" s="818"/>
      <c r="N2" s="726" t="s">
        <v>3540</v>
      </c>
      <c r="O2" s="819" t="s">
        <v>3541</v>
      </c>
      <c r="P2" s="820" t="s">
        <v>3542</v>
      </c>
      <c r="Q2" s="1215"/>
      <c r="R2" s="821"/>
      <c r="S2" s="1217"/>
      <c r="T2" s="724"/>
    </row>
    <row r="3" spans="1:24" ht="24.75" customHeight="1">
      <c r="A3" s="61" t="str">
        <f>L3&amp;S3</f>
        <v>Air Mineral pada pelaksanaan kegiatan bulanan Gerakan Bersih Lingkungan Sekolah1</v>
      </c>
      <c r="B3" s="727">
        <v>34</v>
      </c>
      <c r="C3" s="728" t="s">
        <v>3543</v>
      </c>
      <c r="D3" s="729" t="s">
        <v>3409</v>
      </c>
      <c r="E3" s="779">
        <f t="shared" ref="E3:E66" si="0">F3-2</f>
        <v>45661</v>
      </c>
      <c r="F3" s="730" t="s">
        <v>3544</v>
      </c>
      <c r="G3" s="772" t="s">
        <v>1542</v>
      </c>
      <c r="H3" s="730" t="s">
        <v>3544</v>
      </c>
      <c r="I3" s="729" t="str">
        <f>G3</f>
        <v>01</v>
      </c>
      <c r="J3" s="730" t="s">
        <v>3545</v>
      </c>
      <c r="K3" s="729" t="s">
        <v>3393</v>
      </c>
      <c r="L3" s="729" t="s">
        <v>3546</v>
      </c>
      <c r="M3" s="729" t="s">
        <v>2442</v>
      </c>
      <c r="N3" s="732">
        <v>25</v>
      </c>
      <c r="O3" s="733" t="s">
        <v>3547</v>
      </c>
      <c r="P3" s="734">
        <v>50000</v>
      </c>
      <c r="Q3" s="734">
        <v>1250000</v>
      </c>
      <c r="R3" s="735">
        <f>Q3</f>
        <v>1250000</v>
      </c>
      <c r="S3" s="759">
        <v>1</v>
      </c>
      <c r="T3" s="736" t="s">
        <v>10</v>
      </c>
      <c r="U3" s="61" t="s">
        <v>3548</v>
      </c>
      <c r="V3" s="61" t="str">
        <f>VLOOKUP(T3,Sheet3!$C$3:$F$16,2,)</f>
        <v>Fudi Supiyanto</v>
      </c>
      <c r="W3" s="61" t="str">
        <f>VLOOKUP(T3,Sheet3!$C$3:$F$16,4,)</f>
        <v>082164895397</v>
      </c>
      <c r="X3" s="61" t="str">
        <f>VLOOKUP(T3,Sheet3!$C$3:$F$16,3,)</f>
        <v>Jln Ahmad Yani No.89 Kel. Pasar Telukdalam, Nias Selatan</v>
      </c>
    </row>
    <row r="4" spans="1:24" ht="24.75" customHeight="1">
      <c r="A4" s="61" t="str">
        <f t="shared" ref="A4:A67" si="1">L4&amp;S4</f>
        <v>Perbaikan dan Pengaspalan Jalan Sekolah1</v>
      </c>
      <c r="B4" s="727">
        <v>37</v>
      </c>
      <c r="C4" s="728" t="s">
        <v>3549</v>
      </c>
      <c r="D4" s="729" t="s">
        <v>3550</v>
      </c>
      <c r="E4" s="779">
        <f t="shared" si="0"/>
        <v>45661</v>
      </c>
      <c r="F4" s="730" t="s">
        <v>3544</v>
      </c>
      <c r="G4" s="772" t="s">
        <v>1544</v>
      </c>
      <c r="H4" s="730" t="s">
        <v>3551</v>
      </c>
      <c r="I4" s="729" t="str">
        <f t="shared" ref="I4:I67" si="2">G4</f>
        <v>02</v>
      </c>
      <c r="J4" s="730" t="s">
        <v>3545</v>
      </c>
      <c r="K4" s="729" t="s">
        <v>3396</v>
      </c>
      <c r="L4" s="729" t="s">
        <v>3552</v>
      </c>
      <c r="M4" s="729" t="s">
        <v>3862</v>
      </c>
      <c r="N4" s="732">
        <v>1</v>
      </c>
      <c r="O4" s="733" t="s">
        <v>3553</v>
      </c>
      <c r="P4" s="734">
        <v>37080000</v>
      </c>
      <c r="Q4" s="734">
        <v>37080000</v>
      </c>
      <c r="R4" s="735">
        <f t="shared" ref="R4:R67" si="3">Q4</f>
        <v>37080000</v>
      </c>
      <c r="S4" s="759">
        <v>1</v>
      </c>
      <c r="T4" s="736" t="s">
        <v>3878</v>
      </c>
      <c r="U4" s="61" t="s">
        <v>3548</v>
      </c>
      <c r="V4" s="61" t="str">
        <f>VLOOKUP(T4,Sheet3!$C$3:$F$16,2,)</f>
        <v>Wirawan Bazikho</v>
      </c>
      <c r="W4" s="61" t="str">
        <f>VLOOKUP(T4,Sheet3!$C$3:$F$16,4,)</f>
        <v>082166714290</v>
      </c>
      <c r="X4" s="61" t="str">
        <f>VLOOKUP(T4,Sheet3!$C$3:$F$16,3,)</f>
        <v>Jl. Diponegoro No. 87, Kel Pasar Telukdalam - Nias Selatan</v>
      </c>
    </row>
    <row r="5" spans="1:24" ht="24.75" customHeight="1">
      <c r="A5" s="61" t="str">
        <f t="shared" si="1"/>
        <v>bola lampu hannock-45 watt1</v>
      </c>
      <c r="B5" s="727">
        <v>39</v>
      </c>
      <c r="C5" s="728" t="s">
        <v>3554</v>
      </c>
      <c r="D5" s="729" t="s">
        <v>3555</v>
      </c>
      <c r="E5" s="779">
        <f t="shared" si="0"/>
        <v>45661</v>
      </c>
      <c r="F5" s="730" t="s">
        <v>3544</v>
      </c>
      <c r="G5" s="772" t="s">
        <v>1546</v>
      </c>
      <c r="H5" s="730" t="s">
        <v>3544</v>
      </c>
      <c r="I5" s="729" t="str">
        <f t="shared" si="2"/>
        <v>03</v>
      </c>
      <c r="J5" s="730" t="s">
        <v>3545</v>
      </c>
      <c r="K5" s="729" t="s">
        <v>3398</v>
      </c>
      <c r="L5" s="729" t="s">
        <v>3556</v>
      </c>
      <c r="M5" s="729" t="s">
        <v>3849</v>
      </c>
      <c r="N5" s="732">
        <v>23</v>
      </c>
      <c r="O5" s="733" t="s">
        <v>3557</v>
      </c>
      <c r="P5" s="734">
        <v>77800</v>
      </c>
      <c r="Q5" s="734">
        <v>1789400</v>
      </c>
      <c r="R5" s="735">
        <f t="shared" si="3"/>
        <v>1789400</v>
      </c>
      <c r="S5" s="759">
        <v>1</v>
      </c>
      <c r="T5" s="736" t="s">
        <v>3878</v>
      </c>
      <c r="U5" s="61" t="s">
        <v>3548</v>
      </c>
      <c r="V5" s="61" t="str">
        <f>VLOOKUP(T5,Sheet3!$C$3:$F$16,2,)</f>
        <v>Wirawan Bazikho</v>
      </c>
      <c r="W5" s="61" t="str">
        <f>VLOOKUP(T5,Sheet3!$C$3:$F$16,4,)</f>
        <v>082166714290</v>
      </c>
      <c r="X5" s="61" t="str">
        <f>VLOOKUP(T5,Sheet3!$C$3:$F$16,3,)</f>
        <v>Jl. Diponegoro No. 87, Kel Pasar Telukdalam - Nias Selatan</v>
      </c>
    </row>
    <row r="6" spans="1:24" ht="24.75" customHeight="1">
      <c r="A6" s="61" t="str">
        <f t="shared" si="1"/>
        <v>Plastik Mika1</v>
      </c>
      <c r="B6" s="727">
        <v>52</v>
      </c>
      <c r="C6" s="728" t="s">
        <v>3558</v>
      </c>
      <c r="D6" s="729" t="s">
        <v>3559</v>
      </c>
      <c r="E6" s="779">
        <f t="shared" si="0"/>
        <v>45661</v>
      </c>
      <c r="F6" s="730" t="s">
        <v>3544</v>
      </c>
      <c r="G6" s="772" t="s">
        <v>1547</v>
      </c>
      <c r="H6" s="730" t="s">
        <v>3544</v>
      </c>
      <c r="I6" s="729" t="str">
        <f t="shared" si="2"/>
        <v>04</v>
      </c>
      <c r="J6" s="730" t="s">
        <v>3545</v>
      </c>
      <c r="K6" s="729" t="s">
        <v>3399</v>
      </c>
      <c r="L6" s="729" t="s">
        <v>3560</v>
      </c>
      <c r="M6" s="729" t="s">
        <v>3394</v>
      </c>
      <c r="N6" s="732">
        <v>5</v>
      </c>
      <c r="O6" s="733" t="s">
        <v>3561</v>
      </c>
      <c r="P6" s="734">
        <v>60000</v>
      </c>
      <c r="Q6" s="734">
        <v>300000</v>
      </c>
      <c r="R6" s="735">
        <f t="shared" si="3"/>
        <v>300000</v>
      </c>
      <c r="S6" s="759">
        <v>1</v>
      </c>
      <c r="T6" s="736" t="s">
        <v>227</v>
      </c>
      <c r="U6" s="61" t="s">
        <v>3548</v>
      </c>
      <c r="V6" s="61" t="str">
        <f>VLOOKUP(T6,Sheet3!$C$3:$F$16,2,)</f>
        <v>Gestiwan Bazikho</v>
      </c>
      <c r="W6" s="61" t="str">
        <f>VLOOKUP(T6,Sheet3!$C$3:$F$16,4,)</f>
        <v>081375309828</v>
      </c>
      <c r="X6" s="61" t="str">
        <f>VLOOKUP(T6,Sheet3!$C$3:$F$16,3,)</f>
        <v>Jl. Diponegoro Kel. Pasar Telukdalam - Nias Selatan</v>
      </c>
    </row>
    <row r="7" spans="1:24" ht="14.25" customHeight="1">
      <c r="A7" s="61" t="str">
        <f t="shared" si="1"/>
        <v>Kertas Warna Blank Folio, Ukuran : 8,5 x 14",  70 gram1</v>
      </c>
      <c r="B7" s="727">
        <v>53</v>
      </c>
      <c r="C7" s="737" t="s">
        <v>3558</v>
      </c>
      <c r="D7" s="729" t="s">
        <v>3559</v>
      </c>
      <c r="E7" s="779">
        <f t="shared" si="0"/>
        <v>45661</v>
      </c>
      <c r="F7" s="730" t="s">
        <v>3544</v>
      </c>
      <c r="G7" s="772" t="s">
        <v>1547</v>
      </c>
      <c r="H7" s="730" t="s">
        <v>3544</v>
      </c>
      <c r="I7" s="729" t="str">
        <f t="shared" si="2"/>
        <v>04</v>
      </c>
      <c r="J7" s="730" t="s">
        <v>3545</v>
      </c>
      <c r="K7" s="729" t="s">
        <v>3399</v>
      </c>
      <c r="L7" s="738" t="s">
        <v>3562</v>
      </c>
      <c r="M7" s="738" t="str">
        <f>L7</f>
        <v>Kertas Warna Blank Folio, Ukuran : 8,5 x 14",  70 gram</v>
      </c>
      <c r="N7" s="739">
        <v>2</v>
      </c>
      <c r="O7" s="733" t="s">
        <v>3563</v>
      </c>
      <c r="P7" s="734">
        <v>90000</v>
      </c>
      <c r="Q7" s="734">
        <v>180000</v>
      </c>
      <c r="R7" s="735">
        <f t="shared" si="3"/>
        <v>180000</v>
      </c>
      <c r="S7" s="759">
        <v>1</v>
      </c>
      <c r="T7" s="736" t="s">
        <v>227</v>
      </c>
      <c r="V7" s="61" t="str">
        <f>VLOOKUP(T7,Sheet3!$C$3:$F$16,2,)</f>
        <v>Gestiwan Bazikho</v>
      </c>
      <c r="W7" s="61" t="str">
        <f>VLOOKUP(T7,Sheet3!$C$3:$F$16,4,)</f>
        <v>081375309828</v>
      </c>
      <c r="X7" s="61" t="str">
        <f>VLOOKUP(T7,Sheet3!$C$3:$F$16,3,)</f>
        <v>Jl. Diponegoro Kel. Pasar Telukdalam - Nias Selatan</v>
      </c>
    </row>
    <row r="8" spans="1:24" ht="14.25" customHeight="1">
      <c r="A8" s="61" t="str">
        <f t="shared" si="1"/>
        <v>Kertas Lain-Lain Kertas Buffalo1</v>
      </c>
      <c r="B8" s="727">
        <v>54</v>
      </c>
      <c r="C8" s="737" t="s">
        <v>3558</v>
      </c>
      <c r="D8" s="729" t="s">
        <v>3559</v>
      </c>
      <c r="E8" s="779">
        <f t="shared" si="0"/>
        <v>45661</v>
      </c>
      <c r="F8" s="730" t="s">
        <v>3544</v>
      </c>
      <c r="G8" s="772" t="s">
        <v>1547</v>
      </c>
      <c r="H8" s="730" t="s">
        <v>3544</v>
      </c>
      <c r="I8" s="729" t="str">
        <f t="shared" si="2"/>
        <v>04</v>
      </c>
      <c r="J8" s="730" t="s">
        <v>3545</v>
      </c>
      <c r="K8" s="729" t="s">
        <v>3399</v>
      </c>
      <c r="L8" s="738" t="s">
        <v>3564</v>
      </c>
      <c r="M8" s="738" t="str">
        <f t="shared" ref="M8:M72" si="4">L8</f>
        <v>Kertas Lain-Lain Kertas Buffalo</v>
      </c>
      <c r="N8" s="739">
        <v>5</v>
      </c>
      <c r="O8" s="733" t="s">
        <v>3561</v>
      </c>
      <c r="P8" s="734">
        <v>31000</v>
      </c>
      <c r="Q8" s="734">
        <v>155000</v>
      </c>
      <c r="R8" s="735">
        <f t="shared" si="3"/>
        <v>155000</v>
      </c>
      <c r="S8" s="759">
        <v>1</v>
      </c>
      <c r="T8" s="736" t="s">
        <v>227</v>
      </c>
      <c r="V8" s="61" t="str">
        <f>VLOOKUP(T8,Sheet3!$C$3:$F$16,2,)</f>
        <v>Gestiwan Bazikho</v>
      </c>
      <c r="W8" s="61" t="str">
        <f>VLOOKUP(T8,Sheet3!$C$3:$F$16,4,)</f>
        <v>081375309828</v>
      </c>
      <c r="X8" s="61" t="str">
        <f>VLOOKUP(T8,Sheet3!$C$3:$F$16,3,)</f>
        <v>Jl. Diponegoro Kel. Pasar Telukdalam - Nias Selatan</v>
      </c>
    </row>
    <row r="9" spans="1:24" ht="14.25" customHeight="1">
      <c r="A9" s="61" t="str">
        <f t="shared" si="1"/>
        <v>Kertas Post-It Warna Warni  Sign Here1</v>
      </c>
      <c r="B9" s="727">
        <v>55</v>
      </c>
      <c r="C9" s="737" t="s">
        <v>3558</v>
      </c>
      <c r="D9" s="729" t="s">
        <v>3559</v>
      </c>
      <c r="E9" s="779">
        <f t="shared" si="0"/>
        <v>45661</v>
      </c>
      <c r="F9" s="730" t="s">
        <v>3544</v>
      </c>
      <c r="G9" s="772" t="s">
        <v>1547</v>
      </c>
      <c r="H9" s="730" t="s">
        <v>3544</v>
      </c>
      <c r="I9" s="729" t="str">
        <f t="shared" si="2"/>
        <v>04</v>
      </c>
      <c r="J9" s="730" t="s">
        <v>3545</v>
      </c>
      <c r="K9" s="729" t="s">
        <v>3399</v>
      </c>
      <c r="L9" s="738" t="s">
        <v>3565</v>
      </c>
      <c r="M9" s="738" t="str">
        <f t="shared" si="4"/>
        <v>Kertas Post-It Warna Warni  Sign Here</v>
      </c>
      <c r="N9" s="739">
        <v>5</v>
      </c>
      <c r="O9" s="733" t="s">
        <v>3557</v>
      </c>
      <c r="P9" s="734">
        <v>22800</v>
      </c>
      <c r="Q9" s="734">
        <v>114000</v>
      </c>
      <c r="R9" s="735">
        <f t="shared" si="3"/>
        <v>114000</v>
      </c>
      <c r="S9" s="759">
        <v>1</v>
      </c>
      <c r="T9" s="736" t="s">
        <v>227</v>
      </c>
      <c r="V9" s="61" t="str">
        <f>VLOOKUP(T9,Sheet3!$C$3:$F$16,2,)</f>
        <v>Gestiwan Bazikho</v>
      </c>
      <c r="W9" s="61" t="str">
        <f>VLOOKUP(T9,Sheet3!$C$3:$F$16,4,)</f>
        <v>081375309828</v>
      </c>
      <c r="X9" s="61" t="str">
        <f>VLOOKUP(T9,Sheet3!$C$3:$F$16,3,)</f>
        <v>Jl. Diponegoro Kel. Pasar Telukdalam - Nias Selatan</v>
      </c>
    </row>
    <row r="10" spans="1:24" ht="24.75" customHeight="1">
      <c r="A10" s="61" t="str">
        <f t="shared" si="1"/>
        <v>Kertas HVS 60 gram Merk : Paper One HVS F4 uk. 8.27"x11.69"1</v>
      </c>
      <c r="B10" s="727">
        <v>56</v>
      </c>
      <c r="C10" s="737" t="s">
        <v>3558</v>
      </c>
      <c r="D10" s="729" t="s">
        <v>3559</v>
      </c>
      <c r="E10" s="779">
        <f t="shared" si="0"/>
        <v>45661</v>
      </c>
      <c r="F10" s="730" t="s">
        <v>3544</v>
      </c>
      <c r="G10" s="772" t="s">
        <v>1547</v>
      </c>
      <c r="H10" s="730" t="s">
        <v>3544</v>
      </c>
      <c r="I10" s="729" t="str">
        <f t="shared" si="2"/>
        <v>04</v>
      </c>
      <c r="J10" s="730" t="s">
        <v>3545</v>
      </c>
      <c r="K10" s="729" t="s">
        <v>3399</v>
      </c>
      <c r="L10" s="738" t="s">
        <v>3566</v>
      </c>
      <c r="M10" s="738" t="str">
        <f t="shared" si="4"/>
        <v>Kertas HVS 60 gram Merk : Paper One HVS F4 uk. 8.27"x11.69"</v>
      </c>
      <c r="N10" s="739">
        <v>10</v>
      </c>
      <c r="O10" s="733" t="s">
        <v>3563</v>
      </c>
      <c r="P10" s="734">
        <v>48500</v>
      </c>
      <c r="Q10" s="734">
        <v>485000</v>
      </c>
      <c r="R10" s="735">
        <f t="shared" si="3"/>
        <v>485000</v>
      </c>
      <c r="S10" s="759">
        <v>1</v>
      </c>
      <c r="T10" s="736" t="s">
        <v>227</v>
      </c>
      <c r="V10" s="61" t="str">
        <f>VLOOKUP(T10,Sheet3!$C$3:$F$16,2,)</f>
        <v>Gestiwan Bazikho</v>
      </c>
      <c r="W10" s="61" t="str">
        <f>VLOOKUP(T10,Sheet3!$C$3:$F$16,4,)</f>
        <v>081375309828</v>
      </c>
      <c r="X10" s="61" t="str">
        <f>VLOOKUP(T10,Sheet3!$C$3:$F$16,3,)</f>
        <v>Jl. Diponegoro Kel. Pasar Telukdalam - Nias Selatan</v>
      </c>
    </row>
    <row r="11" spans="1:24" ht="24.75" customHeight="1">
      <c r="A11" s="61" t="str">
        <f t="shared" si="1"/>
        <v>Kertas HVS 80 gram Merk : Paper One A4, Ukuran : 8,27" x 11,69", Isi : 500 lembar1</v>
      </c>
      <c r="B11" s="727">
        <v>57</v>
      </c>
      <c r="C11" s="737" t="s">
        <v>3558</v>
      </c>
      <c r="D11" s="729" t="s">
        <v>3559</v>
      </c>
      <c r="E11" s="779">
        <f t="shared" si="0"/>
        <v>45661</v>
      </c>
      <c r="F11" s="730" t="s">
        <v>3544</v>
      </c>
      <c r="G11" s="772" t="s">
        <v>1547</v>
      </c>
      <c r="H11" s="730" t="s">
        <v>3544</v>
      </c>
      <c r="I11" s="729" t="str">
        <f t="shared" si="2"/>
        <v>04</v>
      </c>
      <c r="J11" s="730" t="s">
        <v>3545</v>
      </c>
      <c r="K11" s="729" t="s">
        <v>3399</v>
      </c>
      <c r="L11" s="738" t="s">
        <v>3567</v>
      </c>
      <c r="M11" s="738" t="str">
        <f t="shared" si="4"/>
        <v>Kertas HVS 80 gram Merk : Paper One A4, Ukuran : 8,27" x 11,69", Isi : 500 lembar</v>
      </c>
      <c r="N11" s="739">
        <v>40</v>
      </c>
      <c r="O11" s="733" t="s">
        <v>3563</v>
      </c>
      <c r="P11" s="734">
        <v>50000</v>
      </c>
      <c r="Q11" s="734">
        <v>2000000</v>
      </c>
      <c r="R11" s="735">
        <f t="shared" si="3"/>
        <v>2000000</v>
      </c>
      <c r="S11" s="759">
        <v>1</v>
      </c>
      <c r="T11" s="736" t="s">
        <v>227</v>
      </c>
      <c r="V11" s="61" t="str">
        <f>VLOOKUP(T11,Sheet3!$C$3:$F$16,2,)</f>
        <v>Gestiwan Bazikho</v>
      </c>
      <c r="W11" s="61" t="str">
        <f>VLOOKUP(T11,Sheet3!$C$3:$F$16,4,)</f>
        <v>081375309828</v>
      </c>
      <c r="X11" s="61" t="str">
        <f>VLOOKUP(T11,Sheet3!$C$3:$F$16,3,)</f>
        <v>Jl. Diponegoro Kel. Pasar Telukdalam - Nias Selatan</v>
      </c>
    </row>
    <row r="12" spans="1:24" ht="24.75" customHeight="1">
      <c r="A12" s="61" t="str">
        <f t="shared" si="1"/>
        <v>Kertas StensiI1</v>
      </c>
      <c r="B12" s="727">
        <v>58</v>
      </c>
      <c r="C12" s="737" t="s">
        <v>3558</v>
      </c>
      <c r="D12" s="729" t="s">
        <v>3559</v>
      </c>
      <c r="E12" s="779">
        <f t="shared" si="0"/>
        <v>45661</v>
      </c>
      <c r="F12" s="730" t="s">
        <v>3544</v>
      </c>
      <c r="G12" s="772" t="s">
        <v>1547</v>
      </c>
      <c r="H12" s="730" t="s">
        <v>3544</v>
      </c>
      <c r="I12" s="729" t="str">
        <f t="shared" si="2"/>
        <v>04</v>
      </c>
      <c r="J12" s="730" t="s">
        <v>3545</v>
      </c>
      <c r="K12" s="729" t="s">
        <v>3399</v>
      </c>
      <c r="L12" s="738" t="s">
        <v>3568</v>
      </c>
      <c r="M12" s="738" t="str">
        <f t="shared" si="4"/>
        <v>Kertas StensiI</v>
      </c>
      <c r="N12" s="739">
        <v>10</v>
      </c>
      <c r="O12" s="733" t="s">
        <v>3561</v>
      </c>
      <c r="P12" s="734">
        <v>50000</v>
      </c>
      <c r="Q12" s="734">
        <v>500000</v>
      </c>
      <c r="R12" s="735">
        <f t="shared" si="3"/>
        <v>500000</v>
      </c>
      <c r="S12" s="759">
        <v>1</v>
      </c>
      <c r="T12" s="736" t="s">
        <v>227</v>
      </c>
      <c r="V12" s="61" t="str">
        <f>VLOOKUP(T12,Sheet3!$C$3:$F$16,2,)</f>
        <v>Gestiwan Bazikho</v>
      </c>
      <c r="W12" s="61" t="str">
        <f>VLOOKUP(T12,Sheet3!$C$3:$F$16,4,)</f>
        <v>081375309828</v>
      </c>
      <c r="X12" s="61" t="str">
        <f>VLOOKUP(T12,Sheet3!$C$3:$F$16,3,)</f>
        <v>Jl. Diponegoro Kel. Pasar Telukdalam - Nias Selatan</v>
      </c>
    </row>
    <row r="13" spans="1:24" ht="24.75" customHeight="1">
      <c r="A13" s="61" t="str">
        <f t="shared" si="1"/>
        <v>Kertas Label1</v>
      </c>
      <c r="B13" s="727">
        <v>59</v>
      </c>
      <c r="C13" s="737" t="s">
        <v>3558</v>
      </c>
      <c r="D13" s="729" t="s">
        <v>3559</v>
      </c>
      <c r="E13" s="779">
        <f t="shared" si="0"/>
        <v>45661</v>
      </c>
      <c r="F13" s="730" t="s">
        <v>3544</v>
      </c>
      <c r="G13" s="772" t="s">
        <v>1547</v>
      </c>
      <c r="H13" s="730" t="s">
        <v>3544</v>
      </c>
      <c r="I13" s="729" t="str">
        <f t="shared" si="2"/>
        <v>04</v>
      </c>
      <c r="J13" s="730" t="s">
        <v>3545</v>
      </c>
      <c r="K13" s="729" t="s">
        <v>3399</v>
      </c>
      <c r="L13" s="738" t="s">
        <v>3569</v>
      </c>
      <c r="M13" s="738" t="str">
        <f t="shared" si="4"/>
        <v>Kertas Label</v>
      </c>
      <c r="N13" s="739">
        <v>5</v>
      </c>
      <c r="O13" s="733" t="s">
        <v>3570</v>
      </c>
      <c r="P13" s="734">
        <v>25000</v>
      </c>
      <c r="Q13" s="734">
        <v>125000</v>
      </c>
      <c r="R13" s="735">
        <f t="shared" si="3"/>
        <v>125000</v>
      </c>
      <c r="S13" s="759">
        <v>1</v>
      </c>
      <c r="T13" s="736" t="s">
        <v>227</v>
      </c>
      <c r="V13" s="61" t="str">
        <f>VLOOKUP(T13,Sheet3!$C$3:$F$16,2,)</f>
        <v>Gestiwan Bazikho</v>
      </c>
      <c r="W13" s="61" t="str">
        <f>VLOOKUP(T13,Sheet3!$C$3:$F$16,4,)</f>
        <v>081375309828</v>
      </c>
      <c r="X13" s="61" t="str">
        <f>VLOOKUP(T13,Sheet3!$C$3:$F$16,3,)</f>
        <v>Jl. Diponegoro Kel. Pasar Telukdalam - Nias Selatan</v>
      </c>
    </row>
    <row r="14" spans="1:24" ht="14.25" customHeight="1">
      <c r="A14" s="61" t="str">
        <f t="shared" si="1"/>
        <v>Amplop Coklat Merk : GSU Ukuran : 1/2 folio, bergaris1</v>
      </c>
      <c r="B14" s="727">
        <v>60</v>
      </c>
      <c r="C14" s="737" t="s">
        <v>3558</v>
      </c>
      <c r="D14" s="729" t="s">
        <v>3559</v>
      </c>
      <c r="E14" s="779">
        <f t="shared" si="0"/>
        <v>45661</v>
      </c>
      <c r="F14" s="730" t="s">
        <v>3544</v>
      </c>
      <c r="G14" s="772" t="s">
        <v>1547</v>
      </c>
      <c r="H14" s="730" t="s">
        <v>3544</v>
      </c>
      <c r="I14" s="729" t="str">
        <f t="shared" si="2"/>
        <v>04</v>
      </c>
      <c r="J14" s="730" t="s">
        <v>3545</v>
      </c>
      <c r="K14" s="729" t="s">
        <v>3399</v>
      </c>
      <c r="L14" s="738" t="s">
        <v>3571</v>
      </c>
      <c r="M14" s="738" t="str">
        <f t="shared" si="4"/>
        <v>Amplop Coklat Merk : GSU Ukuran : 1/2 folio, bergaris</v>
      </c>
      <c r="N14" s="739">
        <v>1</v>
      </c>
      <c r="O14" s="733" t="s">
        <v>3561</v>
      </c>
      <c r="P14" s="734">
        <v>45000</v>
      </c>
      <c r="Q14" s="734">
        <v>45000</v>
      </c>
      <c r="R14" s="735">
        <f t="shared" si="3"/>
        <v>45000</v>
      </c>
      <c r="S14" s="759">
        <v>1</v>
      </c>
      <c r="T14" s="736" t="s">
        <v>227</v>
      </c>
      <c r="V14" s="61" t="str">
        <f>VLOOKUP(T14,Sheet3!$C$3:$F$16,2,)</f>
        <v>Gestiwan Bazikho</v>
      </c>
      <c r="W14" s="61" t="str">
        <f>VLOOKUP(T14,Sheet3!$C$3:$F$16,4,)</f>
        <v>081375309828</v>
      </c>
      <c r="X14" s="61" t="str">
        <f>VLOOKUP(T14,Sheet3!$C$3:$F$16,3,)</f>
        <v>Jl. Diponegoro Kel. Pasar Telukdalam - Nias Selatan</v>
      </c>
    </row>
    <row r="15" spans="1:24" ht="14.25" customHeight="1">
      <c r="A15" s="61" t="str">
        <f t="shared" si="1"/>
        <v>Amplop Coklat Merk : Garda Ukuran Cabinet1</v>
      </c>
      <c r="B15" s="727">
        <v>61</v>
      </c>
      <c r="C15" s="737" t="s">
        <v>3558</v>
      </c>
      <c r="D15" s="729" t="s">
        <v>3559</v>
      </c>
      <c r="E15" s="779">
        <f t="shared" si="0"/>
        <v>45661</v>
      </c>
      <c r="F15" s="730" t="s">
        <v>3544</v>
      </c>
      <c r="G15" s="772" t="s">
        <v>1547</v>
      </c>
      <c r="H15" s="730" t="s">
        <v>3544</v>
      </c>
      <c r="I15" s="729" t="str">
        <f t="shared" si="2"/>
        <v>04</v>
      </c>
      <c r="J15" s="730" t="s">
        <v>3545</v>
      </c>
      <c r="K15" s="729" t="s">
        <v>3399</v>
      </c>
      <c r="L15" s="738" t="s">
        <v>3572</v>
      </c>
      <c r="M15" s="738" t="str">
        <f t="shared" si="4"/>
        <v>Amplop Coklat Merk : Garda Ukuran Cabinet</v>
      </c>
      <c r="N15" s="739">
        <v>3</v>
      </c>
      <c r="O15" s="733" t="s">
        <v>3561</v>
      </c>
      <c r="P15" s="734">
        <v>23000</v>
      </c>
      <c r="Q15" s="734">
        <v>69000</v>
      </c>
      <c r="R15" s="735">
        <f t="shared" si="3"/>
        <v>69000</v>
      </c>
      <c r="S15" s="759">
        <v>1</v>
      </c>
      <c r="T15" s="736" t="s">
        <v>227</v>
      </c>
      <c r="V15" s="61" t="str">
        <f>VLOOKUP(T15,Sheet3!$C$3:$F$16,2,)</f>
        <v>Gestiwan Bazikho</v>
      </c>
      <c r="W15" s="61" t="str">
        <f>VLOOKUP(T15,Sheet3!$C$3:$F$16,4,)</f>
        <v>081375309828</v>
      </c>
      <c r="X15" s="61" t="str">
        <f>VLOOKUP(T15,Sheet3!$C$3:$F$16,3,)</f>
        <v>Jl. Diponegoro Kel. Pasar Telukdalam - Nias Selatan</v>
      </c>
    </row>
    <row r="16" spans="1:24" ht="14.25" customHeight="1">
      <c r="A16" s="61" t="str">
        <f t="shared" si="1"/>
        <v>Amplop Coklat Merk : GSU Ukuran Folio polos1</v>
      </c>
      <c r="B16" s="727">
        <v>62</v>
      </c>
      <c r="C16" s="737" t="s">
        <v>3558</v>
      </c>
      <c r="D16" s="729" t="s">
        <v>3559</v>
      </c>
      <c r="E16" s="779">
        <f t="shared" si="0"/>
        <v>45661</v>
      </c>
      <c r="F16" s="730" t="s">
        <v>3544</v>
      </c>
      <c r="G16" s="772" t="s">
        <v>1547</v>
      </c>
      <c r="H16" s="730" t="s">
        <v>3544</v>
      </c>
      <c r="I16" s="729" t="str">
        <f t="shared" si="2"/>
        <v>04</v>
      </c>
      <c r="J16" s="730" t="s">
        <v>3545</v>
      </c>
      <c r="K16" s="729" t="s">
        <v>3399</v>
      </c>
      <c r="L16" s="738" t="s">
        <v>3573</v>
      </c>
      <c r="M16" s="738" t="str">
        <f t="shared" si="4"/>
        <v>Amplop Coklat Merk : GSU Ukuran Folio polos</v>
      </c>
      <c r="N16" s="739">
        <v>2</v>
      </c>
      <c r="O16" s="733" t="s">
        <v>3561</v>
      </c>
      <c r="P16" s="734">
        <v>60000</v>
      </c>
      <c r="Q16" s="734">
        <v>120000</v>
      </c>
      <c r="R16" s="735">
        <f t="shared" si="3"/>
        <v>120000</v>
      </c>
      <c r="S16" s="759">
        <v>1</v>
      </c>
      <c r="T16" s="736" t="s">
        <v>227</v>
      </c>
      <c r="V16" s="61" t="str">
        <f>VLOOKUP(T16,Sheet3!$C$3:$F$16,2,)</f>
        <v>Gestiwan Bazikho</v>
      </c>
      <c r="W16" s="61" t="str">
        <f>VLOOKUP(T16,Sheet3!$C$3:$F$16,4,)</f>
        <v>081375309828</v>
      </c>
      <c r="X16" s="61" t="str">
        <f>VLOOKUP(T16,Sheet3!$C$3:$F$16,3,)</f>
        <v>Jl. Diponegoro Kel. Pasar Telukdalam - Nias Selatan</v>
      </c>
    </row>
    <row r="17" spans="1:24" ht="14.25" customHeight="1">
      <c r="A17" s="61" t="str">
        <f t="shared" si="1"/>
        <v>Amplop Panjang Putih Polos Merk : Jaya Ukuran : 11 x 23 cm1</v>
      </c>
      <c r="B17" s="727">
        <v>63</v>
      </c>
      <c r="C17" s="737" t="s">
        <v>3558</v>
      </c>
      <c r="D17" s="729" t="s">
        <v>3559</v>
      </c>
      <c r="E17" s="779">
        <f t="shared" si="0"/>
        <v>45661</v>
      </c>
      <c r="F17" s="730" t="s">
        <v>3544</v>
      </c>
      <c r="G17" s="772" t="s">
        <v>1547</v>
      </c>
      <c r="H17" s="730" t="s">
        <v>3544</v>
      </c>
      <c r="I17" s="729" t="str">
        <f t="shared" si="2"/>
        <v>04</v>
      </c>
      <c r="J17" s="730" t="s">
        <v>3545</v>
      </c>
      <c r="K17" s="729" t="s">
        <v>3399</v>
      </c>
      <c r="L17" s="738" t="s">
        <v>3574</v>
      </c>
      <c r="M17" s="738" t="str">
        <f t="shared" si="4"/>
        <v>Amplop Panjang Putih Polos Merk : Jaya Ukuran : 11 x 23 cm</v>
      </c>
      <c r="N17" s="739">
        <v>1</v>
      </c>
      <c r="O17" s="733" t="s">
        <v>3575</v>
      </c>
      <c r="P17" s="734">
        <v>48000</v>
      </c>
      <c r="Q17" s="734">
        <v>48000</v>
      </c>
      <c r="R17" s="735">
        <f t="shared" si="3"/>
        <v>48000</v>
      </c>
      <c r="S17" s="759">
        <v>1</v>
      </c>
      <c r="T17" s="736" t="s">
        <v>227</v>
      </c>
      <c r="V17" s="61" t="str">
        <f>VLOOKUP(T17,Sheet3!$C$3:$F$16,2,)</f>
        <v>Gestiwan Bazikho</v>
      </c>
      <c r="W17" s="61" t="str">
        <f>VLOOKUP(T17,Sheet3!$C$3:$F$16,4,)</f>
        <v>081375309828</v>
      </c>
      <c r="X17" s="61" t="str">
        <f>VLOOKUP(T17,Sheet3!$C$3:$F$16,3,)</f>
        <v>Jl. Diponegoro Kel. Pasar Telukdalam - Nias Selatan</v>
      </c>
    </row>
    <row r="18" spans="1:24" ht="24.75" customHeight="1">
      <c r="A18" s="61" t="str">
        <f t="shared" si="1"/>
        <v>Ballpoint Boldiner Standar1</v>
      </c>
      <c r="B18" s="727">
        <v>64</v>
      </c>
      <c r="C18" s="737" t="s">
        <v>3558</v>
      </c>
      <c r="D18" s="729" t="s">
        <v>3559</v>
      </c>
      <c r="E18" s="779">
        <f t="shared" si="0"/>
        <v>45661</v>
      </c>
      <c r="F18" s="730" t="s">
        <v>3544</v>
      </c>
      <c r="G18" s="772" t="s">
        <v>1547</v>
      </c>
      <c r="H18" s="730" t="s">
        <v>3544</v>
      </c>
      <c r="I18" s="729" t="str">
        <f t="shared" si="2"/>
        <v>04</v>
      </c>
      <c r="J18" s="730" t="s">
        <v>3545</v>
      </c>
      <c r="K18" s="729" t="s">
        <v>3399</v>
      </c>
      <c r="L18" s="738" t="s">
        <v>3576</v>
      </c>
      <c r="M18" s="738" t="str">
        <f t="shared" si="4"/>
        <v>Ballpoint Boldiner Standar</v>
      </c>
      <c r="N18" s="739">
        <v>2</v>
      </c>
      <c r="O18" s="733" t="s">
        <v>3577</v>
      </c>
      <c r="P18" s="734">
        <v>225000</v>
      </c>
      <c r="Q18" s="734">
        <v>450000</v>
      </c>
      <c r="R18" s="735">
        <f t="shared" si="3"/>
        <v>450000</v>
      </c>
      <c r="S18" s="759">
        <v>1</v>
      </c>
      <c r="T18" s="736" t="s">
        <v>227</v>
      </c>
      <c r="V18" s="61" t="str">
        <f>VLOOKUP(T18,Sheet3!$C$3:$F$16,2,)</f>
        <v>Gestiwan Bazikho</v>
      </c>
      <c r="W18" s="61" t="str">
        <f>VLOOKUP(T18,Sheet3!$C$3:$F$16,4,)</f>
        <v>081375309828</v>
      </c>
      <c r="X18" s="61" t="str">
        <f>VLOOKUP(T18,Sheet3!$C$3:$F$16,3,)</f>
        <v>Jl. Diponegoro Kel. Pasar Telukdalam - Nias Selatan</v>
      </c>
    </row>
    <row r="19" spans="1:24" ht="14.25" customHeight="1">
      <c r="A19" s="61" t="str">
        <f t="shared" si="1"/>
        <v>Ballpoint Drawing Pen 0,1 Snowman1</v>
      </c>
      <c r="B19" s="727">
        <v>65</v>
      </c>
      <c r="C19" s="737" t="s">
        <v>3558</v>
      </c>
      <c r="D19" s="729" t="s">
        <v>3559</v>
      </c>
      <c r="E19" s="779">
        <f t="shared" si="0"/>
        <v>45661</v>
      </c>
      <c r="F19" s="730" t="s">
        <v>3544</v>
      </c>
      <c r="G19" s="772" t="s">
        <v>1547</v>
      </c>
      <c r="H19" s="730" t="s">
        <v>3544</v>
      </c>
      <c r="I19" s="729" t="str">
        <f t="shared" si="2"/>
        <v>04</v>
      </c>
      <c r="J19" s="730" t="s">
        <v>3545</v>
      </c>
      <c r="K19" s="729" t="s">
        <v>3399</v>
      </c>
      <c r="L19" s="738" t="s">
        <v>3578</v>
      </c>
      <c r="M19" s="738" t="str">
        <f t="shared" si="4"/>
        <v>Ballpoint Drawing Pen 0,1 Snowman</v>
      </c>
      <c r="N19" s="739">
        <v>1</v>
      </c>
      <c r="O19" s="733" t="s">
        <v>3577</v>
      </c>
      <c r="P19" s="734">
        <v>95000</v>
      </c>
      <c r="Q19" s="734">
        <v>95000</v>
      </c>
      <c r="R19" s="735">
        <f t="shared" si="3"/>
        <v>95000</v>
      </c>
      <c r="S19" s="759">
        <v>1</v>
      </c>
      <c r="T19" s="736" t="s">
        <v>227</v>
      </c>
      <c r="V19" s="61" t="str">
        <f>VLOOKUP(T19,Sheet3!$C$3:$F$16,2,)</f>
        <v>Gestiwan Bazikho</v>
      </c>
      <c r="W19" s="61" t="str">
        <f>VLOOKUP(T19,Sheet3!$C$3:$F$16,4,)</f>
        <v>081375309828</v>
      </c>
      <c r="X19" s="61" t="str">
        <f>VLOOKUP(T19,Sheet3!$C$3:$F$16,3,)</f>
        <v>Jl. Diponegoro Kel. Pasar Telukdalam - Nias Selatan</v>
      </c>
    </row>
    <row r="20" spans="1:24" ht="14.25" customHeight="1">
      <c r="A20" s="61" t="str">
        <f t="shared" si="1"/>
        <v>Ballpoint Standard AE71</v>
      </c>
      <c r="B20" s="727">
        <v>66</v>
      </c>
      <c r="C20" s="737" t="s">
        <v>3558</v>
      </c>
      <c r="D20" s="729" t="s">
        <v>3559</v>
      </c>
      <c r="E20" s="779">
        <f t="shared" si="0"/>
        <v>45661</v>
      </c>
      <c r="F20" s="730" t="s">
        <v>3544</v>
      </c>
      <c r="G20" s="772" t="s">
        <v>1547</v>
      </c>
      <c r="H20" s="730" t="s">
        <v>3544</v>
      </c>
      <c r="I20" s="729" t="str">
        <f t="shared" si="2"/>
        <v>04</v>
      </c>
      <c r="J20" s="730" t="s">
        <v>3545</v>
      </c>
      <c r="K20" s="729" t="s">
        <v>3399</v>
      </c>
      <c r="L20" s="738" t="s">
        <v>3579</v>
      </c>
      <c r="M20" s="738" t="str">
        <f t="shared" si="4"/>
        <v>Ballpoint Standard AE7</v>
      </c>
      <c r="N20" s="739">
        <v>2</v>
      </c>
      <c r="O20" s="733" t="s">
        <v>3577</v>
      </c>
      <c r="P20" s="734">
        <v>20000</v>
      </c>
      <c r="Q20" s="734">
        <v>40000</v>
      </c>
      <c r="R20" s="735">
        <f t="shared" si="3"/>
        <v>40000</v>
      </c>
      <c r="S20" s="759">
        <v>1</v>
      </c>
      <c r="T20" s="736" t="s">
        <v>227</v>
      </c>
      <c r="V20" s="61" t="str">
        <f>VLOOKUP(T20,Sheet3!$C$3:$F$16,2,)</f>
        <v>Gestiwan Bazikho</v>
      </c>
      <c r="W20" s="61" t="str">
        <f>VLOOKUP(T20,Sheet3!$C$3:$F$16,4,)</f>
        <v>081375309828</v>
      </c>
      <c r="X20" s="61" t="str">
        <f>VLOOKUP(T20,Sheet3!$C$3:$F$16,3,)</f>
        <v>Jl. Diponegoro Kel. Pasar Telukdalam - Nias Selatan</v>
      </c>
    </row>
    <row r="21" spans="1:24" ht="14.25" customHeight="1">
      <c r="A21" s="61" t="str">
        <f t="shared" si="1"/>
        <v>Ballpoint Pilot G21</v>
      </c>
      <c r="B21" s="727">
        <v>67</v>
      </c>
      <c r="C21" s="737" t="s">
        <v>3558</v>
      </c>
      <c r="D21" s="729" t="s">
        <v>3559</v>
      </c>
      <c r="E21" s="779">
        <f t="shared" si="0"/>
        <v>45661</v>
      </c>
      <c r="F21" s="730" t="s">
        <v>3544</v>
      </c>
      <c r="G21" s="772" t="s">
        <v>1547</v>
      </c>
      <c r="H21" s="730" t="s">
        <v>3544</v>
      </c>
      <c r="I21" s="729" t="str">
        <f t="shared" si="2"/>
        <v>04</v>
      </c>
      <c r="J21" s="730" t="s">
        <v>3545</v>
      </c>
      <c r="K21" s="729" t="s">
        <v>3399</v>
      </c>
      <c r="L21" s="738" t="s">
        <v>3580</v>
      </c>
      <c r="M21" s="738" t="str">
        <f t="shared" si="4"/>
        <v>Ballpoint Pilot G2</v>
      </c>
      <c r="N21" s="739">
        <v>1</v>
      </c>
      <c r="O21" s="733" t="s">
        <v>3577</v>
      </c>
      <c r="P21" s="734">
        <v>235000</v>
      </c>
      <c r="Q21" s="734">
        <v>235000</v>
      </c>
      <c r="R21" s="735">
        <f t="shared" si="3"/>
        <v>235000</v>
      </c>
      <c r="S21" s="759">
        <v>1</v>
      </c>
      <c r="T21" s="736" t="s">
        <v>227</v>
      </c>
      <c r="V21" s="61" t="str">
        <f>VLOOKUP(T21,Sheet3!$C$3:$F$16,2,)</f>
        <v>Gestiwan Bazikho</v>
      </c>
      <c r="W21" s="61" t="str">
        <f>VLOOKUP(T21,Sheet3!$C$3:$F$16,4,)</f>
        <v>081375309828</v>
      </c>
      <c r="X21" s="61" t="str">
        <f>VLOOKUP(T21,Sheet3!$C$3:$F$16,3,)</f>
        <v>Jl. Diponegoro Kel. Pasar Telukdalam - Nias Selatan</v>
      </c>
    </row>
    <row r="22" spans="1:24" ht="14.25" customHeight="1">
      <c r="A22" s="61" t="str">
        <f t="shared" si="1"/>
        <v>Binder Klip  nomor 1071</v>
      </c>
      <c r="B22" s="727">
        <v>68</v>
      </c>
      <c r="C22" s="737" t="s">
        <v>3558</v>
      </c>
      <c r="D22" s="729" t="s">
        <v>3559</v>
      </c>
      <c r="E22" s="779">
        <f t="shared" si="0"/>
        <v>45661</v>
      </c>
      <c r="F22" s="730" t="s">
        <v>3544</v>
      </c>
      <c r="G22" s="772" t="s">
        <v>1547</v>
      </c>
      <c r="H22" s="730" t="s">
        <v>3544</v>
      </c>
      <c r="I22" s="729" t="str">
        <f t="shared" si="2"/>
        <v>04</v>
      </c>
      <c r="J22" s="730" t="s">
        <v>3545</v>
      </c>
      <c r="K22" s="729" t="s">
        <v>3399</v>
      </c>
      <c r="L22" s="738" t="s">
        <v>3581</v>
      </c>
      <c r="M22" s="738" t="str">
        <f t="shared" si="4"/>
        <v>Binder Klip  nomor 107</v>
      </c>
      <c r="N22" s="739">
        <v>5</v>
      </c>
      <c r="O22" s="733" t="s">
        <v>3575</v>
      </c>
      <c r="P22" s="734">
        <v>7800</v>
      </c>
      <c r="Q22" s="734">
        <v>39000</v>
      </c>
      <c r="R22" s="735">
        <f t="shared" si="3"/>
        <v>39000</v>
      </c>
      <c r="S22" s="759">
        <v>1</v>
      </c>
      <c r="T22" s="736" t="s">
        <v>227</v>
      </c>
      <c r="V22" s="61" t="str">
        <f>VLOOKUP(T22,Sheet3!$C$3:$F$16,2,)</f>
        <v>Gestiwan Bazikho</v>
      </c>
      <c r="W22" s="61" t="str">
        <f>VLOOKUP(T22,Sheet3!$C$3:$F$16,4,)</f>
        <v>081375309828</v>
      </c>
      <c r="X22" s="61" t="str">
        <f>VLOOKUP(T22,Sheet3!$C$3:$F$16,3,)</f>
        <v>Jl. Diponegoro Kel. Pasar Telukdalam - Nias Selatan</v>
      </c>
    </row>
    <row r="23" spans="1:24" ht="14.25" customHeight="1">
      <c r="A23" s="61" t="str">
        <f t="shared" si="1"/>
        <v>Binder Klip  nomor 1111</v>
      </c>
      <c r="B23" s="727">
        <v>69</v>
      </c>
      <c r="C23" s="737" t="s">
        <v>3558</v>
      </c>
      <c r="D23" s="729" t="s">
        <v>3559</v>
      </c>
      <c r="E23" s="779">
        <f t="shared" si="0"/>
        <v>45661</v>
      </c>
      <c r="F23" s="730" t="s">
        <v>3544</v>
      </c>
      <c r="G23" s="772" t="s">
        <v>1547</v>
      </c>
      <c r="H23" s="730" t="s">
        <v>3544</v>
      </c>
      <c r="I23" s="729" t="str">
        <f t="shared" si="2"/>
        <v>04</v>
      </c>
      <c r="J23" s="730" t="s">
        <v>3545</v>
      </c>
      <c r="K23" s="729" t="s">
        <v>3399</v>
      </c>
      <c r="L23" s="738" t="s">
        <v>3582</v>
      </c>
      <c r="M23" s="738" t="str">
        <f t="shared" si="4"/>
        <v>Binder Klip  nomor 111</v>
      </c>
      <c r="N23" s="739">
        <v>5</v>
      </c>
      <c r="O23" s="733" t="s">
        <v>3575</v>
      </c>
      <c r="P23" s="734">
        <v>11000</v>
      </c>
      <c r="Q23" s="734">
        <v>55000</v>
      </c>
      <c r="R23" s="735">
        <f t="shared" si="3"/>
        <v>55000</v>
      </c>
      <c r="S23" s="759">
        <v>1</v>
      </c>
      <c r="T23" s="736" t="s">
        <v>227</v>
      </c>
      <c r="V23" s="61" t="str">
        <f>VLOOKUP(T23,Sheet3!$C$3:$F$16,2,)</f>
        <v>Gestiwan Bazikho</v>
      </c>
      <c r="W23" s="61" t="str">
        <f>VLOOKUP(T23,Sheet3!$C$3:$F$16,4,)</f>
        <v>081375309828</v>
      </c>
      <c r="X23" s="61" t="str">
        <f>VLOOKUP(T23,Sheet3!$C$3:$F$16,3,)</f>
        <v>Jl. Diponegoro Kel. Pasar Telukdalam - Nias Selatan</v>
      </c>
    </row>
    <row r="24" spans="1:24" ht="14.25" customHeight="1">
      <c r="A24" s="61" t="str">
        <f t="shared" si="1"/>
        <v>Binder Klip  nomor 2001</v>
      </c>
      <c r="B24" s="727">
        <v>70</v>
      </c>
      <c r="C24" s="737" t="s">
        <v>3558</v>
      </c>
      <c r="D24" s="729" t="s">
        <v>3559</v>
      </c>
      <c r="E24" s="779">
        <f t="shared" si="0"/>
        <v>45661</v>
      </c>
      <c r="F24" s="730" t="s">
        <v>3544</v>
      </c>
      <c r="G24" s="772" t="s">
        <v>1547</v>
      </c>
      <c r="H24" s="730" t="s">
        <v>3544</v>
      </c>
      <c r="I24" s="729" t="str">
        <f t="shared" si="2"/>
        <v>04</v>
      </c>
      <c r="J24" s="730" t="s">
        <v>3545</v>
      </c>
      <c r="K24" s="729" t="s">
        <v>3399</v>
      </c>
      <c r="L24" s="738" t="s">
        <v>3583</v>
      </c>
      <c r="M24" s="738" t="str">
        <f t="shared" si="4"/>
        <v>Binder Klip  nomor 200</v>
      </c>
      <c r="N24" s="739">
        <v>10</v>
      </c>
      <c r="O24" s="733" t="s">
        <v>3575</v>
      </c>
      <c r="P24" s="734">
        <v>16500</v>
      </c>
      <c r="Q24" s="734">
        <v>165000</v>
      </c>
      <c r="R24" s="735">
        <f t="shared" si="3"/>
        <v>165000</v>
      </c>
      <c r="S24" s="759">
        <v>1</v>
      </c>
      <c r="T24" s="736" t="s">
        <v>227</v>
      </c>
      <c r="V24" s="61" t="str">
        <f>VLOOKUP(T24,Sheet3!$C$3:$F$16,2,)</f>
        <v>Gestiwan Bazikho</v>
      </c>
      <c r="W24" s="61" t="str">
        <f>VLOOKUP(T24,Sheet3!$C$3:$F$16,4,)</f>
        <v>081375309828</v>
      </c>
      <c r="X24" s="61" t="str">
        <f>VLOOKUP(T24,Sheet3!$C$3:$F$16,3,)</f>
        <v>Jl. Diponegoro Kel. Pasar Telukdalam - Nias Selatan</v>
      </c>
    </row>
    <row r="25" spans="1:24" ht="36" customHeight="1">
      <c r="A25" s="61" t="str">
        <f t="shared" si="1"/>
        <v>Binder Klip  nomor 2601</v>
      </c>
      <c r="B25" s="727">
        <v>71</v>
      </c>
      <c r="C25" s="737" t="s">
        <v>3558</v>
      </c>
      <c r="D25" s="729" t="s">
        <v>3559</v>
      </c>
      <c r="E25" s="779">
        <f t="shared" si="0"/>
        <v>45661</v>
      </c>
      <c r="F25" s="730" t="s">
        <v>3544</v>
      </c>
      <c r="G25" s="772" t="s">
        <v>1547</v>
      </c>
      <c r="H25" s="730" t="s">
        <v>3544</v>
      </c>
      <c r="I25" s="729" t="str">
        <f t="shared" si="2"/>
        <v>04</v>
      </c>
      <c r="J25" s="730" t="s">
        <v>3545</v>
      </c>
      <c r="K25" s="729" t="s">
        <v>3399</v>
      </c>
      <c r="L25" s="738" t="s">
        <v>3584</v>
      </c>
      <c r="M25" s="738" t="str">
        <f t="shared" si="4"/>
        <v>Binder Klip  nomor 260</v>
      </c>
      <c r="N25" s="739">
        <v>10</v>
      </c>
      <c r="O25" s="733" t="s">
        <v>3575</v>
      </c>
      <c r="P25" s="734">
        <v>20000</v>
      </c>
      <c r="Q25" s="734">
        <v>200000</v>
      </c>
      <c r="R25" s="735">
        <f t="shared" si="3"/>
        <v>200000</v>
      </c>
      <c r="S25" s="759">
        <v>1</v>
      </c>
      <c r="T25" s="736" t="s">
        <v>227</v>
      </c>
      <c r="V25" s="61" t="str">
        <f>VLOOKUP(T25,Sheet3!$C$3:$F$16,2,)</f>
        <v>Gestiwan Bazikho</v>
      </c>
      <c r="W25" s="61" t="str">
        <f>VLOOKUP(T25,Sheet3!$C$3:$F$16,4,)</f>
        <v>081375309828</v>
      </c>
      <c r="X25" s="61" t="str">
        <f>VLOOKUP(T25,Sheet3!$C$3:$F$16,3,)</f>
        <v>Jl. Diponegoro Kel. Pasar Telukdalam - Nias Selatan</v>
      </c>
    </row>
    <row r="26" spans="1:24" ht="24.75" customHeight="1">
      <c r="A26" s="61" t="str">
        <f t="shared" si="1"/>
        <v>Binder Klip Merk : KENKO nomor 1051</v>
      </c>
      <c r="B26" s="727">
        <v>72</v>
      </c>
      <c r="C26" s="737" t="s">
        <v>3558</v>
      </c>
      <c r="D26" s="729" t="s">
        <v>3559</v>
      </c>
      <c r="E26" s="779">
        <f t="shared" si="0"/>
        <v>45661</v>
      </c>
      <c r="F26" s="730" t="s">
        <v>3544</v>
      </c>
      <c r="G26" s="772" t="s">
        <v>1547</v>
      </c>
      <c r="H26" s="730" t="s">
        <v>3544</v>
      </c>
      <c r="I26" s="729" t="str">
        <f t="shared" si="2"/>
        <v>04</v>
      </c>
      <c r="J26" s="730" t="s">
        <v>3545</v>
      </c>
      <c r="K26" s="729" t="s">
        <v>3399</v>
      </c>
      <c r="L26" s="738" t="s">
        <v>3585</v>
      </c>
      <c r="M26" s="738" t="str">
        <f t="shared" si="4"/>
        <v>Binder Klip Merk : KENKO nomor 105</v>
      </c>
      <c r="N26" s="739">
        <v>2</v>
      </c>
      <c r="O26" s="733" t="s">
        <v>3575</v>
      </c>
      <c r="P26" s="734">
        <v>5000</v>
      </c>
      <c r="Q26" s="734">
        <v>10000</v>
      </c>
      <c r="R26" s="735">
        <f t="shared" si="3"/>
        <v>10000</v>
      </c>
      <c r="S26" s="759">
        <v>1</v>
      </c>
      <c r="T26" s="736" t="s">
        <v>227</v>
      </c>
      <c r="V26" s="61" t="str">
        <f>VLOOKUP(T26,Sheet3!$C$3:$F$16,2,)</f>
        <v>Gestiwan Bazikho</v>
      </c>
      <c r="W26" s="61" t="str">
        <f>VLOOKUP(T26,Sheet3!$C$3:$F$16,4,)</f>
        <v>081375309828</v>
      </c>
      <c r="X26" s="61" t="str">
        <f>VLOOKUP(T26,Sheet3!$C$3:$F$16,3,)</f>
        <v>Jl. Diponegoro Kel. Pasar Telukdalam - Nias Selatan</v>
      </c>
    </row>
    <row r="27" spans="1:24" ht="24.75" customHeight="1">
      <c r="A27" s="61" t="str">
        <f t="shared" si="1"/>
        <v>Map Binder1</v>
      </c>
      <c r="B27" s="727">
        <v>73</v>
      </c>
      <c r="C27" s="737" t="s">
        <v>3558</v>
      </c>
      <c r="D27" s="729" t="s">
        <v>3559</v>
      </c>
      <c r="E27" s="779">
        <f t="shared" si="0"/>
        <v>45661</v>
      </c>
      <c r="F27" s="730" t="s">
        <v>3544</v>
      </c>
      <c r="G27" s="772" t="s">
        <v>1547</v>
      </c>
      <c r="H27" s="730" t="s">
        <v>3544</v>
      </c>
      <c r="I27" s="729" t="str">
        <f t="shared" si="2"/>
        <v>04</v>
      </c>
      <c r="J27" s="730" t="s">
        <v>3545</v>
      </c>
      <c r="K27" s="729" t="s">
        <v>3399</v>
      </c>
      <c r="L27" s="738" t="s">
        <v>3586</v>
      </c>
      <c r="M27" s="738" t="str">
        <f t="shared" si="4"/>
        <v>Map Binder</v>
      </c>
      <c r="N27" s="739">
        <v>12</v>
      </c>
      <c r="O27" s="733" t="s">
        <v>3557</v>
      </c>
      <c r="P27" s="734">
        <v>35500</v>
      </c>
      <c r="Q27" s="734">
        <v>426000</v>
      </c>
      <c r="R27" s="735">
        <f t="shared" si="3"/>
        <v>426000</v>
      </c>
      <c r="S27" s="759">
        <v>1</v>
      </c>
      <c r="T27" s="736" t="s">
        <v>227</v>
      </c>
      <c r="V27" s="61" t="str">
        <f>VLOOKUP(T27,Sheet3!$C$3:$F$16,2,)</f>
        <v>Gestiwan Bazikho</v>
      </c>
      <c r="W27" s="61" t="str">
        <f>VLOOKUP(T27,Sheet3!$C$3:$F$16,4,)</f>
        <v>081375309828</v>
      </c>
      <c r="X27" s="61" t="str">
        <f>VLOOKUP(T27,Sheet3!$C$3:$F$16,3,)</f>
        <v>Jl. Diponegoro Kel. Pasar Telukdalam - Nias Selatan</v>
      </c>
    </row>
    <row r="28" spans="1:24" ht="14.25" customHeight="1">
      <c r="A28" s="61" t="str">
        <f t="shared" si="1"/>
        <v>Stofmap Kertas1</v>
      </c>
      <c r="B28" s="727">
        <v>74</v>
      </c>
      <c r="C28" s="737" t="s">
        <v>3558</v>
      </c>
      <c r="D28" s="729" t="s">
        <v>3559</v>
      </c>
      <c r="E28" s="779">
        <f t="shared" si="0"/>
        <v>45661</v>
      </c>
      <c r="F28" s="730" t="s">
        <v>3544</v>
      </c>
      <c r="G28" s="772" t="s">
        <v>1547</v>
      </c>
      <c r="H28" s="730" t="s">
        <v>3544</v>
      </c>
      <c r="I28" s="729" t="str">
        <f t="shared" si="2"/>
        <v>04</v>
      </c>
      <c r="J28" s="730" t="s">
        <v>3545</v>
      </c>
      <c r="K28" s="729" t="s">
        <v>3399</v>
      </c>
      <c r="L28" s="738" t="s">
        <v>3587</v>
      </c>
      <c r="M28" s="738" t="str">
        <f t="shared" si="4"/>
        <v>Stofmap Kertas</v>
      </c>
      <c r="N28" s="739">
        <v>1</v>
      </c>
      <c r="O28" s="733" t="s">
        <v>3588</v>
      </c>
      <c r="P28" s="734">
        <v>88000</v>
      </c>
      <c r="Q28" s="734">
        <v>88000</v>
      </c>
      <c r="R28" s="735">
        <f t="shared" si="3"/>
        <v>88000</v>
      </c>
      <c r="S28" s="759">
        <v>1</v>
      </c>
      <c r="T28" s="736" t="s">
        <v>227</v>
      </c>
      <c r="V28" s="61" t="str">
        <f>VLOOKUP(T28,Sheet3!$C$3:$F$16,2,)</f>
        <v>Gestiwan Bazikho</v>
      </c>
      <c r="W28" s="61" t="str">
        <f>VLOOKUP(T28,Sheet3!$C$3:$F$16,4,)</f>
        <v>081375309828</v>
      </c>
      <c r="X28" s="61" t="str">
        <f>VLOOKUP(T28,Sheet3!$C$3:$F$16,3,)</f>
        <v>Jl. Diponegoro Kel. Pasar Telukdalam - Nias Selatan</v>
      </c>
    </row>
    <row r="29" spans="1:24" ht="14.25" customHeight="1">
      <c r="A29" s="61" t="str">
        <f t="shared" si="1"/>
        <v>Stofmap Transparan tali1</v>
      </c>
      <c r="B29" s="727">
        <v>75</v>
      </c>
      <c r="C29" s="737" t="s">
        <v>3558</v>
      </c>
      <c r="D29" s="729" t="s">
        <v>3559</v>
      </c>
      <c r="E29" s="779">
        <f t="shared" si="0"/>
        <v>45661</v>
      </c>
      <c r="F29" s="730" t="s">
        <v>3544</v>
      </c>
      <c r="G29" s="772" t="s">
        <v>1547</v>
      </c>
      <c r="H29" s="730" t="s">
        <v>3544</v>
      </c>
      <c r="I29" s="729" t="str">
        <f t="shared" si="2"/>
        <v>04</v>
      </c>
      <c r="J29" s="730" t="s">
        <v>3545</v>
      </c>
      <c r="K29" s="729" t="s">
        <v>3399</v>
      </c>
      <c r="L29" s="738" t="s">
        <v>3589</v>
      </c>
      <c r="M29" s="738" t="str">
        <f t="shared" si="4"/>
        <v>Stofmap Transparan tali</v>
      </c>
      <c r="N29" s="739">
        <v>100</v>
      </c>
      <c r="O29" s="733" t="s">
        <v>3557</v>
      </c>
      <c r="P29" s="734">
        <v>5500</v>
      </c>
      <c r="Q29" s="734">
        <v>550000</v>
      </c>
      <c r="R29" s="735">
        <f t="shared" si="3"/>
        <v>550000</v>
      </c>
      <c r="S29" s="759">
        <v>1</v>
      </c>
      <c r="T29" s="736" t="s">
        <v>227</v>
      </c>
      <c r="V29" s="61" t="str">
        <f>VLOOKUP(T29,Sheet3!$C$3:$F$16,2,)</f>
        <v>Gestiwan Bazikho</v>
      </c>
      <c r="W29" s="61" t="str">
        <f>VLOOKUP(T29,Sheet3!$C$3:$F$16,4,)</f>
        <v>081375309828</v>
      </c>
      <c r="X29" s="61" t="str">
        <f>VLOOKUP(T29,Sheet3!$C$3:$F$16,3,)</f>
        <v>Jl. Diponegoro Kel. Pasar Telukdalam - Nias Selatan</v>
      </c>
    </row>
    <row r="30" spans="1:24" ht="14.25" customHeight="1">
      <c r="A30" s="61" t="str">
        <f t="shared" si="1"/>
        <v>Stofmap Transparan1</v>
      </c>
      <c r="B30" s="727">
        <v>76</v>
      </c>
      <c r="C30" s="737" t="s">
        <v>3558</v>
      </c>
      <c r="D30" s="729" t="s">
        <v>3559</v>
      </c>
      <c r="E30" s="779">
        <f t="shared" si="0"/>
        <v>45661</v>
      </c>
      <c r="F30" s="730" t="s">
        <v>3544</v>
      </c>
      <c r="G30" s="772" t="s">
        <v>1547</v>
      </c>
      <c r="H30" s="730" t="s">
        <v>3544</v>
      </c>
      <c r="I30" s="729" t="str">
        <f t="shared" si="2"/>
        <v>04</v>
      </c>
      <c r="J30" s="730" t="s">
        <v>3545</v>
      </c>
      <c r="K30" s="729" t="s">
        <v>3399</v>
      </c>
      <c r="L30" s="738" t="s">
        <v>3590</v>
      </c>
      <c r="M30" s="738" t="str">
        <f t="shared" si="4"/>
        <v>Stofmap Transparan</v>
      </c>
      <c r="N30" s="739">
        <v>100</v>
      </c>
      <c r="O30" s="733" t="s">
        <v>3557</v>
      </c>
      <c r="P30" s="734">
        <v>5500</v>
      </c>
      <c r="Q30" s="734">
        <v>550000</v>
      </c>
      <c r="R30" s="735">
        <f t="shared" si="3"/>
        <v>550000</v>
      </c>
      <c r="S30" s="759">
        <v>1</v>
      </c>
      <c r="T30" s="736" t="s">
        <v>227</v>
      </c>
      <c r="V30" s="61" t="str">
        <f>VLOOKUP(T30,Sheet3!$C$3:$F$16,2,)</f>
        <v>Gestiwan Bazikho</v>
      </c>
      <c r="W30" s="61" t="str">
        <f>VLOOKUP(T30,Sheet3!$C$3:$F$16,4,)</f>
        <v>081375309828</v>
      </c>
      <c r="X30" s="61" t="str">
        <f>VLOOKUP(T30,Sheet3!$C$3:$F$16,3,)</f>
        <v>Jl. Diponegoro Kel. Pasar Telukdalam - Nias Selatan</v>
      </c>
    </row>
    <row r="31" spans="1:24" ht="14.25" customHeight="1">
      <c r="A31" s="61" t="str">
        <f t="shared" si="1"/>
        <v>Binder Klip Ordner1</v>
      </c>
      <c r="B31" s="727">
        <v>77</v>
      </c>
      <c r="C31" s="737" t="s">
        <v>3558</v>
      </c>
      <c r="D31" s="729" t="s">
        <v>3559</v>
      </c>
      <c r="E31" s="779">
        <f t="shared" si="0"/>
        <v>45661</v>
      </c>
      <c r="F31" s="730" t="s">
        <v>3544</v>
      </c>
      <c r="G31" s="772" t="s">
        <v>1547</v>
      </c>
      <c r="H31" s="730" t="s">
        <v>3544</v>
      </c>
      <c r="I31" s="729" t="str">
        <f t="shared" si="2"/>
        <v>04</v>
      </c>
      <c r="J31" s="730" t="s">
        <v>3545</v>
      </c>
      <c r="K31" s="729" t="s">
        <v>3399</v>
      </c>
      <c r="L31" s="738" t="s">
        <v>3591</v>
      </c>
      <c r="M31" s="738" t="str">
        <f t="shared" si="4"/>
        <v>Binder Klip Ordner</v>
      </c>
      <c r="N31" s="739">
        <v>6</v>
      </c>
      <c r="O31" s="733" t="s">
        <v>3557</v>
      </c>
      <c r="P31" s="734">
        <v>49500</v>
      </c>
      <c r="Q31" s="734">
        <v>297000</v>
      </c>
      <c r="R31" s="735">
        <f t="shared" si="3"/>
        <v>297000</v>
      </c>
      <c r="S31" s="759">
        <v>1</v>
      </c>
      <c r="T31" s="736" t="s">
        <v>227</v>
      </c>
      <c r="V31" s="61" t="str">
        <f>VLOOKUP(T31,Sheet3!$C$3:$F$16,2,)</f>
        <v>Gestiwan Bazikho</v>
      </c>
      <c r="W31" s="61" t="str">
        <f>VLOOKUP(T31,Sheet3!$C$3:$F$16,4,)</f>
        <v>081375309828</v>
      </c>
      <c r="X31" s="61" t="str">
        <f>VLOOKUP(T31,Sheet3!$C$3:$F$16,3,)</f>
        <v>Jl. Diponegoro Kel. Pasar Telukdalam - Nias Selatan</v>
      </c>
    </row>
    <row r="32" spans="1:24" ht="14.25" customHeight="1">
      <c r="A32" s="61" t="str">
        <f t="shared" si="1"/>
        <v>Box File Merk : Bantex Ukuran : 115x270x325 mm1</v>
      </c>
      <c r="B32" s="727">
        <v>78</v>
      </c>
      <c r="C32" s="737" t="s">
        <v>3558</v>
      </c>
      <c r="D32" s="729" t="s">
        <v>3559</v>
      </c>
      <c r="E32" s="779">
        <f t="shared" si="0"/>
        <v>45661</v>
      </c>
      <c r="F32" s="730" t="s">
        <v>3544</v>
      </c>
      <c r="G32" s="772" t="s">
        <v>1547</v>
      </c>
      <c r="H32" s="730" t="s">
        <v>3544</v>
      </c>
      <c r="I32" s="729" t="str">
        <f t="shared" si="2"/>
        <v>04</v>
      </c>
      <c r="J32" s="730" t="s">
        <v>3545</v>
      </c>
      <c r="K32" s="729" t="s">
        <v>3399</v>
      </c>
      <c r="L32" s="738" t="s">
        <v>3592</v>
      </c>
      <c r="M32" s="738" t="str">
        <f t="shared" si="4"/>
        <v>Box File Merk : Bantex Ukuran : 115x270x325 mm</v>
      </c>
      <c r="N32" s="739">
        <v>4</v>
      </c>
      <c r="O32" s="733" t="s">
        <v>3557</v>
      </c>
      <c r="P32" s="734">
        <v>59000</v>
      </c>
      <c r="Q32" s="734">
        <v>236000</v>
      </c>
      <c r="R32" s="735">
        <f t="shared" si="3"/>
        <v>236000</v>
      </c>
      <c r="S32" s="759">
        <v>1</v>
      </c>
      <c r="T32" s="736" t="s">
        <v>227</v>
      </c>
      <c r="V32" s="61" t="str">
        <f>VLOOKUP(T32,Sheet3!$C$3:$F$16,2,)</f>
        <v>Gestiwan Bazikho</v>
      </c>
      <c r="W32" s="61" t="str">
        <f>VLOOKUP(T32,Sheet3!$C$3:$F$16,4,)</f>
        <v>081375309828</v>
      </c>
      <c r="X32" s="61" t="str">
        <f>VLOOKUP(T32,Sheet3!$C$3:$F$16,3,)</f>
        <v>Jl. Diponegoro Kel. Pasar Telukdalam - Nias Selatan</v>
      </c>
    </row>
    <row r="33" spans="1:24" ht="16.5" customHeight="1">
      <c r="A33" s="61" t="str">
        <f t="shared" si="1"/>
        <v>Sampul Plastik1</v>
      </c>
      <c r="B33" s="727">
        <v>79</v>
      </c>
      <c r="C33" s="740" t="s">
        <v>3558</v>
      </c>
      <c r="D33" s="729" t="s">
        <v>3559</v>
      </c>
      <c r="E33" s="779">
        <f t="shared" si="0"/>
        <v>45661</v>
      </c>
      <c r="F33" s="730" t="s">
        <v>3544</v>
      </c>
      <c r="G33" s="772" t="s">
        <v>1547</v>
      </c>
      <c r="H33" s="730" t="s">
        <v>3544</v>
      </c>
      <c r="I33" s="729" t="str">
        <f t="shared" si="2"/>
        <v>04</v>
      </c>
      <c r="J33" s="730" t="s">
        <v>3545</v>
      </c>
      <c r="K33" s="729" t="s">
        <v>3399</v>
      </c>
      <c r="L33" s="738" t="s">
        <v>3593</v>
      </c>
      <c r="M33" s="738" t="str">
        <f t="shared" si="4"/>
        <v>Sampul Plastik</v>
      </c>
      <c r="N33" s="739">
        <v>5</v>
      </c>
      <c r="O33" s="733" t="s">
        <v>3561</v>
      </c>
      <c r="P33" s="734">
        <v>65000</v>
      </c>
      <c r="Q33" s="734">
        <v>325000</v>
      </c>
      <c r="R33" s="735">
        <f t="shared" si="3"/>
        <v>325000</v>
      </c>
      <c r="S33" s="759">
        <v>1</v>
      </c>
      <c r="T33" s="736" t="s">
        <v>227</v>
      </c>
      <c r="V33" s="61" t="str">
        <f>VLOOKUP(T33,Sheet3!$C$3:$F$16,2,)</f>
        <v>Gestiwan Bazikho</v>
      </c>
      <c r="W33" s="61" t="str">
        <f>VLOOKUP(T33,Sheet3!$C$3:$F$16,4,)</f>
        <v>081375309828</v>
      </c>
      <c r="X33" s="61" t="str">
        <f>VLOOKUP(T33,Sheet3!$C$3:$F$16,3,)</f>
        <v>Jl. Diponegoro Kel. Pasar Telukdalam - Nias Selatan</v>
      </c>
    </row>
    <row r="34" spans="1:24" ht="14.25" customHeight="1">
      <c r="A34" s="61" t="str">
        <f t="shared" si="1"/>
        <v>Tinta Printer Canon 740 Hitam-740 Hitam1</v>
      </c>
      <c r="B34" s="727">
        <v>80</v>
      </c>
      <c r="C34" s="737" t="s">
        <v>3558</v>
      </c>
      <c r="D34" s="729" t="s">
        <v>3559</v>
      </c>
      <c r="E34" s="779">
        <f t="shared" si="0"/>
        <v>45661</v>
      </c>
      <c r="F34" s="730" t="s">
        <v>3544</v>
      </c>
      <c r="G34" s="772" t="s">
        <v>1547</v>
      </c>
      <c r="H34" s="730" t="s">
        <v>3544</v>
      </c>
      <c r="I34" s="729" t="str">
        <f t="shared" si="2"/>
        <v>04</v>
      </c>
      <c r="J34" s="730" t="s">
        <v>3545</v>
      </c>
      <c r="K34" s="729" t="s">
        <v>3399</v>
      </c>
      <c r="L34" s="738" t="s">
        <v>3594</v>
      </c>
      <c r="M34" s="738" t="str">
        <f t="shared" si="4"/>
        <v>Tinta Printer Canon 740 Hitam-740 Hitam</v>
      </c>
      <c r="N34" s="739">
        <v>8</v>
      </c>
      <c r="O34" s="733" t="s">
        <v>3595</v>
      </c>
      <c r="P34" s="734">
        <v>30000</v>
      </c>
      <c r="Q34" s="734">
        <v>240000</v>
      </c>
      <c r="R34" s="735">
        <f t="shared" si="3"/>
        <v>240000</v>
      </c>
      <c r="S34" s="759">
        <v>1</v>
      </c>
      <c r="T34" s="736" t="s">
        <v>227</v>
      </c>
      <c r="V34" s="61" t="str">
        <f>VLOOKUP(T34,Sheet3!$C$3:$F$16,2,)</f>
        <v>Gestiwan Bazikho</v>
      </c>
      <c r="W34" s="61" t="str">
        <f>VLOOKUP(T34,Sheet3!$C$3:$F$16,4,)</f>
        <v>081375309828</v>
      </c>
      <c r="X34" s="61" t="str">
        <f>VLOOKUP(T34,Sheet3!$C$3:$F$16,3,)</f>
        <v>Jl. Diponegoro Kel. Pasar Telukdalam - Nias Selatan</v>
      </c>
    </row>
    <row r="35" spans="1:24" ht="14.25" customHeight="1">
      <c r="A35" s="61" t="str">
        <f t="shared" si="1"/>
        <v>Tinta Printer Canon 741 Warna-741 Warna1</v>
      </c>
      <c r="B35" s="727">
        <v>81</v>
      </c>
      <c r="C35" s="737" t="s">
        <v>3558</v>
      </c>
      <c r="D35" s="729" t="s">
        <v>3559</v>
      </c>
      <c r="E35" s="779">
        <f t="shared" si="0"/>
        <v>45661</v>
      </c>
      <c r="F35" s="730" t="s">
        <v>3544</v>
      </c>
      <c r="G35" s="772" t="s">
        <v>1547</v>
      </c>
      <c r="H35" s="730" t="s">
        <v>3544</v>
      </c>
      <c r="I35" s="729" t="str">
        <f t="shared" si="2"/>
        <v>04</v>
      </c>
      <c r="J35" s="730" t="s">
        <v>3545</v>
      </c>
      <c r="K35" s="729" t="s">
        <v>3399</v>
      </c>
      <c r="L35" s="738" t="s">
        <v>3596</v>
      </c>
      <c r="M35" s="738" t="str">
        <f t="shared" si="4"/>
        <v>Tinta Printer Canon 741 Warna-741 Warna</v>
      </c>
      <c r="N35" s="739">
        <v>12</v>
      </c>
      <c r="O35" s="733" t="s">
        <v>3595</v>
      </c>
      <c r="P35" s="734">
        <v>33000</v>
      </c>
      <c r="Q35" s="734">
        <v>396000</v>
      </c>
      <c r="R35" s="735">
        <f t="shared" si="3"/>
        <v>396000</v>
      </c>
      <c r="S35" s="759">
        <v>1</v>
      </c>
      <c r="T35" s="736" t="s">
        <v>227</v>
      </c>
      <c r="V35" s="61" t="str">
        <f>VLOOKUP(T35,Sheet3!$C$3:$F$16,2,)</f>
        <v>Gestiwan Bazikho</v>
      </c>
      <c r="W35" s="61" t="str">
        <f>VLOOKUP(T35,Sheet3!$C$3:$F$16,4,)</f>
        <v>081375309828</v>
      </c>
      <c r="X35" s="61" t="str">
        <f>VLOOKUP(T35,Sheet3!$C$3:$F$16,3,)</f>
        <v>Jl. Diponegoro Kel. Pasar Telukdalam - Nias Selatan</v>
      </c>
    </row>
    <row r="36" spans="1:24" ht="14.25" customHeight="1">
      <c r="A36" s="61" t="str">
        <f t="shared" si="1"/>
        <v>C. Tinta Printer EPSON Toner Epson 664 Black1</v>
      </c>
      <c r="B36" s="727">
        <v>82</v>
      </c>
      <c r="C36" s="737" t="s">
        <v>3558</v>
      </c>
      <c r="D36" s="729" t="s">
        <v>3559</v>
      </c>
      <c r="E36" s="779">
        <f t="shared" si="0"/>
        <v>45661</v>
      </c>
      <c r="F36" s="730" t="s">
        <v>3544</v>
      </c>
      <c r="G36" s="772" t="s">
        <v>1547</v>
      </c>
      <c r="H36" s="730" t="s">
        <v>3544</v>
      </c>
      <c r="I36" s="729" t="str">
        <f t="shared" si="2"/>
        <v>04</v>
      </c>
      <c r="J36" s="730" t="s">
        <v>3545</v>
      </c>
      <c r="K36" s="729" t="s">
        <v>3399</v>
      </c>
      <c r="L36" s="738" t="s">
        <v>3597</v>
      </c>
      <c r="M36" s="738" t="str">
        <f t="shared" si="4"/>
        <v>C. Tinta Printer EPSON Toner Epson 664 Black</v>
      </c>
      <c r="N36" s="739">
        <v>6</v>
      </c>
      <c r="O36" s="733" t="s">
        <v>3595</v>
      </c>
      <c r="P36" s="734">
        <v>85000</v>
      </c>
      <c r="Q36" s="734">
        <v>510000</v>
      </c>
      <c r="R36" s="735">
        <f t="shared" si="3"/>
        <v>510000</v>
      </c>
      <c r="S36" s="759">
        <v>1</v>
      </c>
      <c r="T36" s="736" t="s">
        <v>227</v>
      </c>
      <c r="V36" s="61" t="str">
        <f>VLOOKUP(T36,Sheet3!$C$3:$F$16,2,)</f>
        <v>Gestiwan Bazikho</v>
      </c>
      <c r="W36" s="61" t="str">
        <f>VLOOKUP(T36,Sheet3!$C$3:$F$16,4,)</f>
        <v>081375309828</v>
      </c>
      <c r="X36" s="61" t="str">
        <f>VLOOKUP(T36,Sheet3!$C$3:$F$16,3,)</f>
        <v>Jl. Diponegoro Kel. Pasar Telukdalam - Nias Selatan</v>
      </c>
    </row>
    <row r="37" spans="1:24" ht="14.25" customHeight="1">
      <c r="A37" s="61" t="str">
        <f t="shared" si="1"/>
        <v>C. Tinta Printer EPSON Tinta Printer Epson Yellow1</v>
      </c>
      <c r="B37" s="727">
        <v>83</v>
      </c>
      <c r="C37" s="737" t="s">
        <v>3558</v>
      </c>
      <c r="D37" s="729" t="s">
        <v>3559</v>
      </c>
      <c r="E37" s="779">
        <f t="shared" si="0"/>
        <v>45661</v>
      </c>
      <c r="F37" s="730" t="s">
        <v>3544</v>
      </c>
      <c r="G37" s="772" t="s">
        <v>1547</v>
      </c>
      <c r="H37" s="730" t="s">
        <v>3544</v>
      </c>
      <c r="I37" s="729" t="str">
        <f t="shared" si="2"/>
        <v>04</v>
      </c>
      <c r="J37" s="730" t="s">
        <v>3545</v>
      </c>
      <c r="K37" s="729" t="s">
        <v>3399</v>
      </c>
      <c r="L37" s="738" t="s">
        <v>3598</v>
      </c>
      <c r="M37" s="738" t="str">
        <f t="shared" si="4"/>
        <v>C. Tinta Printer EPSON Tinta Printer Epson Yellow</v>
      </c>
      <c r="N37" s="739">
        <v>4</v>
      </c>
      <c r="O37" s="733" t="s">
        <v>3595</v>
      </c>
      <c r="P37" s="734">
        <v>110000</v>
      </c>
      <c r="Q37" s="734">
        <v>440000</v>
      </c>
      <c r="R37" s="735">
        <f t="shared" si="3"/>
        <v>440000</v>
      </c>
      <c r="S37" s="759">
        <v>1</v>
      </c>
      <c r="T37" s="736" t="s">
        <v>227</v>
      </c>
      <c r="V37" s="61" t="str">
        <f>VLOOKUP(T37,Sheet3!$C$3:$F$16,2,)</f>
        <v>Gestiwan Bazikho</v>
      </c>
      <c r="W37" s="61" t="str">
        <f>VLOOKUP(T37,Sheet3!$C$3:$F$16,4,)</f>
        <v>081375309828</v>
      </c>
      <c r="X37" s="61" t="str">
        <f>VLOOKUP(T37,Sheet3!$C$3:$F$16,3,)</f>
        <v>Jl. Diponegoro Kel. Pasar Telukdalam - Nias Selatan</v>
      </c>
    </row>
    <row r="38" spans="1:24" ht="14.25" customHeight="1">
      <c r="A38" s="61" t="str">
        <f t="shared" si="1"/>
        <v>C. Tinta Printer EPSON Tinta Printer Epson Blue1</v>
      </c>
      <c r="B38" s="727">
        <v>84</v>
      </c>
      <c r="C38" s="737" t="s">
        <v>3558</v>
      </c>
      <c r="D38" s="729" t="s">
        <v>3559</v>
      </c>
      <c r="E38" s="779">
        <f t="shared" si="0"/>
        <v>45661</v>
      </c>
      <c r="F38" s="730" t="s">
        <v>3544</v>
      </c>
      <c r="G38" s="772" t="s">
        <v>1547</v>
      </c>
      <c r="H38" s="730" t="s">
        <v>3544</v>
      </c>
      <c r="I38" s="729" t="str">
        <f t="shared" si="2"/>
        <v>04</v>
      </c>
      <c r="J38" s="730" t="s">
        <v>3545</v>
      </c>
      <c r="K38" s="729" t="s">
        <v>3399</v>
      </c>
      <c r="L38" s="738" t="s">
        <v>3599</v>
      </c>
      <c r="M38" s="738" t="str">
        <f t="shared" si="4"/>
        <v>C. Tinta Printer EPSON Tinta Printer Epson Blue</v>
      </c>
      <c r="N38" s="739">
        <v>4</v>
      </c>
      <c r="O38" s="733" t="s">
        <v>3595</v>
      </c>
      <c r="P38" s="734">
        <v>110000</v>
      </c>
      <c r="Q38" s="734">
        <v>440000</v>
      </c>
      <c r="R38" s="735">
        <f t="shared" si="3"/>
        <v>440000</v>
      </c>
      <c r="S38" s="759">
        <v>1</v>
      </c>
      <c r="T38" s="736" t="s">
        <v>227</v>
      </c>
      <c r="V38" s="61" t="str">
        <f>VLOOKUP(T38,Sheet3!$C$3:$F$16,2,)</f>
        <v>Gestiwan Bazikho</v>
      </c>
      <c r="W38" s="61" t="str">
        <f>VLOOKUP(T38,Sheet3!$C$3:$F$16,4,)</f>
        <v>081375309828</v>
      </c>
      <c r="X38" s="61" t="str">
        <f>VLOOKUP(T38,Sheet3!$C$3:$F$16,3,)</f>
        <v>Jl. Diponegoro Kel. Pasar Telukdalam - Nias Selatan</v>
      </c>
    </row>
    <row r="39" spans="1:24" ht="14.25" customHeight="1">
      <c r="A39" s="61" t="str">
        <f t="shared" si="1"/>
        <v>C. Tinta Printer EPSON Tinta Printer Epson Read1</v>
      </c>
      <c r="B39" s="727">
        <v>85</v>
      </c>
      <c r="C39" s="737" t="s">
        <v>3558</v>
      </c>
      <c r="D39" s="729" t="s">
        <v>3559</v>
      </c>
      <c r="E39" s="779">
        <f t="shared" si="0"/>
        <v>45661</v>
      </c>
      <c r="F39" s="730" t="s">
        <v>3544</v>
      </c>
      <c r="G39" s="772" t="s">
        <v>1547</v>
      </c>
      <c r="H39" s="730" t="s">
        <v>3544</v>
      </c>
      <c r="I39" s="729" t="str">
        <f t="shared" si="2"/>
        <v>04</v>
      </c>
      <c r="J39" s="730" t="s">
        <v>3545</v>
      </c>
      <c r="K39" s="729" t="s">
        <v>3399</v>
      </c>
      <c r="L39" s="738" t="s">
        <v>3600</v>
      </c>
      <c r="M39" s="738" t="str">
        <f t="shared" si="4"/>
        <v>C. Tinta Printer EPSON Tinta Printer Epson Read</v>
      </c>
      <c r="N39" s="739">
        <v>4</v>
      </c>
      <c r="O39" s="733" t="s">
        <v>3595</v>
      </c>
      <c r="P39" s="734">
        <v>110000</v>
      </c>
      <c r="Q39" s="734">
        <v>440000</v>
      </c>
      <c r="R39" s="735">
        <f t="shared" si="3"/>
        <v>440000</v>
      </c>
      <c r="S39" s="759">
        <v>1</v>
      </c>
      <c r="T39" s="736" t="s">
        <v>227</v>
      </c>
      <c r="V39" s="61" t="str">
        <f>VLOOKUP(T39,Sheet3!$C$3:$F$16,2,)</f>
        <v>Gestiwan Bazikho</v>
      </c>
      <c r="W39" s="61" t="str">
        <f>VLOOKUP(T39,Sheet3!$C$3:$F$16,4,)</f>
        <v>081375309828</v>
      </c>
      <c r="X39" s="61" t="str">
        <f>VLOOKUP(T39,Sheet3!$C$3:$F$16,3,)</f>
        <v>Jl. Diponegoro Kel. Pasar Telukdalam - Nias Selatan</v>
      </c>
    </row>
    <row r="40" spans="1:24" ht="14.25" customHeight="1">
      <c r="A40" s="61" t="str">
        <f t="shared" si="1"/>
        <v>canon catridge 741-catridge 7411</v>
      </c>
      <c r="B40" s="727">
        <v>86</v>
      </c>
      <c r="C40" s="737" t="s">
        <v>3558</v>
      </c>
      <c r="D40" s="729" t="s">
        <v>3559</v>
      </c>
      <c r="E40" s="779">
        <f t="shared" si="0"/>
        <v>45661</v>
      </c>
      <c r="F40" s="730" t="s">
        <v>3544</v>
      </c>
      <c r="G40" s="772" t="s">
        <v>1547</v>
      </c>
      <c r="H40" s="730" t="s">
        <v>3544</v>
      </c>
      <c r="I40" s="729" t="str">
        <f t="shared" si="2"/>
        <v>04</v>
      </c>
      <c r="J40" s="730" t="s">
        <v>3545</v>
      </c>
      <c r="K40" s="729" t="s">
        <v>3399</v>
      </c>
      <c r="L40" s="738" t="s">
        <v>3601</v>
      </c>
      <c r="M40" s="738" t="str">
        <f t="shared" si="4"/>
        <v>canon catridge 741-catridge 741</v>
      </c>
      <c r="N40" s="739">
        <v>4</v>
      </c>
      <c r="O40" s="733" t="s">
        <v>3557</v>
      </c>
      <c r="P40" s="734">
        <v>425000</v>
      </c>
      <c r="Q40" s="734">
        <v>1700000</v>
      </c>
      <c r="R40" s="735">
        <f t="shared" si="3"/>
        <v>1700000</v>
      </c>
      <c r="S40" s="759">
        <v>1</v>
      </c>
      <c r="T40" s="736" t="s">
        <v>227</v>
      </c>
      <c r="V40" s="61" t="str">
        <f>VLOOKUP(T40,Sheet3!$C$3:$F$16,2,)</f>
        <v>Gestiwan Bazikho</v>
      </c>
      <c r="W40" s="61" t="str">
        <f>VLOOKUP(T40,Sheet3!$C$3:$F$16,4,)</f>
        <v>081375309828</v>
      </c>
      <c r="X40" s="61" t="str">
        <f>VLOOKUP(T40,Sheet3!$C$3:$F$16,3,)</f>
        <v>Jl. Diponegoro Kel. Pasar Telukdalam - Nias Selatan</v>
      </c>
    </row>
    <row r="41" spans="1:24" ht="14.25" customHeight="1">
      <c r="A41" s="61" t="str">
        <f t="shared" si="1"/>
        <v>Catridge Printer Epson T 014--1</v>
      </c>
      <c r="B41" s="727">
        <v>87</v>
      </c>
      <c r="C41" s="737" t="s">
        <v>3558</v>
      </c>
      <c r="D41" s="729" t="s">
        <v>3559</v>
      </c>
      <c r="E41" s="779">
        <f t="shared" si="0"/>
        <v>45661</v>
      </c>
      <c r="F41" s="730" t="s">
        <v>3544</v>
      </c>
      <c r="G41" s="772" t="s">
        <v>1547</v>
      </c>
      <c r="H41" s="730" t="s">
        <v>3544</v>
      </c>
      <c r="I41" s="729" t="str">
        <f t="shared" si="2"/>
        <v>04</v>
      </c>
      <c r="J41" s="730" t="s">
        <v>3545</v>
      </c>
      <c r="K41" s="729" t="s">
        <v>3399</v>
      </c>
      <c r="L41" s="738" t="s">
        <v>3602</v>
      </c>
      <c r="M41" s="738" t="str">
        <f t="shared" si="4"/>
        <v>Catridge Printer Epson T 014--</v>
      </c>
      <c r="N41" s="739">
        <v>4</v>
      </c>
      <c r="O41" s="733" t="s">
        <v>3595</v>
      </c>
      <c r="P41" s="734">
        <v>310000</v>
      </c>
      <c r="Q41" s="734">
        <v>1240000</v>
      </c>
      <c r="R41" s="735">
        <f t="shared" si="3"/>
        <v>1240000</v>
      </c>
      <c r="S41" s="759">
        <v>1</v>
      </c>
      <c r="T41" s="736" t="s">
        <v>227</v>
      </c>
      <c r="V41" s="61" t="str">
        <f>VLOOKUP(T41,Sheet3!$C$3:$F$16,2,)</f>
        <v>Gestiwan Bazikho</v>
      </c>
      <c r="W41" s="61" t="str">
        <f>VLOOKUP(T41,Sheet3!$C$3:$F$16,4,)</f>
        <v>081375309828</v>
      </c>
      <c r="X41" s="61" t="str">
        <f>VLOOKUP(T41,Sheet3!$C$3:$F$16,3,)</f>
        <v>Jl. Diponegoro Kel. Pasar Telukdalam - Nias Selatan</v>
      </c>
    </row>
    <row r="42" spans="1:24" ht="14.25" customHeight="1">
      <c r="A42" s="61" t="str">
        <f t="shared" si="1"/>
        <v>Lakban Besar1</v>
      </c>
      <c r="B42" s="727">
        <v>88</v>
      </c>
      <c r="C42" s="737" t="s">
        <v>3558</v>
      </c>
      <c r="D42" s="729" t="s">
        <v>3559</v>
      </c>
      <c r="E42" s="779">
        <f t="shared" si="0"/>
        <v>45661</v>
      </c>
      <c r="F42" s="730" t="s">
        <v>3544</v>
      </c>
      <c r="G42" s="772" t="s">
        <v>1547</v>
      </c>
      <c r="H42" s="730" t="s">
        <v>3544</v>
      </c>
      <c r="I42" s="729" t="str">
        <f t="shared" si="2"/>
        <v>04</v>
      </c>
      <c r="J42" s="730" t="s">
        <v>3545</v>
      </c>
      <c r="K42" s="729" t="s">
        <v>3399</v>
      </c>
      <c r="L42" s="738" t="s">
        <v>3603</v>
      </c>
      <c r="M42" s="738" t="str">
        <f t="shared" si="4"/>
        <v>Lakban Besar</v>
      </c>
      <c r="N42" s="739">
        <v>5</v>
      </c>
      <c r="O42" s="733" t="s">
        <v>3557</v>
      </c>
      <c r="P42" s="734">
        <v>25000</v>
      </c>
      <c r="Q42" s="734">
        <v>125000</v>
      </c>
      <c r="R42" s="735">
        <f t="shared" si="3"/>
        <v>125000</v>
      </c>
      <c r="S42" s="759">
        <v>1</v>
      </c>
      <c r="T42" s="736" t="s">
        <v>227</v>
      </c>
      <c r="V42" s="61" t="str">
        <f>VLOOKUP(T42,Sheet3!$C$3:$F$16,2,)</f>
        <v>Gestiwan Bazikho</v>
      </c>
      <c r="W42" s="61" t="str">
        <f>VLOOKUP(T42,Sheet3!$C$3:$F$16,4,)</f>
        <v>081375309828</v>
      </c>
      <c r="X42" s="61" t="str">
        <f>VLOOKUP(T42,Sheet3!$C$3:$F$16,3,)</f>
        <v>Jl. Diponegoro Kel. Pasar Telukdalam - Nias Selatan</v>
      </c>
    </row>
    <row r="43" spans="1:24" ht="14.25" customHeight="1">
      <c r="A43" s="61" t="str">
        <f t="shared" si="1"/>
        <v>Lakban Bening Sedang1</v>
      </c>
      <c r="B43" s="727">
        <v>89</v>
      </c>
      <c r="C43" s="737" t="s">
        <v>3558</v>
      </c>
      <c r="D43" s="729" t="s">
        <v>3559</v>
      </c>
      <c r="E43" s="779">
        <f t="shared" si="0"/>
        <v>45661</v>
      </c>
      <c r="F43" s="730" t="s">
        <v>3544</v>
      </c>
      <c r="G43" s="772" t="s">
        <v>1547</v>
      </c>
      <c r="H43" s="730" t="s">
        <v>3544</v>
      </c>
      <c r="I43" s="729" t="str">
        <f t="shared" si="2"/>
        <v>04</v>
      </c>
      <c r="J43" s="730" t="s">
        <v>3545</v>
      </c>
      <c r="K43" s="729" t="s">
        <v>3399</v>
      </c>
      <c r="L43" s="738" t="s">
        <v>3873</v>
      </c>
      <c r="M43" s="738" t="str">
        <f t="shared" si="4"/>
        <v>Lakban Bening Sedang</v>
      </c>
      <c r="N43" s="739">
        <v>5</v>
      </c>
      <c r="O43" s="733" t="s">
        <v>3557</v>
      </c>
      <c r="P43" s="734">
        <v>15000</v>
      </c>
      <c r="Q43" s="734">
        <v>75000</v>
      </c>
      <c r="R43" s="735">
        <f t="shared" si="3"/>
        <v>75000</v>
      </c>
      <c r="S43" s="759">
        <v>1</v>
      </c>
      <c r="T43" s="736" t="s">
        <v>227</v>
      </c>
      <c r="V43" s="61" t="str">
        <f>VLOOKUP(T43,Sheet3!$C$3:$F$16,2,)</f>
        <v>Gestiwan Bazikho</v>
      </c>
      <c r="W43" s="61" t="str">
        <f>VLOOKUP(T43,Sheet3!$C$3:$F$16,4,)</f>
        <v>081375309828</v>
      </c>
      <c r="X43" s="61" t="str">
        <f>VLOOKUP(T43,Sheet3!$C$3:$F$16,3,)</f>
        <v>Jl. Diponegoro Kel. Pasar Telukdalam - Nias Selatan</v>
      </c>
    </row>
    <row r="44" spans="1:24" ht="14.25" customHeight="1">
      <c r="A44" s="61" t="str">
        <f t="shared" si="1"/>
        <v>Lakban Bening1</v>
      </c>
      <c r="B44" s="727">
        <v>90</v>
      </c>
      <c r="C44" s="737" t="s">
        <v>3558</v>
      </c>
      <c r="D44" s="729" t="s">
        <v>3559</v>
      </c>
      <c r="E44" s="779">
        <f t="shared" si="0"/>
        <v>45661</v>
      </c>
      <c r="F44" s="730" t="s">
        <v>3544</v>
      </c>
      <c r="G44" s="772" t="s">
        <v>1547</v>
      </c>
      <c r="H44" s="730" t="s">
        <v>3544</v>
      </c>
      <c r="I44" s="729" t="str">
        <f t="shared" si="2"/>
        <v>04</v>
      </c>
      <c r="J44" s="730" t="s">
        <v>3545</v>
      </c>
      <c r="K44" s="729" t="s">
        <v>3399</v>
      </c>
      <c r="L44" s="738" t="s">
        <v>3604</v>
      </c>
      <c r="M44" s="738" t="str">
        <f t="shared" si="4"/>
        <v>Lakban Bening</v>
      </c>
      <c r="N44" s="739">
        <v>5</v>
      </c>
      <c r="O44" s="733" t="s">
        <v>3557</v>
      </c>
      <c r="P44" s="734">
        <v>10000</v>
      </c>
      <c r="Q44" s="734">
        <v>50000</v>
      </c>
      <c r="R44" s="735">
        <f t="shared" si="3"/>
        <v>50000</v>
      </c>
      <c r="S44" s="759">
        <v>1</v>
      </c>
      <c r="T44" s="736" t="s">
        <v>227</v>
      </c>
      <c r="V44" s="61" t="str">
        <f>VLOOKUP(T44,Sheet3!$C$3:$F$16,2,)</f>
        <v>Gestiwan Bazikho</v>
      </c>
      <c r="W44" s="61" t="str">
        <f>VLOOKUP(T44,Sheet3!$C$3:$F$16,4,)</f>
        <v>081375309828</v>
      </c>
      <c r="X44" s="61" t="str">
        <f>VLOOKUP(T44,Sheet3!$C$3:$F$16,3,)</f>
        <v>Jl. Diponegoro Kel. Pasar Telukdalam - Nias Selatan</v>
      </c>
    </row>
    <row r="45" spans="1:24" ht="14.25" customHeight="1">
      <c r="A45" s="61" t="str">
        <f t="shared" si="1"/>
        <v>Lakban Hitam--1</v>
      </c>
      <c r="B45" s="727">
        <v>91</v>
      </c>
      <c r="C45" s="737" t="s">
        <v>3558</v>
      </c>
      <c r="D45" s="738" t="s">
        <v>3559</v>
      </c>
      <c r="E45" s="779">
        <f t="shared" si="0"/>
        <v>45661</v>
      </c>
      <c r="F45" s="730" t="s">
        <v>3544</v>
      </c>
      <c r="G45" s="772" t="s">
        <v>1547</v>
      </c>
      <c r="H45" s="730" t="s">
        <v>3544</v>
      </c>
      <c r="I45" s="729" t="str">
        <f t="shared" si="2"/>
        <v>04</v>
      </c>
      <c r="J45" s="730" t="s">
        <v>3545</v>
      </c>
      <c r="K45" s="729" t="s">
        <v>3399</v>
      </c>
      <c r="L45" s="738" t="s">
        <v>3605</v>
      </c>
      <c r="M45" s="738" t="str">
        <f t="shared" si="4"/>
        <v>Lakban Hitam--</v>
      </c>
      <c r="N45" s="739">
        <v>5</v>
      </c>
      <c r="O45" s="733" t="s">
        <v>3557</v>
      </c>
      <c r="P45" s="734">
        <v>15000</v>
      </c>
      <c r="Q45" s="734">
        <v>75000</v>
      </c>
      <c r="R45" s="735">
        <f t="shared" si="3"/>
        <v>75000</v>
      </c>
      <c r="S45" s="759">
        <v>1</v>
      </c>
      <c r="T45" s="736" t="s">
        <v>227</v>
      </c>
      <c r="V45" s="61" t="str">
        <f>VLOOKUP(T45,Sheet3!$C$3:$F$16,2,)</f>
        <v>Gestiwan Bazikho</v>
      </c>
      <c r="W45" s="61" t="str">
        <f>VLOOKUP(T45,Sheet3!$C$3:$F$16,4,)</f>
        <v>081375309828</v>
      </c>
      <c r="X45" s="61" t="str">
        <f>VLOOKUP(T45,Sheet3!$C$3:$F$16,3,)</f>
        <v>Jl. Diponegoro Kel. Pasar Telukdalam - Nias Selatan</v>
      </c>
    </row>
    <row r="46" spans="1:24" ht="14.25" customHeight="1">
      <c r="A46" s="61" t="str">
        <f t="shared" si="1"/>
        <v>lakban hitam-ukuran : lebar 2 inch, panjang 12m, bahan : kain1</v>
      </c>
      <c r="B46" s="727">
        <v>92</v>
      </c>
      <c r="C46" s="737" t="s">
        <v>3558</v>
      </c>
      <c r="D46" s="738" t="s">
        <v>3559</v>
      </c>
      <c r="E46" s="779">
        <f t="shared" si="0"/>
        <v>45661</v>
      </c>
      <c r="F46" s="730" t="s">
        <v>3544</v>
      </c>
      <c r="G46" s="772" t="s">
        <v>1547</v>
      </c>
      <c r="H46" s="730" t="s">
        <v>3544</v>
      </c>
      <c r="I46" s="729" t="str">
        <f t="shared" si="2"/>
        <v>04</v>
      </c>
      <c r="J46" s="730" t="s">
        <v>3545</v>
      </c>
      <c r="K46" s="729" t="s">
        <v>3399</v>
      </c>
      <c r="L46" s="738" t="s">
        <v>3606</v>
      </c>
      <c r="M46" s="738" t="str">
        <f t="shared" si="4"/>
        <v>lakban hitam-ukuran : lebar 2 inch, panjang 12m, bahan : kain</v>
      </c>
      <c r="N46" s="739">
        <v>4</v>
      </c>
      <c r="O46" s="733" t="s">
        <v>3557</v>
      </c>
      <c r="P46" s="734">
        <v>12500</v>
      </c>
      <c r="Q46" s="734">
        <v>50000</v>
      </c>
      <c r="R46" s="735">
        <f t="shared" si="3"/>
        <v>50000</v>
      </c>
      <c r="S46" s="759">
        <v>1</v>
      </c>
      <c r="T46" s="736" t="s">
        <v>227</v>
      </c>
      <c r="V46" s="61" t="str">
        <f>VLOOKUP(T46,Sheet3!$C$3:$F$16,2,)</f>
        <v>Gestiwan Bazikho</v>
      </c>
      <c r="W46" s="61" t="str">
        <f>VLOOKUP(T46,Sheet3!$C$3:$F$16,4,)</f>
        <v>081375309828</v>
      </c>
      <c r="X46" s="61" t="str">
        <f>VLOOKUP(T46,Sheet3!$C$3:$F$16,3,)</f>
        <v>Jl. Diponegoro Kel. Pasar Telukdalam - Nias Selatan</v>
      </c>
    </row>
    <row r="47" spans="1:24" ht="14.25" customHeight="1">
      <c r="A47" s="61" t="str">
        <f t="shared" si="1"/>
        <v>Lakban Hitam uk 2 " Warna hitam uk. 2 "1</v>
      </c>
      <c r="B47" s="727">
        <v>93</v>
      </c>
      <c r="C47" s="737" t="s">
        <v>3558</v>
      </c>
      <c r="D47" s="738" t="s">
        <v>3559</v>
      </c>
      <c r="E47" s="779">
        <f t="shared" si="0"/>
        <v>45661</v>
      </c>
      <c r="F47" s="730" t="s">
        <v>3544</v>
      </c>
      <c r="G47" s="772" t="s">
        <v>1547</v>
      </c>
      <c r="H47" s="730" t="s">
        <v>3544</v>
      </c>
      <c r="I47" s="729" t="str">
        <f t="shared" si="2"/>
        <v>04</v>
      </c>
      <c r="J47" s="730" t="s">
        <v>3545</v>
      </c>
      <c r="K47" s="729" t="s">
        <v>3399</v>
      </c>
      <c r="L47" s="738" t="s">
        <v>3607</v>
      </c>
      <c r="M47" s="738" t="str">
        <f t="shared" si="4"/>
        <v>Lakban Hitam uk 2 " Warna hitam uk. 2 "</v>
      </c>
      <c r="N47" s="739">
        <v>5</v>
      </c>
      <c r="O47" s="733" t="s">
        <v>3557</v>
      </c>
      <c r="P47" s="734">
        <v>25000</v>
      </c>
      <c r="Q47" s="734">
        <v>125000</v>
      </c>
      <c r="R47" s="735">
        <f t="shared" si="3"/>
        <v>125000</v>
      </c>
      <c r="S47" s="759">
        <v>1</v>
      </c>
      <c r="T47" s="736" t="s">
        <v>227</v>
      </c>
      <c r="V47" s="61" t="str">
        <f>VLOOKUP(T47,Sheet3!$C$3:$F$16,2,)</f>
        <v>Gestiwan Bazikho</v>
      </c>
      <c r="W47" s="61" t="str">
        <f>VLOOKUP(T47,Sheet3!$C$3:$F$16,4,)</f>
        <v>081375309828</v>
      </c>
      <c r="X47" s="61" t="str">
        <f>VLOOKUP(T47,Sheet3!$C$3:$F$16,3,)</f>
        <v>Jl. Diponegoro Kel. Pasar Telukdalam - Nias Selatan</v>
      </c>
    </row>
    <row r="48" spans="1:24" ht="14.25" customHeight="1">
      <c r="A48" s="61" t="str">
        <f t="shared" si="1"/>
        <v>Lakban warna Uk 2" Warna Coklat Cofiie1</v>
      </c>
      <c r="B48" s="727">
        <v>94</v>
      </c>
      <c r="C48" s="737" t="s">
        <v>3558</v>
      </c>
      <c r="D48" s="738" t="s">
        <v>3559</v>
      </c>
      <c r="E48" s="779">
        <f t="shared" si="0"/>
        <v>45661</v>
      </c>
      <c r="F48" s="730" t="s">
        <v>3544</v>
      </c>
      <c r="G48" s="772" t="s">
        <v>1547</v>
      </c>
      <c r="H48" s="730" t="s">
        <v>3544</v>
      </c>
      <c r="I48" s="729" t="str">
        <f t="shared" si="2"/>
        <v>04</v>
      </c>
      <c r="J48" s="730" t="s">
        <v>3545</v>
      </c>
      <c r="K48" s="729" t="s">
        <v>3399</v>
      </c>
      <c r="L48" s="738" t="s">
        <v>3608</v>
      </c>
      <c r="M48" s="738" t="str">
        <f t="shared" si="4"/>
        <v>Lakban warna Uk 2" Warna Coklat Cofiie</v>
      </c>
      <c r="N48" s="739">
        <v>3</v>
      </c>
      <c r="O48" s="733" t="s">
        <v>3557</v>
      </c>
      <c r="P48" s="734">
        <v>20000</v>
      </c>
      <c r="Q48" s="734">
        <v>60000</v>
      </c>
      <c r="R48" s="735">
        <f t="shared" si="3"/>
        <v>60000</v>
      </c>
      <c r="S48" s="759">
        <v>1</v>
      </c>
      <c r="T48" s="736" t="s">
        <v>227</v>
      </c>
      <c r="V48" s="61" t="str">
        <f>VLOOKUP(T48,Sheet3!$C$3:$F$16,2,)</f>
        <v>Gestiwan Bazikho</v>
      </c>
      <c r="W48" s="61" t="str">
        <f>VLOOKUP(T48,Sheet3!$C$3:$F$16,4,)</f>
        <v>081375309828</v>
      </c>
      <c r="X48" s="61" t="str">
        <f>VLOOKUP(T48,Sheet3!$C$3:$F$16,3,)</f>
        <v>Jl. Diponegoro Kel. Pasar Telukdalam - Nias Selatan</v>
      </c>
    </row>
    <row r="49" spans="1:24" ht="14.25" customHeight="1">
      <c r="A49" s="61" t="str">
        <f t="shared" si="1"/>
        <v>Spidol Refil Spidol White Board Snowman1</v>
      </c>
      <c r="B49" s="727">
        <v>95</v>
      </c>
      <c r="C49" s="737" t="s">
        <v>3558</v>
      </c>
      <c r="D49" s="738" t="s">
        <v>3559</v>
      </c>
      <c r="E49" s="779">
        <f t="shared" si="0"/>
        <v>45661</v>
      </c>
      <c r="F49" s="730" t="s">
        <v>3544</v>
      </c>
      <c r="G49" s="772" t="s">
        <v>1547</v>
      </c>
      <c r="H49" s="730" t="s">
        <v>3544</v>
      </c>
      <c r="I49" s="729" t="str">
        <f t="shared" si="2"/>
        <v>04</v>
      </c>
      <c r="J49" s="730" t="s">
        <v>3545</v>
      </c>
      <c r="K49" s="729" t="s">
        <v>3399</v>
      </c>
      <c r="L49" s="738" t="s">
        <v>3609</v>
      </c>
      <c r="M49" s="738" t="str">
        <f t="shared" si="4"/>
        <v>Spidol Refil Spidol White Board Snowman</v>
      </c>
      <c r="N49" s="739">
        <v>10</v>
      </c>
      <c r="O49" s="733" t="s">
        <v>3557</v>
      </c>
      <c r="P49" s="734">
        <v>20900</v>
      </c>
      <c r="Q49" s="734">
        <v>209000</v>
      </c>
      <c r="R49" s="735">
        <f t="shared" si="3"/>
        <v>209000</v>
      </c>
      <c r="S49" s="759">
        <v>1</v>
      </c>
      <c r="T49" s="736" t="s">
        <v>227</v>
      </c>
      <c r="V49" s="61" t="str">
        <f>VLOOKUP(T49,Sheet3!$C$3:$F$16,2,)</f>
        <v>Gestiwan Bazikho</v>
      </c>
      <c r="W49" s="61" t="str">
        <f>VLOOKUP(T49,Sheet3!$C$3:$F$16,4,)</f>
        <v>081375309828</v>
      </c>
      <c r="X49" s="61" t="str">
        <f>VLOOKUP(T49,Sheet3!$C$3:$F$16,3,)</f>
        <v>Jl. Diponegoro Kel. Pasar Telukdalam - Nias Selatan</v>
      </c>
    </row>
    <row r="50" spans="1:24" ht="14.25" customHeight="1">
      <c r="A50" s="61" t="str">
        <f t="shared" si="1"/>
        <v>Spidol White board1</v>
      </c>
      <c r="B50" s="727">
        <v>96</v>
      </c>
      <c r="C50" s="737" t="s">
        <v>3558</v>
      </c>
      <c r="D50" s="738" t="s">
        <v>3559</v>
      </c>
      <c r="E50" s="779">
        <f t="shared" si="0"/>
        <v>45661</v>
      </c>
      <c r="F50" s="730" t="s">
        <v>3544</v>
      </c>
      <c r="G50" s="772" t="s">
        <v>1547</v>
      </c>
      <c r="H50" s="730" t="s">
        <v>3544</v>
      </c>
      <c r="I50" s="729" t="str">
        <f t="shared" si="2"/>
        <v>04</v>
      </c>
      <c r="J50" s="730" t="s">
        <v>3545</v>
      </c>
      <c r="K50" s="729" t="s">
        <v>3399</v>
      </c>
      <c r="L50" s="738" t="s">
        <v>3610</v>
      </c>
      <c r="M50" s="738" t="str">
        <f t="shared" si="4"/>
        <v>Spidol White board</v>
      </c>
      <c r="N50" s="739">
        <v>2</v>
      </c>
      <c r="O50" s="733" t="s">
        <v>3577</v>
      </c>
      <c r="P50" s="734">
        <v>120000</v>
      </c>
      <c r="Q50" s="734">
        <v>240000</v>
      </c>
      <c r="R50" s="735">
        <f t="shared" si="3"/>
        <v>240000</v>
      </c>
      <c r="S50" s="759">
        <v>1</v>
      </c>
      <c r="T50" s="736" t="s">
        <v>227</v>
      </c>
      <c r="V50" s="61" t="str">
        <f>VLOOKUP(T50,Sheet3!$C$3:$F$16,2,)</f>
        <v>Gestiwan Bazikho</v>
      </c>
      <c r="W50" s="61" t="str">
        <f>VLOOKUP(T50,Sheet3!$C$3:$F$16,4,)</f>
        <v>081375309828</v>
      </c>
      <c r="X50" s="61" t="str">
        <f>VLOOKUP(T50,Sheet3!$C$3:$F$16,3,)</f>
        <v>Jl. Diponegoro Kel. Pasar Telukdalam - Nias Selatan</v>
      </c>
    </row>
    <row r="51" spans="1:24" ht="14.25" customHeight="1">
      <c r="A51" s="61" t="str">
        <f t="shared" si="1"/>
        <v>Stapler HD-10--1</v>
      </c>
      <c r="B51" s="727">
        <v>97</v>
      </c>
      <c r="C51" s="737" t="s">
        <v>3558</v>
      </c>
      <c r="D51" s="738" t="s">
        <v>3559</v>
      </c>
      <c r="E51" s="779">
        <f t="shared" si="0"/>
        <v>45661</v>
      </c>
      <c r="F51" s="730" t="s">
        <v>3544</v>
      </c>
      <c r="G51" s="772" t="s">
        <v>1547</v>
      </c>
      <c r="H51" s="730" t="s">
        <v>3544</v>
      </c>
      <c r="I51" s="729" t="str">
        <f t="shared" si="2"/>
        <v>04</v>
      </c>
      <c r="J51" s="730" t="s">
        <v>3545</v>
      </c>
      <c r="K51" s="729" t="s">
        <v>3399</v>
      </c>
      <c r="L51" s="738" t="s">
        <v>3611</v>
      </c>
      <c r="M51" s="738" t="str">
        <f t="shared" si="4"/>
        <v>Stapler HD-10--</v>
      </c>
      <c r="N51" s="739">
        <v>2</v>
      </c>
      <c r="O51" s="733" t="s">
        <v>3557</v>
      </c>
      <c r="P51" s="734">
        <v>20000</v>
      </c>
      <c r="Q51" s="734">
        <v>40000</v>
      </c>
      <c r="R51" s="735">
        <f t="shared" si="3"/>
        <v>40000</v>
      </c>
      <c r="S51" s="759">
        <v>1</v>
      </c>
      <c r="T51" s="736" t="s">
        <v>227</v>
      </c>
      <c r="V51" s="61" t="str">
        <f>VLOOKUP(T51,Sheet3!$C$3:$F$16,2,)</f>
        <v>Gestiwan Bazikho</v>
      </c>
      <c r="W51" s="61" t="str">
        <f>VLOOKUP(T51,Sheet3!$C$3:$F$16,4,)</f>
        <v>081375309828</v>
      </c>
      <c r="X51" s="61" t="str">
        <f>VLOOKUP(T51,Sheet3!$C$3:$F$16,3,)</f>
        <v>Jl. Diponegoro Kel. Pasar Telukdalam - Nias Selatan</v>
      </c>
    </row>
    <row r="52" spans="1:24" ht="14.25" customHeight="1">
      <c r="A52" s="61" t="str">
        <f t="shared" si="1"/>
        <v>Stapler Stapler No, 50 MAX1</v>
      </c>
      <c r="B52" s="727">
        <v>98</v>
      </c>
      <c r="C52" s="737" t="s">
        <v>3558</v>
      </c>
      <c r="D52" s="738" t="s">
        <v>3559</v>
      </c>
      <c r="E52" s="779">
        <f t="shared" si="0"/>
        <v>45661</v>
      </c>
      <c r="F52" s="730" t="s">
        <v>3544</v>
      </c>
      <c r="G52" s="772" t="s">
        <v>1547</v>
      </c>
      <c r="H52" s="730" t="s">
        <v>3544</v>
      </c>
      <c r="I52" s="729" t="str">
        <f t="shared" si="2"/>
        <v>04</v>
      </c>
      <c r="J52" s="730" t="s">
        <v>3545</v>
      </c>
      <c r="K52" s="729" t="s">
        <v>3399</v>
      </c>
      <c r="L52" s="738" t="s">
        <v>3612</v>
      </c>
      <c r="M52" s="738" t="str">
        <f t="shared" si="4"/>
        <v>Stapler Stapler No, 50 MAX</v>
      </c>
      <c r="N52" s="739">
        <v>2</v>
      </c>
      <c r="O52" s="733" t="s">
        <v>3557</v>
      </c>
      <c r="P52" s="734">
        <v>25000</v>
      </c>
      <c r="Q52" s="734">
        <v>50000</v>
      </c>
      <c r="R52" s="735">
        <f t="shared" si="3"/>
        <v>50000</v>
      </c>
      <c r="S52" s="759">
        <v>1</v>
      </c>
      <c r="T52" s="736" t="s">
        <v>227</v>
      </c>
      <c r="V52" s="61" t="str">
        <f>VLOOKUP(T52,Sheet3!$C$3:$F$16,2,)</f>
        <v>Gestiwan Bazikho</v>
      </c>
      <c r="W52" s="61" t="str">
        <f>VLOOKUP(T52,Sheet3!$C$3:$F$16,4,)</f>
        <v>081375309828</v>
      </c>
      <c r="X52" s="61" t="str">
        <f>VLOOKUP(T52,Sheet3!$C$3:$F$16,3,)</f>
        <v>Jl. Diponegoro Kel. Pasar Telukdalam - Nias Selatan</v>
      </c>
    </row>
    <row r="53" spans="1:24" ht="14.25" customHeight="1">
      <c r="A53" s="61" t="str">
        <f t="shared" si="1"/>
        <v>Lem Fox isi 500 gram--1</v>
      </c>
      <c r="B53" s="727">
        <v>99</v>
      </c>
      <c r="C53" s="737" t="s">
        <v>3558</v>
      </c>
      <c r="D53" s="738" t="s">
        <v>3559</v>
      </c>
      <c r="E53" s="779">
        <f t="shared" si="0"/>
        <v>45661</v>
      </c>
      <c r="F53" s="730" t="s">
        <v>3544</v>
      </c>
      <c r="G53" s="772" t="s">
        <v>1547</v>
      </c>
      <c r="H53" s="730" t="s">
        <v>3544</v>
      </c>
      <c r="I53" s="729" t="str">
        <f t="shared" si="2"/>
        <v>04</v>
      </c>
      <c r="J53" s="730" t="s">
        <v>3545</v>
      </c>
      <c r="K53" s="729" t="s">
        <v>3399</v>
      </c>
      <c r="L53" s="738" t="s">
        <v>3613</v>
      </c>
      <c r="M53" s="738" t="str">
        <f t="shared" si="4"/>
        <v>Lem Fox isi 500 gram--</v>
      </c>
      <c r="N53" s="739">
        <v>2</v>
      </c>
      <c r="O53" s="733" t="s">
        <v>3557</v>
      </c>
      <c r="P53" s="734">
        <v>37000</v>
      </c>
      <c r="Q53" s="734">
        <v>74000</v>
      </c>
      <c r="R53" s="735">
        <f t="shared" si="3"/>
        <v>74000</v>
      </c>
      <c r="S53" s="759">
        <v>1</v>
      </c>
      <c r="T53" s="736" t="s">
        <v>227</v>
      </c>
      <c r="V53" s="61" t="str">
        <f>VLOOKUP(T53,Sheet3!$C$3:$F$16,2,)</f>
        <v>Gestiwan Bazikho</v>
      </c>
      <c r="W53" s="61" t="str">
        <f>VLOOKUP(T53,Sheet3!$C$3:$F$16,4,)</f>
        <v>081375309828</v>
      </c>
      <c r="X53" s="61" t="str">
        <f>VLOOKUP(T53,Sheet3!$C$3:$F$16,3,)</f>
        <v>Jl. Diponegoro Kel. Pasar Telukdalam - Nias Selatan</v>
      </c>
    </row>
    <row r="54" spans="1:24" ht="14.25" customHeight="1">
      <c r="A54" s="61" t="str">
        <f t="shared" si="1"/>
        <v>PAPER CLIP  Paper Clip No 11</v>
      </c>
      <c r="B54" s="727">
        <v>100</v>
      </c>
      <c r="C54" s="737" t="s">
        <v>3558</v>
      </c>
      <c r="D54" s="738" t="s">
        <v>3559</v>
      </c>
      <c r="E54" s="779">
        <f t="shared" si="0"/>
        <v>45661</v>
      </c>
      <c r="F54" s="730" t="s">
        <v>3544</v>
      </c>
      <c r="G54" s="772" t="s">
        <v>1547</v>
      </c>
      <c r="H54" s="730" t="s">
        <v>3544</v>
      </c>
      <c r="I54" s="729" t="str">
        <f t="shared" si="2"/>
        <v>04</v>
      </c>
      <c r="J54" s="730" t="s">
        <v>3545</v>
      </c>
      <c r="K54" s="729" t="s">
        <v>3399</v>
      </c>
      <c r="L54" s="738" t="s">
        <v>3614</v>
      </c>
      <c r="M54" s="738" t="str">
        <f t="shared" si="4"/>
        <v>PAPER CLIP  Paper Clip No 1</v>
      </c>
      <c r="N54" s="739">
        <v>5</v>
      </c>
      <c r="O54" s="733" t="s">
        <v>3575</v>
      </c>
      <c r="P54" s="734">
        <v>6000</v>
      </c>
      <c r="Q54" s="734">
        <v>30000</v>
      </c>
      <c r="R54" s="735">
        <f t="shared" si="3"/>
        <v>30000</v>
      </c>
      <c r="S54" s="759">
        <v>1</v>
      </c>
      <c r="T54" s="736" t="s">
        <v>227</v>
      </c>
      <c r="V54" s="61" t="str">
        <f>VLOOKUP(T54,Sheet3!$C$3:$F$16,2,)</f>
        <v>Gestiwan Bazikho</v>
      </c>
      <c r="W54" s="61" t="str">
        <f>VLOOKUP(T54,Sheet3!$C$3:$F$16,4,)</f>
        <v>081375309828</v>
      </c>
      <c r="X54" s="61" t="str">
        <f>VLOOKUP(T54,Sheet3!$C$3:$F$16,3,)</f>
        <v>Jl. Diponegoro Kel. Pasar Telukdalam - Nias Selatan</v>
      </c>
    </row>
    <row r="55" spans="1:24" ht="14.25" customHeight="1">
      <c r="A55" s="61" t="str">
        <f t="shared" si="1"/>
        <v>Paper Clip No 1  Paper Clip No 31</v>
      </c>
      <c r="B55" s="727">
        <v>101</v>
      </c>
      <c r="C55" s="737" t="s">
        <v>3558</v>
      </c>
      <c r="D55" s="738" t="s">
        <v>3559</v>
      </c>
      <c r="E55" s="779">
        <f t="shared" si="0"/>
        <v>45661</v>
      </c>
      <c r="F55" s="730" t="s">
        <v>3544</v>
      </c>
      <c r="G55" s="772" t="s">
        <v>1547</v>
      </c>
      <c r="H55" s="730" t="s">
        <v>3544</v>
      </c>
      <c r="I55" s="729" t="str">
        <f t="shared" si="2"/>
        <v>04</v>
      </c>
      <c r="J55" s="730" t="s">
        <v>3545</v>
      </c>
      <c r="K55" s="729" t="s">
        <v>3399</v>
      </c>
      <c r="L55" s="738" t="s">
        <v>3615</v>
      </c>
      <c r="M55" s="738" t="str">
        <f t="shared" si="4"/>
        <v>Paper Clip No 1  Paper Clip No 3</v>
      </c>
      <c r="N55" s="739">
        <v>5</v>
      </c>
      <c r="O55" s="733" t="s">
        <v>3575</v>
      </c>
      <c r="P55" s="734">
        <v>6000</v>
      </c>
      <c r="Q55" s="734">
        <v>30000</v>
      </c>
      <c r="R55" s="735">
        <f t="shared" si="3"/>
        <v>30000</v>
      </c>
      <c r="S55" s="759">
        <v>1</v>
      </c>
      <c r="T55" s="736" t="s">
        <v>227</v>
      </c>
      <c r="V55" s="61" t="str">
        <f>VLOOKUP(T55,Sheet3!$C$3:$F$16,2,)</f>
        <v>Gestiwan Bazikho</v>
      </c>
      <c r="W55" s="61" t="str">
        <f>VLOOKUP(T55,Sheet3!$C$3:$F$16,4,)</f>
        <v>081375309828</v>
      </c>
      <c r="X55" s="61" t="str">
        <f>VLOOKUP(T55,Sheet3!$C$3:$F$16,3,)</f>
        <v>Jl. Diponegoro Kel. Pasar Telukdalam - Nias Selatan</v>
      </c>
    </row>
    <row r="56" spans="1:24" ht="14.25" customHeight="1">
      <c r="A56" s="61" t="str">
        <f t="shared" si="1"/>
        <v>Penghapus White Board1</v>
      </c>
      <c r="B56" s="727">
        <v>102</v>
      </c>
      <c r="C56" s="737" t="s">
        <v>3558</v>
      </c>
      <c r="D56" s="738" t="s">
        <v>3559</v>
      </c>
      <c r="E56" s="779">
        <f t="shared" si="0"/>
        <v>45661</v>
      </c>
      <c r="F56" s="730" t="s">
        <v>3544</v>
      </c>
      <c r="G56" s="772" t="s">
        <v>1547</v>
      </c>
      <c r="H56" s="730" t="s">
        <v>3544</v>
      </c>
      <c r="I56" s="729" t="str">
        <f t="shared" si="2"/>
        <v>04</v>
      </c>
      <c r="J56" s="730" t="s">
        <v>3545</v>
      </c>
      <c r="K56" s="729" t="s">
        <v>3399</v>
      </c>
      <c r="L56" s="738" t="s">
        <v>3616</v>
      </c>
      <c r="M56" s="738" t="str">
        <f t="shared" si="4"/>
        <v>Penghapus White Board</v>
      </c>
      <c r="N56" s="739">
        <v>30</v>
      </c>
      <c r="O56" s="733" t="s">
        <v>3557</v>
      </c>
      <c r="P56" s="734">
        <v>10000</v>
      </c>
      <c r="Q56" s="734">
        <v>300000</v>
      </c>
      <c r="R56" s="735">
        <f t="shared" si="3"/>
        <v>300000</v>
      </c>
      <c r="S56" s="759">
        <v>1</v>
      </c>
      <c r="T56" s="736" t="s">
        <v>227</v>
      </c>
      <c r="V56" s="61" t="str">
        <f>VLOOKUP(T56,Sheet3!$C$3:$F$16,2,)</f>
        <v>Gestiwan Bazikho</v>
      </c>
      <c r="W56" s="61" t="str">
        <f>VLOOKUP(T56,Sheet3!$C$3:$F$16,4,)</f>
        <v>081375309828</v>
      </c>
      <c r="X56" s="61" t="str">
        <f>VLOOKUP(T56,Sheet3!$C$3:$F$16,3,)</f>
        <v>Jl. Diponegoro Kel. Pasar Telukdalam - Nias Selatan</v>
      </c>
    </row>
    <row r="57" spans="1:24" ht="14.25" customHeight="1">
      <c r="A57" s="61" t="str">
        <f t="shared" si="1"/>
        <v>Isi Staples Sedang1</v>
      </c>
      <c r="B57" s="727">
        <v>103</v>
      </c>
      <c r="C57" s="737" t="s">
        <v>3558</v>
      </c>
      <c r="D57" s="738" t="s">
        <v>3559</v>
      </c>
      <c r="E57" s="779">
        <f t="shared" si="0"/>
        <v>45661</v>
      </c>
      <c r="F57" s="730" t="s">
        <v>3544</v>
      </c>
      <c r="G57" s="772" t="s">
        <v>1547</v>
      </c>
      <c r="H57" s="730" t="s">
        <v>3544</v>
      </c>
      <c r="I57" s="729" t="str">
        <f t="shared" si="2"/>
        <v>04</v>
      </c>
      <c r="J57" s="730" t="s">
        <v>3545</v>
      </c>
      <c r="K57" s="729" t="s">
        <v>3399</v>
      </c>
      <c r="L57" s="738" t="s">
        <v>3617</v>
      </c>
      <c r="M57" s="738" t="str">
        <f t="shared" si="4"/>
        <v>Isi Staples Sedang</v>
      </c>
      <c r="N57" s="739">
        <v>2</v>
      </c>
      <c r="O57" s="733" t="s">
        <v>3575</v>
      </c>
      <c r="P57" s="734">
        <v>40000</v>
      </c>
      <c r="Q57" s="734">
        <v>80000</v>
      </c>
      <c r="R57" s="735">
        <f t="shared" si="3"/>
        <v>80000</v>
      </c>
      <c r="S57" s="759">
        <v>1</v>
      </c>
      <c r="T57" s="736" t="s">
        <v>227</v>
      </c>
      <c r="V57" s="61" t="str">
        <f>VLOOKUP(T57,Sheet3!$C$3:$F$16,2,)</f>
        <v>Gestiwan Bazikho</v>
      </c>
      <c r="W57" s="61" t="str">
        <f>VLOOKUP(T57,Sheet3!$C$3:$F$16,4,)</f>
        <v>081375309828</v>
      </c>
      <c r="X57" s="61" t="str">
        <f>VLOOKUP(T57,Sheet3!$C$3:$F$16,3,)</f>
        <v>Jl. Diponegoro Kel. Pasar Telukdalam - Nias Selatan</v>
      </c>
    </row>
    <row r="58" spans="1:24" ht="14.25" customHeight="1">
      <c r="A58" s="61" t="str">
        <f t="shared" si="1"/>
        <v>Isi Staples besar1</v>
      </c>
      <c r="B58" s="727">
        <v>104</v>
      </c>
      <c r="C58" s="737" t="s">
        <v>3558</v>
      </c>
      <c r="D58" s="738" t="s">
        <v>3559</v>
      </c>
      <c r="E58" s="779">
        <f t="shared" si="0"/>
        <v>45661</v>
      </c>
      <c r="F58" s="730" t="s">
        <v>3544</v>
      </c>
      <c r="G58" s="772" t="s">
        <v>1547</v>
      </c>
      <c r="H58" s="730" t="s">
        <v>3544</v>
      </c>
      <c r="I58" s="729" t="str">
        <f t="shared" si="2"/>
        <v>04</v>
      </c>
      <c r="J58" s="730" t="s">
        <v>3545</v>
      </c>
      <c r="K58" s="729" t="s">
        <v>3399</v>
      </c>
      <c r="L58" s="738" t="s">
        <v>3618</v>
      </c>
      <c r="M58" s="738" t="str">
        <f t="shared" si="4"/>
        <v>Isi Staples besar</v>
      </c>
      <c r="N58" s="739">
        <v>2</v>
      </c>
      <c r="O58" s="733" t="s">
        <v>3575</v>
      </c>
      <c r="P58" s="734">
        <v>80000</v>
      </c>
      <c r="Q58" s="734">
        <v>160000</v>
      </c>
      <c r="R58" s="735">
        <f t="shared" si="3"/>
        <v>160000</v>
      </c>
      <c r="S58" s="759">
        <v>1</v>
      </c>
      <c r="T58" s="736" t="s">
        <v>227</v>
      </c>
      <c r="V58" s="61" t="str">
        <f>VLOOKUP(T58,Sheet3!$C$3:$F$16,2,)</f>
        <v>Gestiwan Bazikho</v>
      </c>
      <c r="W58" s="61" t="str">
        <f>VLOOKUP(T58,Sheet3!$C$3:$F$16,4,)</f>
        <v>081375309828</v>
      </c>
      <c r="X58" s="61" t="str">
        <f>VLOOKUP(T58,Sheet3!$C$3:$F$16,3,)</f>
        <v>Jl. Diponegoro Kel. Pasar Telukdalam - Nias Selatan</v>
      </c>
    </row>
    <row r="59" spans="1:24" ht="14.25" customHeight="1">
      <c r="A59" s="61" t="str">
        <f t="shared" si="1"/>
        <v>gunting kertas-ukuran : panjang 21cm x lebar 8cm, stainless steel1</v>
      </c>
      <c r="B59" s="727">
        <v>105</v>
      </c>
      <c r="C59" s="737" t="s">
        <v>3558</v>
      </c>
      <c r="D59" s="738" t="s">
        <v>3559</v>
      </c>
      <c r="E59" s="779">
        <f t="shared" si="0"/>
        <v>45661</v>
      </c>
      <c r="F59" s="730" t="s">
        <v>3544</v>
      </c>
      <c r="G59" s="772" t="s">
        <v>1547</v>
      </c>
      <c r="H59" s="730" t="s">
        <v>3544</v>
      </c>
      <c r="I59" s="729" t="str">
        <f t="shared" si="2"/>
        <v>04</v>
      </c>
      <c r="J59" s="730" t="s">
        <v>3545</v>
      </c>
      <c r="K59" s="729" t="s">
        <v>3399</v>
      </c>
      <c r="L59" s="738" t="s">
        <v>3619</v>
      </c>
      <c r="M59" s="738" t="str">
        <f t="shared" si="4"/>
        <v>gunting kertas-ukuran : panjang 21cm x lebar 8cm, stainless steel</v>
      </c>
      <c r="N59" s="739">
        <v>2</v>
      </c>
      <c r="O59" s="733" t="s">
        <v>3557</v>
      </c>
      <c r="P59" s="734">
        <v>20000</v>
      </c>
      <c r="Q59" s="734">
        <v>40000</v>
      </c>
      <c r="R59" s="735">
        <f t="shared" si="3"/>
        <v>40000</v>
      </c>
      <c r="S59" s="759">
        <v>1</v>
      </c>
      <c r="T59" s="736" t="s">
        <v>227</v>
      </c>
      <c r="V59" s="61" t="str">
        <f>VLOOKUP(T59,Sheet3!$C$3:$F$16,2,)</f>
        <v>Gestiwan Bazikho</v>
      </c>
      <c r="W59" s="61" t="str">
        <f>VLOOKUP(T59,Sheet3!$C$3:$F$16,4,)</f>
        <v>081375309828</v>
      </c>
      <c r="X59" s="61" t="str">
        <f>VLOOKUP(T59,Sheet3!$C$3:$F$16,3,)</f>
        <v>Jl. Diponegoro Kel. Pasar Telukdalam - Nias Selatan</v>
      </c>
    </row>
    <row r="60" spans="1:24" ht="14.25" customHeight="1">
      <c r="A60" s="61" t="str">
        <f t="shared" si="1"/>
        <v>Pisau Cutter Kenko L-5001</v>
      </c>
      <c r="B60" s="727">
        <v>106</v>
      </c>
      <c r="C60" s="737" t="s">
        <v>3558</v>
      </c>
      <c r="D60" s="738" t="s">
        <v>3559</v>
      </c>
      <c r="E60" s="779">
        <f t="shared" si="0"/>
        <v>45661</v>
      </c>
      <c r="F60" s="730" t="s">
        <v>3544</v>
      </c>
      <c r="G60" s="772" t="s">
        <v>1547</v>
      </c>
      <c r="H60" s="730" t="s">
        <v>3544</v>
      </c>
      <c r="I60" s="729" t="str">
        <f t="shared" si="2"/>
        <v>04</v>
      </c>
      <c r="J60" s="730" t="s">
        <v>3545</v>
      </c>
      <c r="K60" s="729" t="s">
        <v>3399</v>
      </c>
      <c r="L60" s="738" t="s">
        <v>3620</v>
      </c>
      <c r="M60" s="738" t="str">
        <f t="shared" si="4"/>
        <v>Pisau Cutter Kenko L-500</v>
      </c>
      <c r="N60" s="739">
        <v>2</v>
      </c>
      <c r="O60" s="733" t="s">
        <v>3557</v>
      </c>
      <c r="P60" s="734">
        <v>15000</v>
      </c>
      <c r="Q60" s="734">
        <v>30000</v>
      </c>
      <c r="R60" s="735">
        <f t="shared" si="3"/>
        <v>30000</v>
      </c>
      <c r="S60" s="759">
        <v>1</v>
      </c>
      <c r="T60" s="736" t="s">
        <v>227</v>
      </c>
      <c r="V60" s="61" t="str">
        <f>VLOOKUP(T60,Sheet3!$C$3:$F$16,2,)</f>
        <v>Gestiwan Bazikho</v>
      </c>
      <c r="W60" s="61" t="str">
        <f>VLOOKUP(T60,Sheet3!$C$3:$F$16,4,)</f>
        <v>081375309828</v>
      </c>
      <c r="X60" s="61" t="str">
        <f>VLOOKUP(T60,Sheet3!$C$3:$F$16,3,)</f>
        <v>Jl. Diponegoro Kel. Pasar Telukdalam - Nias Selatan</v>
      </c>
    </row>
    <row r="61" spans="1:24" ht="14.25" customHeight="1">
      <c r="A61" s="61" t="str">
        <f t="shared" si="1"/>
        <v>Buku Induk/Inventaris 35 cm x 50 cm1</v>
      </c>
      <c r="B61" s="727">
        <v>107</v>
      </c>
      <c r="C61" s="737" t="s">
        <v>3558</v>
      </c>
      <c r="D61" s="738" t="s">
        <v>3559</v>
      </c>
      <c r="E61" s="779">
        <f t="shared" si="0"/>
        <v>45661</v>
      </c>
      <c r="F61" s="730" t="s">
        <v>3544</v>
      </c>
      <c r="G61" s="772" t="s">
        <v>1547</v>
      </c>
      <c r="H61" s="730" t="s">
        <v>3544</v>
      </c>
      <c r="I61" s="729" t="str">
        <f t="shared" si="2"/>
        <v>04</v>
      </c>
      <c r="J61" s="730" t="s">
        <v>3545</v>
      </c>
      <c r="K61" s="729" t="s">
        <v>3399</v>
      </c>
      <c r="L61" s="738" t="s">
        <v>3621</v>
      </c>
      <c r="M61" s="738" t="str">
        <f t="shared" si="4"/>
        <v>Buku Induk/Inventaris 35 cm x 50 cm</v>
      </c>
      <c r="N61" s="739">
        <v>2</v>
      </c>
      <c r="O61" s="733" t="s">
        <v>3557</v>
      </c>
      <c r="P61" s="734">
        <v>58000</v>
      </c>
      <c r="Q61" s="734">
        <v>116000</v>
      </c>
      <c r="R61" s="735">
        <f t="shared" si="3"/>
        <v>116000</v>
      </c>
      <c r="S61" s="759">
        <v>1</v>
      </c>
      <c r="T61" s="736" t="s">
        <v>227</v>
      </c>
      <c r="V61" s="61" t="str">
        <f>VLOOKUP(T61,Sheet3!$C$3:$F$16,2,)</f>
        <v>Gestiwan Bazikho</v>
      </c>
      <c r="W61" s="61" t="str">
        <f>VLOOKUP(T61,Sheet3!$C$3:$F$16,4,)</f>
        <v>081375309828</v>
      </c>
      <c r="X61" s="61" t="str">
        <f>VLOOKUP(T61,Sheet3!$C$3:$F$16,3,)</f>
        <v>Jl. Diponegoro Kel. Pasar Telukdalam - Nias Selatan</v>
      </c>
    </row>
    <row r="62" spans="1:24" ht="14.25" customHeight="1">
      <c r="A62" s="61" t="str">
        <f t="shared" si="1"/>
        <v>Buku Ekspedisi 1001</v>
      </c>
      <c r="B62" s="727">
        <v>108</v>
      </c>
      <c r="C62" s="737" t="s">
        <v>3558</v>
      </c>
      <c r="D62" s="738" t="s">
        <v>3559</v>
      </c>
      <c r="E62" s="779">
        <f t="shared" si="0"/>
        <v>45661</v>
      </c>
      <c r="F62" s="730" t="s">
        <v>3544</v>
      </c>
      <c r="G62" s="772" t="s">
        <v>1547</v>
      </c>
      <c r="H62" s="730" t="s">
        <v>3544</v>
      </c>
      <c r="I62" s="729" t="str">
        <f t="shared" si="2"/>
        <v>04</v>
      </c>
      <c r="J62" s="730" t="s">
        <v>3545</v>
      </c>
      <c r="K62" s="729" t="s">
        <v>3399</v>
      </c>
      <c r="L62" s="738" t="s">
        <v>3622</v>
      </c>
      <c r="M62" s="738" t="str">
        <f t="shared" si="4"/>
        <v>Buku Ekspedisi 100</v>
      </c>
      <c r="N62" s="739">
        <v>6</v>
      </c>
      <c r="O62" s="733" t="s">
        <v>3557</v>
      </c>
      <c r="P62" s="734">
        <v>15000</v>
      </c>
      <c r="Q62" s="734">
        <v>90000</v>
      </c>
      <c r="R62" s="735">
        <f t="shared" si="3"/>
        <v>90000</v>
      </c>
      <c r="S62" s="759">
        <v>1</v>
      </c>
      <c r="T62" s="736" t="s">
        <v>227</v>
      </c>
      <c r="V62" s="61" t="str">
        <f>VLOOKUP(T62,Sheet3!$C$3:$F$16,2,)</f>
        <v>Gestiwan Bazikho</v>
      </c>
      <c r="W62" s="61" t="str">
        <f>VLOOKUP(T62,Sheet3!$C$3:$F$16,4,)</f>
        <v>081375309828</v>
      </c>
      <c r="X62" s="61" t="str">
        <f>VLOOKUP(T62,Sheet3!$C$3:$F$16,3,)</f>
        <v>Jl. Diponegoro Kel. Pasar Telukdalam - Nias Selatan</v>
      </c>
    </row>
    <row r="63" spans="1:24" ht="14.25" customHeight="1">
      <c r="A63" s="61" t="str">
        <f t="shared" si="1"/>
        <v>Baterey Kecil1</v>
      </c>
      <c r="B63" s="727">
        <v>109</v>
      </c>
      <c r="C63" s="737" t="s">
        <v>3558</v>
      </c>
      <c r="D63" s="738" t="s">
        <v>3559</v>
      </c>
      <c r="E63" s="779">
        <f t="shared" si="0"/>
        <v>45661</v>
      </c>
      <c r="F63" s="730" t="s">
        <v>3544</v>
      </c>
      <c r="G63" s="772" t="s">
        <v>1547</v>
      </c>
      <c r="H63" s="730" t="s">
        <v>3544</v>
      </c>
      <c r="I63" s="729" t="str">
        <f t="shared" si="2"/>
        <v>04</v>
      </c>
      <c r="J63" s="730" t="s">
        <v>3545</v>
      </c>
      <c r="K63" s="729" t="s">
        <v>3399</v>
      </c>
      <c r="L63" s="738" t="s">
        <v>3623</v>
      </c>
      <c r="M63" s="738" t="str">
        <f t="shared" si="4"/>
        <v>Baterey Kecil</v>
      </c>
      <c r="N63" s="739">
        <v>5</v>
      </c>
      <c r="O63" s="733" t="s">
        <v>3624</v>
      </c>
      <c r="P63" s="734">
        <v>20000</v>
      </c>
      <c r="Q63" s="734">
        <v>100000</v>
      </c>
      <c r="R63" s="735">
        <f t="shared" si="3"/>
        <v>100000</v>
      </c>
      <c r="S63" s="759">
        <v>1</v>
      </c>
      <c r="T63" s="736" t="s">
        <v>227</v>
      </c>
      <c r="V63" s="61" t="str">
        <f>VLOOKUP(T63,Sheet3!$C$3:$F$16,2,)</f>
        <v>Gestiwan Bazikho</v>
      </c>
      <c r="W63" s="61" t="str">
        <f>VLOOKUP(T63,Sheet3!$C$3:$F$16,4,)</f>
        <v>081375309828</v>
      </c>
      <c r="X63" s="61" t="str">
        <f>VLOOKUP(T63,Sheet3!$C$3:$F$16,3,)</f>
        <v>Jl. Diponegoro Kel. Pasar Telukdalam - Nias Selatan</v>
      </c>
    </row>
    <row r="64" spans="1:24" ht="14.25" customHeight="1">
      <c r="A64" s="61" t="str">
        <f t="shared" si="1"/>
        <v>Baterey Tanggung1</v>
      </c>
      <c r="B64" s="727">
        <v>110</v>
      </c>
      <c r="C64" s="737" t="s">
        <v>3558</v>
      </c>
      <c r="D64" s="738" t="s">
        <v>3559</v>
      </c>
      <c r="E64" s="779">
        <f t="shared" si="0"/>
        <v>45661</v>
      </c>
      <c r="F64" s="730" t="s">
        <v>3544</v>
      </c>
      <c r="G64" s="772" t="s">
        <v>1547</v>
      </c>
      <c r="H64" s="730" t="s">
        <v>3544</v>
      </c>
      <c r="I64" s="729" t="str">
        <f t="shared" si="2"/>
        <v>04</v>
      </c>
      <c r="J64" s="730" t="s">
        <v>3545</v>
      </c>
      <c r="K64" s="729" t="s">
        <v>3399</v>
      </c>
      <c r="L64" s="738" t="s">
        <v>3625</v>
      </c>
      <c r="M64" s="738" t="str">
        <f t="shared" si="4"/>
        <v>Baterey Tanggung</v>
      </c>
      <c r="N64" s="739">
        <v>5</v>
      </c>
      <c r="O64" s="733" t="s">
        <v>3624</v>
      </c>
      <c r="P64" s="734">
        <v>30000</v>
      </c>
      <c r="Q64" s="734">
        <v>150000</v>
      </c>
      <c r="R64" s="735">
        <f t="shared" si="3"/>
        <v>150000</v>
      </c>
      <c r="S64" s="759">
        <v>1</v>
      </c>
      <c r="T64" s="736" t="s">
        <v>227</v>
      </c>
      <c r="V64" s="61" t="str">
        <f>VLOOKUP(T64,Sheet3!$C$3:$F$16,2,)</f>
        <v>Gestiwan Bazikho</v>
      </c>
      <c r="W64" s="61" t="str">
        <f>VLOOKUP(T64,Sheet3!$C$3:$F$16,4,)</f>
        <v>081375309828</v>
      </c>
      <c r="X64" s="61" t="str">
        <f>VLOOKUP(T64,Sheet3!$C$3:$F$16,3,)</f>
        <v>Jl. Diponegoro Kel. Pasar Telukdalam - Nias Selatan</v>
      </c>
    </row>
    <row r="65" spans="1:24" ht="14.25" customHeight="1">
      <c r="A65" s="61" t="str">
        <f t="shared" si="1"/>
        <v>Bantalan Cap Besar1</v>
      </c>
      <c r="B65" s="727">
        <v>111</v>
      </c>
      <c r="C65" s="737" t="s">
        <v>3558</v>
      </c>
      <c r="D65" s="738" t="s">
        <v>3559</v>
      </c>
      <c r="E65" s="779">
        <f t="shared" si="0"/>
        <v>45661</v>
      </c>
      <c r="F65" s="730" t="s">
        <v>3544</v>
      </c>
      <c r="G65" s="772" t="s">
        <v>1547</v>
      </c>
      <c r="H65" s="730" t="s">
        <v>3544</v>
      </c>
      <c r="I65" s="729" t="str">
        <f t="shared" si="2"/>
        <v>04</v>
      </c>
      <c r="J65" s="730" t="s">
        <v>3545</v>
      </c>
      <c r="K65" s="729" t="s">
        <v>3399</v>
      </c>
      <c r="L65" s="738" t="s">
        <v>3626</v>
      </c>
      <c r="M65" s="738" t="str">
        <f t="shared" si="4"/>
        <v>Bantalan Cap Besar</v>
      </c>
      <c r="N65" s="739">
        <v>5</v>
      </c>
      <c r="O65" s="733" t="s">
        <v>3557</v>
      </c>
      <c r="P65" s="734">
        <v>15000</v>
      </c>
      <c r="Q65" s="734">
        <v>75000</v>
      </c>
      <c r="R65" s="735">
        <f t="shared" si="3"/>
        <v>75000</v>
      </c>
      <c r="S65" s="759">
        <v>1</v>
      </c>
      <c r="T65" s="736" t="s">
        <v>227</v>
      </c>
      <c r="V65" s="61" t="str">
        <f>VLOOKUP(T65,Sheet3!$C$3:$F$16,2,)</f>
        <v>Gestiwan Bazikho</v>
      </c>
      <c r="W65" s="61" t="str">
        <f>VLOOKUP(T65,Sheet3!$C$3:$F$16,4,)</f>
        <v>081375309828</v>
      </c>
      <c r="X65" s="61" t="str">
        <f>VLOOKUP(T65,Sheet3!$C$3:$F$16,3,)</f>
        <v>Jl. Diponegoro Kel. Pasar Telukdalam - Nias Selatan</v>
      </c>
    </row>
    <row r="66" spans="1:24" ht="14.25" customHeight="1">
      <c r="A66" s="61" t="str">
        <f t="shared" si="1"/>
        <v>Bantalan Cap Kecil1</v>
      </c>
      <c r="B66" s="727">
        <v>112</v>
      </c>
      <c r="C66" s="737" t="s">
        <v>3558</v>
      </c>
      <c r="D66" s="738" t="s">
        <v>3559</v>
      </c>
      <c r="E66" s="779">
        <f t="shared" si="0"/>
        <v>45661</v>
      </c>
      <c r="F66" s="730" t="s">
        <v>3544</v>
      </c>
      <c r="G66" s="772" t="s">
        <v>1547</v>
      </c>
      <c r="H66" s="730" t="s">
        <v>3544</v>
      </c>
      <c r="I66" s="729" t="str">
        <f t="shared" si="2"/>
        <v>04</v>
      </c>
      <c r="J66" s="730" t="s">
        <v>3545</v>
      </c>
      <c r="K66" s="729" t="s">
        <v>3399</v>
      </c>
      <c r="L66" s="738" t="s">
        <v>3627</v>
      </c>
      <c r="M66" s="738" t="str">
        <f t="shared" si="4"/>
        <v>Bantalan Cap Kecil</v>
      </c>
      <c r="N66" s="739">
        <v>5</v>
      </c>
      <c r="O66" s="733" t="s">
        <v>3557</v>
      </c>
      <c r="P66" s="734">
        <v>10000</v>
      </c>
      <c r="Q66" s="734">
        <v>50000</v>
      </c>
      <c r="R66" s="735">
        <f t="shared" si="3"/>
        <v>50000</v>
      </c>
      <c r="S66" s="759">
        <v>1</v>
      </c>
      <c r="T66" s="736" t="s">
        <v>227</v>
      </c>
      <c r="V66" s="61" t="str">
        <f>VLOOKUP(T66,Sheet3!$C$3:$F$16,2,)</f>
        <v>Gestiwan Bazikho</v>
      </c>
      <c r="W66" s="61" t="str">
        <f>VLOOKUP(T66,Sheet3!$C$3:$F$16,4,)</f>
        <v>081375309828</v>
      </c>
      <c r="X66" s="61" t="str">
        <f>VLOOKUP(T66,Sheet3!$C$3:$F$16,3,)</f>
        <v>Jl. Diponegoro Kel. Pasar Telukdalam - Nias Selatan</v>
      </c>
    </row>
    <row r="67" spans="1:24" ht="14.25" customHeight="1">
      <c r="A67" s="61" t="str">
        <f t="shared" si="1"/>
        <v>USB FLASH DISK USB/Flash Disk 4GB1</v>
      </c>
      <c r="B67" s="727">
        <v>113</v>
      </c>
      <c r="C67" s="737" t="s">
        <v>3558</v>
      </c>
      <c r="D67" s="738" t="s">
        <v>3559</v>
      </c>
      <c r="E67" s="779">
        <f t="shared" ref="E67:E93" si="5">F67-2</f>
        <v>45661</v>
      </c>
      <c r="F67" s="730" t="s">
        <v>3544</v>
      </c>
      <c r="G67" s="772" t="s">
        <v>1547</v>
      </c>
      <c r="H67" s="730" t="s">
        <v>3544</v>
      </c>
      <c r="I67" s="729" t="str">
        <f t="shared" si="2"/>
        <v>04</v>
      </c>
      <c r="J67" s="730" t="s">
        <v>3545</v>
      </c>
      <c r="K67" s="729" t="s">
        <v>3399</v>
      </c>
      <c r="L67" s="738" t="s">
        <v>3628</v>
      </c>
      <c r="M67" s="738" t="str">
        <f t="shared" si="4"/>
        <v>USB FLASH DISK USB/Flash Disk 4GB</v>
      </c>
      <c r="N67" s="739">
        <v>1</v>
      </c>
      <c r="O67" s="733" t="s">
        <v>3557</v>
      </c>
      <c r="P67" s="734">
        <v>80000</v>
      </c>
      <c r="Q67" s="734">
        <v>80000</v>
      </c>
      <c r="R67" s="735">
        <f t="shared" si="3"/>
        <v>80000</v>
      </c>
      <c r="S67" s="759">
        <v>1</v>
      </c>
      <c r="T67" s="736" t="s">
        <v>227</v>
      </c>
      <c r="V67" s="61" t="str">
        <f>VLOOKUP(T67,Sheet3!$C$3:$F$16,2,)</f>
        <v>Gestiwan Bazikho</v>
      </c>
      <c r="W67" s="61" t="str">
        <f>VLOOKUP(T67,Sheet3!$C$3:$F$16,4,)</f>
        <v>081375309828</v>
      </c>
      <c r="X67" s="61" t="str">
        <f>VLOOKUP(T67,Sheet3!$C$3:$F$16,3,)</f>
        <v>Jl. Diponegoro Kel. Pasar Telukdalam - Nias Selatan</v>
      </c>
    </row>
    <row r="68" spans="1:24" ht="14.25" customHeight="1">
      <c r="A68" s="61" t="str">
        <f t="shared" ref="A68:A131" si="6">L68&amp;S68</f>
        <v>Stempel Manual1</v>
      </c>
      <c r="B68" s="727">
        <v>114</v>
      </c>
      <c r="C68" s="737" t="s">
        <v>3558</v>
      </c>
      <c r="D68" s="738" t="s">
        <v>3559</v>
      </c>
      <c r="E68" s="779">
        <f t="shared" si="5"/>
        <v>45661</v>
      </c>
      <c r="F68" s="730" t="s">
        <v>3544</v>
      </c>
      <c r="G68" s="772" t="s">
        <v>1547</v>
      </c>
      <c r="H68" s="730" t="s">
        <v>3544</v>
      </c>
      <c r="I68" s="729" t="str">
        <f t="shared" ref="I68:I131" si="7">G68</f>
        <v>04</v>
      </c>
      <c r="J68" s="730" t="s">
        <v>3545</v>
      </c>
      <c r="K68" s="729" t="s">
        <v>3399</v>
      </c>
      <c r="L68" s="738" t="s">
        <v>3629</v>
      </c>
      <c r="M68" s="738" t="str">
        <f t="shared" si="4"/>
        <v>Stempel Manual</v>
      </c>
      <c r="N68" s="739">
        <v>5</v>
      </c>
      <c r="O68" s="733" t="s">
        <v>3557</v>
      </c>
      <c r="P68" s="734">
        <v>100000</v>
      </c>
      <c r="Q68" s="734">
        <v>500000</v>
      </c>
      <c r="R68" s="735">
        <f t="shared" ref="R68:R109" si="8">Q68</f>
        <v>500000</v>
      </c>
      <c r="S68" s="759">
        <v>1</v>
      </c>
      <c r="T68" s="736" t="s">
        <v>227</v>
      </c>
      <c r="V68" s="61" t="str">
        <f>VLOOKUP(T68,Sheet3!$C$3:$F$16,2,)</f>
        <v>Gestiwan Bazikho</v>
      </c>
      <c r="W68" s="61" t="str">
        <f>VLOOKUP(T68,Sheet3!$C$3:$F$16,4,)</f>
        <v>081375309828</v>
      </c>
      <c r="X68" s="61" t="str">
        <f>VLOOKUP(T68,Sheet3!$C$3:$F$16,3,)</f>
        <v>Jl. Diponegoro Kel. Pasar Telukdalam - Nias Selatan</v>
      </c>
    </row>
    <row r="69" spans="1:24" ht="14.25" customHeight="1">
      <c r="A69" s="61" t="str">
        <f t="shared" si="6"/>
        <v>Stempel Cap1</v>
      </c>
      <c r="B69" s="727">
        <v>115</v>
      </c>
      <c r="C69" s="737" t="s">
        <v>3558</v>
      </c>
      <c r="D69" s="738" t="s">
        <v>3559</v>
      </c>
      <c r="E69" s="779">
        <f t="shared" si="5"/>
        <v>45661</v>
      </c>
      <c r="F69" s="730" t="s">
        <v>3544</v>
      </c>
      <c r="G69" s="772" t="s">
        <v>1547</v>
      </c>
      <c r="H69" s="730" t="s">
        <v>3544</v>
      </c>
      <c r="I69" s="729" t="str">
        <f t="shared" si="7"/>
        <v>04</v>
      </c>
      <c r="J69" s="730" t="s">
        <v>3545</v>
      </c>
      <c r="K69" s="729" t="s">
        <v>3399</v>
      </c>
      <c r="L69" s="738" t="s">
        <v>3630</v>
      </c>
      <c r="M69" s="738" t="str">
        <f t="shared" si="4"/>
        <v>Stempel Cap</v>
      </c>
      <c r="N69" s="739">
        <v>3</v>
      </c>
      <c r="O69" s="733" t="s">
        <v>3557</v>
      </c>
      <c r="P69" s="734">
        <v>120000</v>
      </c>
      <c r="Q69" s="734">
        <v>360000</v>
      </c>
      <c r="R69" s="735">
        <f t="shared" si="8"/>
        <v>360000</v>
      </c>
      <c r="S69" s="759">
        <v>1</v>
      </c>
      <c r="T69" s="736" t="s">
        <v>227</v>
      </c>
      <c r="V69" s="61" t="str">
        <f>VLOOKUP(T69,Sheet3!$C$3:$F$16,2,)</f>
        <v>Gestiwan Bazikho</v>
      </c>
      <c r="W69" s="61" t="str">
        <f>VLOOKUP(T69,Sheet3!$C$3:$F$16,4,)</f>
        <v>081375309828</v>
      </c>
      <c r="X69" s="61" t="str">
        <f>VLOOKUP(T69,Sheet3!$C$3:$F$16,3,)</f>
        <v>Jl. Diponegoro Kel. Pasar Telukdalam - Nias Selatan</v>
      </c>
    </row>
    <row r="70" spans="1:24" ht="14.25" customHeight="1">
      <c r="A70" s="61" t="str">
        <f t="shared" si="6"/>
        <v>Tinta Stempel1</v>
      </c>
      <c r="B70" s="727">
        <v>116</v>
      </c>
      <c r="C70" s="737" t="s">
        <v>3558</v>
      </c>
      <c r="D70" s="738" t="s">
        <v>3559</v>
      </c>
      <c r="E70" s="779">
        <f t="shared" si="5"/>
        <v>45661</v>
      </c>
      <c r="F70" s="730" t="s">
        <v>3544</v>
      </c>
      <c r="G70" s="772" t="s">
        <v>1547</v>
      </c>
      <c r="H70" s="730" t="s">
        <v>3544</v>
      </c>
      <c r="I70" s="729" t="str">
        <f t="shared" si="7"/>
        <v>04</v>
      </c>
      <c r="J70" s="730" t="s">
        <v>3545</v>
      </c>
      <c r="K70" s="729" t="s">
        <v>3399</v>
      </c>
      <c r="L70" s="738" t="s">
        <v>3631</v>
      </c>
      <c r="M70" s="738" t="str">
        <f t="shared" si="4"/>
        <v>Tinta Stempel</v>
      </c>
      <c r="N70" s="739">
        <v>5</v>
      </c>
      <c r="O70" s="733" t="s">
        <v>3595</v>
      </c>
      <c r="P70" s="734">
        <v>20000</v>
      </c>
      <c r="Q70" s="734">
        <v>100000</v>
      </c>
      <c r="R70" s="735">
        <f t="shared" si="8"/>
        <v>100000</v>
      </c>
      <c r="S70" s="759">
        <v>1</v>
      </c>
      <c r="T70" s="736" t="s">
        <v>227</v>
      </c>
      <c r="V70" s="61" t="str">
        <f>VLOOKUP(T70,Sheet3!$C$3:$F$16,2,)</f>
        <v>Gestiwan Bazikho</v>
      </c>
      <c r="W70" s="61" t="str">
        <f>VLOOKUP(T70,Sheet3!$C$3:$F$16,4,)</f>
        <v>081375309828</v>
      </c>
      <c r="X70" s="61" t="str">
        <f>VLOOKUP(T70,Sheet3!$C$3:$F$16,3,)</f>
        <v>Jl. Diponegoro Kel. Pasar Telukdalam - Nias Selatan</v>
      </c>
    </row>
    <row r="71" spans="1:24" ht="14.25" customHeight="1">
      <c r="A71" s="61" t="str">
        <f t="shared" si="6"/>
        <v>Materai 10.0001</v>
      </c>
      <c r="B71" s="727">
        <v>117</v>
      </c>
      <c r="C71" s="737" t="s">
        <v>3558</v>
      </c>
      <c r="D71" s="738" t="s">
        <v>3559</v>
      </c>
      <c r="E71" s="779">
        <f t="shared" si="5"/>
        <v>45661</v>
      </c>
      <c r="F71" s="730" t="s">
        <v>3544</v>
      </c>
      <c r="G71" s="772" t="s">
        <v>1547</v>
      </c>
      <c r="H71" s="730" t="s">
        <v>3544</v>
      </c>
      <c r="I71" s="729" t="str">
        <f t="shared" si="7"/>
        <v>04</v>
      </c>
      <c r="J71" s="730" t="s">
        <v>3545</v>
      </c>
      <c r="K71" s="729" t="s">
        <v>3399</v>
      </c>
      <c r="L71" s="738" t="s">
        <v>3632</v>
      </c>
      <c r="M71" s="738" t="str">
        <f t="shared" si="4"/>
        <v>Materai 10.000</v>
      </c>
      <c r="N71" s="739">
        <v>100</v>
      </c>
      <c r="O71" s="733" t="s">
        <v>3557</v>
      </c>
      <c r="P71" s="734">
        <v>12000</v>
      </c>
      <c r="Q71" s="734">
        <v>1200000</v>
      </c>
      <c r="R71" s="735">
        <f t="shared" si="8"/>
        <v>1200000</v>
      </c>
      <c r="S71" s="759">
        <v>1</v>
      </c>
      <c r="T71" s="736" t="s">
        <v>227</v>
      </c>
      <c r="U71" s="61" t="s">
        <v>3548</v>
      </c>
      <c r="V71" s="61" t="str">
        <f>VLOOKUP(T71,Sheet3!$C$3:$F$16,2,)</f>
        <v>Gestiwan Bazikho</v>
      </c>
      <c r="W71" s="61" t="str">
        <f>VLOOKUP(T71,Sheet3!$C$3:$F$16,4,)</f>
        <v>081375309828</v>
      </c>
      <c r="X71" s="61" t="str">
        <f>VLOOKUP(T71,Sheet3!$C$3:$F$16,3,)</f>
        <v>Jl. Diponegoro Kel. Pasar Telukdalam - Nias Selatan</v>
      </c>
    </row>
    <row r="72" spans="1:24" ht="14.25" customHeight="1">
      <c r="A72" s="61" t="str">
        <f t="shared" si="6"/>
        <v>Foto Copy Filio dan Kuarto1</v>
      </c>
      <c r="B72" s="727">
        <v>118</v>
      </c>
      <c r="C72" s="737" t="s">
        <v>3633</v>
      </c>
      <c r="D72" s="738" t="s">
        <v>3559</v>
      </c>
      <c r="E72" s="779">
        <f t="shared" si="5"/>
        <v>45661</v>
      </c>
      <c r="F72" s="730" t="s">
        <v>3544</v>
      </c>
      <c r="G72" s="772" t="s">
        <v>1548</v>
      </c>
      <c r="H72" s="730" t="s">
        <v>3544</v>
      </c>
      <c r="I72" s="729" t="str">
        <f t="shared" si="7"/>
        <v>05</v>
      </c>
      <c r="J72" s="730" t="s">
        <v>3545</v>
      </c>
      <c r="K72" s="729" t="s">
        <v>3400</v>
      </c>
      <c r="L72" s="738" t="s">
        <v>3634</v>
      </c>
      <c r="M72" s="738" t="str">
        <f t="shared" si="4"/>
        <v>Foto Copy Filio dan Kuarto</v>
      </c>
      <c r="N72" s="739">
        <v>4500</v>
      </c>
      <c r="O72" s="733" t="s">
        <v>3570</v>
      </c>
      <c r="P72" s="741">
        <v>350</v>
      </c>
      <c r="Q72" s="734">
        <v>1575000</v>
      </c>
      <c r="R72" s="735">
        <f t="shared" si="8"/>
        <v>1575000</v>
      </c>
      <c r="S72" s="759">
        <v>1</v>
      </c>
      <c r="T72" s="736" t="s">
        <v>227</v>
      </c>
      <c r="U72" s="61" t="s">
        <v>3548</v>
      </c>
      <c r="V72" s="61" t="str">
        <f>VLOOKUP(T72,Sheet3!$C$3:$F$16,2,)</f>
        <v>Gestiwan Bazikho</v>
      </c>
      <c r="W72" s="61" t="str">
        <f>VLOOKUP(T72,Sheet3!$C$3:$F$16,4,)</f>
        <v>081375309828</v>
      </c>
      <c r="X72" s="61" t="str">
        <f>VLOOKUP(T72,Sheet3!$C$3:$F$16,3,)</f>
        <v>Jl. Diponegoro Kel. Pasar Telukdalam - Nias Selatan</v>
      </c>
    </row>
    <row r="73" spans="1:24" ht="14.25" customHeight="1">
      <c r="A73" s="61" t="str">
        <f t="shared" si="6"/>
        <v>Jasa pengantar barang berupa alat-alat kebrsihan1</v>
      </c>
      <c r="B73" s="727">
        <v>120</v>
      </c>
      <c r="C73" s="737" t="s">
        <v>3549</v>
      </c>
      <c r="D73" s="738" t="s">
        <v>3635</v>
      </c>
      <c r="E73" s="779">
        <f t="shared" si="5"/>
        <v>45661</v>
      </c>
      <c r="F73" s="730" t="s">
        <v>3544</v>
      </c>
      <c r="G73" s="772" t="s">
        <v>1549</v>
      </c>
      <c r="H73" s="730" t="s">
        <v>3544</v>
      </c>
      <c r="I73" s="729" t="str">
        <f t="shared" si="7"/>
        <v>06</v>
      </c>
      <c r="J73" s="730" t="s">
        <v>3545</v>
      </c>
      <c r="K73" s="729" t="s">
        <v>3401</v>
      </c>
      <c r="L73" s="738" t="s">
        <v>3636</v>
      </c>
      <c r="M73" s="738"/>
      <c r="N73" s="739">
        <v>1</v>
      </c>
      <c r="O73" s="733" t="s">
        <v>3553</v>
      </c>
      <c r="P73" s="734">
        <v>55000</v>
      </c>
      <c r="Q73" s="734">
        <v>55000</v>
      </c>
      <c r="R73" s="735">
        <f t="shared" si="8"/>
        <v>55000</v>
      </c>
      <c r="S73" s="759">
        <v>1</v>
      </c>
      <c r="T73" s="736" t="s">
        <v>227</v>
      </c>
      <c r="U73" s="61" t="s">
        <v>3548</v>
      </c>
      <c r="V73" s="61" t="str">
        <f>VLOOKUP(T73,Sheet3!$C$3:$F$16,2,)</f>
        <v>Gestiwan Bazikho</v>
      </c>
      <c r="W73" s="61" t="str">
        <f>VLOOKUP(T73,Sheet3!$C$3:$F$16,4,)</f>
        <v>081375309828</v>
      </c>
      <c r="X73" s="61" t="str">
        <f>VLOOKUP(T73,Sheet3!$C$3:$F$16,3,)</f>
        <v>Jl. Diponegoro Kel. Pasar Telukdalam - Nias Selatan</v>
      </c>
    </row>
    <row r="74" spans="1:24" ht="14.25" customHeight="1">
      <c r="A74" s="61" t="str">
        <f t="shared" si="6"/>
        <v>Sapu1</v>
      </c>
      <c r="B74" s="727">
        <v>121</v>
      </c>
      <c r="C74" s="737" t="s">
        <v>3637</v>
      </c>
      <c r="D74" s="738" t="s">
        <v>3635</v>
      </c>
      <c r="E74" s="779">
        <f t="shared" si="5"/>
        <v>45661</v>
      </c>
      <c r="F74" s="730" t="s">
        <v>3544</v>
      </c>
      <c r="G74" s="772" t="s">
        <v>1550</v>
      </c>
      <c r="H74" s="730" t="s">
        <v>3544</v>
      </c>
      <c r="I74" s="729" t="str">
        <f t="shared" si="7"/>
        <v>07</v>
      </c>
      <c r="J74" s="730" t="s">
        <v>3545</v>
      </c>
      <c r="K74" s="729" t="s">
        <v>3403</v>
      </c>
      <c r="L74" s="738" t="s">
        <v>3638</v>
      </c>
      <c r="M74" s="738" t="str">
        <f>L74</f>
        <v>Sapu</v>
      </c>
      <c r="N74" s="739">
        <v>60</v>
      </c>
      <c r="O74" s="733" t="s">
        <v>3557</v>
      </c>
      <c r="P74" s="734">
        <v>65000</v>
      </c>
      <c r="Q74" s="734">
        <v>3900000</v>
      </c>
      <c r="R74" s="735">
        <f t="shared" si="8"/>
        <v>3900000</v>
      </c>
      <c r="S74" s="759">
        <v>1</v>
      </c>
      <c r="T74" s="736" t="s">
        <v>227</v>
      </c>
      <c r="U74" s="61" t="s">
        <v>3548</v>
      </c>
      <c r="V74" s="61" t="str">
        <f>VLOOKUP(T74,Sheet3!$C$3:$F$16,2,)</f>
        <v>Gestiwan Bazikho</v>
      </c>
      <c r="W74" s="61" t="str">
        <f>VLOOKUP(T74,Sheet3!$C$3:$F$16,4,)</f>
        <v>081375309828</v>
      </c>
      <c r="X74" s="61" t="str">
        <f>VLOOKUP(T74,Sheet3!$C$3:$F$16,3,)</f>
        <v>Jl. Diponegoro Kel. Pasar Telukdalam - Nias Selatan</v>
      </c>
    </row>
    <row r="75" spans="1:24" ht="14.25" customHeight="1">
      <c r="A75" s="61" t="str">
        <f t="shared" si="6"/>
        <v>Sapu Lidi1</v>
      </c>
      <c r="B75" s="727">
        <v>122</v>
      </c>
      <c r="C75" s="737" t="s">
        <v>3637</v>
      </c>
      <c r="D75" s="738" t="s">
        <v>3635</v>
      </c>
      <c r="E75" s="779">
        <f t="shared" si="5"/>
        <v>45661</v>
      </c>
      <c r="F75" s="730" t="s">
        <v>3544</v>
      </c>
      <c r="G75" s="772" t="s">
        <v>1550</v>
      </c>
      <c r="H75" s="730" t="s">
        <v>3544</v>
      </c>
      <c r="I75" s="729" t="str">
        <f t="shared" si="7"/>
        <v>07</v>
      </c>
      <c r="J75" s="730" t="s">
        <v>3545</v>
      </c>
      <c r="K75" s="729" t="s">
        <v>3403</v>
      </c>
      <c r="L75" s="738" t="s">
        <v>3639</v>
      </c>
      <c r="M75" s="738" t="str">
        <f>L75</f>
        <v>Sapu Lidi</v>
      </c>
      <c r="N75" s="739">
        <v>15</v>
      </c>
      <c r="O75" s="733" t="s">
        <v>3557</v>
      </c>
      <c r="P75" s="734">
        <v>25000</v>
      </c>
      <c r="Q75" s="734">
        <v>375000</v>
      </c>
      <c r="R75" s="735">
        <f t="shared" si="8"/>
        <v>375000</v>
      </c>
      <c r="S75" s="759">
        <v>1</v>
      </c>
      <c r="T75" s="736" t="s">
        <v>227</v>
      </c>
      <c r="U75" s="61" t="s">
        <v>3548</v>
      </c>
      <c r="V75" s="61" t="str">
        <f>VLOOKUP(T75,Sheet3!$C$3:$F$16,2,)</f>
        <v>Gestiwan Bazikho</v>
      </c>
      <c r="W75" s="61" t="str">
        <f>VLOOKUP(T75,Sheet3!$C$3:$F$16,4,)</f>
        <v>081375309828</v>
      </c>
      <c r="X75" s="61" t="str">
        <f>VLOOKUP(T75,Sheet3!$C$3:$F$16,3,)</f>
        <v>Jl. Diponegoro Kel. Pasar Telukdalam - Nias Selatan</v>
      </c>
    </row>
    <row r="76" spans="1:24" ht="14.25" customHeight="1">
      <c r="A76" s="61" t="str">
        <f t="shared" si="6"/>
        <v>Sikat Pembersih1</v>
      </c>
      <c r="B76" s="727">
        <v>123</v>
      </c>
      <c r="C76" s="737" t="s">
        <v>3637</v>
      </c>
      <c r="D76" s="738" t="s">
        <v>3635</v>
      </c>
      <c r="E76" s="779">
        <f t="shared" si="5"/>
        <v>45661</v>
      </c>
      <c r="F76" s="730" t="s">
        <v>3544</v>
      </c>
      <c r="G76" s="772" t="s">
        <v>1550</v>
      </c>
      <c r="H76" s="730" t="s">
        <v>3544</v>
      </c>
      <c r="I76" s="729" t="str">
        <f t="shared" si="7"/>
        <v>07</v>
      </c>
      <c r="J76" s="730" t="s">
        <v>3545</v>
      </c>
      <c r="K76" s="729" t="s">
        <v>3403</v>
      </c>
      <c r="L76" s="738" t="s">
        <v>3640</v>
      </c>
      <c r="M76" s="738" t="str">
        <f t="shared" ref="M76:M86" si="9">L76</f>
        <v>Sikat Pembersih</v>
      </c>
      <c r="N76" s="739">
        <v>15</v>
      </c>
      <c r="O76" s="733" t="s">
        <v>3557</v>
      </c>
      <c r="P76" s="734">
        <v>60000</v>
      </c>
      <c r="Q76" s="734">
        <v>900000</v>
      </c>
      <c r="R76" s="735">
        <f t="shared" si="8"/>
        <v>900000</v>
      </c>
      <c r="S76" s="759">
        <v>1</v>
      </c>
      <c r="T76" s="736" t="s">
        <v>227</v>
      </c>
      <c r="V76" s="61" t="str">
        <f>VLOOKUP(T76,Sheet3!$C$3:$F$16,2,)</f>
        <v>Gestiwan Bazikho</v>
      </c>
      <c r="W76" s="61" t="str">
        <f>VLOOKUP(T76,Sheet3!$C$3:$F$16,4,)</f>
        <v>081375309828</v>
      </c>
      <c r="X76" s="61" t="str">
        <f>VLOOKUP(T76,Sheet3!$C$3:$F$16,3,)</f>
        <v>Jl. Diponegoro Kel. Pasar Telukdalam - Nias Selatan</v>
      </c>
    </row>
    <row r="77" spans="1:24" ht="14.25" customHeight="1">
      <c r="A77" s="61" t="str">
        <f t="shared" si="6"/>
        <v>Sikat WC Type : Gagang Panjang1</v>
      </c>
      <c r="B77" s="727">
        <v>124</v>
      </c>
      <c r="C77" s="737" t="s">
        <v>3637</v>
      </c>
      <c r="D77" s="738" t="s">
        <v>3635</v>
      </c>
      <c r="E77" s="779">
        <f t="shared" si="5"/>
        <v>45661</v>
      </c>
      <c r="F77" s="730" t="s">
        <v>3544</v>
      </c>
      <c r="G77" s="772" t="s">
        <v>1550</v>
      </c>
      <c r="H77" s="730" t="s">
        <v>3544</v>
      </c>
      <c r="I77" s="729" t="str">
        <f t="shared" si="7"/>
        <v>07</v>
      </c>
      <c r="J77" s="730" t="s">
        <v>3545</v>
      </c>
      <c r="K77" s="729" t="s">
        <v>3403</v>
      </c>
      <c r="L77" s="738" t="s">
        <v>3641</v>
      </c>
      <c r="M77" s="738" t="str">
        <f t="shared" si="9"/>
        <v>Sikat WC Type : Gagang Panjang</v>
      </c>
      <c r="N77" s="739">
        <v>15</v>
      </c>
      <c r="O77" s="733" t="s">
        <v>3557</v>
      </c>
      <c r="P77" s="734">
        <v>34000</v>
      </c>
      <c r="Q77" s="734">
        <v>510000</v>
      </c>
      <c r="R77" s="735">
        <f t="shared" si="8"/>
        <v>510000</v>
      </c>
      <c r="S77" s="759">
        <v>1</v>
      </c>
      <c r="T77" s="736" t="s">
        <v>227</v>
      </c>
      <c r="V77" s="61" t="str">
        <f>VLOOKUP(T77,Sheet3!$C$3:$F$16,2,)</f>
        <v>Gestiwan Bazikho</v>
      </c>
      <c r="W77" s="61" t="str">
        <f>VLOOKUP(T77,Sheet3!$C$3:$F$16,4,)</f>
        <v>081375309828</v>
      </c>
      <c r="X77" s="61" t="str">
        <f>VLOOKUP(T77,Sheet3!$C$3:$F$16,3,)</f>
        <v>Jl. Diponegoro Kel. Pasar Telukdalam - Nias Selatan</v>
      </c>
    </row>
    <row r="78" spans="1:24" ht="14.25" customHeight="1">
      <c r="A78" s="61" t="str">
        <f t="shared" si="6"/>
        <v>Alat Pel1</v>
      </c>
      <c r="B78" s="727">
        <v>125</v>
      </c>
      <c r="C78" s="737" t="s">
        <v>3637</v>
      </c>
      <c r="D78" s="738" t="s">
        <v>3635</v>
      </c>
      <c r="E78" s="779">
        <f t="shared" si="5"/>
        <v>45661</v>
      </c>
      <c r="F78" s="730" t="s">
        <v>3544</v>
      </c>
      <c r="G78" s="772" t="s">
        <v>1550</v>
      </c>
      <c r="H78" s="730" t="s">
        <v>3544</v>
      </c>
      <c r="I78" s="729" t="str">
        <f t="shared" si="7"/>
        <v>07</v>
      </c>
      <c r="J78" s="730" t="s">
        <v>3545</v>
      </c>
      <c r="K78" s="729" t="s">
        <v>3403</v>
      </c>
      <c r="L78" s="738" t="s">
        <v>3642</v>
      </c>
      <c r="M78" s="738" t="str">
        <f t="shared" si="9"/>
        <v>Alat Pel</v>
      </c>
      <c r="N78" s="739">
        <v>25</v>
      </c>
      <c r="O78" s="733" t="s">
        <v>3557</v>
      </c>
      <c r="P78" s="734">
        <v>35000</v>
      </c>
      <c r="Q78" s="734">
        <v>875000</v>
      </c>
      <c r="R78" s="735">
        <f t="shared" si="8"/>
        <v>875000</v>
      </c>
      <c r="S78" s="759">
        <v>1</v>
      </c>
      <c r="T78" s="736" t="s">
        <v>227</v>
      </c>
      <c r="V78" s="61" t="str">
        <f>VLOOKUP(T78,Sheet3!$C$3:$F$16,2,)</f>
        <v>Gestiwan Bazikho</v>
      </c>
      <c r="W78" s="61" t="str">
        <f>VLOOKUP(T78,Sheet3!$C$3:$F$16,4,)</f>
        <v>081375309828</v>
      </c>
      <c r="X78" s="61" t="str">
        <f>VLOOKUP(T78,Sheet3!$C$3:$F$16,3,)</f>
        <v>Jl. Diponegoro Kel. Pasar Telukdalam - Nias Selatan</v>
      </c>
    </row>
    <row r="79" spans="1:24" ht="14.25" customHeight="1">
      <c r="A79" s="61" t="str">
        <f t="shared" si="6"/>
        <v>Alat Pel lantai besar1</v>
      </c>
      <c r="B79" s="727">
        <v>126</v>
      </c>
      <c r="C79" s="737" t="s">
        <v>3637</v>
      </c>
      <c r="D79" s="738" t="s">
        <v>3635</v>
      </c>
      <c r="E79" s="779">
        <f t="shared" si="5"/>
        <v>45661</v>
      </c>
      <c r="F79" s="730" t="s">
        <v>3544</v>
      </c>
      <c r="G79" s="772" t="s">
        <v>1550</v>
      </c>
      <c r="H79" s="730" t="s">
        <v>3544</v>
      </c>
      <c r="I79" s="729" t="str">
        <f t="shared" si="7"/>
        <v>07</v>
      </c>
      <c r="J79" s="730" t="s">
        <v>3545</v>
      </c>
      <c r="K79" s="729" t="s">
        <v>3403</v>
      </c>
      <c r="L79" s="738" t="s">
        <v>3643</v>
      </c>
      <c r="M79" s="738" t="str">
        <f t="shared" si="9"/>
        <v>Alat Pel lantai besar</v>
      </c>
      <c r="N79" s="739">
        <v>5</v>
      </c>
      <c r="O79" s="733" t="s">
        <v>3557</v>
      </c>
      <c r="P79" s="734">
        <v>169000</v>
      </c>
      <c r="Q79" s="734">
        <v>845000</v>
      </c>
      <c r="R79" s="735">
        <f t="shared" si="8"/>
        <v>845000</v>
      </c>
      <c r="S79" s="759">
        <v>1</v>
      </c>
      <c r="T79" s="736" t="s">
        <v>227</v>
      </c>
      <c r="V79" s="61" t="str">
        <f>VLOOKUP(T79,Sheet3!$C$3:$F$16,2,)</f>
        <v>Gestiwan Bazikho</v>
      </c>
      <c r="W79" s="61" t="str">
        <f>VLOOKUP(T79,Sheet3!$C$3:$F$16,4,)</f>
        <v>081375309828</v>
      </c>
      <c r="X79" s="61" t="str">
        <f>VLOOKUP(T79,Sheet3!$C$3:$F$16,3,)</f>
        <v>Jl. Diponegoro Kel. Pasar Telukdalam - Nias Selatan</v>
      </c>
    </row>
    <row r="80" spans="1:24" ht="14.25" customHeight="1">
      <c r="A80" s="61" t="str">
        <f t="shared" si="6"/>
        <v>Serok Air Besar--1</v>
      </c>
      <c r="B80" s="727">
        <v>127</v>
      </c>
      <c r="C80" s="737" t="s">
        <v>3637</v>
      </c>
      <c r="D80" s="729" t="s">
        <v>3635</v>
      </c>
      <c r="E80" s="779">
        <f t="shared" si="5"/>
        <v>45661</v>
      </c>
      <c r="F80" s="730" t="s">
        <v>3544</v>
      </c>
      <c r="G80" s="772" t="s">
        <v>1550</v>
      </c>
      <c r="H80" s="730" t="s">
        <v>3544</v>
      </c>
      <c r="I80" s="729" t="str">
        <f t="shared" si="7"/>
        <v>07</v>
      </c>
      <c r="J80" s="730" t="s">
        <v>3545</v>
      </c>
      <c r="K80" s="729" t="s">
        <v>3403</v>
      </c>
      <c r="L80" s="738" t="s">
        <v>3644</v>
      </c>
      <c r="M80" s="738" t="str">
        <f t="shared" si="9"/>
        <v>Serok Air Besar--</v>
      </c>
      <c r="N80" s="739">
        <v>5</v>
      </c>
      <c r="O80" s="733" t="s">
        <v>3557</v>
      </c>
      <c r="P80" s="734">
        <v>40000</v>
      </c>
      <c r="Q80" s="734">
        <v>200000</v>
      </c>
      <c r="R80" s="735">
        <f t="shared" si="8"/>
        <v>200000</v>
      </c>
      <c r="S80" s="759">
        <v>1</v>
      </c>
      <c r="T80" s="736" t="s">
        <v>227</v>
      </c>
      <c r="V80" s="61" t="str">
        <f>VLOOKUP(T80,Sheet3!$C$3:$F$16,2,)</f>
        <v>Gestiwan Bazikho</v>
      </c>
      <c r="W80" s="61" t="str">
        <f>VLOOKUP(T80,Sheet3!$C$3:$F$16,4,)</f>
        <v>081375309828</v>
      </c>
      <c r="X80" s="61" t="str">
        <f>VLOOKUP(T80,Sheet3!$C$3:$F$16,3,)</f>
        <v>Jl. Diponegoro Kel. Pasar Telukdalam - Nias Selatan</v>
      </c>
    </row>
    <row r="81" spans="1:24" ht="14.25" customHeight="1">
      <c r="A81" s="61" t="str">
        <f t="shared" si="6"/>
        <v>Kain Lap  Bahan : Katun bermotif kotak-kotak1</v>
      </c>
      <c r="B81" s="727">
        <v>128</v>
      </c>
      <c r="C81" s="737" t="s">
        <v>3637</v>
      </c>
      <c r="D81" s="729" t="s">
        <v>3635</v>
      </c>
      <c r="E81" s="779">
        <f t="shared" si="5"/>
        <v>45661</v>
      </c>
      <c r="F81" s="730" t="s">
        <v>3544</v>
      </c>
      <c r="G81" s="772" t="s">
        <v>1550</v>
      </c>
      <c r="H81" s="730" t="s">
        <v>3544</v>
      </c>
      <c r="I81" s="729" t="str">
        <f t="shared" si="7"/>
        <v>07</v>
      </c>
      <c r="J81" s="730" t="s">
        <v>3545</v>
      </c>
      <c r="K81" s="729" t="s">
        <v>3403</v>
      </c>
      <c r="L81" s="738" t="s">
        <v>3645</v>
      </c>
      <c r="M81" s="738" t="str">
        <f t="shared" si="9"/>
        <v>Kain Lap  Bahan : Katun bermotif kotak-kotak</v>
      </c>
      <c r="N81" s="739">
        <v>10</v>
      </c>
      <c r="O81" s="733" t="s">
        <v>3577</v>
      </c>
      <c r="P81" s="734">
        <v>75000</v>
      </c>
      <c r="Q81" s="734">
        <v>750000</v>
      </c>
      <c r="R81" s="735">
        <f t="shared" si="8"/>
        <v>750000</v>
      </c>
      <c r="S81" s="759">
        <v>1</v>
      </c>
      <c r="T81" s="736" t="s">
        <v>227</v>
      </c>
      <c r="V81" s="61" t="str">
        <f>VLOOKUP(T81,Sheet3!$C$3:$F$16,2,)</f>
        <v>Gestiwan Bazikho</v>
      </c>
      <c r="W81" s="61" t="str">
        <f>VLOOKUP(T81,Sheet3!$C$3:$F$16,4,)</f>
        <v>081375309828</v>
      </c>
      <c r="X81" s="61" t="str">
        <f>VLOOKUP(T81,Sheet3!$C$3:$F$16,3,)</f>
        <v>Jl. Diponegoro Kel. Pasar Telukdalam - Nias Selatan</v>
      </c>
    </row>
    <row r="82" spans="1:24" ht="14.25" customHeight="1">
      <c r="A82" s="61" t="str">
        <f t="shared" si="6"/>
        <v>Serok Sampah--1</v>
      </c>
      <c r="B82" s="727">
        <v>129</v>
      </c>
      <c r="C82" s="737" t="s">
        <v>3637</v>
      </c>
      <c r="D82" s="729" t="s">
        <v>3635</v>
      </c>
      <c r="E82" s="779">
        <f t="shared" si="5"/>
        <v>45661</v>
      </c>
      <c r="F82" s="730" t="s">
        <v>3544</v>
      </c>
      <c r="G82" s="772" t="s">
        <v>1550</v>
      </c>
      <c r="H82" s="730" t="s">
        <v>3544</v>
      </c>
      <c r="I82" s="729" t="str">
        <f t="shared" si="7"/>
        <v>07</v>
      </c>
      <c r="J82" s="730" t="s">
        <v>3545</v>
      </c>
      <c r="K82" s="729" t="s">
        <v>3403</v>
      </c>
      <c r="L82" s="738" t="s">
        <v>3646</v>
      </c>
      <c r="M82" s="738" t="str">
        <f t="shared" si="9"/>
        <v>Serok Sampah--</v>
      </c>
      <c r="N82" s="739">
        <v>15</v>
      </c>
      <c r="O82" s="733" t="s">
        <v>3557</v>
      </c>
      <c r="P82" s="734">
        <v>25000</v>
      </c>
      <c r="Q82" s="734">
        <v>375000</v>
      </c>
      <c r="R82" s="735">
        <f t="shared" si="8"/>
        <v>375000</v>
      </c>
      <c r="S82" s="759">
        <v>1</v>
      </c>
      <c r="T82" s="736" t="s">
        <v>227</v>
      </c>
      <c r="V82" s="61" t="str">
        <f>VLOOKUP(T82,Sheet3!$C$3:$F$16,2,)</f>
        <v>Gestiwan Bazikho</v>
      </c>
      <c r="W82" s="61" t="str">
        <f>VLOOKUP(T82,Sheet3!$C$3:$F$16,4,)</f>
        <v>081375309828</v>
      </c>
      <c r="X82" s="61" t="str">
        <f>VLOOKUP(T82,Sheet3!$C$3:$F$16,3,)</f>
        <v>Jl. Diponegoro Kel. Pasar Telukdalam - Nias Selatan</v>
      </c>
    </row>
    <row r="83" spans="1:24" ht="14.25" customHeight="1">
      <c r="A83" s="61" t="str">
        <f t="shared" si="6"/>
        <v>Tempat sampah1</v>
      </c>
      <c r="B83" s="727">
        <v>130</v>
      </c>
      <c r="C83" s="737" t="s">
        <v>3637</v>
      </c>
      <c r="D83" s="729" t="s">
        <v>3635</v>
      </c>
      <c r="E83" s="779">
        <f t="shared" si="5"/>
        <v>45661</v>
      </c>
      <c r="F83" s="730" t="s">
        <v>3544</v>
      </c>
      <c r="G83" s="772" t="s">
        <v>1550</v>
      </c>
      <c r="H83" s="730" t="s">
        <v>3544</v>
      </c>
      <c r="I83" s="729" t="str">
        <f t="shared" si="7"/>
        <v>07</v>
      </c>
      <c r="J83" s="730" t="s">
        <v>3545</v>
      </c>
      <c r="K83" s="729" t="s">
        <v>3403</v>
      </c>
      <c r="L83" s="738" t="s">
        <v>3647</v>
      </c>
      <c r="M83" s="738" t="str">
        <f t="shared" si="9"/>
        <v>Tempat sampah</v>
      </c>
      <c r="N83" s="739">
        <v>35</v>
      </c>
      <c r="O83" s="733" t="s">
        <v>3557</v>
      </c>
      <c r="P83" s="734">
        <v>20000</v>
      </c>
      <c r="Q83" s="734">
        <v>700000</v>
      </c>
      <c r="R83" s="735">
        <f t="shared" si="8"/>
        <v>700000</v>
      </c>
      <c r="S83" s="759">
        <v>1</v>
      </c>
      <c r="T83" s="736" t="s">
        <v>227</v>
      </c>
      <c r="V83" s="61" t="str">
        <f>VLOOKUP(T83,Sheet3!$C$3:$F$16,2,)</f>
        <v>Gestiwan Bazikho</v>
      </c>
      <c r="W83" s="61" t="str">
        <f>VLOOKUP(T83,Sheet3!$C$3:$F$16,4,)</f>
        <v>081375309828</v>
      </c>
      <c r="X83" s="61" t="str">
        <f>VLOOKUP(T83,Sheet3!$C$3:$F$16,3,)</f>
        <v>Jl. Diponegoro Kel. Pasar Telukdalam - Nias Selatan</v>
      </c>
    </row>
    <row r="84" spans="1:24" ht="14.25" customHeight="1">
      <c r="A84" s="61" t="str">
        <f t="shared" si="6"/>
        <v>Gayung1</v>
      </c>
      <c r="B84" s="727">
        <v>131</v>
      </c>
      <c r="C84" s="737" t="s">
        <v>3637</v>
      </c>
      <c r="D84" s="729" t="s">
        <v>3635</v>
      </c>
      <c r="E84" s="779">
        <f t="shared" si="5"/>
        <v>45661</v>
      </c>
      <c r="F84" s="730" t="s">
        <v>3544</v>
      </c>
      <c r="G84" s="772" t="s">
        <v>1550</v>
      </c>
      <c r="H84" s="730" t="s">
        <v>3544</v>
      </c>
      <c r="I84" s="729" t="str">
        <f t="shared" si="7"/>
        <v>07</v>
      </c>
      <c r="J84" s="730" t="s">
        <v>3545</v>
      </c>
      <c r="K84" s="729" t="s">
        <v>3403</v>
      </c>
      <c r="L84" s="738" t="s">
        <v>3648</v>
      </c>
      <c r="M84" s="738" t="str">
        <f t="shared" si="9"/>
        <v>Gayung</v>
      </c>
      <c r="N84" s="739">
        <v>10</v>
      </c>
      <c r="O84" s="733" t="s">
        <v>3557</v>
      </c>
      <c r="P84" s="734">
        <v>34500</v>
      </c>
      <c r="Q84" s="734">
        <v>345000</v>
      </c>
      <c r="R84" s="735">
        <f t="shared" si="8"/>
        <v>345000</v>
      </c>
      <c r="S84" s="759">
        <v>1</v>
      </c>
      <c r="T84" s="736" t="s">
        <v>227</v>
      </c>
      <c r="V84" s="61" t="str">
        <f>VLOOKUP(T84,Sheet3!$C$3:$F$16,2,)</f>
        <v>Gestiwan Bazikho</v>
      </c>
      <c r="W84" s="61" t="str">
        <f>VLOOKUP(T84,Sheet3!$C$3:$F$16,4,)</f>
        <v>081375309828</v>
      </c>
      <c r="X84" s="61" t="str">
        <f>VLOOKUP(T84,Sheet3!$C$3:$F$16,3,)</f>
        <v>Jl. Diponegoro Kel. Pasar Telukdalam - Nias Selatan</v>
      </c>
    </row>
    <row r="85" spans="1:24" ht="14.25" customHeight="1">
      <c r="A85" s="61" t="str">
        <f t="shared" si="6"/>
        <v>Tisu--1</v>
      </c>
      <c r="B85" s="727">
        <v>132</v>
      </c>
      <c r="C85" s="737" t="s">
        <v>3637</v>
      </c>
      <c r="D85" s="729" t="s">
        <v>3635</v>
      </c>
      <c r="E85" s="779">
        <f t="shared" si="5"/>
        <v>45661</v>
      </c>
      <c r="F85" s="730" t="s">
        <v>3544</v>
      </c>
      <c r="G85" s="772" t="s">
        <v>1550</v>
      </c>
      <c r="H85" s="730" t="s">
        <v>3544</v>
      </c>
      <c r="I85" s="729" t="str">
        <f t="shared" si="7"/>
        <v>07</v>
      </c>
      <c r="J85" s="730" t="s">
        <v>3545</v>
      </c>
      <c r="K85" s="729" t="s">
        <v>3403</v>
      </c>
      <c r="L85" s="738" t="s">
        <v>3649</v>
      </c>
      <c r="M85" s="738" t="str">
        <f t="shared" si="9"/>
        <v>Tisu--</v>
      </c>
      <c r="N85" s="739">
        <v>12</v>
      </c>
      <c r="O85" s="733" t="s">
        <v>3557</v>
      </c>
      <c r="P85" s="734">
        <v>12500</v>
      </c>
      <c r="Q85" s="734">
        <v>150000</v>
      </c>
      <c r="R85" s="735">
        <f t="shared" si="8"/>
        <v>150000</v>
      </c>
      <c r="S85" s="759">
        <v>1</v>
      </c>
      <c r="T85" s="736" t="s">
        <v>227</v>
      </c>
      <c r="V85" s="61" t="str">
        <f>VLOOKUP(T85,Sheet3!$C$3:$F$16,2,)</f>
        <v>Gestiwan Bazikho</v>
      </c>
      <c r="W85" s="61" t="str">
        <f>VLOOKUP(T85,Sheet3!$C$3:$F$16,4,)</f>
        <v>081375309828</v>
      </c>
      <c r="X85" s="61" t="str">
        <f>VLOOKUP(T85,Sheet3!$C$3:$F$16,3,)</f>
        <v>Jl. Diponegoro Kel. Pasar Telukdalam - Nias Selatan</v>
      </c>
    </row>
    <row r="86" spans="1:24" ht="14.25" customHeight="1">
      <c r="A86" s="61" t="str">
        <f t="shared" si="6"/>
        <v>vixal 500ml1</v>
      </c>
      <c r="B86" s="727">
        <v>133</v>
      </c>
      <c r="C86" s="737" t="s">
        <v>3637</v>
      </c>
      <c r="D86" s="729" t="s">
        <v>3635</v>
      </c>
      <c r="E86" s="779">
        <f t="shared" si="5"/>
        <v>45661</v>
      </c>
      <c r="F86" s="730" t="s">
        <v>3544</v>
      </c>
      <c r="G86" s="772" t="s">
        <v>1550</v>
      </c>
      <c r="H86" s="730" t="s">
        <v>3544</v>
      </c>
      <c r="I86" s="729" t="str">
        <f t="shared" si="7"/>
        <v>07</v>
      </c>
      <c r="J86" s="730" t="s">
        <v>3545</v>
      </c>
      <c r="K86" s="729" t="s">
        <v>3403</v>
      </c>
      <c r="L86" s="738" t="s">
        <v>3650</v>
      </c>
      <c r="M86" s="738" t="str">
        <f t="shared" si="9"/>
        <v>vixal 500ml</v>
      </c>
      <c r="N86" s="739">
        <v>10</v>
      </c>
      <c r="O86" s="733" t="s">
        <v>3595</v>
      </c>
      <c r="P86" s="734">
        <v>30000</v>
      </c>
      <c r="Q86" s="734">
        <v>300000</v>
      </c>
      <c r="R86" s="735">
        <f t="shared" si="8"/>
        <v>300000</v>
      </c>
      <c r="S86" s="759">
        <v>1</v>
      </c>
      <c r="T86" s="736" t="s">
        <v>227</v>
      </c>
      <c r="V86" s="61" t="str">
        <f>VLOOKUP(T86,Sheet3!$C$3:$F$16,2,)</f>
        <v>Gestiwan Bazikho</v>
      </c>
      <c r="W86" s="61" t="str">
        <f>VLOOKUP(T86,Sheet3!$C$3:$F$16,4,)</f>
        <v>081375309828</v>
      </c>
      <c r="X86" s="61" t="str">
        <f>VLOOKUP(T86,Sheet3!$C$3:$F$16,3,)</f>
        <v>Jl. Diponegoro Kel. Pasar Telukdalam - Nias Selatan</v>
      </c>
    </row>
    <row r="87" spans="1:24" ht="14.25" customHeight="1">
      <c r="A87" s="61" t="str">
        <f t="shared" si="6"/>
        <v>Perlengkapan Kebersihan Pembersih Lantai Super Pel Varian 800ml1</v>
      </c>
      <c r="B87" s="727">
        <v>134</v>
      </c>
      <c r="C87" s="737" t="s">
        <v>3637</v>
      </c>
      <c r="D87" s="729" t="s">
        <v>3635</v>
      </c>
      <c r="E87" s="779">
        <f t="shared" si="5"/>
        <v>45661</v>
      </c>
      <c r="F87" s="730" t="s">
        <v>3544</v>
      </c>
      <c r="G87" s="772" t="s">
        <v>1550</v>
      </c>
      <c r="H87" s="730" t="s">
        <v>3544</v>
      </c>
      <c r="I87" s="729" t="str">
        <f t="shared" si="7"/>
        <v>07</v>
      </c>
      <c r="J87" s="730" t="s">
        <v>3545</v>
      </c>
      <c r="K87" s="729" t="s">
        <v>3403</v>
      </c>
      <c r="L87" s="738" t="s">
        <v>3651</v>
      </c>
      <c r="M87" s="738" t="s">
        <v>3850</v>
      </c>
      <c r="N87" s="739">
        <v>15</v>
      </c>
      <c r="O87" s="733" t="s">
        <v>3557</v>
      </c>
      <c r="P87" s="734">
        <v>13500</v>
      </c>
      <c r="Q87" s="734">
        <v>202500</v>
      </c>
      <c r="R87" s="735">
        <f t="shared" si="8"/>
        <v>202500</v>
      </c>
      <c r="S87" s="759">
        <v>1</v>
      </c>
      <c r="T87" s="736" t="s">
        <v>227</v>
      </c>
      <c r="V87" s="61" t="str">
        <f>VLOOKUP(T87,Sheet3!$C$3:$F$16,2,)</f>
        <v>Gestiwan Bazikho</v>
      </c>
      <c r="W87" s="61" t="str">
        <f>VLOOKUP(T87,Sheet3!$C$3:$F$16,4,)</f>
        <v>081375309828</v>
      </c>
      <c r="X87" s="61" t="str">
        <f>VLOOKUP(T87,Sheet3!$C$3:$F$16,3,)</f>
        <v>Jl. Diponegoro Kel. Pasar Telukdalam - Nias Selatan</v>
      </c>
    </row>
    <row r="88" spans="1:24" ht="14.25" customHeight="1">
      <c r="A88" s="61" t="str">
        <f t="shared" si="6"/>
        <v>Cairan Pembersih Kaca1</v>
      </c>
      <c r="B88" s="727">
        <v>135</v>
      </c>
      <c r="C88" s="737" t="s">
        <v>3637</v>
      </c>
      <c r="D88" s="729" t="s">
        <v>3635</v>
      </c>
      <c r="E88" s="779">
        <f t="shared" si="5"/>
        <v>45661</v>
      </c>
      <c r="F88" s="730" t="s">
        <v>3544</v>
      </c>
      <c r="G88" s="772" t="s">
        <v>1550</v>
      </c>
      <c r="H88" s="730" t="s">
        <v>3544</v>
      </c>
      <c r="I88" s="729" t="str">
        <f t="shared" si="7"/>
        <v>07</v>
      </c>
      <c r="J88" s="730" t="s">
        <v>3545</v>
      </c>
      <c r="K88" s="729" t="s">
        <v>3403</v>
      </c>
      <c r="L88" s="738" t="s">
        <v>3652</v>
      </c>
      <c r="M88" s="738" t="s">
        <v>3841</v>
      </c>
      <c r="N88" s="739">
        <v>5</v>
      </c>
      <c r="O88" s="733" t="s">
        <v>3557</v>
      </c>
      <c r="P88" s="734">
        <v>12000</v>
      </c>
      <c r="Q88" s="734">
        <v>60000</v>
      </c>
      <c r="R88" s="735">
        <f t="shared" si="8"/>
        <v>60000</v>
      </c>
      <c r="S88" s="759">
        <v>1</v>
      </c>
      <c r="T88" s="736" t="s">
        <v>227</v>
      </c>
      <c r="V88" s="61" t="str">
        <f>VLOOKUP(T88,Sheet3!$C$3:$F$16,2,)</f>
        <v>Gestiwan Bazikho</v>
      </c>
      <c r="W88" s="61" t="str">
        <f>VLOOKUP(T88,Sheet3!$C$3:$F$16,4,)</f>
        <v>081375309828</v>
      </c>
      <c r="X88" s="61" t="str">
        <f>VLOOKUP(T88,Sheet3!$C$3:$F$16,3,)</f>
        <v>Jl. Diponegoro Kel. Pasar Telukdalam - Nias Selatan</v>
      </c>
    </row>
    <row r="89" spans="1:24" ht="14.25" customHeight="1">
      <c r="A89" s="61" t="str">
        <f t="shared" si="6"/>
        <v>Perlengkapan Kebersihan Pembersih Pakaian Sunlight Refil 800ml1</v>
      </c>
      <c r="B89" s="727">
        <v>136</v>
      </c>
      <c r="C89" s="737" t="s">
        <v>3637</v>
      </c>
      <c r="D89" s="729" t="s">
        <v>3635</v>
      </c>
      <c r="E89" s="779">
        <f t="shared" si="5"/>
        <v>45661</v>
      </c>
      <c r="F89" s="730" t="s">
        <v>3544</v>
      </c>
      <c r="G89" s="772" t="s">
        <v>1550</v>
      </c>
      <c r="H89" s="730" t="s">
        <v>3544</v>
      </c>
      <c r="I89" s="729" t="str">
        <f t="shared" si="7"/>
        <v>07</v>
      </c>
      <c r="J89" s="730" t="s">
        <v>3545</v>
      </c>
      <c r="K89" s="729" t="s">
        <v>3403</v>
      </c>
      <c r="L89" s="738" t="s">
        <v>3653</v>
      </c>
      <c r="M89" s="738" t="s">
        <v>3842</v>
      </c>
      <c r="N89" s="739">
        <v>3</v>
      </c>
      <c r="O89" s="733" t="s">
        <v>3557</v>
      </c>
      <c r="P89" s="734">
        <v>15000</v>
      </c>
      <c r="Q89" s="734">
        <v>45000</v>
      </c>
      <c r="R89" s="735">
        <f t="shared" si="8"/>
        <v>45000</v>
      </c>
      <c r="S89" s="759">
        <v>1</v>
      </c>
      <c r="T89" s="736" t="s">
        <v>227</v>
      </c>
      <c r="V89" s="61" t="str">
        <f>VLOOKUP(T89,Sheet3!$C$3:$F$16,2,)</f>
        <v>Gestiwan Bazikho</v>
      </c>
      <c r="W89" s="61" t="str">
        <f>VLOOKUP(T89,Sheet3!$C$3:$F$16,4,)</f>
        <v>081375309828</v>
      </c>
      <c r="X89" s="61" t="str">
        <f>VLOOKUP(T89,Sheet3!$C$3:$F$16,3,)</f>
        <v>Jl. Diponegoro Kel. Pasar Telukdalam - Nias Selatan</v>
      </c>
    </row>
    <row r="90" spans="1:24" ht="14.25" customHeight="1">
      <c r="A90" s="61" t="str">
        <f t="shared" si="6"/>
        <v>Spon Cuci1</v>
      </c>
      <c r="B90" s="727">
        <v>137</v>
      </c>
      <c r="C90" s="737" t="s">
        <v>3637</v>
      </c>
      <c r="D90" s="729" t="s">
        <v>3635</v>
      </c>
      <c r="E90" s="779">
        <f t="shared" si="5"/>
        <v>45661</v>
      </c>
      <c r="F90" s="730" t="s">
        <v>3544</v>
      </c>
      <c r="G90" s="772" t="s">
        <v>1550</v>
      </c>
      <c r="H90" s="730" t="s">
        <v>3544</v>
      </c>
      <c r="I90" s="729" t="str">
        <f t="shared" si="7"/>
        <v>07</v>
      </c>
      <c r="J90" s="730" t="s">
        <v>3545</v>
      </c>
      <c r="K90" s="729" t="s">
        <v>3403</v>
      </c>
      <c r="L90" s="738" t="s">
        <v>3654</v>
      </c>
      <c r="M90" s="738" t="str">
        <f>L90</f>
        <v>Spon Cuci</v>
      </c>
      <c r="N90" s="739">
        <v>5</v>
      </c>
      <c r="O90" s="733" t="s">
        <v>3557</v>
      </c>
      <c r="P90" s="734">
        <v>12000</v>
      </c>
      <c r="Q90" s="734">
        <v>60000</v>
      </c>
      <c r="R90" s="735">
        <f t="shared" si="8"/>
        <v>60000</v>
      </c>
      <c r="S90" s="759">
        <v>1</v>
      </c>
      <c r="T90" s="736" t="s">
        <v>227</v>
      </c>
      <c r="V90" s="61" t="str">
        <f>VLOOKUP(T90,Sheet3!$C$3:$F$16,2,)</f>
        <v>Gestiwan Bazikho</v>
      </c>
      <c r="W90" s="61" t="str">
        <f>VLOOKUP(T90,Sheet3!$C$3:$F$16,4,)</f>
        <v>081375309828</v>
      </c>
      <c r="X90" s="61" t="str">
        <f>VLOOKUP(T90,Sheet3!$C$3:$F$16,3,)</f>
        <v>Jl. Diponegoro Kel. Pasar Telukdalam - Nias Selatan</v>
      </c>
    </row>
    <row r="91" spans="1:24" ht="14.25" customHeight="1">
      <c r="A91" s="61" t="str">
        <f t="shared" si="6"/>
        <v>Handsoap/Pencuci Tangan1</v>
      </c>
      <c r="B91" s="727">
        <v>138</v>
      </c>
      <c r="C91" s="737" t="s">
        <v>3637</v>
      </c>
      <c r="D91" s="729" t="s">
        <v>3635</v>
      </c>
      <c r="E91" s="779">
        <f t="shared" si="5"/>
        <v>45661</v>
      </c>
      <c r="F91" s="730" t="s">
        <v>3544</v>
      </c>
      <c r="G91" s="772" t="s">
        <v>1550</v>
      </c>
      <c r="H91" s="730" t="s">
        <v>3544</v>
      </c>
      <c r="I91" s="729" t="str">
        <f t="shared" si="7"/>
        <v>07</v>
      </c>
      <c r="J91" s="730" t="s">
        <v>3545</v>
      </c>
      <c r="K91" s="729" t="s">
        <v>3403</v>
      </c>
      <c r="L91" s="738" t="s">
        <v>3655</v>
      </c>
      <c r="M91" s="738" t="s">
        <v>3843</v>
      </c>
      <c r="N91" s="739">
        <v>5</v>
      </c>
      <c r="O91" s="733" t="s">
        <v>3595</v>
      </c>
      <c r="P91" s="734">
        <v>67000</v>
      </c>
      <c r="Q91" s="734">
        <v>335000</v>
      </c>
      <c r="R91" s="735">
        <f t="shared" si="8"/>
        <v>335000</v>
      </c>
      <c r="S91" s="759">
        <v>1</v>
      </c>
      <c r="T91" s="736" t="s">
        <v>227</v>
      </c>
      <c r="V91" s="61" t="str">
        <f>VLOOKUP(T91,Sheet3!$C$3:$F$16,2,)</f>
        <v>Gestiwan Bazikho</v>
      </c>
      <c r="W91" s="61" t="str">
        <f>VLOOKUP(T91,Sheet3!$C$3:$F$16,4,)</f>
        <v>081375309828</v>
      </c>
      <c r="X91" s="61" t="str">
        <f>VLOOKUP(T91,Sheet3!$C$3:$F$16,3,)</f>
        <v>Jl. Diponegoro Kel. Pasar Telukdalam - Nias Selatan</v>
      </c>
    </row>
    <row r="92" spans="1:24" ht="14.25" customHeight="1">
      <c r="A92" s="61" t="str">
        <f t="shared" si="6"/>
        <v>Pengharum Ruangan1</v>
      </c>
      <c r="B92" s="727">
        <v>139</v>
      </c>
      <c r="C92" s="737" t="s">
        <v>3637</v>
      </c>
      <c r="D92" s="729" t="s">
        <v>3635</v>
      </c>
      <c r="E92" s="779">
        <f t="shared" si="5"/>
        <v>45661</v>
      </c>
      <c r="F92" s="730" t="s">
        <v>3544</v>
      </c>
      <c r="G92" s="772" t="s">
        <v>1550</v>
      </c>
      <c r="H92" s="730" t="s">
        <v>3544</v>
      </c>
      <c r="I92" s="729" t="str">
        <f t="shared" si="7"/>
        <v>07</v>
      </c>
      <c r="J92" s="730" t="s">
        <v>3545</v>
      </c>
      <c r="K92" s="729" t="s">
        <v>3403</v>
      </c>
      <c r="L92" s="738" t="s">
        <v>3656</v>
      </c>
      <c r="M92" s="738" t="s">
        <v>666</v>
      </c>
      <c r="N92" s="739">
        <v>10</v>
      </c>
      <c r="O92" s="733" t="s">
        <v>3557</v>
      </c>
      <c r="P92" s="734">
        <v>12100</v>
      </c>
      <c r="Q92" s="734">
        <v>121000</v>
      </c>
      <c r="R92" s="735">
        <f t="shared" si="8"/>
        <v>121000</v>
      </c>
      <c r="S92" s="759">
        <v>1</v>
      </c>
      <c r="T92" s="736" t="s">
        <v>227</v>
      </c>
      <c r="V92" s="61" t="str">
        <f>VLOOKUP(T92,Sheet3!$C$3:$F$16,2,)</f>
        <v>Gestiwan Bazikho</v>
      </c>
      <c r="W92" s="61" t="str">
        <f>VLOOKUP(T92,Sheet3!$C$3:$F$16,4,)</f>
        <v>081375309828</v>
      </c>
      <c r="X92" s="61" t="str">
        <f>VLOOKUP(T92,Sheet3!$C$3:$F$16,3,)</f>
        <v>Jl. Diponegoro Kel. Pasar Telukdalam - Nias Selatan</v>
      </c>
    </row>
    <row r="93" spans="1:24" ht="14.25" customHeight="1">
      <c r="A93" s="61" t="str">
        <f t="shared" si="6"/>
        <v>Hand Sanitizer-Unit1</v>
      </c>
      <c r="B93" s="727">
        <v>140</v>
      </c>
      <c r="C93" s="737" t="s">
        <v>3637</v>
      </c>
      <c r="D93" s="729" t="s">
        <v>3635</v>
      </c>
      <c r="E93" s="779">
        <f t="shared" si="5"/>
        <v>45661</v>
      </c>
      <c r="F93" s="730" t="s">
        <v>3544</v>
      </c>
      <c r="G93" s="772" t="s">
        <v>1550</v>
      </c>
      <c r="H93" s="730" t="s">
        <v>3544</v>
      </c>
      <c r="I93" s="729" t="str">
        <f t="shared" si="7"/>
        <v>07</v>
      </c>
      <c r="J93" s="730" t="s">
        <v>3545</v>
      </c>
      <c r="K93" s="729" t="s">
        <v>3403</v>
      </c>
      <c r="L93" s="738" t="s">
        <v>3657</v>
      </c>
      <c r="M93" s="738" t="s">
        <v>3844</v>
      </c>
      <c r="N93" s="739">
        <v>5</v>
      </c>
      <c r="O93" s="733" t="s">
        <v>3658</v>
      </c>
      <c r="P93" s="734">
        <v>70000</v>
      </c>
      <c r="Q93" s="734">
        <v>350000</v>
      </c>
      <c r="R93" s="735">
        <f t="shared" si="8"/>
        <v>350000</v>
      </c>
      <c r="S93" s="759">
        <v>1</v>
      </c>
      <c r="T93" s="736" t="s">
        <v>227</v>
      </c>
      <c r="U93" s="61" t="s">
        <v>3548</v>
      </c>
      <c r="V93" s="61" t="str">
        <f>VLOOKUP(T93,Sheet3!$C$3:$F$16,2,)</f>
        <v>Gestiwan Bazikho</v>
      </c>
      <c r="W93" s="61" t="str">
        <f>VLOOKUP(T93,Sheet3!$C$3:$F$16,4,)</f>
        <v>081375309828</v>
      </c>
      <c r="X93" s="61" t="str">
        <f>VLOOKUP(T93,Sheet3!$C$3:$F$16,3,)</f>
        <v>Jl. Diponegoro Kel. Pasar Telukdalam - Nias Selatan</v>
      </c>
    </row>
    <row r="94" spans="1:24" ht="14.25" customHeight="1">
      <c r="A94" s="61" t="str">
        <f t="shared" si="6"/>
        <v>Kudapan pada Kegiatan Rapat  penyusunan program kurikulum Semester Ganjil/Genap TP 2024/20251</v>
      </c>
      <c r="B94" s="727">
        <v>4</v>
      </c>
      <c r="C94" s="737" t="s">
        <v>3543</v>
      </c>
      <c r="D94" s="729" t="s">
        <v>3659</v>
      </c>
      <c r="E94" s="779">
        <f>F94-1</f>
        <v>45663</v>
      </c>
      <c r="F94" s="730" t="s">
        <v>3551</v>
      </c>
      <c r="G94" s="772" t="s">
        <v>1551</v>
      </c>
      <c r="H94" s="730" t="s">
        <v>3660</v>
      </c>
      <c r="I94" s="729" t="str">
        <f t="shared" si="7"/>
        <v>08</v>
      </c>
      <c r="J94" s="730" t="s">
        <v>3545</v>
      </c>
      <c r="K94" s="729" t="s">
        <v>3404</v>
      </c>
      <c r="L94" s="738" t="s">
        <v>3661</v>
      </c>
      <c r="M94" s="738" t="s">
        <v>3845</v>
      </c>
      <c r="N94" s="739">
        <v>60</v>
      </c>
      <c r="O94" s="733" t="s">
        <v>3575</v>
      </c>
      <c r="P94" s="734">
        <v>15000</v>
      </c>
      <c r="Q94" s="734">
        <v>900000</v>
      </c>
      <c r="R94" s="735">
        <f t="shared" si="8"/>
        <v>900000</v>
      </c>
      <c r="S94" s="759">
        <v>1</v>
      </c>
      <c r="T94" s="736" t="s">
        <v>10</v>
      </c>
      <c r="U94" s="61" t="s">
        <v>3548</v>
      </c>
      <c r="V94" s="61" t="str">
        <f>VLOOKUP(T94,Sheet3!$C$3:$F$16,2,)</f>
        <v>Fudi Supiyanto</v>
      </c>
      <c r="W94" s="61" t="str">
        <f>VLOOKUP(T94,Sheet3!$C$3:$F$16,4,)</f>
        <v>082164895397</v>
      </c>
      <c r="X94" s="61" t="str">
        <f>VLOOKUP(T94,Sheet3!$C$3:$F$16,3,)</f>
        <v>Jln Ahmad Yani No.89 Kel. Pasar Telukdalam, Nias Selatan</v>
      </c>
    </row>
    <row r="95" spans="1:24" ht="14.25" customHeight="1">
      <c r="A95" s="61" t="str">
        <f t="shared" si="6"/>
        <v>Konsumsi pada Kegiatan Rapat  penyusunan program kurikulum Semester Ganjil/Genap TP 2024/20251</v>
      </c>
      <c r="B95" s="727">
        <v>5</v>
      </c>
      <c r="C95" s="737" t="s">
        <v>3543</v>
      </c>
      <c r="D95" s="729" t="s">
        <v>3659</v>
      </c>
      <c r="E95" s="779">
        <f>F95-1</f>
        <v>45663</v>
      </c>
      <c r="F95" s="730" t="s">
        <v>3551</v>
      </c>
      <c r="G95" s="772" t="s">
        <v>1552</v>
      </c>
      <c r="H95" s="730" t="s">
        <v>3660</v>
      </c>
      <c r="I95" s="729" t="str">
        <f t="shared" si="7"/>
        <v>09</v>
      </c>
      <c r="J95" s="730" t="s">
        <v>3545</v>
      </c>
      <c r="K95" s="729" t="s">
        <v>3405</v>
      </c>
      <c r="L95" s="738" t="s">
        <v>3662</v>
      </c>
      <c r="M95" s="738" t="s">
        <v>467</v>
      </c>
      <c r="N95" s="739">
        <v>60</v>
      </c>
      <c r="O95" s="733" t="s">
        <v>3575</v>
      </c>
      <c r="P95" s="734">
        <v>40000</v>
      </c>
      <c r="Q95" s="734">
        <v>2400000</v>
      </c>
      <c r="R95" s="735">
        <f t="shared" si="8"/>
        <v>2400000</v>
      </c>
      <c r="S95" s="759">
        <v>1</v>
      </c>
      <c r="T95" s="736" t="s">
        <v>2507</v>
      </c>
      <c r="U95" s="61" t="s">
        <v>3548</v>
      </c>
      <c r="V95" s="61" t="str">
        <f>VLOOKUP(T95,Sheet3!$C$3:$F$16,2,)</f>
        <v>Limaati Daeli</v>
      </c>
      <c r="W95" s="61" t="str">
        <f>VLOOKUP(T95,Sheet3!$C$3:$F$16,4,)</f>
        <v>085297578868</v>
      </c>
      <c r="X95" s="61" t="str">
        <f>VLOOKUP(T95,Sheet3!$C$3:$F$16,3,)</f>
        <v>Jl. Saonigeho Km. 2 Telukdalam - Nias Selatan</v>
      </c>
    </row>
    <row r="96" spans="1:24" ht="14.25" customHeight="1">
      <c r="A96" s="61" t="str">
        <f t="shared" si="6"/>
        <v>Satuan Biaya Transportasi Udara Dalam Wilayah Provinsi ke Kabupaten/Kota se Sumatera Utara (Kabupaten/Kota Yang Sudah Ada Fasilitas Bandar Udara) - Medan -Gunung Sitoli ( Bandara Binaka )-NaN1</v>
      </c>
      <c r="B96" s="727">
        <v>48</v>
      </c>
      <c r="C96" s="742" t="s">
        <v>3663</v>
      </c>
      <c r="D96" s="743" t="s">
        <v>3664</v>
      </c>
      <c r="E96" s="780" t="s">
        <v>3544</v>
      </c>
      <c r="F96" s="730" t="s">
        <v>3660</v>
      </c>
      <c r="G96" s="731">
        <v>10</v>
      </c>
      <c r="H96" s="730" t="s">
        <v>3665</v>
      </c>
      <c r="I96" s="729">
        <f t="shared" si="7"/>
        <v>10</v>
      </c>
      <c r="J96" s="730" t="s">
        <v>3545</v>
      </c>
      <c r="K96" s="729" t="s">
        <v>3406</v>
      </c>
      <c r="L96" s="738" t="s">
        <v>3666</v>
      </c>
      <c r="M96" s="738"/>
      <c r="N96" s="739">
        <v>2</v>
      </c>
      <c r="O96" s="733" t="s">
        <v>3667</v>
      </c>
      <c r="P96" s="734">
        <v>1865000</v>
      </c>
      <c r="Q96" s="734">
        <v>3730000</v>
      </c>
      <c r="R96" s="735">
        <f t="shared" si="8"/>
        <v>3730000</v>
      </c>
      <c r="S96" s="759">
        <v>1</v>
      </c>
      <c r="T96" s="736" t="s">
        <v>3668</v>
      </c>
      <c r="U96" s="61" t="s">
        <v>3548</v>
      </c>
      <c r="V96" s="61" t="e">
        <f>VLOOKUP(T96,Sheet3!$C$3:$F$16,2,)</f>
        <v>#N/A</v>
      </c>
      <c r="W96" s="61" t="e">
        <f>VLOOKUP(T96,Sheet3!$C$3:$F$16,4,)</f>
        <v>#N/A</v>
      </c>
      <c r="X96" s="61" t="e">
        <f>VLOOKUP(T96,Sheet3!$C$3:$F$16,3,)</f>
        <v>#N/A</v>
      </c>
    </row>
    <row r="97" spans="1:24" ht="14.25" customHeight="1">
      <c r="A97" s="61" t="str">
        <f t="shared" si="6"/>
        <v>Uang Harian Perjalanan Dinas Dalam Negeri Luar Kota - Provinsi Sumatera Utara--1</v>
      </c>
      <c r="B97" s="727">
        <v>49</v>
      </c>
      <c r="C97" s="737" t="s">
        <v>3663</v>
      </c>
      <c r="D97" s="729" t="s">
        <v>3664</v>
      </c>
      <c r="E97" s="780" t="s">
        <v>3544</v>
      </c>
      <c r="F97" s="730" t="s">
        <v>3660</v>
      </c>
      <c r="G97" s="731">
        <v>10</v>
      </c>
      <c r="H97" s="730" t="s">
        <v>3665</v>
      </c>
      <c r="I97" s="729">
        <f t="shared" si="7"/>
        <v>10</v>
      </c>
      <c r="J97" s="730" t="s">
        <v>3545</v>
      </c>
      <c r="K97" s="729" t="s">
        <v>3406</v>
      </c>
      <c r="L97" s="738" t="s">
        <v>3669</v>
      </c>
      <c r="M97" s="738"/>
      <c r="N97" s="739">
        <v>3</v>
      </c>
      <c r="O97" s="733" t="s">
        <v>3670</v>
      </c>
      <c r="P97" s="734">
        <v>350000</v>
      </c>
      <c r="Q97" s="734">
        <v>1050000</v>
      </c>
      <c r="R97" s="735">
        <f t="shared" si="8"/>
        <v>1050000</v>
      </c>
      <c r="S97" s="759">
        <v>1</v>
      </c>
      <c r="T97" s="736" t="s">
        <v>3668</v>
      </c>
      <c r="U97" s="61" t="s">
        <v>3548</v>
      </c>
      <c r="V97" s="61" t="e">
        <f>VLOOKUP(T97,Sheet3!$C$3:$F$16,2,)</f>
        <v>#N/A</v>
      </c>
      <c r="W97" s="61" t="e">
        <f>VLOOKUP(T97,Sheet3!$C$3:$F$16,4,)</f>
        <v>#N/A</v>
      </c>
      <c r="X97" s="61" t="e">
        <f>VLOOKUP(T97,Sheet3!$C$3:$F$16,3,)</f>
        <v>#N/A</v>
      </c>
    </row>
    <row r="98" spans="1:24" ht="14.25" customHeight="1">
      <c r="A98" s="61" t="str">
        <f t="shared" si="6"/>
        <v>Satuan Penginapan Perjalanan Dinas Dalam Negeri Golongan I/II - Provinsi Sumatera Utara--1</v>
      </c>
      <c r="B98" s="727">
        <v>50</v>
      </c>
      <c r="C98" s="737" t="s">
        <v>3663</v>
      </c>
      <c r="D98" s="729" t="s">
        <v>3664</v>
      </c>
      <c r="E98" s="780" t="s">
        <v>3544</v>
      </c>
      <c r="F98" s="730" t="s">
        <v>3660</v>
      </c>
      <c r="G98" s="731">
        <v>10</v>
      </c>
      <c r="H98" s="730" t="s">
        <v>3665</v>
      </c>
      <c r="I98" s="729">
        <f t="shared" si="7"/>
        <v>10</v>
      </c>
      <c r="J98" s="730" t="s">
        <v>3545</v>
      </c>
      <c r="K98" s="729" t="s">
        <v>3406</v>
      </c>
      <c r="L98" s="738" t="s">
        <v>3671</v>
      </c>
      <c r="M98" s="738"/>
      <c r="N98" s="739">
        <v>2</v>
      </c>
      <c r="O98" s="733" t="s">
        <v>3670</v>
      </c>
      <c r="P98" s="734">
        <v>500000</v>
      </c>
      <c r="Q98" s="734">
        <v>1000000</v>
      </c>
      <c r="R98" s="735">
        <f t="shared" si="8"/>
        <v>1000000</v>
      </c>
      <c r="S98" s="759">
        <v>1</v>
      </c>
      <c r="T98" s="736" t="s">
        <v>3668</v>
      </c>
      <c r="U98" s="61" t="s">
        <v>3548</v>
      </c>
      <c r="V98" s="61" t="e">
        <f>VLOOKUP(T98,Sheet3!$C$3:$F$16,2,)</f>
        <v>#N/A</v>
      </c>
      <c r="W98" s="61" t="e">
        <f>VLOOKUP(T98,Sheet3!$C$3:$F$16,4,)</f>
        <v>#N/A</v>
      </c>
      <c r="X98" s="61" t="e">
        <f>VLOOKUP(T98,Sheet3!$C$3:$F$16,3,)</f>
        <v>#N/A</v>
      </c>
    </row>
    <row r="99" spans="1:24" ht="14.25" customHeight="1">
      <c r="A99" s="61" t="str">
        <f t="shared" si="6"/>
        <v>Jasa Perbaikan dan Pemeliharaan Listrik Sekolah1</v>
      </c>
      <c r="B99" s="727">
        <v>40</v>
      </c>
      <c r="C99" s="737" t="s">
        <v>3672</v>
      </c>
      <c r="D99" s="729" t="s">
        <v>3555</v>
      </c>
      <c r="E99" s="779">
        <f>F99-1</f>
        <v>45665</v>
      </c>
      <c r="F99" s="730" t="s">
        <v>3665</v>
      </c>
      <c r="G99" s="731">
        <v>11</v>
      </c>
      <c r="H99" s="730" t="s">
        <v>3665</v>
      </c>
      <c r="I99" s="729">
        <f t="shared" si="7"/>
        <v>11</v>
      </c>
      <c r="J99" s="730" t="s">
        <v>3545</v>
      </c>
      <c r="K99" s="729" t="s">
        <v>3407</v>
      </c>
      <c r="L99" s="738" t="s">
        <v>3673</v>
      </c>
      <c r="M99" s="738"/>
      <c r="N99" s="739">
        <v>1</v>
      </c>
      <c r="O99" s="733" t="s">
        <v>3553</v>
      </c>
      <c r="P99" s="734">
        <v>2250000</v>
      </c>
      <c r="Q99" s="734">
        <v>2250000</v>
      </c>
      <c r="R99" s="735">
        <f t="shared" si="8"/>
        <v>2250000</v>
      </c>
      <c r="S99" s="759">
        <v>1</v>
      </c>
      <c r="T99" s="736" t="s">
        <v>3081</v>
      </c>
      <c r="U99" s="61" t="s">
        <v>3548</v>
      </c>
      <c r="V99" s="61" t="e">
        <f>VLOOKUP(T99,Sheet3!$C$3:$F$16,2,)</f>
        <v>#N/A</v>
      </c>
      <c r="W99" s="61" t="e">
        <f>VLOOKUP(T99,Sheet3!$C$3:$F$16,4,)</f>
        <v>#N/A</v>
      </c>
      <c r="X99" s="61" t="e">
        <f>VLOOKUP(T99,Sheet3!$C$3:$F$16,3,)</f>
        <v>#N/A</v>
      </c>
    </row>
    <row r="100" spans="1:24" ht="14.25" customHeight="1">
      <c r="A100" s="61" t="str">
        <f t="shared" si="6"/>
        <v>Kudapan pada Kegiatan Pelatihan Peningkatan Kompetensi Guru untuk memperkuat numerasi1</v>
      </c>
      <c r="B100" s="727">
        <v>20</v>
      </c>
      <c r="C100" s="737" t="s">
        <v>3543</v>
      </c>
      <c r="D100" s="729" t="s">
        <v>3674</v>
      </c>
      <c r="E100" s="779">
        <f>F100-1</f>
        <v>45666</v>
      </c>
      <c r="F100" s="730" t="s">
        <v>3675</v>
      </c>
      <c r="G100" s="731">
        <v>12</v>
      </c>
      <c r="H100" s="730" t="s">
        <v>3676</v>
      </c>
      <c r="I100" s="729">
        <f t="shared" si="7"/>
        <v>12</v>
      </c>
      <c r="J100" s="730" t="s">
        <v>3545</v>
      </c>
      <c r="K100" s="729" t="s">
        <v>3408</v>
      </c>
      <c r="L100" s="738" t="s">
        <v>3677</v>
      </c>
      <c r="M100" s="738" t="s">
        <v>3845</v>
      </c>
      <c r="N100" s="739">
        <v>60</v>
      </c>
      <c r="O100" s="733" t="s">
        <v>3575</v>
      </c>
      <c r="P100" s="734">
        <v>15000</v>
      </c>
      <c r="Q100" s="734">
        <v>900000</v>
      </c>
      <c r="R100" s="735">
        <f t="shared" si="8"/>
        <v>900000</v>
      </c>
      <c r="S100" s="759">
        <v>1</v>
      </c>
      <c r="T100" s="736" t="s">
        <v>10</v>
      </c>
      <c r="U100" s="61" t="s">
        <v>3548</v>
      </c>
      <c r="V100" s="61" t="str">
        <f>VLOOKUP(T100,Sheet3!$C$3:$F$16,2,)</f>
        <v>Fudi Supiyanto</v>
      </c>
      <c r="W100" s="61" t="str">
        <f>VLOOKUP(T100,Sheet3!$C$3:$F$16,4,)</f>
        <v>082164895397</v>
      </c>
      <c r="X100" s="61" t="str">
        <f>VLOOKUP(T100,Sheet3!$C$3:$F$16,3,)</f>
        <v>Jln Ahmad Yani No.89 Kel. Pasar Telukdalam, Nias Selatan</v>
      </c>
    </row>
    <row r="101" spans="1:24" ht="14.25" customHeight="1">
      <c r="A101" s="61" t="str">
        <f t="shared" si="6"/>
        <v>Konsumsi pada Kegiatan Pelatihan Peningkatan Kompetensi Guru untuk memperkuat numerasi1</v>
      </c>
      <c r="B101" s="727">
        <v>21</v>
      </c>
      <c r="C101" s="737" t="s">
        <v>3543</v>
      </c>
      <c r="D101" s="729" t="s">
        <v>3674</v>
      </c>
      <c r="E101" s="779">
        <f>F101-1</f>
        <v>45666</v>
      </c>
      <c r="F101" s="730" t="s">
        <v>3675</v>
      </c>
      <c r="G101" s="731">
        <v>13</v>
      </c>
      <c r="H101" s="730" t="s">
        <v>3676</v>
      </c>
      <c r="I101" s="729">
        <f t="shared" si="7"/>
        <v>13</v>
      </c>
      <c r="J101" s="730" t="s">
        <v>3545</v>
      </c>
      <c r="K101" s="729" t="s">
        <v>3410</v>
      </c>
      <c r="L101" s="738" t="s">
        <v>3678</v>
      </c>
      <c r="M101" s="738" t="s">
        <v>467</v>
      </c>
      <c r="N101" s="739">
        <v>60</v>
      </c>
      <c r="O101" s="733" t="s">
        <v>3575</v>
      </c>
      <c r="P101" s="734">
        <v>40000</v>
      </c>
      <c r="Q101" s="734">
        <v>2400000</v>
      </c>
      <c r="R101" s="735">
        <f t="shared" si="8"/>
        <v>2400000</v>
      </c>
      <c r="S101" s="759">
        <v>1</v>
      </c>
      <c r="T101" s="736" t="s">
        <v>2507</v>
      </c>
      <c r="U101" s="61" t="s">
        <v>3548</v>
      </c>
      <c r="V101" s="61" t="str">
        <f>VLOOKUP(T101,Sheet3!$C$3:$F$16,2,)</f>
        <v>Limaati Daeli</v>
      </c>
      <c r="W101" s="61" t="str">
        <f>VLOOKUP(T101,Sheet3!$C$3:$F$16,4,)</f>
        <v>085297578868</v>
      </c>
      <c r="X101" s="61" t="str">
        <f>VLOOKUP(T101,Sheet3!$C$3:$F$16,3,)</f>
        <v>Jl. Saonigeho Km. 2 Telukdalam - Nias Selatan</v>
      </c>
    </row>
    <row r="102" spans="1:24" ht="14.25" customHeight="1">
      <c r="A102" s="61" t="str">
        <f t="shared" si="6"/>
        <v>Kudapan pada Kegiatan diskusi kolaborasi pengembangan RPP dalam Komunitas Belajar (termasuk KKG/MGMP/MGMPS/MGPMPK)1</v>
      </c>
      <c r="B102" s="727">
        <v>8</v>
      </c>
      <c r="C102" s="737" t="s">
        <v>3543</v>
      </c>
      <c r="D102" s="729" t="s">
        <v>3402</v>
      </c>
      <c r="E102" s="780" t="s">
        <v>3676</v>
      </c>
      <c r="F102" s="730" t="s">
        <v>3679</v>
      </c>
      <c r="G102" s="731">
        <v>14</v>
      </c>
      <c r="H102" s="730" t="s">
        <v>3680</v>
      </c>
      <c r="I102" s="729">
        <f t="shared" si="7"/>
        <v>14</v>
      </c>
      <c r="J102" s="730" t="s">
        <v>3545</v>
      </c>
      <c r="K102" s="729" t="s">
        <v>3411</v>
      </c>
      <c r="L102" s="738" t="s">
        <v>3681</v>
      </c>
      <c r="M102" s="738" t="s">
        <v>3845</v>
      </c>
      <c r="N102" s="739">
        <v>120</v>
      </c>
      <c r="O102" s="733" t="s">
        <v>3575</v>
      </c>
      <c r="P102" s="734">
        <v>15000</v>
      </c>
      <c r="Q102" s="734">
        <v>1800000</v>
      </c>
      <c r="R102" s="735">
        <f t="shared" si="8"/>
        <v>1800000</v>
      </c>
      <c r="S102" s="759">
        <v>1</v>
      </c>
      <c r="T102" s="736" t="s">
        <v>10</v>
      </c>
      <c r="U102" s="61" t="s">
        <v>3548</v>
      </c>
      <c r="V102" s="61" t="str">
        <f>VLOOKUP(T102,Sheet3!$C$3:$F$16,2,)</f>
        <v>Fudi Supiyanto</v>
      </c>
      <c r="W102" s="61" t="str">
        <f>VLOOKUP(T102,Sheet3!$C$3:$F$16,4,)</f>
        <v>082164895397</v>
      </c>
      <c r="X102" s="61" t="str">
        <f>VLOOKUP(T102,Sheet3!$C$3:$F$16,3,)</f>
        <v>Jln Ahmad Yani No.89 Kel. Pasar Telukdalam, Nias Selatan</v>
      </c>
    </row>
    <row r="103" spans="1:24" ht="14.25" customHeight="1">
      <c r="A103" s="61" t="str">
        <f t="shared" si="6"/>
        <v>Konsumsi Kegiatan diskusi kolaborasi pengembangan RPP dalam Komunitas Belajar (termasuk KKG/MGMP/MGMPS/MGPMPK)1</v>
      </c>
      <c r="B103" s="727">
        <v>9</v>
      </c>
      <c r="C103" s="737" t="s">
        <v>3543</v>
      </c>
      <c r="D103" s="729" t="s">
        <v>3402</v>
      </c>
      <c r="E103" s="780" t="s">
        <v>3676</v>
      </c>
      <c r="F103" s="730" t="s">
        <v>3679</v>
      </c>
      <c r="G103" s="731">
        <v>15</v>
      </c>
      <c r="H103" s="730" t="s">
        <v>3680</v>
      </c>
      <c r="I103" s="729">
        <f t="shared" si="7"/>
        <v>15</v>
      </c>
      <c r="J103" s="730" t="s">
        <v>3545</v>
      </c>
      <c r="K103" s="729" t="s">
        <v>3412</v>
      </c>
      <c r="L103" s="738" t="s">
        <v>3682</v>
      </c>
      <c r="M103" s="738" t="s">
        <v>467</v>
      </c>
      <c r="N103" s="739">
        <v>60</v>
      </c>
      <c r="O103" s="733" t="s">
        <v>3575</v>
      </c>
      <c r="P103" s="734">
        <v>40000</v>
      </c>
      <c r="Q103" s="734">
        <v>2400000</v>
      </c>
      <c r="R103" s="735">
        <f t="shared" si="8"/>
        <v>2400000</v>
      </c>
      <c r="S103" s="759">
        <v>1</v>
      </c>
      <c r="T103" s="736" t="s">
        <v>2507</v>
      </c>
      <c r="U103" s="61" t="s">
        <v>3548</v>
      </c>
      <c r="V103" s="61" t="str">
        <f>VLOOKUP(T103,Sheet3!$C$3:$F$16,2,)</f>
        <v>Limaati Daeli</v>
      </c>
      <c r="W103" s="61" t="str">
        <f>VLOOKUP(T103,Sheet3!$C$3:$F$16,4,)</f>
        <v>085297578868</v>
      </c>
      <c r="X103" s="61" t="str">
        <f>VLOOKUP(T103,Sheet3!$C$3:$F$16,3,)</f>
        <v>Jl. Saonigeho Km. 2 Telukdalam - Nias Selatan</v>
      </c>
    </row>
    <row r="104" spans="1:24" ht="14.25" customHeight="1">
      <c r="A104" s="61" t="str">
        <f t="shared" si="6"/>
        <v>Spanduk Uk. 1 x 6 meter-1</v>
      </c>
      <c r="B104" s="727">
        <v>15</v>
      </c>
      <c r="C104" s="737" t="s">
        <v>3633</v>
      </c>
      <c r="D104" s="744" t="s">
        <v>3683</v>
      </c>
      <c r="E104" s="779">
        <f>F104-1</f>
        <v>45673</v>
      </c>
      <c r="F104" s="730" t="s">
        <v>3684</v>
      </c>
      <c r="G104" s="731">
        <v>16</v>
      </c>
      <c r="H104" s="730" t="s">
        <v>3685</v>
      </c>
      <c r="I104" s="729">
        <f t="shared" si="7"/>
        <v>16</v>
      </c>
      <c r="J104" s="730" t="s">
        <v>3545</v>
      </c>
      <c r="K104" s="729" t="s">
        <v>3413</v>
      </c>
      <c r="L104" s="738" t="s">
        <v>3686</v>
      </c>
      <c r="M104" s="738" t="str">
        <f>L104</f>
        <v>Spanduk Uk. 1 x 6 meter-</v>
      </c>
      <c r="N104" s="739">
        <v>2</v>
      </c>
      <c r="O104" s="733" t="s">
        <v>3557</v>
      </c>
      <c r="P104" s="734">
        <v>300000</v>
      </c>
      <c r="Q104" s="734">
        <v>600000</v>
      </c>
      <c r="R104" s="735">
        <f t="shared" si="8"/>
        <v>600000</v>
      </c>
      <c r="S104" s="759">
        <v>1</v>
      </c>
      <c r="T104" s="736" t="s">
        <v>3877</v>
      </c>
      <c r="U104" s="61" t="s">
        <v>3548</v>
      </c>
      <c r="V104" s="61" t="str">
        <f>VLOOKUP(T104,Sheet3!$C$3:$F$16,2,)</f>
        <v>Pieter B.P. Loi</v>
      </c>
      <c r="W104" s="61" t="str">
        <f>VLOOKUP(T104,Sheet3!$C$3:$F$16,4,)</f>
        <v>082166506229</v>
      </c>
      <c r="X104" s="61" t="str">
        <f>VLOOKUP(T104,Sheet3!$C$3:$F$16,3,)</f>
        <v>Jl. Diponegoro Kel. Pasar Telukdalam - Nias Selatan</v>
      </c>
    </row>
    <row r="105" spans="1:24" ht="14.25" customHeight="1">
      <c r="A105" s="61" t="str">
        <f t="shared" si="6"/>
        <v>Konsumsi Pada Kegiatan Syukuran Hari Raya Natal dan Tahun Baru 20241</v>
      </c>
      <c r="B105" s="727">
        <v>16</v>
      </c>
      <c r="C105" s="737" t="s">
        <v>3543</v>
      </c>
      <c r="D105" s="744" t="s">
        <v>3683</v>
      </c>
      <c r="E105" s="779">
        <f>F105-1</f>
        <v>45673</v>
      </c>
      <c r="F105" s="730" t="s">
        <v>3684</v>
      </c>
      <c r="G105" s="731">
        <v>17</v>
      </c>
      <c r="H105" s="730" t="s">
        <v>3685</v>
      </c>
      <c r="I105" s="729">
        <f t="shared" si="7"/>
        <v>17</v>
      </c>
      <c r="J105" s="730" t="s">
        <v>3545</v>
      </c>
      <c r="K105" s="729" t="s">
        <v>3414</v>
      </c>
      <c r="L105" s="738" t="s">
        <v>3687</v>
      </c>
      <c r="M105" s="738" t="s">
        <v>467</v>
      </c>
      <c r="N105" s="739">
        <v>60</v>
      </c>
      <c r="O105" s="733" t="s">
        <v>3575</v>
      </c>
      <c r="P105" s="734">
        <v>40000</v>
      </c>
      <c r="Q105" s="734">
        <v>2400000</v>
      </c>
      <c r="R105" s="735">
        <f t="shared" si="8"/>
        <v>2400000</v>
      </c>
      <c r="S105" s="759">
        <v>1</v>
      </c>
      <c r="T105" s="736" t="s">
        <v>2507</v>
      </c>
      <c r="U105" s="61" t="s">
        <v>3548</v>
      </c>
      <c r="V105" s="61" t="str">
        <f>VLOOKUP(T105,Sheet3!$C$3:$F$16,2,)</f>
        <v>Limaati Daeli</v>
      </c>
      <c r="W105" s="61" t="str">
        <f>VLOOKUP(T105,Sheet3!$C$3:$F$16,4,)</f>
        <v>085297578868</v>
      </c>
      <c r="X105" s="61" t="str">
        <f>VLOOKUP(T105,Sheet3!$C$3:$F$16,3,)</f>
        <v>Jl. Saonigeho Km. 2 Telukdalam - Nias Selatan</v>
      </c>
    </row>
    <row r="106" spans="1:24" ht="14.25" customHeight="1">
      <c r="A106" s="61" t="str">
        <f t="shared" si="6"/>
        <v>Nasi Kotak Penyusunan RKAS Tahun 20251</v>
      </c>
      <c r="B106" s="727">
        <v>44</v>
      </c>
      <c r="C106" s="737" t="s">
        <v>3543</v>
      </c>
      <c r="D106" s="729" t="s">
        <v>3688</v>
      </c>
      <c r="E106" s="779">
        <f>F106-1</f>
        <v>45674</v>
      </c>
      <c r="F106" s="730" t="s">
        <v>3685</v>
      </c>
      <c r="G106" s="731">
        <v>18</v>
      </c>
      <c r="H106" s="730" t="s">
        <v>3689</v>
      </c>
      <c r="I106" s="729">
        <f t="shared" si="7"/>
        <v>18</v>
      </c>
      <c r="J106" s="730" t="s">
        <v>3545</v>
      </c>
      <c r="K106" s="729" t="s">
        <v>3415</v>
      </c>
      <c r="L106" s="738" t="s">
        <v>3690</v>
      </c>
      <c r="M106" s="738" t="s">
        <v>467</v>
      </c>
      <c r="N106" s="739">
        <v>80</v>
      </c>
      <c r="O106" s="733" t="s">
        <v>3575</v>
      </c>
      <c r="P106" s="734">
        <v>40000</v>
      </c>
      <c r="Q106" s="734">
        <v>3200000</v>
      </c>
      <c r="R106" s="735">
        <f t="shared" si="8"/>
        <v>3200000</v>
      </c>
      <c r="S106" s="759">
        <v>1</v>
      </c>
      <c r="T106" s="736" t="s">
        <v>2507</v>
      </c>
      <c r="U106" s="61" t="s">
        <v>3548</v>
      </c>
      <c r="V106" s="61" t="str">
        <f>VLOOKUP(T106,Sheet3!$C$3:$F$16,2,)</f>
        <v>Limaati Daeli</v>
      </c>
      <c r="W106" s="61" t="str">
        <f>VLOOKUP(T106,Sheet3!$C$3:$F$16,4,)</f>
        <v>085297578868</v>
      </c>
      <c r="X106" s="61" t="str">
        <f>VLOOKUP(T106,Sheet3!$C$3:$F$16,3,)</f>
        <v>Jl. Saonigeho Km. 2 Telukdalam - Nias Selatan</v>
      </c>
    </row>
    <row r="107" spans="1:24" ht="14.25" customHeight="1">
      <c r="A107" s="61" t="str">
        <f t="shared" si="6"/>
        <v>Kudapan Penyusunan RKAS Tahun 20251</v>
      </c>
      <c r="B107" s="727">
        <v>45</v>
      </c>
      <c r="C107" s="737" t="s">
        <v>3543</v>
      </c>
      <c r="D107" s="729" t="s">
        <v>3688</v>
      </c>
      <c r="E107" s="779">
        <f>F107-1</f>
        <v>45674</v>
      </c>
      <c r="F107" s="730" t="s">
        <v>3685</v>
      </c>
      <c r="G107" s="731">
        <v>19</v>
      </c>
      <c r="H107" s="730" t="s">
        <v>3689</v>
      </c>
      <c r="I107" s="729">
        <f t="shared" si="7"/>
        <v>19</v>
      </c>
      <c r="J107" s="730" t="s">
        <v>3545</v>
      </c>
      <c r="K107" s="729" t="s">
        <v>3416</v>
      </c>
      <c r="L107" s="738" t="s">
        <v>3691</v>
      </c>
      <c r="M107" s="738" t="s">
        <v>3845</v>
      </c>
      <c r="N107" s="739">
        <v>80</v>
      </c>
      <c r="O107" s="733" t="s">
        <v>3575</v>
      </c>
      <c r="P107" s="734">
        <v>15000</v>
      </c>
      <c r="Q107" s="734">
        <v>1200000</v>
      </c>
      <c r="R107" s="735">
        <f t="shared" si="8"/>
        <v>1200000</v>
      </c>
      <c r="S107" s="759">
        <v>1</v>
      </c>
      <c r="T107" s="736" t="s">
        <v>10</v>
      </c>
      <c r="U107" s="61" t="s">
        <v>3548</v>
      </c>
      <c r="V107" s="61" t="str">
        <f>VLOOKUP(T107,Sheet3!$C$3:$F$16,2,)</f>
        <v>Fudi Supiyanto</v>
      </c>
      <c r="W107" s="61" t="str">
        <f>VLOOKUP(T107,Sheet3!$C$3:$F$16,4,)</f>
        <v>082164895397</v>
      </c>
      <c r="X107" s="61" t="str">
        <f>VLOOKUP(T107,Sheet3!$C$3:$F$16,3,)</f>
        <v>Jln Ahmad Yani No.89 Kel. Pasar Telukdalam, Nias Selatan</v>
      </c>
    </row>
    <row r="108" spans="1:24" ht="14.25" customHeight="1">
      <c r="A108" s="61" t="str">
        <f t="shared" si="6"/>
        <v>Kudapan pada kegiatan Rapat Penyusunan KKM1</v>
      </c>
      <c r="B108" s="727">
        <v>172</v>
      </c>
      <c r="C108" s="737" t="s">
        <v>3543</v>
      </c>
      <c r="D108" s="729" t="s">
        <v>3692</v>
      </c>
      <c r="E108" s="779">
        <f>F108-2</f>
        <v>45675</v>
      </c>
      <c r="F108" s="730" t="s">
        <v>3689</v>
      </c>
      <c r="G108" s="731">
        <v>20</v>
      </c>
      <c r="H108" s="730" t="s">
        <v>3693</v>
      </c>
      <c r="I108" s="729">
        <f t="shared" si="7"/>
        <v>20</v>
      </c>
      <c r="J108" s="730" t="s">
        <v>3545</v>
      </c>
      <c r="K108" s="729" t="s">
        <v>3417</v>
      </c>
      <c r="L108" s="738" t="s">
        <v>3694</v>
      </c>
      <c r="M108" s="738" t="s">
        <v>3845</v>
      </c>
      <c r="N108" s="739">
        <v>60</v>
      </c>
      <c r="O108" s="733" t="s">
        <v>3575</v>
      </c>
      <c r="P108" s="734">
        <v>15000</v>
      </c>
      <c r="Q108" s="734">
        <v>900000</v>
      </c>
      <c r="R108" s="735">
        <f t="shared" si="8"/>
        <v>900000</v>
      </c>
      <c r="S108" s="759">
        <v>1</v>
      </c>
      <c r="T108" s="736" t="s">
        <v>10</v>
      </c>
      <c r="U108" s="61" t="s">
        <v>3548</v>
      </c>
      <c r="V108" s="61" t="str">
        <f>VLOOKUP(T108,Sheet3!$C$3:$F$16,2,)</f>
        <v>Fudi Supiyanto</v>
      </c>
      <c r="W108" s="61" t="str">
        <f>VLOOKUP(T108,Sheet3!$C$3:$F$16,4,)</f>
        <v>082164895397</v>
      </c>
      <c r="X108" s="61" t="str">
        <f>VLOOKUP(T108,Sheet3!$C$3:$F$16,3,)</f>
        <v>Jln Ahmad Yani No.89 Kel. Pasar Telukdalam, Nias Selatan</v>
      </c>
    </row>
    <row r="109" spans="1:24" ht="14.25" customHeight="1">
      <c r="A109" s="61" t="str">
        <f t="shared" si="6"/>
        <v>Konsumsi pada kegiatan Rapat Penyusunan KKM1</v>
      </c>
      <c r="B109" s="727">
        <v>173</v>
      </c>
      <c r="C109" s="737" t="s">
        <v>3543</v>
      </c>
      <c r="D109" s="729" t="s">
        <v>3692</v>
      </c>
      <c r="E109" s="779">
        <f>F109-2</f>
        <v>45675</v>
      </c>
      <c r="F109" s="730" t="s">
        <v>3689</v>
      </c>
      <c r="G109" s="731">
        <v>21</v>
      </c>
      <c r="H109" s="730" t="s">
        <v>3693</v>
      </c>
      <c r="I109" s="729">
        <f t="shared" si="7"/>
        <v>21</v>
      </c>
      <c r="J109" s="730" t="s">
        <v>3545</v>
      </c>
      <c r="K109" s="729" t="s">
        <v>3418</v>
      </c>
      <c r="L109" s="738" t="s">
        <v>3695</v>
      </c>
      <c r="M109" s="738" t="s">
        <v>467</v>
      </c>
      <c r="N109" s="739">
        <v>60</v>
      </c>
      <c r="O109" s="733" t="s">
        <v>3575</v>
      </c>
      <c r="P109" s="734">
        <v>40000</v>
      </c>
      <c r="Q109" s="734">
        <v>2400000</v>
      </c>
      <c r="R109" s="735">
        <f t="shared" si="8"/>
        <v>2400000</v>
      </c>
      <c r="S109" s="759">
        <v>1</v>
      </c>
      <c r="T109" s="736" t="s">
        <v>2507</v>
      </c>
      <c r="U109" s="61" t="s">
        <v>3548</v>
      </c>
      <c r="V109" s="61" t="str">
        <f>VLOOKUP(T109,Sheet3!$C$3:$F$16,2,)</f>
        <v>Limaati Daeli</v>
      </c>
      <c r="W109" s="61" t="str">
        <f>VLOOKUP(T109,Sheet3!$C$3:$F$16,4,)</f>
        <v>085297578868</v>
      </c>
      <c r="X109" s="61" t="str">
        <f>VLOOKUP(T109,Sheet3!$C$3:$F$16,3,)</f>
        <v>Jl. Saonigeho Km. 2 Telukdalam - Nias Selatan</v>
      </c>
    </row>
    <row r="110" spans="1:24" ht="14.25" customHeight="1">
      <c r="A110" s="61" t="str">
        <f t="shared" si="6"/>
        <v>Biaya Rekening Listrik--1</v>
      </c>
      <c r="B110" s="727">
        <v>143</v>
      </c>
      <c r="C110" s="737" t="s">
        <v>3696</v>
      </c>
      <c r="D110" s="729" t="s">
        <v>3697</v>
      </c>
      <c r="E110" s="779">
        <f>F110-2</f>
        <v>45678</v>
      </c>
      <c r="F110" s="730" t="s">
        <v>3545</v>
      </c>
      <c r="G110" s="731">
        <v>22</v>
      </c>
      <c r="H110" s="730" t="s">
        <v>3545</v>
      </c>
      <c r="I110" s="729">
        <f t="shared" si="7"/>
        <v>22</v>
      </c>
      <c r="J110" s="730" t="s">
        <v>3545</v>
      </c>
      <c r="K110" s="729" t="s">
        <v>3419</v>
      </c>
      <c r="L110" s="738" t="s">
        <v>3698</v>
      </c>
      <c r="M110" s="738" t="s">
        <v>3851</v>
      </c>
      <c r="N110" s="739">
        <v>1</v>
      </c>
      <c r="O110" s="733" t="s">
        <v>3699</v>
      </c>
      <c r="P110" s="734">
        <v>2000000</v>
      </c>
      <c r="Q110" s="734">
        <v>2000000</v>
      </c>
      <c r="R110" s="735">
        <v>1363000</v>
      </c>
      <c r="S110" s="759">
        <v>1</v>
      </c>
      <c r="T110" s="736"/>
      <c r="U110" s="61" t="s">
        <v>3548</v>
      </c>
      <c r="V110" s="61" t="e">
        <f>VLOOKUP(T110,Sheet3!$C$3:$F$16,2,)</f>
        <v>#N/A</v>
      </c>
      <c r="W110" s="61" t="e">
        <f>VLOOKUP(T110,Sheet3!$C$3:$F$16,4,)</f>
        <v>#N/A</v>
      </c>
      <c r="X110" s="61" t="e">
        <f>VLOOKUP(T110,Sheet3!$C$3:$F$16,3,)</f>
        <v>#N/A</v>
      </c>
    </row>
    <row r="111" spans="1:24" ht="14.25" customHeight="1">
      <c r="A111" s="61" t="str">
        <f t="shared" si="6"/>
        <v>Biaya Langganan Internet--1</v>
      </c>
      <c r="B111" s="727">
        <v>145</v>
      </c>
      <c r="C111" s="737" t="s">
        <v>3700</v>
      </c>
      <c r="D111" s="729" t="s">
        <v>3701</v>
      </c>
      <c r="E111" s="779">
        <f>F111-2</f>
        <v>45678</v>
      </c>
      <c r="F111" s="730" t="s">
        <v>3545</v>
      </c>
      <c r="G111" s="731">
        <v>23</v>
      </c>
      <c r="H111" s="730" t="s">
        <v>3545</v>
      </c>
      <c r="I111" s="729">
        <f t="shared" si="7"/>
        <v>23</v>
      </c>
      <c r="J111" s="730" t="s">
        <v>3545</v>
      </c>
      <c r="K111" s="729" t="s">
        <v>3433</v>
      </c>
      <c r="L111" s="738" t="s">
        <v>3702</v>
      </c>
      <c r="M111" s="738" t="s">
        <v>3852</v>
      </c>
      <c r="N111" s="739">
        <v>1</v>
      </c>
      <c r="O111" s="733" t="s">
        <v>3699</v>
      </c>
      <c r="P111" s="734">
        <v>1500000</v>
      </c>
      <c r="Q111" s="734">
        <v>1500000</v>
      </c>
      <c r="R111" s="735">
        <v>1179000</v>
      </c>
      <c r="S111" s="759">
        <v>1</v>
      </c>
      <c r="T111" s="736"/>
      <c r="U111" s="61" t="s">
        <v>3548</v>
      </c>
      <c r="V111" s="61" t="e">
        <f>VLOOKUP(T111,Sheet3!$C$3:$F$16,2,)</f>
        <v>#N/A</v>
      </c>
      <c r="W111" s="61" t="e">
        <f>VLOOKUP(T111,Sheet3!$C$3:$F$16,4,)</f>
        <v>#N/A</v>
      </c>
      <c r="X111" s="61" t="e">
        <f>VLOOKUP(T111,Sheet3!$C$3:$F$16,3,)</f>
        <v>#N/A</v>
      </c>
    </row>
    <row r="112" spans="1:24" ht="14.25" customHeight="1">
      <c r="A112" s="61" t="str">
        <f t="shared" si="6"/>
        <v>Kudapan pada Kegiatan rubrik/Ibadah Bulanan1</v>
      </c>
      <c r="B112" s="727">
        <v>13</v>
      </c>
      <c r="C112" s="737" t="s">
        <v>3543</v>
      </c>
      <c r="D112" s="744" t="s">
        <v>3703</v>
      </c>
      <c r="E112" s="779">
        <f>F112-1</f>
        <v>45680</v>
      </c>
      <c r="F112" s="730" t="s">
        <v>3704</v>
      </c>
      <c r="G112" s="731">
        <v>24</v>
      </c>
      <c r="H112" s="730" t="s">
        <v>3705</v>
      </c>
      <c r="I112" s="729">
        <f t="shared" si="7"/>
        <v>24</v>
      </c>
      <c r="J112" s="730" t="s">
        <v>3705</v>
      </c>
      <c r="K112" s="729" t="s">
        <v>3434</v>
      </c>
      <c r="L112" s="738" t="s">
        <v>3706</v>
      </c>
      <c r="M112" s="738" t="s">
        <v>3845</v>
      </c>
      <c r="N112" s="739">
        <v>100</v>
      </c>
      <c r="O112" s="733" t="s">
        <v>3575</v>
      </c>
      <c r="P112" s="734">
        <v>15000</v>
      </c>
      <c r="Q112" s="734">
        <v>1500000</v>
      </c>
      <c r="R112" s="735">
        <f>Q112</f>
        <v>1500000</v>
      </c>
      <c r="S112" s="759">
        <v>1</v>
      </c>
      <c r="T112" s="736" t="s">
        <v>10</v>
      </c>
      <c r="U112" s="61" t="s">
        <v>3548</v>
      </c>
      <c r="V112" s="61" t="str">
        <f>VLOOKUP(T112,Sheet3!$C$3:$F$16,2,)</f>
        <v>Fudi Supiyanto</v>
      </c>
      <c r="W112" s="61" t="str">
        <f>VLOOKUP(T112,Sheet3!$C$3:$F$16,4,)</f>
        <v>082164895397</v>
      </c>
      <c r="X112" s="61" t="str">
        <f>VLOOKUP(T112,Sheet3!$C$3:$F$16,3,)</f>
        <v>Jln Ahmad Yani No.89 Kel. Pasar Telukdalam, Nias Selatan</v>
      </c>
    </row>
    <row r="113" spans="1:24" ht="14.25" customHeight="1">
      <c r="A113" s="61" t="str">
        <f t="shared" si="6"/>
        <v>Kudapan Rapat Rutin Bulanan1</v>
      </c>
      <c r="B113" s="727">
        <v>47</v>
      </c>
      <c r="C113" s="737" t="s">
        <v>3543</v>
      </c>
      <c r="D113" s="729" t="s">
        <v>3664</v>
      </c>
      <c r="E113" s="779">
        <f>F113-1</f>
        <v>45680</v>
      </c>
      <c r="F113" s="730" t="s">
        <v>3704</v>
      </c>
      <c r="G113" s="731">
        <v>25</v>
      </c>
      <c r="H113" s="730" t="s">
        <v>3705</v>
      </c>
      <c r="I113" s="729">
        <f t="shared" si="7"/>
        <v>25</v>
      </c>
      <c r="J113" s="730" t="s">
        <v>3705</v>
      </c>
      <c r="K113" s="729" t="s">
        <v>3435</v>
      </c>
      <c r="L113" s="738" t="s">
        <v>3707</v>
      </c>
      <c r="M113" s="738" t="s">
        <v>3845</v>
      </c>
      <c r="N113" s="739">
        <v>60</v>
      </c>
      <c r="O113" s="733" t="s">
        <v>3557</v>
      </c>
      <c r="P113" s="734">
        <v>15000</v>
      </c>
      <c r="Q113" s="734">
        <v>900000</v>
      </c>
      <c r="R113" s="735">
        <f>Q113</f>
        <v>900000</v>
      </c>
      <c r="S113" s="759">
        <v>1</v>
      </c>
      <c r="T113" s="736" t="s">
        <v>10</v>
      </c>
      <c r="U113" s="61" t="s">
        <v>3548</v>
      </c>
      <c r="V113" s="61" t="str">
        <f>VLOOKUP(T113,Sheet3!$C$3:$F$16,2,)</f>
        <v>Fudi Supiyanto</v>
      </c>
      <c r="W113" s="61" t="str">
        <f>VLOOKUP(T113,Sheet3!$C$3:$F$16,4,)</f>
        <v>082164895397</v>
      </c>
      <c r="X113" s="61" t="str">
        <f>VLOOKUP(T113,Sheet3!$C$3:$F$16,3,)</f>
        <v>Jln Ahmad Yani No.89 Kel. Pasar Telukdalam, Nias Selatan</v>
      </c>
    </row>
    <row r="114" spans="1:24" ht="14.25" customHeight="1">
      <c r="A114" s="61" t="str">
        <f t="shared" si="6"/>
        <v>Selatieli Nehe21</v>
      </c>
      <c r="B114" s="727">
        <v>149</v>
      </c>
      <c r="C114" s="737" t="s">
        <v>3715</v>
      </c>
      <c r="D114" s="729" t="s">
        <v>3719</v>
      </c>
      <c r="E114" s="779">
        <f>F114-11</f>
        <v>45682</v>
      </c>
      <c r="F114" s="730" t="s">
        <v>3716</v>
      </c>
      <c r="G114" s="731">
        <v>26</v>
      </c>
      <c r="H114" s="730" t="s">
        <v>3716</v>
      </c>
      <c r="I114" s="729">
        <f t="shared" si="7"/>
        <v>26</v>
      </c>
      <c r="J114" s="730" t="s">
        <v>3716</v>
      </c>
      <c r="K114" s="729" t="s">
        <v>3871</v>
      </c>
      <c r="L114" s="738" t="s">
        <v>3717</v>
      </c>
      <c r="M114" s="738" t="s">
        <v>3846</v>
      </c>
      <c r="N114" s="739">
        <v>41</v>
      </c>
      <c r="O114" s="733" t="s">
        <v>3718</v>
      </c>
      <c r="P114" s="734">
        <v>60000</v>
      </c>
      <c r="Q114" s="734">
        <v>2460000</v>
      </c>
      <c r="R114" s="735"/>
      <c r="S114" s="759">
        <v>21</v>
      </c>
      <c r="T114" s="736"/>
      <c r="V114" s="61" t="e">
        <f>VLOOKUP(T114,Sheet3!$C$3:$F$16,2,)</f>
        <v>#N/A</v>
      </c>
      <c r="W114" s="61" t="e">
        <f>VLOOKUP(T114,Sheet3!$C$3:$F$16,4,)</f>
        <v>#N/A</v>
      </c>
      <c r="X114" s="61" t="e">
        <f>VLOOKUP(T114,Sheet3!$C$3:$F$16,3,)</f>
        <v>#N/A</v>
      </c>
    </row>
    <row r="115" spans="1:24" ht="14.25" customHeight="1">
      <c r="A115" s="61" t="str">
        <f t="shared" si="6"/>
        <v>Arifin Metodi Bate'e21</v>
      </c>
      <c r="B115" s="727">
        <v>150</v>
      </c>
      <c r="C115" s="737" t="s">
        <v>3715</v>
      </c>
      <c r="D115" s="729" t="s">
        <v>3719</v>
      </c>
      <c r="E115" s="779">
        <f t="shared" ref="E115:E131" si="10">F115-11</f>
        <v>45682</v>
      </c>
      <c r="F115" s="730" t="s">
        <v>3716</v>
      </c>
      <c r="G115" s="731">
        <v>27</v>
      </c>
      <c r="H115" s="730" t="s">
        <v>3716</v>
      </c>
      <c r="I115" s="729">
        <f t="shared" si="7"/>
        <v>27</v>
      </c>
      <c r="J115" s="730" t="s">
        <v>3716</v>
      </c>
      <c r="K115" s="729" t="s">
        <v>3872</v>
      </c>
      <c r="L115" s="738" t="s">
        <v>3720</v>
      </c>
      <c r="M115" s="738" t="s">
        <v>3846</v>
      </c>
      <c r="N115" s="739">
        <v>34</v>
      </c>
      <c r="O115" s="733" t="s">
        <v>3718</v>
      </c>
      <c r="P115" s="734">
        <v>60000</v>
      </c>
      <c r="Q115" s="734">
        <v>2040000</v>
      </c>
      <c r="R115" s="735"/>
      <c r="S115" s="759">
        <v>21</v>
      </c>
      <c r="T115" s="736"/>
      <c r="V115" s="61" t="e">
        <f>VLOOKUP(T115,Sheet3!$C$3:$F$16,2,)</f>
        <v>#N/A</v>
      </c>
      <c r="W115" s="61" t="e">
        <f>VLOOKUP(T115,Sheet3!$C$3:$F$16,4,)</f>
        <v>#N/A</v>
      </c>
      <c r="X115" s="61" t="e">
        <f>VLOOKUP(T115,Sheet3!$C$3:$F$16,3,)</f>
        <v>#N/A</v>
      </c>
    </row>
    <row r="116" spans="1:24" ht="14.25" customHeight="1">
      <c r="A116" s="61" t="str">
        <f t="shared" si="6"/>
        <v>Ferdiwati Wau21</v>
      </c>
      <c r="B116" s="727">
        <v>151</v>
      </c>
      <c r="C116" s="737" t="s">
        <v>3715</v>
      </c>
      <c r="D116" s="729" t="s">
        <v>3719</v>
      </c>
      <c r="E116" s="779">
        <f t="shared" si="10"/>
        <v>45682</v>
      </c>
      <c r="F116" s="730" t="s">
        <v>3716</v>
      </c>
      <c r="G116" s="731">
        <v>28</v>
      </c>
      <c r="H116" s="730" t="s">
        <v>3716</v>
      </c>
      <c r="I116" s="729">
        <f t="shared" si="7"/>
        <v>28</v>
      </c>
      <c r="J116" s="730" t="s">
        <v>3716</v>
      </c>
      <c r="K116" s="729" t="s">
        <v>3421</v>
      </c>
      <c r="L116" s="738" t="s">
        <v>3721</v>
      </c>
      <c r="M116" s="738" t="s">
        <v>3846</v>
      </c>
      <c r="N116" s="739">
        <v>34</v>
      </c>
      <c r="O116" s="733" t="s">
        <v>3718</v>
      </c>
      <c r="P116" s="734">
        <v>60000</v>
      </c>
      <c r="Q116" s="734">
        <v>2040000</v>
      </c>
      <c r="R116" s="735"/>
      <c r="S116" s="759">
        <v>21</v>
      </c>
      <c r="T116" s="736"/>
      <c r="V116" s="61" t="e">
        <f>VLOOKUP(T116,Sheet3!$C$3:$F$16,2,)</f>
        <v>#N/A</v>
      </c>
      <c r="W116" s="61" t="e">
        <f>VLOOKUP(T116,Sheet3!$C$3:$F$16,4,)</f>
        <v>#N/A</v>
      </c>
      <c r="X116" s="61" t="e">
        <f>VLOOKUP(T116,Sheet3!$C$3:$F$16,3,)</f>
        <v>#N/A</v>
      </c>
    </row>
    <row r="117" spans="1:24" ht="14.25" customHeight="1">
      <c r="A117" s="61" t="str">
        <f t="shared" si="6"/>
        <v>Noni Alfanita Sarumaha, S.Pd21</v>
      </c>
      <c r="B117" s="727">
        <v>152</v>
      </c>
      <c r="C117" s="737" t="s">
        <v>3715</v>
      </c>
      <c r="D117" s="729" t="s">
        <v>3719</v>
      </c>
      <c r="E117" s="779">
        <f t="shared" si="10"/>
        <v>45682</v>
      </c>
      <c r="F117" s="730" t="s">
        <v>3716</v>
      </c>
      <c r="G117" s="731">
        <v>29</v>
      </c>
      <c r="H117" s="730" t="s">
        <v>3716</v>
      </c>
      <c r="I117" s="729">
        <f t="shared" si="7"/>
        <v>29</v>
      </c>
      <c r="J117" s="730" t="s">
        <v>3716</v>
      </c>
      <c r="K117" s="729" t="s">
        <v>3422</v>
      </c>
      <c r="L117" s="738" t="s">
        <v>3722</v>
      </c>
      <c r="M117" s="738" t="s">
        <v>3846</v>
      </c>
      <c r="N117" s="739">
        <v>37</v>
      </c>
      <c r="O117" s="733" t="s">
        <v>3718</v>
      </c>
      <c r="P117" s="734">
        <v>60000</v>
      </c>
      <c r="Q117" s="734">
        <v>2220000</v>
      </c>
      <c r="R117" s="735"/>
      <c r="S117" s="759">
        <v>21</v>
      </c>
      <c r="T117" s="736"/>
      <c r="V117" s="61" t="e">
        <f>VLOOKUP(T117,Sheet3!$C$3:$F$16,2,)</f>
        <v>#N/A</v>
      </c>
      <c r="W117" s="61" t="e">
        <f>VLOOKUP(T117,Sheet3!$C$3:$F$16,4,)</f>
        <v>#N/A</v>
      </c>
      <c r="X117" s="61" t="e">
        <f>VLOOKUP(T117,Sheet3!$C$3:$F$16,3,)</f>
        <v>#N/A</v>
      </c>
    </row>
    <row r="118" spans="1:24" ht="14.25" customHeight="1">
      <c r="A118" s="61" t="str">
        <f t="shared" si="6"/>
        <v>EMILA HAFO21</v>
      </c>
      <c r="B118" s="727">
        <v>153</v>
      </c>
      <c r="C118" s="737" t="s">
        <v>3715</v>
      </c>
      <c r="D118" s="729" t="s">
        <v>3719</v>
      </c>
      <c r="E118" s="779">
        <f t="shared" si="10"/>
        <v>45682</v>
      </c>
      <c r="F118" s="730" t="s">
        <v>3716</v>
      </c>
      <c r="G118" s="731">
        <v>30</v>
      </c>
      <c r="H118" s="730" t="s">
        <v>3716</v>
      </c>
      <c r="I118" s="729">
        <f t="shared" si="7"/>
        <v>30</v>
      </c>
      <c r="J118" s="730" t="s">
        <v>3716</v>
      </c>
      <c r="K118" s="729" t="s">
        <v>3423</v>
      </c>
      <c r="L118" s="738" t="s">
        <v>3723</v>
      </c>
      <c r="M118" s="738" t="s">
        <v>3846</v>
      </c>
      <c r="N118" s="739">
        <v>35</v>
      </c>
      <c r="O118" s="733" t="s">
        <v>3718</v>
      </c>
      <c r="P118" s="734">
        <v>60000</v>
      </c>
      <c r="Q118" s="734">
        <v>2100000</v>
      </c>
      <c r="R118" s="735"/>
      <c r="S118" s="759">
        <v>21</v>
      </c>
      <c r="T118" s="736"/>
      <c r="V118" s="61" t="e">
        <f>VLOOKUP(T118,Sheet3!$C$3:$F$16,2,)</f>
        <v>#N/A</v>
      </c>
      <c r="W118" s="61" t="e">
        <f>VLOOKUP(T118,Sheet3!$C$3:$F$16,4,)</f>
        <v>#N/A</v>
      </c>
      <c r="X118" s="61" t="e">
        <f>VLOOKUP(T118,Sheet3!$C$3:$F$16,3,)</f>
        <v>#N/A</v>
      </c>
    </row>
    <row r="119" spans="1:24" ht="14.25" customHeight="1">
      <c r="A119" s="61" t="str">
        <f t="shared" si="6"/>
        <v>Asep Nurhidayat21</v>
      </c>
      <c r="B119" s="727">
        <v>154</v>
      </c>
      <c r="C119" s="737" t="s">
        <v>3715</v>
      </c>
      <c r="D119" s="729" t="s">
        <v>3719</v>
      </c>
      <c r="E119" s="779">
        <f t="shared" si="10"/>
        <v>45682</v>
      </c>
      <c r="F119" s="730" t="s">
        <v>3716</v>
      </c>
      <c r="G119" s="731">
        <v>31</v>
      </c>
      <c r="H119" s="730" t="s">
        <v>3716</v>
      </c>
      <c r="I119" s="729">
        <f t="shared" si="7"/>
        <v>31</v>
      </c>
      <c r="J119" s="730" t="s">
        <v>3716</v>
      </c>
      <c r="K119" s="729" t="s">
        <v>3424</v>
      </c>
      <c r="L119" s="738" t="s">
        <v>3724</v>
      </c>
      <c r="M119" s="738" t="s">
        <v>3846</v>
      </c>
      <c r="N119" s="739">
        <v>21</v>
      </c>
      <c r="O119" s="733" t="s">
        <v>3718</v>
      </c>
      <c r="P119" s="734">
        <v>60000</v>
      </c>
      <c r="Q119" s="734">
        <v>1260000</v>
      </c>
      <c r="R119" s="735"/>
      <c r="S119" s="759">
        <v>21</v>
      </c>
      <c r="T119" s="736"/>
      <c r="V119" s="61" t="e">
        <f>VLOOKUP(T119,Sheet3!$C$3:$F$16,2,)</f>
        <v>#N/A</v>
      </c>
      <c r="W119" s="61" t="e">
        <f>VLOOKUP(T119,Sheet3!$C$3:$F$16,4,)</f>
        <v>#N/A</v>
      </c>
      <c r="X119" s="61" t="e">
        <f>VLOOKUP(T119,Sheet3!$C$3:$F$16,3,)</f>
        <v>#N/A</v>
      </c>
    </row>
    <row r="120" spans="1:24" ht="14.25" customHeight="1">
      <c r="A120" s="61" t="str">
        <f t="shared" si="6"/>
        <v>Amonius Dakhi21</v>
      </c>
      <c r="B120" s="727">
        <v>155</v>
      </c>
      <c r="C120" s="737" t="s">
        <v>3715</v>
      </c>
      <c r="D120" s="729" t="s">
        <v>3719</v>
      </c>
      <c r="E120" s="779">
        <f t="shared" si="10"/>
        <v>45682</v>
      </c>
      <c r="F120" s="730" t="s">
        <v>3716</v>
      </c>
      <c r="G120" s="731">
        <v>32</v>
      </c>
      <c r="H120" s="730" t="s">
        <v>3716</v>
      </c>
      <c r="I120" s="729">
        <f t="shared" si="7"/>
        <v>32</v>
      </c>
      <c r="J120" s="730" t="s">
        <v>3716</v>
      </c>
      <c r="K120" s="729" t="s">
        <v>3425</v>
      </c>
      <c r="L120" s="738" t="s">
        <v>3725</v>
      </c>
      <c r="M120" s="738" t="s">
        <v>3846</v>
      </c>
      <c r="N120" s="739">
        <v>24</v>
      </c>
      <c r="O120" s="733" t="s">
        <v>3726</v>
      </c>
      <c r="P120" s="734">
        <v>50000</v>
      </c>
      <c r="Q120" s="734">
        <v>1200000</v>
      </c>
      <c r="R120" s="735"/>
      <c r="S120" s="759">
        <v>21</v>
      </c>
      <c r="T120" s="736"/>
      <c r="V120" s="61" t="e">
        <f>VLOOKUP(T120,Sheet3!$C$3:$F$16,2,)</f>
        <v>#N/A</v>
      </c>
      <c r="W120" s="61" t="e">
        <f>VLOOKUP(T120,Sheet3!$C$3:$F$16,4,)</f>
        <v>#N/A</v>
      </c>
      <c r="X120" s="61" t="e">
        <f>VLOOKUP(T120,Sheet3!$C$3:$F$16,3,)</f>
        <v>#N/A</v>
      </c>
    </row>
    <row r="121" spans="1:24" ht="14.25" customHeight="1">
      <c r="A121" s="61" t="str">
        <f t="shared" si="6"/>
        <v>NELPI KARIANA WATI GOHAE21</v>
      </c>
      <c r="B121" s="727">
        <v>156</v>
      </c>
      <c r="C121" s="737" t="s">
        <v>3715</v>
      </c>
      <c r="D121" s="729" t="s">
        <v>3719</v>
      </c>
      <c r="E121" s="779">
        <f t="shared" si="10"/>
        <v>45682</v>
      </c>
      <c r="F121" s="730" t="s">
        <v>3716</v>
      </c>
      <c r="G121" s="731">
        <v>33</v>
      </c>
      <c r="H121" s="730" t="s">
        <v>3716</v>
      </c>
      <c r="I121" s="729">
        <f t="shared" si="7"/>
        <v>33</v>
      </c>
      <c r="J121" s="730" t="s">
        <v>3716</v>
      </c>
      <c r="K121" s="729" t="s">
        <v>3426</v>
      </c>
      <c r="L121" s="738" t="s">
        <v>3727</v>
      </c>
      <c r="M121" s="738" t="s">
        <v>3846</v>
      </c>
      <c r="N121" s="739">
        <v>24</v>
      </c>
      <c r="O121" s="733" t="s">
        <v>3726</v>
      </c>
      <c r="P121" s="734">
        <v>50000</v>
      </c>
      <c r="Q121" s="734">
        <v>1200000</v>
      </c>
      <c r="R121" s="735"/>
      <c r="S121" s="759">
        <v>21</v>
      </c>
      <c r="T121" s="736"/>
      <c r="V121" s="61" t="e">
        <f>VLOOKUP(T121,Sheet3!$C$3:$F$16,2,)</f>
        <v>#N/A</v>
      </c>
      <c r="W121" s="61" t="e">
        <f>VLOOKUP(T121,Sheet3!$C$3:$F$16,4,)</f>
        <v>#N/A</v>
      </c>
      <c r="X121" s="61" t="e">
        <f>VLOOKUP(T121,Sheet3!$C$3:$F$16,3,)</f>
        <v>#N/A</v>
      </c>
    </row>
    <row r="122" spans="1:24" ht="14.25" customHeight="1">
      <c r="A122" s="61" t="str">
        <f t="shared" si="6"/>
        <v>MERCY GRACE KARTIKA SARI ZAGOTO (1558776677230122)21</v>
      </c>
      <c r="B122" s="727">
        <v>157</v>
      </c>
      <c r="C122" s="737" t="s">
        <v>3715</v>
      </c>
      <c r="D122" s="729" t="s">
        <v>3719</v>
      </c>
      <c r="E122" s="779">
        <f t="shared" si="10"/>
        <v>45682</v>
      </c>
      <c r="F122" s="730" t="s">
        <v>3716</v>
      </c>
      <c r="G122" s="731">
        <v>34</v>
      </c>
      <c r="H122" s="730" t="s">
        <v>3716</v>
      </c>
      <c r="I122" s="729">
        <f t="shared" si="7"/>
        <v>34</v>
      </c>
      <c r="J122" s="730" t="s">
        <v>3716</v>
      </c>
      <c r="K122" s="729" t="s">
        <v>3427</v>
      </c>
      <c r="L122" s="738" t="s">
        <v>3728</v>
      </c>
      <c r="M122" s="738" t="s">
        <v>3846</v>
      </c>
      <c r="N122" s="739">
        <v>35</v>
      </c>
      <c r="O122" s="733" t="s">
        <v>3726</v>
      </c>
      <c r="P122" s="734">
        <v>50000</v>
      </c>
      <c r="Q122" s="734">
        <v>1750000</v>
      </c>
      <c r="R122" s="735"/>
      <c r="S122" s="759">
        <v>21</v>
      </c>
      <c r="T122" s="736"/>
      <c r="V122" s="61" t="e">
        <f>VLOOKUP(T122,Sheet3!$C$3:$F$16,2,)</f>
        <v>#N/A</v>
      </c>
      <c r="W122" s="61" t="e">
        <f>VLOOKUP(T122,Sheet3!$C$3:$F$16,4,)</f>
        <v>#N/A</v>
      </c>
      <c r="X122" s="61" t="e">
        <f>VLOOKUP(T122,Sheet3!$C$3:$F$16,3,)</f>
        <v>#N/A</v>
      </c>
    </row>
    <row r="123" spans="1:24" ht="14.25" customHeight="1">
      <c r="A123" s="61" t="str">
        <f t="shared" si="6"/>
        <v>Estera Nehe21</v>
      </c>
      <c r="B123" s="727">
        <v>159</v>
      </c>
      <c r="C123" s="737" t="s">
        <v>3729</v>
      </c>
      <c r="D123" s="729" t="s">
        <v>3730</v>
      </c>
      <c r="E123" s="779">
        <f t="shared" si="10"/>
        <v>45682</v>
      </c>
      <c r="F123" s="730" t="s">
        <v>3716</v>
      </c>
      <c r="G123" s="731">
        <v>35</v>
      </c>
      <c r="H123" s="730" t="s">
        <v>3716</v>
      </c>
      <c r="I123" s="729">
        <f t="shared" si="7"/>
        <v>35</v>
      </c>
      <c r="J123" s="730" t="s">
        <v>3716</v>
      </c>
      <c r="K123" s="729" t="s">
        <v>3428</v>
      </c>
      <c r="L123" s="738" t="s">
        <v>3731</v>
      </c>
      <c r="M123" s="738" t="s">
        <v>3847</v>
      </c>
      <c r="N123" s="739">
        <v>1</v>
      </c>
      <c r="O123" s="733" t="s">
        <v>3699</v>
      </c>
      <c r="P123" s="734">
        <v>2000000</v>
      </c>
      <c r="Q123" s="734">
        <v>2000000</v>
      </c>
      <c r="R123" s="735"/>
      <c r="S123" s="759">
        <v>21</v>
      </c>
      <c r="T123" s="736"/>
      <c r="V123" s="61" t="e">
        <f>VLOOKUP(T123,Sheet3!$C$3:$F$16,2,)</f>
        <v>#N/A</v>
      </c>
      <c r="W123" s="61" t="e">
        <f>VLOOKUP(T123,Sheet3!$C$3:$F$16,4,)</f>
        <v>#N/A</v>
      </c>
      <c r="X123" s="61" t="e">
        <f>VLOOKUP(T123,Sheet3!$C$3:$F$16,3,)</f>
        <v>#N/A</v>
      </c>
    </row>
    <row r="124" spans="1:24" ht="14.25" customHeight="1">
      <c r="A124" s="61" t="str">
        <f t="shared" si="6"/>
        <v>Hatieli Buulolo21</v>
      </c>
      <c r="B124" s="727">
        <v>160</v>
      </c>
      <c r="C124" s="737" t="s">
        <v>3729</v>
      </c>
      <c r="D124" s="729" t="s">
        <v>3730</v>
      </c>
      <c r="E124" s="779">
        <f t="shared" si="10"/>
        <v>45682</v>
      </c>
      <c r="F124" s="730" t="s">
        <v>3716</v>
      </c>
      <c r="G124" s="731">
        <v>36</v>
      </c>
      <c r="H124" s="730" t="s">
        <v>3716</v>
      </c>
      <c r="I124" s="729">
        <f t="shared" si="7"/>
        <v>36</v>
      </c>
      <c r="J124" s="730" t="s">
        <v>3716</v>
      </c>
      <c r="K124" s="729" t="s">
        <v>3429</v>
      </c>
      <c r="L124" s="738" t="s">
        <v>3732</v>
      </c>
      <c r="M124" s="738" t="s">
        <v>3847</v>
      </c>
      <c r="N124" s="739">
        <v>1</v>
      </c>
      <c r="O124" s="733" t="s">
        <v>3699</v>
      </c>
      <c r="P124" s="734">
        <v>2500000</v>
      </c>
      <c r="Q124" s="734">
        <v>2500000</v>
      </c>
      <c r="R124" s="735"/>
      <c r="S124" s="759">
        <v>21</v>
      </c>
      <c r="T124" s="736"/>
      <c r="V124" s="61" t="e">
        <f>VLOOKUP(T124,Sheet3!$C$3:$F$16,2,)</f>
        <v>#N/A</v>
      </c>
      <c r="W124" s="61" t="e">
        <f>VLOOKUP(T124,Sheet3!$C$3:$F$16,4,)</f>
        <v>#N/A</v>
      </c>
      <c r="X124" s="61" t="e">
        <f>VLOOKUP(T124,Sheet3!$C$3:$F$16,3,)</f>
        <v>#N/A</v>
      </c>
    </row>
    <row r="125" spans="1:24" ht="14.25" customHeight="1">
      <c r="A125" s="61" t="str">
        <f t="shared" si="6"/>
        <v>David J. Sitinjak21</v>
      </c>
      <c r="B125" s="727">
        <v>161</v>
      </c>
      <c r="C125" s="737" t="s">
        <v>3729</v>
      </c>
      <c r="D125" s="729" t="s">
        <v>3730</v>
      </c>
      <c r="E125" s="779">
        <f t="shared" si="10"/>
        <v>45682</v>
      </c>
      <c r="F125" s="730" t="s">
        <v>3716</v>
      </c>
      <c r="G125" s="731">
        <v>37</v>
      </c>
      <c r="H125" s="730" t="s">
        <v>3716</v>
      </c>
      <c r="I125" s="729">
        <f t="shared" si="7"/>
        <v>37</v>
      </c>
      <c r="J125" s="730" t="s">
        <v>3716</v>
      </c>
      <c r="K125" s="729" t="s">
        <v>3430</v>
      </c>
      <c r="L125" s="738" t="s">
        <v>3733</v>
      </c>
      <c r="M125" s="738" t="s">
        <v>3847</v>
      </c>
      <c r="N125" s="739">
        <v>1</v>
      </c>
      <c r="O125" s="733" t="s">
        <v>3699</v>
      </c>
      <c r="P125" s="734">
        <v>2500000</v>
      </c>
      <c r="Q125" s="734">
        <v>2500000</v>
      </c>
      <c r="R125" s="735"/>
      <c r="S125" s="759">
        <v>21</v>
      </c>
      <c r="T125" s="736"/>
      <c r="V125" s="61" t="e">
        <f>VLOOKUP(T125,Sheet3!$C$3:$F$16,2,)</f>
        <v>#N/A</v>
      </c>
      <c r="W125" s="61" t="e">
        <f>VLOOKUP(T125,Sheet3!$C$3:$F$16,4,)</f>
        <v>#N/A</v>
      </c>
      <c r="X125" s="61" t="e">
        <f>VLOOKUP(T125,Sheet3!$C$3:$F$16,3,)</f>
        <v>#N/A</v>
      </c>
    </row>
    <row r="126" spans="1:24" ht="17" customHeight="1">
      <c r="A126" s="61" t="str">
        <f t="shared" si="6"/>
        <v>Siona Ziraluo21</v>
      </c>
      <c r="B126" s="727">
        <v>162</v>
      </c>
      <c r="C126" s="740" t="s">
        <v>3729</v>
      </c>
      <c r="D126" s="729" t="s">
        <v>3730</v>
      </c>
      <c r="E126" s="779">
        <f t="shared" si="10"/>
        <v>45682</v>
      </c>
      <c r="F126" s="730" t="s">
        <v>3716</v>
      </c>
      <c r="G126" s="731">
        <v>38</v>
      </c>
      <c r="H126" s="730" t="s">
        <v>3716</v>
      </c>
      <c r="I126" s="729">
        <f t="shared" si="7"/>
        <v>38</v>
      </c>
      <c r="J126" s="730" t="s">
        <v>3716</v>
      </c>
      <c r="K126" s="729" t="s">
        <v>3431</v>
      </c>
      <c r="L126" s="738" t="s">
        <v>3734</v>
      </c>
      <c r="M126" s="738" t="s">
        <v>3847</v>
      </c>
      <c r="N126" s="739">
        <v>1</v>
      </c>
      <c r="O126" s="733" t="s">
        <v>3699</v>
      </c>
      <c r="P126" s="734">
        <v>2000000</v>
      </c>
      <c r="Q126" s="734">
        <v>2000000</v>
      </c>
      <c r="R126" s="735"/>
      <c r="S126" s="759">
        <v>21</v>
      </c>
      <c r="T126" s="736"/>
      <c r="V126" s="61" t="e">
        <f>VLOOKUP(T126,Sheet3!$C$3:$F$16,2,)</f>
        <v>#N/A</v>
      </c>
      <c r="W126" s="61" t="e">
        <f>VLOOKUP(T126,Sheet3!$C$3:$F$16,4,)</f>
        <v>#N/A</v>
      </c>
      <c r="X126" s="61" t="e">
        <f>VLOOKUP(T126,Sheet3!$C$3:$F$16,3,)</f>
        <v>#N/A</v>
      </c>
    </row>
    <row r="127" spans="1:24" ht="15.5" customHeight="1">
      <c r="A127" s="61" t="str">
        <f t="shared" si="6"/>
        <v>Merdina Ziraluo21</v>
      </c>
      <c r="B127" s="727">
        <v>163</v>
      </c>
      <c r="C127" s="740" t="s">
        <v>3729</v>
      </c>
      <c r="D127" s="729" t="s">
        <v>3730</v>
      </c>
      <c r="E127" s="779">
        <f t="shared" si="10"/>
        <v>45682</v>
      </c>
      <c r="F127" s="730" t="s">
        <v>3716</v>
      </c>
      <c r="G127" s="731">
        <v>39</v>
      </c>
      <c r="H127" s="730" t="s">
        <v>3716</v>
      </c>
      <c r="I127" s="729">
        <f t="shared" si="7"/>
        <v>39</v>
      </c>
      <c r="J127" s="730" t="s">
        <v>3716</v>
      </c>
      <c r="K127" s="729" t="s">
        <v>3432</v>
      </c>
      <c r="L127" s="738" t="s">
        <v>3735</v>
      </c>
      <c r="M127" s="738" t="s">
        <v>3847</v>
      </c>
      <c r="N127" s="739">
        <v>1</v>
      </c>
      <c r="O127" s="733" t="s">
        <v>3699</v>
      </c>
      <c r="P127" s="734">
        <v>2500000</v>
      </c>
      <c r="Q127" s="734">
        <v>2500000</v>
      </c>
      <c r="R127" s="735"/>
      <c r="S127" s="759">
        <v>21</v>
      </c>
      <c r="T127" s="736"/>
      <c r="V127" s="61" t="e">
        <f>VLOOKUP(T127,Sheet3!$C$3:$F$16,2,)</f>
        <v>#N/A</v>
      </c>
      <c r="W127" s="61" t="e">
        <f>VLOOKUP(T127,Sheet3!$C$3:$F$16,4,)</f>
        <v>#N/A</v>
      </c>
      <c r="X127" s="61" t="e">
        <f>VLOOKUP(T127,Sheet3!$C$3:$F$16,3,)</f>
        <v>#N/A</v>
      </c>
    </row>
    <row r="128" spans="1:24" ht="15" customHeight="1">
      <c r="A128" s="61" t="str">
        <f t="shared" si="6"/>
        <v>Oksilia Buulolo, S.S21</v>
      </c>
      <c r="B128" s="727">
        <v>164</v>
      </c>
      <c r="C128" s="740" t="s">
        <v>3729</v>
      </c>
      <c r="D128" s="729" t="s">
        <v>3730</v>
      </c>
      <c r="E128" s="779">
        <f t="shared" si="10"/>
        <v>45682</v>
      </c>
      <c r="F128" s="730" t="s">
        <v>3716</v>
      </c>
      <c r="G128" s="731">
        <v>40</v>
      </c>
      <c r="H128" s="730" t="s">
        <v>3716</v>
      </c>
      <c r="I128" s="729">
        <f t="shared" si="7"/>
        <v>40</v>
      </c>
      <c r="J128" s="730" t="s">
        <v>3716</v>
      </c>
      <c r="K128" s="729" t="s">
        <v>3436</v>
      </c>
      <c r="L128" s="738" t="s">
        <v>3736</v>
      </c>
      <c r="M128" s="738" t="s">
        <v>3847</v>
      </c>
      <c r="N128" s="739">
        <v>1</v>
      </c>
      <c r="O128" s="733" t="s">
        <v>3737</v>
      </c>
      <c r="P128" s="734">
        <v>2000000</v>
      </c>
      <c r="Q128" s="734">
        <v>2000000</v>
      </c>
      <c r="R128" s="735"/>
      <c r="S128" s="759">
        <v>21</v>
      </c>
      <c r="T128" s="736"/>
      <c r="V128" s="61" t="e">
        <f>VLOOKUP(T128,Sheet3!$C$3:$F$16,2,)</f>
        <v>#N/A</v>
      </c>
      <c r="W128" s="61" t="e">
        <f>VLOOKUP(T128,Sheet3!$C$3:$F$16,4,)</f>
        <v>#N/A</v>
      </c>
      <c r="X128" s="61" t="e">
        <f>VLOOKUP(T128,Sheet3!$C$3:$F$16,3,)</f>
        <v>#N/A</v>
      </c>
    </row>
    <row r="129" spans="1:24" ht="14.25" customHeight="1">
      <c r="A129" s="61" t="str">
        <f t="shared" si="6"/>
        <v>Novika Efdimasari Halawa, S.S.I21</v>
      </c>
      <c r="B129" s="727">
        <v>165</v>
      </c>
      <c r="C129" s="737" t="s">
        <v>3729</v>
      </c>
      <c r="D129" s="729" t="s">
        <v>3730</v>
      </c>
      <c r="E129" s="779">
        <f t="shared" si="10"/>
        <v>45682</v>
      </c>
      <c r="F129" s="730" t="s">
        <v>3716</v>
      </c>
      <c r="G129" s="731">
        <v>41</v>
      </c>
      <c r="H129" s="730" t="s">
        <v>3716</v>
      </c>
      <c r="I129" s="729">
        <f t="shared" si="7"/>
        <v>41</v>
      </c>
      <c r="J129" s="730" t="s">
        <v>3716</v>
      </c>
      <c r="K129" s="729" t="s">
        <v>3437</v>
      </c>
      <c r="L129" s="738" t="s">
        <v>3738</v>
      </c>
      <c r="M129" s="738" t="s">
        <v>3847</v>
      </c>
      <c r="N129" s="739">
        <v>1</v>
      </c>
      <c r="O129" s="733" t="s">
        <v>3737</v>
      </c>
      <c r="P129" s="734">
        <v>2000000</v>
      </c>
      <c r="Q129" s="734">
        <v>2000000</v>
      </c>
      <c r="R129" s="735"/>
      <c r="S129" s="759">
        <v>21</v>
      </c>
      <c r="T129" s="736"/>
      <c r="V129" s="61" t="e">
        <f>VLOOKUP(T129,Sheet3!$C$3:$F$16,2,)</f>
        <v>#N/A</v>
      </c>
      <c r="W129" s="61" t="e">
        <f>VLOOKUP(T129,Sheet3!$C$3:$F$16,4,)</f>
        <v>#N/A</v>
      </c>
      <c r="X129" s="61" t="e">
        <f>VLOOKUP(T129,Sheet3!$C$3:$F$16,3,)</f>
        <v>#N/A</v>
      </c>
    </row>
    <row r="130" spans="1:24" ht="14.25" customHeight="1">
      <c r="A130" s="61" t="str">
        <f t="shared" si="6"/>
        <v>Zefrianus Zai21</v>
      </c>
      <c r="B130" s="727">
        <v>167</v>
      </c>
      <c r="C130" s="737" t="s">
        <v>3739</v>
      </c>
      <c r="D130" s="729" t="s">
        <v>3740</v>
      </c>
      <c r="E130" s="779">
        <f t="shared" si="10"/>
        <v>45682</v>
      </c>
      <c r="F130" s="730" t="s">
        <v>3716</v>
      </c>
      <c r="G130" s="731">
        <v>42</v>
      </c>
      <c r="H130" s="730" t="s">
        <v>3716</v>
      </c>
      <c r="I130" s="729">
        <f t="shared" si="7"/>
        <v>42</v>
      </c>
      <c r="J130" s="730" t="s">
        <v>3716</v>
      </c>
      <c r="K130" s="729" t="s">
        <v>3438</v>
      </c>
      <c r="L130" s="738" t="s">
        <v>3741</v>
      </c>
      <c r="M130" s="738" t="s">
        <v>3847</v>
      </c>
      <c r="N130" s="739">
        <v>1</v>
      </c>
      <c r="O130" s="733" t="s">
        <v>3737</v>
      </c>
      <c r="P130" s="734">
        <v>2000000</v>
      </c>
      <c r="Q130" s="734">
        <v>2000000</v>
      </c>
      <c r="R130" s="735"/>
      <c r="S130" s="759">
        <v>21</v>
      </c>
      <c r="T130" s="736"/>
      <c r="V130" s="61" t="e">
        <f>VLOOKUP(T130,Sheet3!$C$3:$F$16,2,)</f>
        <v>#N/A</v>
      </c>
      <c r="W130" s="61" t="e">
        <f>VLOOKUP(T130,Sheet3!$C$3:$F$16,4,)</f>
        <v>#N/A</v>
      </c>
      <c r="X130" s="61" t="e">
        <f>VLOOKUP(T130,Sheet3!$C$3:$F$16,3,)</f>
        <v>#N/A</v>
      </c>
    </row>
    <row r="131" spans="1:24" ht="14.25" customHeight="1">
      <c r="A131" s="61" t="str">
        <f t="shared" si="6"/>
        <v>Thomas Hondro21</v>
      </c>
      <c r="B131" s="727">
        <v>168</v>
      </c>
      <c r="C131" s="737" t="s">
        <v>3742</v>
      </c>
      <c r="D131" s="729" t="s">
        <v>3740</v>
      </c>
      <c r="E131" s="779">
        <f t="shared" si="10"/>
        <v>45682</v>
      </c>
      <c r="F131" s="730" t="s">
        <v>3716</v>
      </c>
      <c r="G131" s="731">
        <v>43</v>
      </c>
      <c r="H131" s="730" t="s">
        <v>3716</v>
      </c>
      <c r="I131" s="729">
        <f t="shared" si="7"/>
        <v>43</v>
      </c>
      <c r="J131" s="730" t="s">
        <v>3716</v>
      </c>
      <c r="K131" s="729" t="s">
        <v>3450</v>
      </c>
      <c r="L131" s="738" t="s">
        <v>3743</v>
      </c>
      <c r="M131" s="738" t="s">
        <v>3847</v>
      </c>
      <c r="N131" s="739">
        <v>1</v>
      </c>
      <c r="O131" s="733" t="s">
        <v>3699</v>
      </c>
      <c r="P131" s="734">
        <v>1000000</v>
      </c>
      <c r="Q131" s="734">
        <v>1000000</v>
      </c>
      <c r="R131" s="735"/>
      <c r="S131" s="759">
        <v>21</v>
      </c>
      <c r="T131" s="736"/>
      <c r="V131" s="61" t="e">
        <f>VLOOKUP(T131,Sheet3!$C$3:$F$16,2,)</f>
        <v>#N/A</v>
      </c>
      <c r="W131" s="61" t="e">
        <f>VLOOKUP(T131,Sheet3!$C$3:$F$16,4,)</f>
        <v>#N/A</v>
      </c>
      <c r="X131" s="61" t="e">
        <f>VLOOKUP(T131,Sheet3!$C$3:$F$16,3,)</f>
        <v>#N/A</v>
      </c>
    </row>
    <row r="132" spans="1:24">
      <c r="A132" s="61" t="str">
        <f t="shared" ref="A132:A195" si="11">L132&amp;S132</f>
        <v/>
      </c>
      <c r="E132" s="297"/>
      <c r="I132" s="729">
        <f t="shared" ref="I132:I195" si="12">G132</f>
        <v>0</v>
      </c>
      <c r="K132" s="729">
        <v>0</v>
      </c>
      <c r="V132" s="61" t="e">
        <f>VLOOKUP(T132,Sheet3!$C$3:$F$16,2,)</f>
        <v>#N/A</v>
      </c>
      <c r="W132" s="61" t="e">
        <f>VLOOKUP(T132,Sheet3!$C$3:$F$16,4,)</f>
        <v>#N/A</v>
      </c>
      <c r="X132" s="61" t="e">
        <f>VLOOKUP(T132,Sheet3!$C$3:$F$16,3,)</f>
        <v>#N/A</v>
      </c>
    </row>
    <row r="133" spans="1:24" ht="14.25" customHeight="1">
      <c r="A133" s="61" t="str">
        <f t="shared" si="11"/>
        <v>PROYEK PENGUATAN PROFIL PELAJAR PANCASILA (P5) KELAS 10 SMA31</v>
      </c>
      <c r="B133" s="727">
        <v>25</v>
      </c>
      <c r="C133" s="737" t="s">
        <v>3757</v>
      </c>
      <c r="D133" s="729" t="s">
        <v>3762</v>
      </c>
      <c r="E133" s="779">
        <f>F133-60</f>
        <v>45667</v>
      </c>
      <c r="F133" s="730" t="s">
        <v>3758</v>
      </c>
      <c r="G133" s="760">
        <v>100</v>
      </c>
      <c r="H133" s="751" t="s">
        <v>3759</v>
      </c>
      <c r="I133" s="729">
        <f t="shared" si="12"/>
        <v>100</v>
      </c>
      <c r="J133" s="730" t="s">
        <v>3837</v>
      </c>
      <c r="K133" s="729" t="s">
        <v>3474</v>
      </c>
      <c r="L133" s="738" t="s">
        <v>3838</v>
      </c>
      <c r="M133" s="738" t="s">
        <v>3848</v>
      </c>
      <c r="N133" s="739">
        <v>320</v>
      </c>
      <c r="O133" s="733" t="s">
        <v>3761</v>
      </c>
      <c r="P133" s="734">
        <v>106500</v>
      </c>
      <c r="Q133" s="734">
        <v>34080000</v>
      </c>
      <c r="R133" s="735"/>
      <c r="S133" s="759">
        <v>31</v>
      </c>
      <c r="T133" s="736"/>
      <c r="V133" s="61" t="e">
        <f>VLOOKUP(T133,Sheet3!$C$3:$F$16,2,)</f>
        <v>#N/A</v>
      </c>
      <c r="W133" s="61" t="e">
        <f>VLOOKUP(T133,Sheet3!$C$3:$F$16,4,)</f>
        <v>#N/A</v>
      </c>
      <c r="X133" s="61" t="e">
        <f>VLOOKUP(T133,Sheet3!$C$3:$F$16,3,)</f>
        <v>#N/A</v>
      </c>
    </row>
    <row r="134" spans="1:24" ht="14.25" customHeight="1">
      <c r="A134" s="61" t="str">
        <f t="shared" si="11"/>
        <v>PROYEK PENGUATAN PROFIL PELAJAR PANCASILA (P5) KELAS 11 SMA31</v>
      </c>
      <c r="B134" s="727">
        <v>26</v>
      </c>
      <c r="C134" s="737" t="s">
        <v>3757</v>
      </c>
      <c r="D134" s="729" t="s">
        <v>3762</v>
      </c>
      <c r="E134" s="779">
        <f t="shared" ref="E134:E138" si="13">F134-60</f>
        <v>45667</v>
      </c>
      <c r="F134" s="730" t="s">
        <v>3758</v>
      </c>
      <c r="G134" s="760">
        <v>101</v>
      </c>
      <c r="H134" s="751" t="s">
        <v>3759</v>
      </c>
      <c r="I134" s="729">
        <f t="shared" si="12"/>
        <v>101</v>
      </c>
      <c r="J134" s="730" t="s">
        <v>3837</v>
      </c>
      <c r="K134" s="729" t="s">
        <v>3475</v>
      </c>
      <c r="L134" s="738" t="s">
        <v>3839</v>
      </c>
      <c r="M134" s="738" t="s">
        <v>3848</v>
      </c>
      <c r="N134" s="739">
        <v>180</v>
      </c>
      <c r="O134" s="733" t="s">
        <v>3761</v>
      </c>
      <c r="P134" s="734">
        <v>106500</v>
      </c>
      <c r="Q134" s="734">
        <v>19170000</v>
      </c>
      <c r="R134" s="735"/>
      <c r="S134" s="759">
        <v>31</v>
      </c>
      <c r="T134" s="736"/>
      <c r="V134" s="61" t="e">
        <f>VLOOKUP(T134,Sheet3!$C$3:$F$16,2,)</f>
        <v>#N/A</v>
      </c>
      <c r="W134" s="61" t="e">
        <f>VLOOKUP(T134,Sheet3!$C$3:$F$16,4,)</f>
        <v>#N/A</v>
      </c>
      <c r="X134" s="61" t="e">
        <f>VLOOKUP(T134,Sheet3!$C$3:$F$16,3,)</f>
        <v>#N/A</v>
      </c>
    </row>
    <row r="135" spans="1:24" ht="14.25" customHeight="1">
      <c r="A135" s="61" t="str">
        <f t="shared" si="11"/>
        <v>Buku Perpustakaan-Buku Perpustakaan31</v>
      </c>
      <c r="B135" s="727">
        <v>27</v>
      </c>
      <c r="C135" s="737" t="s">
        <v>3757</v>
      </c>
      <c r="D135" s="729" t="s">
        <v>3762</v>
      </c>
      <c r="E135" s="779">
        <f t="shared" si="13"/>
        <v>45667</v>
      </c>
      <c r="F135" s="730" t="s">
        <v>3758</v>
      </c>
      <c r="G135" s="760">
        <v>102</v>
      </c>
      <c r="H135" s="751" t="s">
        <v>3759</v>
      </c>
      <c r="I135" s="729">
        <f t="shared" si="12"/>
        <v>102</v>
      </c>
      <c r="J135" s="730" t="s">
        <v>3837</v>
      </c>
      <c r="K135" s="729" t="s">
        <v>3473</v>
      </c>
      <c r="L135" s="738" t="s">
        <v>3840</v>
      </c>
      <c r="M135" s="738" t="s">
        <v>3848</v>
      </c>
      <c r="N135" s="739">
        <v>224</v>
      </c>
      <c r="O135" s="733" t="s">
        <v>3761</v>
      </c>
      <c r="P135" s="734">
        <v>106500</v>
      </c>
      <c r="Q135" s="734">
        <v>23856000</v>
      </c>
      <c r="R135" s="735"/>
      <c r="S135" s="759">
        <v>31</v>
      </c>
      <c r="T135" s="736"/>
      <c r="V135" s="61" t="e">
        <f>VLOOKUP(T135,Sheet3!$C$3:$F$16,2,)</f>
        <v>#N/A</v>
      </c>
      <c r="W135" s="61" t="e">
        <f>VLOOKUP(T135,Sheet3!$C$3:$F$16,4,)</f>
        <v>#N/A</v>
      </c>
      <c r="X135" s="61" t="e">
        <f>VLOOKUP(T135,Sheet3!$C$3:$F$16,3,)</f>
        <v>#N/A</v>
      </c>
    </row>
    <row r="136" spans="1:24" ht="14.25" customHeight="1">
      <c r="A136" s="61" t="str">
        <f t="shared" si="11"/>
        <v>Buku Literasi - Buku Bacaan Umum SMA/SMK (Paket)21</v>
      </c>
      <c r="B136" s="727">
        <v>29</v>
      </c>
      <c r="C136" s="737" t="s">
        <v>3809</v>
      </c>
      <c r="D136" s="729" t="s">
        <v>3810</v>
      </c>
      <c r="E136" s="779">
        <f t="shared" si="13"/>
        <v>45668</v>
      </c>
      <c r="F136" s="730" t="s">
        <v>3759</v>
      </c>
      <c r="G136" s="760"/>
      <c r="H136" s="751" t="s">
        <v>3807</v>
      </c>
      <c r="I136" s="729">
        <f t="shared" si="12"/>
        <v>0</v>
      </c>
      <c r="J136" s="730" t="s">
        <v>3811</v>
      </c>
      <c r="K136" s="729" t="e">
        <v>#N/A</v>
      </c>
      <c r="L136" s="738" t="s">
        <v>3812</v>
      </c>
      <c r="M136" s="738" t="s">
        <v>3848</v>
      </c>
      <c r="N136" s="739">
        <v>36</v>
      </c>
      <c r="O136" s="733" t="s">
        <v>3813</v>
      </c>
      <c r="P136" s="734">
        <v>75000</v>
      </c>
      <c r="Q136" s="734">
        <v>2700000</v>
      </c>
      <c r="R136" s="735"/>
      <c r="S136" s="759">
        <v>21</v>
      </c>
      <c r="T136" s="736"/>
      <c r="V136" s="61" t="e">
        <f>VLOOKUP(T136,Sheet3!$C$3:$F$16,2,)</f>
        <v>#N/A</v>
      </c>
      <c r="W136" s="61" t="e">
        <f>VLOOKUP(T136,Sheet3!$C$3:$F$16,4,)</f>
        <v>#N/A</v>
      </c>
      <c r="X136" s="61" t="e">
        <f>VLOOKUP(T136,Sheet3!$C$3:$F$16,3,)</f>
        <v>#N/A</v>
      </c>
    </row>
    <row r="137" spans="1:24" ht="14.25" customHeight="1">
      <c r="A137" s="61" t="str">
        <f t="shared" si="11"/>
        <v>Buku Literasi - Buku Bacaan Umum SMA/SMK (Paket)21</v>
      </c>
      <c r="B137" s="727">
        <v>30</v>
      </c>
      <c r="C137" s="737" t="s">
        <v>3809</v>
      </c>
      <c r="D137" s="738" t="s">
        <v>3810</v>
      </c>
      <c r="E137" s="779">
        <f t="shared" si="13"/>
        <v>45668</v>
      </c>
      <c r="F137" s="730" t="s">
        <v>3759</v>
      </c>
      <c r="G137" s="760"/>
      <c r="H137" s="751" t="s">
        <v>3807</v>
      </c>
      <c r="I137" s="729">
        <f t="shared" si="12"/>
        <v>0</v>
      </c>
      <c r="J137" s="730" t="s">
        <v>3811</v>
      </c>
      <c r="K137" s="729" t="e">
        <v>#N/A</v>
      </c>
      <c r="L137" s="729" t="s">
        <v>3812</v>
      </c>
      <c r="M137" s="738" t="s">
        <v>3848</v>
      </c>
      <c r="N137" s="732">
        <v>36</v>
      </c>
      <c r="O137" s="733" t="s">
        <v>3813</v>
      </c>
      <c r="P137" s="734">
        <v>138000</v>
      </c>
      <c r="Q137" s="734">
        <v>4968000</v>
      </c>
      <c r="R137" s="735"/>
      <c r="S137" s="759">
        <v>21</v>
      </c>
      <c r="T137" s="736"/>
      <c r="V137" s="61" t="e">
        <f>VLOOKUP(T137,Sheet3!$C$3:$F$16,2,)</f>
        <v>#N/A</v>
      </c>
      <c r="W137" s="61" t="e">
        <f>VLOOKUP(T137,Sheet3!$C$3:$F$16,4,)</f>
        <v>#N/A</v>
      </c>
      <c r="X137" s="61" t="e">
        <f>VLOOKUP(T137,Sheet3!$C$3:$F$16,3,)</f>
        <v>#N/A</v>
      </c>
    </row>
    <row r="138" spans="1:24" ht="14.25" customHeight="1">
      <c r="A138" s="61" t="str">
        <f t="shared" si="11"/>
        <v>Buku Literasi - Buku Bacaan Umum SMA/SMK (Paket)21</v>
      </c>
      <c r="B138" s="727">
        <v>31</v>
      </c>
      <c r="C138" s="737" t="s">
        <v>3809</v>
      </c>
      <c r="D138" s="738" t="s">
        <v>3810</v>
      </c>
      <c r="E138" s="779">
        <f t="shared" si="13"/>
        <v>45668</v>
      </c>
      <c r="F138" s="730" t="s">
        <v>3759</v>
      </c>
      <c r="G138" s="760"/>
      <c r="H138" s="751" t="s">
        <v>3807</v>
      </c>
      <c r="I138" s="729">
        <f t="shared" si="12"/>
        <v>0</v>
      </c>
      <c r="J138" s="730" t="s">
        <v>3811</v>
      </c>
      <c r="K138" s="729" t="e">
        <v>#N/A</v>
      </c>
      <c r="L138" s="729" t="s">
        <v>3812</v>
      </c>
      <c r="M138" s="738" t="s">
        <v>3848</v>
      </c>
      <c r="N138" s="732">
        <v>36</v>
      </c>
      <c r="O138" s="733" t="s">
        <v>3813</v>
      </c>
      <c r="P138" s="734">
        <v>85000</v>
      </c>
      <c r="Q138" s="734">
        <v>3060000</v>
      </c>
      <c r="R138" s="735"/>
      <c r="S138" s="759">
        <v>21</v>
      </c>
      <c r="T138" s="736"/>
      <c r="V138" s="61" t="e">
        <f>VLOOKUP(T138,Sheet3!$C$3:$F$16,2,)</f>
        <v>#N/A</v>
      </c>
      <c r="W138" s="61" t="e">
        <f>VLOOKUP(T138,Sheet3!$C$3:$F$16,4,)</f>
        <v>#N/A</v>
      </c>
      <c r="X138" s="61" t="e">
        <f>VLOOKUP(T138,Sheet3!$C$3:$F$16,3,)</f>
        <v>#N/A</v>
      </c>
    </row>
    <row r="139" spans="1:24" s="424" customFormat="1" ht="14.25" customHeight="1">
      <c r="A139" s="61" t="str">
        <f t="shared" si="11"/>
        <v/>
      </c>
      <c r="B139" s="762"/>
      <c r="C139" s="763"/>
      <c r="D139" s="761"/>
      <c r="E139" s="781"/>
      <c r="F139" s="749"/>
      <c r="G139" s="760"/>
      <c r="H139" s="752"/>
      <c r="I139" s="729">
        <f t="shared" si="12"/>
        <v>0</v>
      </c>
      <c r="J139" s="749"/>
      <c r="K139" s="729">
        <v>0</v>
      </c>
      <c r="L139" s="761"/>
      <c r="M139" s="761"/>
      <c r="N139" s="764"/>
      <c r="O139" s="765"/>
      <c r="P139" s="766"/>
      <c r="Q139" s="766"/>
      <c r="R139" s="767"/>
      <c r="S139" s="768"/>
      <c r="T139" s="769"/>
      <c r="U139" s="61"/>
      <c r="V139" s="61" t="e">
        <f>VLOOKUP(T139,Sheet3!$C$3:$F$16,2,)</f>
        <v>#N/A</v>
      </c>
      <c r="W139" s="61" t="e">
        <f>VLOOKUP(T139,Sheet3!$C$3:$F$16,4,)</f>
        <v>#N/A</v>
      </c>
      <c r="X139" s="61" t="e">
        <f>VLOOKUP(T139,Sheet3!$C$3:$F$16,3,)</f>
        <v>#N/A</v>
      </c>
    </row>
    <row r="140" spans="1:24" ht="26">
      <c r="A140" s="61" t="str">
        <f t="shared" si="11"/>
        <v>Air Mineral pada pelaksanaan kegiatan bulanan Gerakan Bersih Lingkungan Sekolah2</v>
      </c>
      <c r="B140" s="745">
        <v>17</v>
      </c>
      <c r="C140" s="728" t="s">
        <v>3543</v>
      </c>
      <c r="D140" s="744" t="s">
        <v>3708</v>
      </c>
      <c r="E140" s="779">
        <f t="shared" ref="E140:E203" si="14">F140-2</f>
        <v>45687</v>
      </c>
      <c r="F140" s="730" t="s">
        <v>3709</v>
      </c>
      <c r="G140" s="731">
        <v>44</v>
      </c>
      <c r="H140" s="730" t="s">
        <v>3712</v>
      </c>
      <c r="I140" s="729">
        <f t="shared" si="12"/>
        <v>44</v>
      </c>
      <c r="J140" s="730" t="s">
        <v>3712</v>
      </c>
      <c r="K140" s="729" t="s">
        <v>3444</v>
      </c>
      <c r="L140" s="729" t="s">
        <v>3546</v>
      </c>
      <c r="M140" s="729" t="s">
        <v>2442</v>
      </c>
      <c r="N140" s="732">
        <v>25</v>
      </c>
      <c r="O140" s="733" t="s">
        <v>3547</v>
      </c>
      <c r="P140" s="734">
        <v>50000</v>
      </c>
      <c r="Q140" s="734">
        <v>1250000</v>
      </c>
      <c r="R140" s="735"/>
      <c r="S140" s="759">
        <v>2</v>
      </c>
      <c r="T140" s="736" t="s">
        <v>10</v>
      </c>
      <c r="V140" s="61" t="str">
        <f>VLOOKUP(T140,Sheet3!$C$3:$F$16,2,)</f>
        <v>Fudi Supiyanto</v>
      </c>
      <c r="W140" s="61" t="str">
        <f>VLOOKUP(T140,Sheet3!$C$3:$F$16,4,)</f>
        <v>082164895397</v>
      </c>
      <c r="X140" s="61" t="str">
        <f>VLOOKUP(T140,Sheet3!$C$3:$F$16,3,)</f>
        <v>Jln Ahmad Yani No.89 Kel. Pasar Telukdalam, Nias Selatan</v>
      </c>
    </row>
    <row r="141" spans="1:24" ht="26">
      <c r="A141" s="61" t="str">
        <f t="shared" si="11"/>
        <v>Plastik Mika2</v>
      </c>
      <c r="B141" s="745">
        <v>27</v>
      </c>
      <c r="C141" s="728" t="s">
        <v>3558</v>
      </c>
      <c r="D141" s="744" t="s">
        <v>3559</v>
      </c>
      <c r="E141" s="779">
        <f t="shared" si="14"/>
        <v>45687</v>
      </c>
      <c r="F141" s="730" t="s">
        <v>3709</v>
      </c>
      <c r="G141" s="731">
        <v>45</v>
      </c>
      <c r="H141" s="730" t="s">
        <v>3709</v>
      </c>
      <c r="I141" s="729">
        <f t="shared" si="12"/>
        <v>45</v>
      </c>
      <c r="J141" s="730" t="s">
        <v>3710</v>
      </c>
      <c r="K141" s="729" t="s">
        <v>3445</v>
      </c>
      <c r="L141" s="729" t="s">
        <v>3560</v>
      </c>
      <c r="M141" s="729" t="str">
        <f>L141</f>
        <v>Plastik Mika</v>
      </c>
      <c r="N141" s="732">
        <v>5</v>
      </c>
      <c r="O141" s="733" t="s">
        <v>3561</v>
      </c>
      <c r="P141" s="734">
        <v>60000</v>
      </c>
      <c r="Q141" s="734">
        <v>300000</v>
      </c>
      <c r="R141" s="735"/>
      <c r="S141" s="759">
        <v>2</v>
      </c>
      <c r="T141" s="61" t="s">
        <v>227</v>
      </c>
      <c r="V141" s="61" t="str">
        <f>VLOOKUP(T141,Sheet3!$C$3:$F$16,2,)</f>
        <v>Gestiwan Bazikho</v>
      </c>
      <c r="W141" s="61" t="str">
        <f>VLOOKUP(T141,Sheet3!$C$3:$F$16,4,)</f>
        <v>081375309828</v>
      </c>
      <c r="X141" s="61" t="str">
        <f>VLOOKUP(T141,Sheet3!$C$3:$F$16,3,)</f>
        <v>Jl. Diponegoro Kel. Pasar Telukdalam - Nias Selatan</v>
      </c>
    </row>
    <row r="142" spans="1:24" ht="26">
      <c r="A142" s="61" t="str">
        <f t="shared" si="11"/>
        <v>Kertas Warna Blank Folio, Ukuran : 8,5 x 14",  70 gram2</v>
      </c>
      <c r="B142" s="745">
        <v>28</v>
      </c>
      <c r="C142" s="728" t="s">
        <v>3558</v>
      </c>
      <c r="D142" s="744" t="s">
        <v>3559</v>
      </c>
      <c r="E142" s="779">
        <f t="shared" si="14"/>
        <v>45687</v>
      </c>
      <c r="F142" s="730" t="s">
        <v>3709</v>
      </c>
      <c r="G142" s="731">
        <v>45</v>
      </c>
      <c r="H142" s="730" t="s">
        <v>3709</v>
      </c>
      <c r="I142" s="729">
        <f t="shared" si="12"/>
        <v>45</v>
      </c>
      <c r="J142" s="730" t="s">
        <v>3710</v>
      </c>
      <c r="K142" s="729" t="s">
        <v>3445</v>
      </c>
      <c r="L142" s="729" t="s">
        <v>3562</v>
      </c>
      <c r="M142" s="729" t="str">
        <f t="shared" ref="M142:M192" si="15">L142</f>
        <v>Kertas Warna Blank Folio, Ukuran : 8,5 x 14",  70 gram</v>
      </c>
      <c r="N142" s="732">
        <v>2</v>
      </c>
      <c r="O142" s="733" t="s">
        <v>3563</v>
      </c>
      <c r="P142" s="734">
        <v>90000</v>
      </c>
      <c r="Q142" s="734">
        <v>180000</v>
      </c>
      <c r="R142" s="735"/>
      <c r="S142" s="759">
        <v>2</v>
      </c>
      <c r="T142" s="61" t="s">
        <v>227</v>
      </c>
      <c r="V142" s="61" t="str">
        <f>VLOOKUP(T142,Sheet3!$C$3:$F$16,2,)</f>
        <v>Gestiwan Bazikho</v>
      </c>
      <c r="W142" s="61" t="str">
        <f>VLOOKUP(T142,Sheet3!$C$3:$F$16,4,)</f>
        <v>081375309828</v>
      </c>
      <c r="X142" s="61" t="str">
        <f>VLOOKUP(T142,Sheet3!$C$3:$F$16,3,)</f>
        <v>Jl. Diponegoro Kel. Pasar Telukdalam - Nias Selatan</v>
      </c>
    </row>
    <row r="143" spans="1:24" ht="26">
      <c r="A143" s="61" t="str">
        <f t="shared" si="11"/>
        <v>Kertas Lain-Lain Kertas Buffalo2</v>
      </c>
      <c r="B143" s="745">
        <v>29</v>
      </c>
      <c r="C143" s="728" t="s">
        <v>3558</v>
      </c>
      <c r="D143" s="744" t="s">
        <v>3559</v>
      </c>
      <c r="E143" s="779">
        <f t="shared" si="14"/>
        <v>45687</v>
      </c>
      <c r="F143" s="730" t="s">
        <v>3709</v>
      </c>
      <c r="G143" s="731">
        <v>45</v>
      </c>
      <c r="H143" s="730" t="s">
        <v>3709</v>
      </c>
      <c r="I143" s="729">
        <f t="shared" si="12"/>
        <v>45</v>
      </c>
      <c r="J143" s="730" t="s">
        <v>3710</v>
      </c>
      <c r="K143" s="729" t="s">
        <v>3445</v>
      </c>
      <c r="L143" s="729" t="s">
        <v>3564</v>
      </c>
      <c r="M143" s="729" t="str">
        <f t="shared" si="15"/>
        <v>Kertas Lain-Lain Kertas Buffalo</v>
      </c>
      <c r="N143" s="732">
        <v>5</v>
      </c>
      <c r="O143" s="733" t="s">
        <v>3561</v>
      </c>
      <c r="P143" s="734">
        <v>31000</v>
      </c>
      <c r="Q143" s="734">
        <v>155000</v>
      </c>
      <c r="R143" s="735"/>
      <c r="S143" s="759">
        <v>2</v>
      </c>
      <c r="T143" s="61" t="s">
        <v>227</v>
      </c>
      <c r="V143" s="61" t="str">
        <f>VLOOKUP(T143,Sheet3!$C$3:$F$16,2,)</f>
        <v>Gestiwan Bazikho</v>
      </c>
      <c r="W143" s="61" t="str">
        <f>VLOOKUP(T143,Sheet3!$C$3:$F$16,4,)</f>
        <v>081375309828</v>
      </c>
      <c r="X143" s="61" t="str">
        <f>VLOOKUP(T143,Sheet3!$C$3:$F$16,3,)</f>
        <v>Jl. Diponegoro Kel. Pasar Telukdalam - Nias Selatan</v>
      </c>
    </row>
    <row r="144" spans="1:24" ht="26">
      <c r="A144" s="61" t="str">
        <f t="shared" si="11"/>
        <v>Kertas Post-It Warna Warni  Sign Here2</v>
      </c>
      <c r="B144" s="745">
        <v>30</v>
      </c>
      <c r="C144" s="737" t="s">
        <v>3558</v>
      </c>
      <c r="D144" s="744" t="s">
        <v>3559</v>
      </c>
      <c r="E144" s="779">
        <f t="shared" si="14"/>
        <v>45687</v>
      </c>
      <c r="F144" s="730" t="s">
        <v>3709</v>
      </c>
      <c r="G144" s="731">
        <v>45</v>
      </c>
      <c r="H144" s="730" t="s">
        <v>3709</v>
      </c>
      <c r="I144" s="729">
        <f t="shared" si="12"/>
        <v>45</v>
      </c>
      <c r="J144" s="730" t="s">
        <v>3710</v>
      </c>
      <c r="K144" s="729" t="s">
        <v>3445</v>
      </c>
      <c r="L144" s="738" t="s">
        <v>3565</v>
      </c>
      <c r="M144" s="729" t="str">
        <f t="shared" si="15"/>
        <v>Kertas Post-It Warna Warni  Sign Here</v>
      </c>
      <c r="N144" s="739">
        <v>5</v>
      </c>
      <c r="O144" s="733" t="s">
        <v>3557</v>
      </c>
      <c r="P144" s="734">
        <v>22800</v>
      </c>
      <c r="Q144" s="734">
        <v>114000</v>
      </c>
      <c r="R144" s="735"/>
      <c r="S144" s="759">
        <v>2</v>
      </c>
      <c r="T144" s="61" t="s">
        <v>227</v>
      </c>
      <c r="V144" s="61" t="str">
        <f>VLOOKUP(T144,Sheet3!$C$3:$F$16,2,)</f>
        <v>Gestiwan Bazikho</v>
      </c>
      <c r="W144" s="61" t="str">
        <f>VLOOKUP(T144,Sheet3!$C$3:$F$16,4,)</f>
        <v>081375309828</v>
      </c>
      <c r="X144" s="61" t="str">
        <f>VLOOKUP(T144,Sheet3!$C$3:$F$16,3,)</f>
        <v>Jl. Diponegoro Kel. Pasar Telukdalam - Nias Selatan</v>
      </c>
    </row>
    <row r="145" spans="1:24" ht="26">
      <c r="A145" s="61" t="str">
        <f t="shared" si="11"/>
        <v>Kertas HVS 60 gram Merk : Paper One HVS F4 uk. 8.27"x11.69"2</v>
      </c>
      <c r="B145" s="745">
        <v>31</v>
      </c>
      <c r="C145" s="737" t="s">
        <v>3558</v>
      </c>
      <c r="D145" s="744" t="s">
        <v>3559</v>
      </c>
      <c r="E145" s="779">
        <f t="shared" si="14"/>
        <v>45687</v>
      </c>
      <c r="F145" s="730" t="s">
        <v>3709</v>
      </c>
      <c r="G145" s="731">
        <v>45</v>
      </c>
      <c r="H145" s="730" t="s">
        <v>3709</v>
      </c>
      <c r="I145" s="729">
        <f t="shared" si="12"/>
        <v>45</v>
      </c>
      <c r="J145" s="730" t="s">
        <v>3710</v>
      </c>
      <c r="K145" s="729" t="s">
        <v>3445</v>
      </c>
      <c r="L145" s="738" t="s">
        <v>3566</v>
      </c>
      <c r="M145" s="729" t="str">
        <f t="shared" si="15"/>
        <v>Kertas HVS 60 gram Merk : Paper One HVS F4 uk. 8.27"x11.69"</v>
      </c>
      <c r="N145" s="739">
        <v>10</v>
      </c>
      <c r="O145" s="733" t="s">
        <v>3563</v>
      </c>
      <c r="P145" s="734">
        <v>48500</v>
      </c>
      <c r="Q145" s="734">
        <v>485000</v>
      </c>
      <c r="R145" s="735"/>
      <c r="S145" s="759">
        <v>2</v>
      </c>
      <c r="T145" s="61" t="s">
        <v>227</v>
      </c>
      <c r="V145" s="61" t="str">
        <f>VLOOKUP(T145,Sheet3!$C$3:$F$16,2,)</f>
        <v>Gestiwan Bazikho</v>
      </c>
      <c r="W145" s="61" t="str">
        <f>VLOOKUP(T145,Sheet3!$C$3:$F$16,4,)</f>
        <v>081375309828</v>
      </c>
      <c r="X145" s="61" t="str">
        <f>VLOOKUP(T145,Sheet3!$C$3:$F$16,3,)</f>
        <v>Jl. Diponegoro Kel. Pasar Telukdalam - Nias Selatan</v>
      </c>
    </row>
    <row r="146" spans="1:24" ht="26">
      <c r="A146" s="61" t="str">
        <f t="shared" si="11"/>
        <v>Kertas HVS 80 gram Merk : Paper One A4, Ukuran : 8,27" x 11,69", Isi : 500 lembar2</v>
      </c>
      <c r="B146" s="745">
        <v>32</v>
      </c>
      <c r="C146" s="737" t="s">
        <v>3558</v>
      </c>
      <c r="D146" s="744" t="s">
        <v>3559</v>
      </c>
      <c r="E146" s="779">
        <f t="shared" si="14"/>
        <v>45687</v>
      </c>
      <c r="F146" s="730" t="s">
        <v>3709</v>
      </c>
      <c r="G146" s="731">
        <v>45</v>
      </c>
      <c r="H146" s="730" t="s">
        <v>3709</v>
      </c>
      <c r="I146" s="729">
        <f t="shared" si="12"/>
        <v>45</v>
      </c>
      <c r="J146" s="730" t="s">
        <v>3710</v>
      </c>
      <c r="K146" s="729" t="s">
        <v>3445</v>
      </c>
      <c r="L146" s="738" t="s">
        <v>3567</v>
      </c>
      <c r="M146" s="729" t="str">
        <f t="shared" si="15"/>
        <v>Kertas HVS 80 gram Merk : Paper One A4, Ukuran : 8,27" x 11,69", Isi : 500 lembar</v>
      </c>
      <c r="N146" s="739">
        <v>40</v>
      </c>
      <c r="O146" s="733" t="s">
        <v>3563</v>
      </c>
      <c r="P146" s="734">
        <v>50000</v>
      </c>
      <c r="Q146" s="734">
        <v>2000000</v>
      </c>
      <c r="R146" s="735"/>
      <c r="S146" s="759">
        <v>2</v>
      </c>
      <c r="T146" s="61" t="s">
        <v>227</v>
      </c>
      <c r="V146" s="61" t="str">
        <f>VLOOKUP(T146,Sheet3!$C$3:$F$16,2,)</f>
        <v>Gestiwan Bazikho</v>
      </c>
      <c r="W146" s="61" t="str">
        <f>VLOOKUP(T146,Sheet3!$C$3:$F$16,4,)</f>
        <v>081375309828</v>
      </c>
      <c r="X146" s="61" t="str">
        <f>VLOOKUP(T146,Sheet3!$C$3:$F$16,3,)</f>
        <v>Jl. Diponegoro Kel. Pasar Telukdalam - Nias Selatan</v>
      </c>
    </row>
    <row r="147" spans="1:24" ht="26">
      <c r="A147" s="61" t="str">
        <f t="shared" si="11"/>
        <v>Kertas StensiI2</v>
      </c>
      <c r="B147" s="745">
        <v>33</v>
      </c>
      <c r="C147" s="737" t="s">
        <v>3558</v>
      </c>
      <c r="D147" s="744" t="s">
        <v>3559</v>
      </c>
      <c r="E147" s="779">
        <f t="shared" si="14"/>
        <v>45687</v>
      </c>
      <c r="F147" s="730" t="s">
        <v>3709</v>
      </c>
      <c r="G147" s="731">
        <v>45</v>
      </c>
      <c r="H147" s="730" t="s">
        <v>3709</v>
      </c>
      <c r="I147" s="729">
        <f t="shared" si="12"/>
        <v>45</v>
      </c>
      <c r="J147" s="730" t="s">
        <v>3710</v>
      </c>
      <c r="K147" s="729" t="s">
        <v>3445</v>
      </c>
      <c r="L147" s="738" t="s">
        <v>3568</v>
      </c>
      <c r="M147" s="729" t="str">
        <f t="shared" si="15"/>
        <v>Kertas StensiI</v>
      </c>
      <c r="N147" s="739">
        <v>10</v>
      </c>
      <c r="O147" s="733" t="s">
        <v>3561</v>
      </c>
      <c r="P147" s="734">
        <v>50000</v>
      </c>
      <c r="Q147" s="734">
        <v>500000</v>
      </c>
      <c r="R147" s="735"/>
      <c r="S147" s="759">
        <v>2</v>
      </c>
      <c r="T147" s="61" t="s">
        <v>227</v>
      </c>
      <c r="V147" s="61" t="str">
        <f>VLOOKUP(T147,Sheet3!$C$3:$F$16,2,)</f>
        <v>Gestiwan Bazikho</v>
      </c>
      <c r="W147" s="61" t="str">
        <f>VLOOKUP(T147,Sheet3!$C$3:$F$16,4,)</f>
        <v>081375309828</v>
      </c>
      <c r="X147" s="61" t="str">
        <f>VLOOKUP(T147,Sheet3!$C$3:$F$16,3,)</f>
        <v>Jl. Diponegoro Kel. Pasar Telukdalam - Nias Selatan</v>
      </c>
    </row>
    <row r="148" spans="1:24" ht="26">
      <c r="A148" s="61" t="str">
        <f t="shared" si="11"/>
        <v>Kertas Label2</v>
      </c>
      <c r="B148" s="745">
        <v>34</v>
      </c>
      <c r="C148" s="737" t="s">
        <v>3558</v>
      </c>
      <c r="D148" s="744" t="s">
        <v>3559</v>
      </c>
      <c r="E148" s="779">
        <f t="shared" si="14"/>
        <v>45687</v>
      </c>
      <c r="F148" s="730" t="s">
        <v>3709</v>
      </c>
      <c r="G148" s="731">
        <v>45</v>
      </c>
      <c r="H148" s="730" t="s">
        <v>3709</v>
      </c>
      <c r="I148" s="729">
        <f t="shared" si="12"/>
        <v>45</v>
      </c>
      <c r="J148" s="730" t="s">
        <v>3710</v>
      </c>
      <c r="K148" s="729" t="s">
        <v>3445</v>
      </c>
      <c r="L148" s="738" t="s">
        <v>3569</v>
      </c>
      <c r="M148" s="729" t="str">
        <f t="shared" si="15"/>
        <v>Kertas Label</v>
      </c>
      <c r="N148" s="739">
        <v>5</v>
      </c>
      <c r="O148" s="733" t="s">
        <v>3570</v>
      </c>
      <c r="P148" s="734">
        <v>25000</v>
      </c>
      <c r="Q148" s="734">
        <v>125000</v>
      </c>
      <c r="R148" s="735"/>
      <c r="S148" s="759">
        <v>2</v>
      </c>
      <c r="T148" s="61" t="s">
        <v>227</v>
      </c>
      <c r="V148" s="61" t="str">
        <f>VLOOKUP(T148,Sheet3!$C$3:$F$16,2,)</f>
        <v>Gestiwan Bazikho</v>
      </c>
      <c r="W148" s="61" t="str">
        <f>VLOOKUP(T148,Sheet3!$C$3:$F$16,4,)</f>
        <v>081375309828</v>
      </c>
      <c r="X148" s="61" t="str">
        <f>VLOOKUP(T148,Sheet3!$C$3:$F$16,3,)</f>
        <v>Jl. Diponegoro Kel. Pasar Telukdalam - Nias Selatan</v>
      </c>
    </row>
    <row r="149" spans="1:24" ht="26">
      <c r="A149" s="61" t="str">
        <f t="shared" si="11"/>
        <v>Amplop Coklat Merk : GSU Ukuran : 1/2 folio, bergaris2</v>
      </c>
      <c r="B149" s="745">
        <v>35</v>
      </c>
      <c r="C149" s="737" t="s">
        <v>3558</v>
      </c>
      <c r="D149" s="744" t="s">
        <v>3559</v>
      </c>
      <c r="E149" s="779">
        <f t="shared" si="14"/>
        <v>45687</v>
      </c>
      <c r="F149" s="730" t="s">
        <v>3709</v>
      </c>
      <c r="G149" s="731">
        <v>45</v>
      </c>
      <c r="H149" s="730" t="s">
        <v>3709</v>
      </c>
      <c r="I149" s="729">
        <f t="shared" si="12"/>
        <v>45</v>
      </c>
      <c r="J149" s="730" t="s">
        <v>3710</v>
      </c>
      <c r="K149" s="729" t="s">
        <v>3445</v>
      </c>
      <c r="L149" s="738" t="s">
        <v>3571</v>
      </c>
      <c r="M149" s="729" t="str">
        <f t="shared" si="15"/>
        <v>Amplop Coklat Merk : GSU Ukuran : 1/2 folio, bergaris</v>
      </c>
      <c r="N149" s="739">
        <v>1</v>
      </c>
      <c r="O149" s="733" t="s">
        <v>3561</v>
      </c>
      <c r="P149" s="734">
        <v>45000</v>
      </c>
      <c r="Q149" s="734">
        <v>45000</v>
      </c>
      <c r="R149" s="735"/>
      <c r="S149" s="759">
        <v>2</v>
      </c>
      <c r="T149" s="61" t="s">
        <v>227</v>
      </c>
      <c r="V149" s="61" t="str">
        <f>VLOOKUP(T149,Sheet3!$C$3:$F$16,2,)</f>
        <v>Gestiwan Bazikho</v>
      </c>
      <c r="W149" s="61" t="str">
        <f>VLOOKUP(T149,Sheet3!$C$3:$F$16,4,)</f>
        <v>081375309828</v>
      </c>
      <c r="X149" s="61" t="str">
        <f>VLOOKUP(T149,Sheet3!$C$3:$F$16,3,)</f>
        <v>Jl. Diponegoro Kel. Pasar Telukdalam - Nias Selatan</v>
      </c>
    </row>
    <row r="150" spans="1:24" ht="26">
      <c r="A150" s="61" t="str">
        <f t="shared" si="11"/>
        <v>Amplop Coklat Merk : Garda Ukuran Cabinet2</v>
      </c>
      <c r="B150" s="745">
        <v>36</v>
      </c>
      <c r="C150" s="737" t="s">
        <v>3558</v>
      </c>
      <c r="D150" s="744" t="s">
        <v>3559</v>
      </c>
      <c r="E150" s="779">
        <f t="shared" si="14"/>
        <v>45687</v>
      </c>
      <c r="F150" s="730" t="s">
        <v>3709</v>
      </c>
      <c r="G150" s="731">
        <v>45</v>
      </c>
      <c r="H150" s="730" t="s">
        <v>3709</v>
      </c>
      <c r="I150" s="729">
        <f t="shared" si="12"/>
        <v>45</v>
      </c>
      <c r="J150" s="730" t="s">
        <v>3710</v>
      </c>
      <c r="K150" s="729" t="s">
        <v>3445</v>
      </c>
      <c r="L150" s="738" t="s">
        <v>3572</v>
      </c>
      <c r="M150" s="729" t="str">
        <f t="shared" si="15"/>
        <v>Amplop Coklat Merk : Garda Ukuran Cabinet</v>
      </c>
      <c r="N150" s="739">
        <v>3</v>
      </c>
      <c r="O150" s="733" t="s">
        <v>3561</v>
      </c>
      <c r="P150" s="734">
        <v>23000</v>
      </c>
      <c r="Q150" s="734">
        <v>69000</v>
      </c>
      <c r="R150" s="735"/>
      <c r="S150" s="759">
        <v>2</v>
      </c>
      <c r="T150" s="61" t="s">
        <v>227</v>
      </c>
      <c r="V150" s="61" t="str">
        <f>VLOOKUP(T150,Sheet3!$C$3:$F$16,2,)</f>
        <v>Gestiwan Bazikho</v>
      </c>
      <c r="W150" s="61" t="str">
        <f>VLOOKUP(T150,Sheet3!$C$3:$F$16,4,)</f>
        <v>081375309828</v>
      </c>
      <c r="X150" s="61" t="str">
        <f>VLOOKUP(T150,Sheet3!$C$3:$F$16,3,)</f>
        <v>Jl. Diponegoro Kel. Pasar Telukdalam - Nias Selatan</v>
      </c>
    </row>
    <row r="151" spans="1:24" ht="26">
      <c r="A151" s="61" t="str">
        <f t="shared" si="11"/>
        <v>Amplop Coklat Merk : GSU Ukuran Folio polos2</v>
      </c>
      <c r="B151" s="745">
        <v>37</v>
      </c>
      <c r="C151" s="737" t="s">
        <v>3558</v>
      </c>
      <c r="D151" s="744" t="s">
        <v>3559</v>
      </c>
      <c r="E151" s="779">
        <f t="shared" si="14"/>
        <v>45687</v>
      </c>
      <c r="F151" s="730" t="s">
        <v>3709</v>
      </c>
      <c r="G151" s="731">
        <v>45</v>
      </c>
      <c r="H151" s="730" t="s">
        <v>3709</v>
      </c>
      <c r="I151" s="729">
        <f t="shared" si="12"/>
        <v>45</v>
      </c>
      <c r="J151" s="730" t="s">
        <v>3710</v>
      </c>
      <c r="K151" s="729" t="s">
        <v>3445</v>
      </c>
      <c r="L151" s="738" t="s">
        <v>3573</v>
      </c>
      <c r="M151" s="729" t="str">
        <f t="shared" si="15"/>
        <v>Amplop Coklat Merk : GSU Ukuran Folio polos</v>
      </c>
      <c r="N151" s="739">
        <v>2</v>
      </c>
      <c r="O151" s="733" t="s">
        <v>3561</v>
      </c>
      <c r="P151" s="734">
        <v>60000</v>
      </c>
      <c r="Q151" s="734">
        <v>120000</v>
      </c>
      <c r="R151" s="735"/>
      <c r="S151" s="759">
        <v>2</v>
      </c>
      <c r="T151" s="61" t="s">
        <v>227</v>
      </c>
      <c r="V151" s="61" t="str">
        <f>VLOOKUP(T151,Sheet3!$C$3:$F$16,2,)</f>
        <v>Gestiwan Bazikho</v>
      </c>
      <c r="W151" s="61" t="str">
        <f>VLOOKUP(T151,Sheet3!$C$3:$F$16,4,)</f>
        <v>081375309828</v>
      </c>
      <c r="X151" s="61" t="str">
        <f>VLOOKUP(T151,Sheet3!$C$3:$F$16,3,)</f>
        <v>Jl. Diponegoro Kel. Pasar Telukdalam - Nias Selatan</v>
      </c>
    </row>
    <row r="152" spans="1:24" ht="26">
      <c r="A152" s="61" t="str">
        <f t="shared" si="11"/>
        <v>Amplop Panjang Putih Polos Merk : Jaya Ukuran : 11 x 23 cm2</v>
      </c>
      <c r="B152" s="745">
        <v>38</v>
      </c>
      <c r="C152" s="737" t="s">
        <v>3558</v>
      </c>
      <c r="D152" s="744" t="s">
        <v>3559</v>
      </c>
      <c r="E152" s="779">
        <f t="shared" si="14"/>
        <v>45687</v>
      </c>
      <c r="F152" s="730" t="s">
        <v>3709</v>
      </c>
      <c r="G152" s="731">
        <v>45</v>
      </c>
      <c r="H152" s="730" t="s">
        <v>3709</v>
      </c>
      <c r="I152" s="729">
        <f t="shared" si="12"/>
        <v>45</v>
      </c>
      <c r="J152" s="730" t="s">
        <v>3710</v>
      </c>
      <c r="K152" s="729" t="s">
        <v>3445</v>
      </c>
      <c r="L152" s="738" t="s">
        <v>3574</v>
      </c>
      <c r="M152" s="729" t="str">
        <f t="shared" si="15"/>
        <v>Amplop Panjang Putih Polos Merk : Jaya Ukuran : 11 x 23 cm</v>
      </c>
      <c r="N152" s="739">
        <v>1</v>
      </c>
      <c r="O152" s="733" t="s">
        <v>3575</v>
      </c>
      <c r="P152" s="734">
        <v>48000</v>
      </c>
      <c r="Q152" s="734">
        <v>48000</v>
      </c>
      <c r="R152" s="735"/>
      <c r="S152" s="759">
        <v>2</v>
      </c>
      <c r="T152" s="61" t="s">
        <v>227</v>
      </c>
      <c r="V152" s="61" t="str">
        <f>VLOOKUP(T152,Sheet3!$C$3:$F$16,2,)</f>
        <v>Gestiwan Bazikho</v>
      </c>
      <c r="W152" s="61" t="str">
        <f>VLOOKUP(T152,Sheet3!$C$3:$F$16,4,)</f>
        <v>081375309828</v>
      </c>
      <c r="X152" s="61" t="str">
        <f>VLOOKUP(T152,Sheet3!$C$3:$F$16,3,)</f>
        <v>Jl. Diponegoro Kel. Pasar Telukdalam - Nias Selatan</v>
      </c>
    </row>
    <row r="153" spans="1:24" ht="26">
      <c r="A153" s="61" t="str">
        <f t="shared" si="11"/>
        <v>Ballpoint Drawing Pen 0,1 Snowman2</v>
      </c>
      <c r="B153" s="745">
        <v>39</v>
      </c>
      <c r="C153" s="737" t="s">
        <v>3558</v>
      </c>
      <c r="D153" s="744" t="s">
        <v>3559</v>
      </c>
      <c r="E153" s="779">
        <f t="shared" si="14"/>
        <v>45687</v>
      </c>
      <c r="F153" s="730" t="s">
        <v>3709</v>
      </c>
      <c r="G153" s="731">
        <v>45</v>
      </c>
      <c r="H153" s="730" t="s">
        <v>3709</v>
      </c>
      <c r="I153" s="729">
        <f t="shared" si="12"/>
        <v>45</v>
      </c>
      <c r="J153" s="730" t="s">
        <v>3710</v>
      </c>
      <c r="K153" s="729" t="s">
        <v>3445</v>
      </c>
      <c r="L153" s="738" t="s">
        <v>3578</v>
      </c>
      <c r="M153" s="729" t="str">
        <f t="shared" si="15"/>
        <v>Ballpoint Drawing Pen 0,1 Snowman</v>
      </c>
      <c r="N153" s="739">
        <v>1</v>
      </c>
      <c r="O153" s="733" t="s">
        <v>3577</v>
      </c>
      <c r="P153" s="734">
        <v>95000</v>
      </c>
      <c r="Q153" s="734">
        <v>95000</v>
      </c>
      <c r="R153" s="735"/>
      <c r="S153" s="759">
        <v>2</v>
      </c>
      <c r="T153" s="61" t="s">
        <v>227</v>
      </c>
      <c r="V153" s="61" t="str">
        <f>VLOOKUP(T153,Sheet3!$C$3:$F$16,2,)</f>
        <v>Gestiwan Bazikho</v>
      </c>
      <c r="W153" s="61" t="str">
        <f>VLOOKUP(T153,Sheet3!$C$3:$F$16,4,)</f>
        <v>081375309828</v>
      </c>
      <c r="X153" s="61" t="str">
        <f>VLOOKUP(T153,Sheet3!$C$3:$F$16,3,)</f>
        <v>Jl. Diponegoro Kel. Pasar Telukdalam - Nias Selatan</v>
      </c>
    </row>
    <row r="154" spans="1:24" ht="26">
      <c r="A154" s="61" t="str">
        <f t="shared" si="11"/>
        <v>Ballpoint Standard AE72</v>
      </c>
      <c r="B154" s="745">
        <v>40</v>
      </c>
      <c r="C154" s="737" t="s">
        <v>3558</v>
      </c>
      <c r="D154" s="744" t="s">
        <v>3559</v>
      </c>
      <c r="E154" s="779">
        <f t="shared" si="14"/>
        <v>45687</v>
      </c>
      <c r="F154" s="730" t="s">
        <v>3709</v>
      </c>
      <c r="G154" s="731">
        <v>45</v>
      </c>
      <c r="H154" s="730" t="s">
        <v>3709</v>
      </c>
      <c r="I154" s="729">
        <f t="shared" si="12"/>
        <v>45</v>
      </c>
      <c r="J154" s="730" t="s">
        <v>3710</v>
      </c>
      <c r="K154" s="729" t="s">
        <v>3445</v>
      </c>
      <c r="L154" s="738" t="s">
        <v>3579</v>
      </c>
      <c r="M154" s="729" t="str">
        <f t="shared" si="15"/>
        <v>Ballpoint Standard AE7</v>
      </c>
      <c r="N154" s="739">
        <v>2</v>
      </c>
      <c r="O154" s="733" t="s">
        <v>3577</v>
      </c>
      <c r="P154" s="734">
        <v>20000</v>
      </c>
      <c r="Q154" s="734">
        <v>40000</v>
      </c>
      <c r="R154" s="735"/>
      <c r="S154" s="759">
        <v>2</v>
      </c>
      <c r="T154" s="61" t="s">
        <v>227</v>
      </c>
      <c r="V154" s="61" t="str">
        <f>VLOOKUP(T154,Sheet3!$C$3:$F$16,2,)</f>
        <v>Gestiwan Bazikho</v>
      </c>
      <c r="W154" s="61" t="str">
        <f>VLOOKUP(T154,Sheet3!$C$3:$F$16,4,)</f>
        <v>081375309828</v>
      </c>
      <c r="X154" s="61" t="str">
        <f>VLOOKUP(T154,Sheet3!$C$3:$F$16,3,)</f>
        <v>Jl. Diponegoro Kel. Pasar Telukdalam - Nias Selatan</v>
      </c>
    </row>
    <row r="155" spans="1:24" ht="26">
      <c r="A155" s="61" t="str">
        <f t="shared" si="11"/>
        <v>Ballpoint Pilot G22</v>
      </c>
      <c r="B155" s="745">
        <v>41</v>
      </c>
      <c r="C155" s="737" t="s">
        <v>3558</v>
      </c>
      <c r="D155" s="729" t="s">
        <v>3559</v>
      </c>
      <c r="E155" s="779">
        <f t="shared" si="14"/>
        <v>45687</v>
      </c>
      <c r="F155" s="730" t="s">
        <v>3709</v>
      </c>
      <c r="G155" s="731">
        <v>45</v>
      </c>
      <c r="H155" s="730" t="s">
        <v>3709</v>
      </c>
      <c r="I155" s="729">
        <f t="shared" si="12"/>
        <v>45</v>
      </c>
      <c r="J155" s="730" t="s">
        <v>3710</v>
      </c>
      <c r="K155" s="729" t="s">
        <v>3445</v>
      </c>
      <c r="L155" s="738" t="s">
        <v>3580</v>
      </c>
      <c r="M155" s="729" t="str">
        <f t="shared" si="15"/>
        <v>Ballpoint Pilot G2</v>
      </c>
      <c r="N155" s="739">
        <v>1</v>
      </c>
      <c r="O155" s="733" t="s">
        <v>3577</v>
      </c>
      <c r="P155" s="734">
        <v>235000</v>
      </c>
      <c r="Q155" s="734">
        <v>235000</v>
      </c>
      <c r="R155" s="735"/>
      <c r="S155" s="759">
        <v>2</v>
      </c>
      <c r="T155" s="61" t="s">
        <v>227</v>
      </c>
      <c r="V155" s="61" t="str">
        <f>VLOOKUP(T155,Sheet3!$C$3:$F$16,2,)</f>
        <v>Gestiwan Bazikho</v>
      </c>
      <c r="W155" s="61" t="str">
        <f>VLOOKUP(T155,Sheet3!$C$3:$F$16,4,)</f>
        <v>081375309828</v>
      </c>
      <c r="X155" s="61" t="str">
        <f>VLOOKUP(T155,Sheet3!$C$3:$F$16,3,)</f>
        <v>Jl. Diponegoro Kel. Pasar Telukdalam - Nias Selatan</v>
      </c>
    </row>
    <row r="156" spans="1:24" ht="26">
      <c r="A156" s="61" t="str">
        <f t="shared" si="11"/>
        <v>Binder Klip  nomor 1072</v>
      </c>
      <c r="B156" s="745">
        <v>42</v>
      </c>
      <c r="C156" s="737" t="s">
        <v>3558</v>
      </c>
      <c r="D156" s="729" t="s">
        <v>3559</v>
      </c>
      <c r="E156" s="779">
        <f t="shared" si="14"/>
        <v>45687</v>
      </c>
      <c r="F156" s="730" t="s">
        <v>3709</v>
      </c>
      <c r="G156" s="731">
        <v>45</v>
      </c>
      <c r="H156" s="730" t="s">
        <v>3709</v>
      </c>
      <c r="I156" s="729">
        <f t="shared" si="12"/>
        <v>45</v>
      </c>
      <c r="J156" s="730" t="s">
        <v>3710</v>
      </c>
      <c r="K156" s="729" t="s">
        <v>3445</v>
      </c>
      <c r="L156" s="738" t="s">
        <v>3581</v>
      </c>
      <c r="M156" s="729" t="str">
        <f t="shared" si="15"/>
        <v>Binder Klip  nomor 107</v>
      </c>
      <c r="N156" s="739">
        <v>5</v>
      </c>
      <c r="O156" s="733" t="s">
        <v>3575</v>
      </c>
      <c r="P156" s="734">
        <v>7800</v>
      </c>
      <c r="Q156" s="734">
        <v>39000</v>
      </c>
      <c r="R156" s="735"/>
      <c r="S156" s="759">
        <v>2</v>
      </c>
      <c r="T156" s="61" t="s">
        <v>227</v>
      </c>
      <c r="V156" s="61" t="str">
        <f>VLOOKUP(T156,Sheet3!$C$3:$F$16,2,)</f>
        <v>Gestiwan Bazikho</v>
      </c>
      <c r="W156" s="61" t="str">
        <f>VLOOKUP(T156,Sheet3!$C$3:$F$16,4,)</f>
        <v>081375309828</v>
      </c>
      <c r="X156" s="61" t="str">
        <f>VLOOKUP(T156,Sheet3!$C$3:$F$16,3,)</f>
        <v>Jl. Diponegoro Kel. Pasar Telukdalam - Nias Selatan</v>
      </c>
    </row>
    <row r="157" spans="1:24" ht="26">
      <c r="A157" s="61" t="str">
        <f t="shared" si="11"/>
        <v>Binder Klip  nomor 1112</v>
      </c>
      <c r="B157" s="745">
        <v>43</v>
      </c>
      <c r="C157" s="737" t="s">
        <v>3558</v>
      </c>
      <c r="D157" s="729" t="s">
        <v>3559</v>
      </c>
      <c r="E157" s="779">
        <f t="shared" si="14"/>
        <v>45687</v>
      </c>
      <c r="F157" s="730" t="s">
        <v>3709</v>
      </c>
      <c r="G157" s="731">
        <v>45</v>
      </c>
      <c r="H157" s="730" t="s">
        <v>3709</v>
      </c>
      <c r="I157" s="729">
        <f t="shared" si="12"/>
        <v>45</v>
      </c>
      <c r="J157" s="730" t="s">
        <v>3710</v>
      </c>
      <c r="K157" s="729" t="s">
        <v>3445</v>
      </c>
      <c r="L157" s="738" t="s">
        <v>3582</v>
      </c>
      <c r="M157" s="729" t="str">
        <f t="shared" si="15"/>
        <v>Binder Klip  nomor 111</v>
      </c>
      <c r="N157" s="739">
        <v>5</v>
      </c>
      <c r="O157" s="733" t="s">
        <v>3575</v>
      </c>
      <c r="P157" s="734">
        <v>11000</v>
      </c>
      <c r="Q157" s="734">
        <v>55000</v>
      </c>
      <c r="R157" s="735"/>
      <c r="S157" s="759">
        <v>2</v>
      </c>
      <c r="T157" s="61" t="s">
        <v>227</v>
      </c>
      <c r="V157" s="61" t="str">
        <f>VLOOKUP(T157,Sheet3!$C$3:$F$16,2,)</f>
        <v>Gestiwan Bazikho</v>
      </c>
      <c r="W157" s="61" t="str">
        <f>VLOOKUP(T157,Sheet3!$C$3:$F$16,4,)</f>
        <v>081375309828</v>
      </c>
      <c r="X157" s="61" t="str">
        <f>VLOOKUP(T157,Sheet3!$C$3:$F$16,3,)</f>
        <v>Jl. Diponegoro Kel. Pasar Telukdalam - Nias Selatan</v>
      </c>
    </row>
    <row r="158" spans="1:24" ht="26">
      <c r="A158" s="61" t="str">
        <f t="shared" si="11"/>
        <v>Binder Klip  nomor 2002</v>
      </c>
      <c r="B158" s="745">
        <v>44</v>
      </c>
      <c r="C158" s="737" t="s">
        <v>3558</v>
      </c>
      <c r="D158" s="729" t="s">
        <v>3559</v>
      </c>
      <c r="E158" s="779">
        <f t="shared" si="14"/>
        <v>45687</v>
      </c>
      <c r="F158" s="730" t="s">
        <v>3709</v>
      </c>
      <c r="G158" s="731">
        <v>45</v>
      </c>
      <c r="H158" s="730" t="s">
        <v>3709</v>
      </c>
      <c r="I158" s="729">
        <f t="shared" si="12"/>
        <v>45</v>
      </c>
      <c r="J158" s="730" t="s">
        <v>3710</v>
      </c>
      <c r="K158" s="729" t="s">
        <v>3445</v>
      </c>
      <c r="L158" s="738" t="s">
        <v>3583</v>
      </c>
      <c r="M158" s="729" t="str">
        <f t="shared" si="15"/>
        <v>Binder Klip  nomor 200</v>
      </c>
      <c r="N158" s="739">
        <v>10</v>
      </c>
      <c r="O158" s="733" t="s">
        <v>3575</v>
      </c>
      <c r="P158" s="734">
        <v>16500</v>
      </c>
      <c r="Q158" s="734">
        <v>165000</v>
      </c>
      <c r="R158" s="735"/>
      <c r="S158" s="759">
        <v>2</v>
      </c>
      <c r="T158" s="61" t="s">
        <v>227</v>
      </c>
      <c r="V158" s="61" t="str">
        <f>VLOOKUP(T158,Sheet3!$C$3:$F$16,2,)</f>
        <v>Gestiwan Bazikho</v>
      </c>
      <c r="W158" s="61" t="str">
        <f>VLOOKUP(T158,Sheet3!$C$3:$F$16,4,)</f>
        <v>081375309828</v>
      </c>
      <c r="X158" s="61" t="str">
        <f>VLOOKUP(T158,Sheet3!$C$3:$F$16,3,)</f>
        <v>Jl. Diponegoro Kel. Pasar Telukdalam - Nias Selatan</v>
      </c>
    </row>
    <row r="159" spans="1:24" ht="26">
      <c r="A159" s="61" t="str">
        <f t="shared" si="11"/>
        <v>Binder Klip  nomor 2602</v>
      </c>
      <c r="B159" s="745">
        <v>45</v>
      </c>
      <c r="C159" s="737" t="s">
        <v>3558</v>
      </c>
      <c r="D159" s="729" t="s">
        <v>3559</v>
      </c>
      <c r="E159" s="779">
        <f t="shared" si="14"/>
        <v>45687</v>
      </c>
      <c r="F159" s="730" t="s">
        <v>3709</v>
      </c>
      <c r="G159" s="731">
        <v>45</v>
      </c>
      <c r="H159" s="730" t="s">
        <v>3709</v>
      </c>
      <c r="I159" s="729">
        <f t="shared" si="12"/>
        <v>45</v>
      </c>
      <c r="J159" s="730" t="s">
        <v>3710</v>
      </c>
      <c r="K159" s="729" t="s">
        <v>3445</v>
      </c>
      <c r="L159" s="738" t="s">
        <v>3584</v>
      </c>
      <c r="M159" s="729" t="str">
        <f t="shared" si="15"/>
        <v>Binder Klip  nomor 260</v>
      </c>
      <c r="N159" s="739">
        <v>10</v>
      </c>
      <c r="O159" s="733" t="s">
        <v>3575</v>
      </c>
      <c r="P159" s="734">
        <v>20000</v>
      </c>
      <c r="Q159" s="734">
        <v>200000</v>
      </c>
      <c r="R159" s="735"/>
      <c r="S159" s="759">
        <v>2</v>
      </c>
      <c r="T159" s="61" t="s">
        <v>227</v>
      </c>
      <c r="V159" s="61" t="str">
        <f>VLOOKUP(T159,Sheet3!$C$3:$F$16,2,)</f>
        <v>Gestiwan Bazikho</v>
      </c>
      <c r="W159" s="61" t="str">
        <f>VLOOKUP(T159,Sheet3!$C$3:$F$16,4,)</f>
        <v>081375309828</v>
      </c>
      <c r="X159" s="61" t="str">
        <f>VLOOKUP(T159,Sheet3!$C$3:$F$16,3,)</f>
        <v>Jl. Diponegoro Kel. Pasar Telukdalam - Nias Selatan</v>
      </c>
    </row>
    <row r="160" spans="1:24" ht="26">
      <c r="A160" s="61" t="str">
        <f t="shared" si="11"/>
        <v>Binder Klip Merk : KENKO nomor 1052</v>
      </c>
      <c r="B160" s="745">
        <v>46</v>
      </c>
      <c r="C160" s="737" t="s">
        <v>3558</v>
      </c>
      <c r="D160" s="729" t="s">
        <v>3559</v>
      </c>
      <c r="E160" s="779">
        <f t="shared" si="14"/>
        <v>45687</v>
      </c>
      <c r="F160" s="730" t="s">
        <v>3709</v>
      </c>
      <c r="G160" s="731">
        <v>45</v>
      </c>
      <c r="H160" s="730" t="s">
        <v>3709</v>
      </c>
      <c r="I160" s="729">
        <f t="shared" si="12"/>
        <v>45</v>
      </c>
      <c r="J160" s="730" t="s">
        <v>3710</v>
      </c>
      <c r="K160" s="729" t="s">
        <v>3445</v>
      </c>
      <c r="L160" s="738" t="s">
        <v>3585</v>
      </c>
      <c r="M160" s="729" t="str">
        <f t="shared" si="15"/>
        <v>Binder Klip Merk : KENKO nomor 105</v>
      </c>
      <c r="N160" s="739">
        <v>2</v>
      </c>
      <c r="O160" s="733" t="s">
        <v>3575</v>
      </c>
      <c r="P160" s="734">
        <v>5000</v>
      </c>
      <c r="Q160" s="734">
        <v>10000</v>
      </c>
      <c r="R160" s="735"/>
      <c r="S160" s="759">
        <v>2</v>
      </c>
      <c r="T160" s="61" t="s">
        <v>227</v>
      </c>
      <c r="V160" s="61" t="str">
        <f>VLOOKUP(T160,Sheet3!$C$3:$F$16,2,)</f>
        <v>Gestiwan Bazikho</v>
      </c>
      <c r="W160" s="61" t="str">
        <f>VLOOKUP(T160,Sheet3!$C$3:$F$16,4,)</f>
        <v>081375309828</v>
      </c>
      <c r="X160" s="61" t="str">
        <f>VLOOKUP(T160,Sheet3!$C$3:$F$16,3,)</f>
        <v>Jl. Diponegoro Kel. Pasar Telukdalam - Nias Selatan</v>
      </c>
    </row>
    <row r="161" spans="1:24" ht="26">
      <c r="A161" s="61" t="str">
        <f t="shared" si="11"/>
        <v>Map Binder2</v>
      </c>
      <c r="B161" s="745">
        <v>47</v>
      </c>
      <c r="C161" s="737" t="s">
        <v>3558</v>
      </c>
      <c r="D161" s="729" t="s">
        <v>3559</v>
      </c>
      <c r="E161" s="779">
        <f t="shared" si="14"/>
        <v>45687</v>
      </c>
      <c r="F161" s="730" t="s">
        <v>3709</v>
      </c>
      <c r="G161" s="731">
        <v>45</v>
      </c>
      <c r="H161" s="730" t="s">
        <v>3709</v>
      </c>
      <c r="I161" s="729">
        <f t="shared" si="12"/>
        <v>45</v>
      </c>
      <c r="J161" s="730" t="s">
        <v>3710</v>
      </c>
      <c r="K161" s="729" t="s">
        <v>3445</v>
      </c>
      <c r="L161" s="738" t="s">
        <v>3586</v>
      </c>
      <c r="M161" s="729" t="str">
        <f t="shared" si="15"/>
        <v>Map Binder</v>
      </c>
      <c r="N161" s="739">
        <v>12</v>
      </c>
      <c r="O161" s="733" t="s">
        <v>3557</v>
      </c>
      <c r="P161" s="734">
        <v>35500</v>
      </c>
      <c r="Q161" s="734">
        <v>426000</v>
      </c>
      <c r="R161" s="735"/>
      <c r="S161" s="759">
        <v>2</v>
      </c>
      <c r="T161" s="61" t="s">
        <v>227</v>
      </c>
      <c r="V161" s="61" t="str">
        <f>VLOOKUP(T161,Sheet3!$C$3:$F$16,2,)</f>
        <v>Gestiwan Bazikho</v>
      </c>
      <c r="W161" s="61" t="str">
        <f>VLOOKUP(T161,Sheet3!$C$3:$F$16,4,)</f>
        <v>081375309828</v>
      </c>
      <c r="X161" s="61" t="str">
        <f>VLOOKUP(T161,Sheet3!$C$3:$F$16,3,)</f>
        <v>Jl. Diponegoro Kel. Pasar Telukdalam - Nias Selatan</v>
      </c>
    </row>
    <row r="162" spans="1:24" ht="26">
      <c r="A162" s="61" t="str">
        <f t="shared" si="11"/>
        <v>Stofmap Kertas2</v>
      </c>
      <c r="B162" s="745">
        <v>48</v>
      </c>
      <c r="C162" s="737" t="s">
        <v>3558</v>
      </c>
      <c r="D162" s="729" t="s">
        <v>3559</v>
      </c>
      <c r="E162" s="779">
        <f t="shared" si="14"/>
        <v>45687</v>
      </c>
      <c r="F162" s="730" t="s">
        <v>3709</v>
      </c>
      <c r="G162" s="731">
        <v>45</v>
      </c>
      <c r="H162" s="730" t="s">
        <v>3709</v>
      </c>
      <c r="I162" s="729">
        <f t="shared" si="12"/>
        <v>45</v>
      </c>
      <c r="J162" s="730" t="s">
        <v>3710</v>
      </c>
      <c r="K162" s="729" t="s">
        <v>3445</v>
      </c>
      <c r="L162" s="738" t="s">
        <v>3587</v>
      </c>
      <c r="M162" s="729" t="str">
        <f t="shared" si="15"/>
        <v>Stofmap Kertas</v>
      </c>
      <c r="N162" s="739">
        <v>1</v>
      </c>
      <c r="O162" s="733" t="s">
        <v>3588</v>
      </c>
      <c r="P162" s="734">
        <v>88000</v>
      </c>
      <c r="Q162" s="734">
        <v>88000</v>
      </c>
      <c r="R162" s="735"/>
      <c r="S162" s="759">
        <v>2</v>
      </c>
      <c r="T162" s="61" t="s">
        <v>227</v>
      </c>
      <c r="V162" s="61" t="str">
        <f>VLOOKUP(T162,Sheet3!$C$3:$F$16,2,)</f>
        <v>Gestiwan Bazikho</v>
      </c>
      <c r="W162" s="61" t="str">
        <f>VLOOKUP(T162,Sheet3!$C$3:$F$16,4,)</f>
        <v>081375309828</v>
      </c>
      <c r="X162" s="61" t="str">
        <f>VLOOKUP(T162,Sheet3!$C$3:$F$16,3,)</f>
        <v>Jl. Diponegoro Kel. Pasar Telukdalam - Nias Selatan</v>
      </c>
    </row>
    <row r="163" spans="1:24" ht="26">
      <c r="A163" s="61" t="str">
        <f t="shared" si="11"/>
        <v>Stofmap Transparan tali2</v>
      </c>
      <c r="B163" s="745">
        <v>49</v>
      </c>
      <c r="C163" s="737" t="s">
        <v>3558</v>
      </c>
      <c r="D163" s="738" t="s">
        <v>3559</v>
      </c>
      <c r="E163" s="779">
        <f t="shared" si="14"/>
        <v>45687</v>
      </c>
      <c r="F163" s="730" t="s">
        <v>3709</v>
      </c>
      <c r="G163" s="731">
        <v>45</v>
      </c>
      <c r="H163" s="730" t="s">
        <v>3709</v>
      </c>
      <c r="I163" s="729">
        <f t="shared" si="12"/>
        <v>45</v>
      </c>
      <c r="J163" s="730" t="s">
        <v>3710</v>
      </c>
      <c r="K163" s="729" t="s">
        <v>3445</v>
      </c>
      <c r="L163" s="738" t="s">
        <v>3589</v>
      </c>
      <c r="M163" s="729" t="str">
        <f t="shared" si="15"/>
        <v>Stofmap Transparan tali</v>
      </c>
      <c r="N163" s="739">
        <v>100</v>
      </c>
      <c r="O163" s="733" t="s">
        <v>3557</v>
      </c>
      <c r="P163" s="734">
        <v>5500</v>
      </c>
      <c r="Q163" s="734">
        <v>550000</v>
      </c>
      <c r="R163" s="735"/>
      <c r="S163" s="759">
        <v>2</v>
      </c>
      <c r="T163" s="61" t="s">
        <v>227</v>
      </c>
      <c r="V163" s="61" t="str">
        <f>VLOOKUP(T163,Sheet3!$C$3:$F$16,2,)</f>
        <v>Gestiwan Bazikho</v>
      </c>
      <c r="W163" s="61" t="str">
        <f>VLOOKUP(T163,Sheet3!$C$3:$F$16,4,)</f>
        <v>081375309828</v>
      </c>
      <c r="X163" s="61" t="str">
        <f>VLOOKUP(T163,Sheet3!$C$3:$F$16,3,)</f>
        <v>Jl. Diponegoro Kel. Pasar Telukdalam - Nias Selatan</v>
      </c>
    </row>
    <row r="164" spans="1:24" ht="26">
      <c r="A164" s="61" t="str">
        <f t="shared" si="11"/>
        <v>Stofmap Transparan2</v>
      </c>
      <c r="B164" s="745">
        <v>50</v>
      </c>
      <c r="C164" s="737" t="s">
        <v>3558</v>
      </c>
      <c r="D164" s="738" t="s">
        <v>3559</v>
      </c>
      <c r="E164" s="779">
        <f t="shared" si="14"/>
        <v>45687</v>
      </c>
      <c r="F164" s="730" t="s">
        <v>3709</v>
      </c>
      <c r="G164" s="731">
        <v>45</v>
      </c>
      <c r="H164" s="730" t="s">
        <v>3709</v>
      </c>
      <c r="I164" s="729">
        <f t="shared" si="12"/>
        <v>45</v>
      </c>
      <c r="J164" s="730" t="s">
        <v>3710</v>
      </c>
      <c r="K164" s="729" t="s">
        <v>3445</v>
      </c>
      <c r="L164" s="738" t="s">
        <v>3590</v>
      </c>
      <c r="M164" s="729" t="str">
        <f t="shared" si="15"/>
        <v>Stofmap Transparan</v>
      </c>
      <c r="N164" s="739">
        <v>100</v>
      </c>
      <c r="O164" s="733" t="s">
        <v>3557</v>
      </c>
      <c r="P164" s="734">
        <v>5500</v>
      </c>
      <c r="Q164" s="734">
        <v>550000</v>
      </c>
      <c r="R164" s="735"/>
      <c r="S164" s="759">
        <v>2</v>
      </c>
      <c r="T164" s="61" t="s">
        <v>227</v>
      </c>
      <c r="V164" s="61" t="str">
        <f>VLOOKUP(T164,Sheet3!$C$3:$F$16,2,)</f>
        <v>Gestiwan Bazikho</v>
      </c>
      <c r="W164" s="61" t="str">
        <f>VLOOKUP(T164,Sheet3!$C$3:$F$16,4,)</f>
        <v>081375309828</v>
      </c>
      <c r="X164" s="61" t="str">
        <f>VLOOKUP(T164,Sheet3!$C$3:$F$16,3,)</f>
        <v>Jl. Diponegoro Kel. Pasar Telukdalam - Nias Selatan</v>
      </c>
    </row>
    <row r="165" spans="1:24" ht="26">
      <c r="A165" s="61" t="str">
        <f t="shared" si="11"/>
        <v>Binder Klip Ordner2</v>
      </c>
      <c r="B165" s="745">
        <v>51</v>
      </c>
      <c r="C165" s="737" t="s">
        <v>3558</v>
      </c>
      <c r="D165" s="738" t="s">
        <v>3559</v>
      </c>
      <c r="E165" s="779">
        <f t="shared" si="14"/>
        <v>45687</v>
      </c>
      <c r="F165" s="730" t="s">
        <v>3709</v>
      </c>
      <c r="G165" s="731">
        <v>45</v>
      </c>
      <c r="H165" s="730" t="s">
        <v>3709</v>
      </c>
      <c r="I165" s="729">
        <f t="shared" si="12"/>
        <v>45</v>
      </c>
      <c r="J165" s="730" t="s">
        <v>3710</v>
      </c>
      <c r="K165" s="729" t="s">
        <v>3445</v>
      </c>
      <c r="L165" s="738" t="s">
        <v>3591</v>
      </c>
      <c r="M165" s="729" t="str">
        <f t="shared" si="15"/>
        <v>Binder Klip Ordner</v>
      </c>
      <c r="N165" s="739">
        <v>6</v>
      </c>
      <c r="O165" s="733" t="s">
        <v>3557</v>
      </c>
      <c r="P165" s="734">
        <v>49500</v>
      </c>
      <c r="Q165" s="734">
        <v>297000</v>
      </c>
      <c r="R165" s="735"/>
      <c r="S165" s="759">
        <v>2</v>
      </c>
      <c r="T165" s="61" t="s">
        <v>227</v>
      </c>
      <c r="V165" s="61" t="str">
        <f>VLOOKUP(T165,Sheet3!$C$3:$F$16,2,)</f>
        <v>Gestiwan Bazikho</v>
      </c>
      <c r="W165" s="61" t="str">
        <f>VLOOKUP(T165,Sheet3!$C$3:$F$16,4,)</f>
        <v>081375309828</v>
      </c>
      <c r="X165" s="61" t="str">
        <f>VLOOKUP(T165,Sheet3!$C$3:$F$16,3,)</f>
        <v>Jl. Diponegoro Kel. Pasar Telukdalam - Nias Selatan</v>
      </c>
    </row>
    <row r="166" spans="1:24" ht="26">
      <c r="A166" s="61" t="str">
        <f t="shared" si="11"/>
        <v>Box File Merk : Bantex Ukuran : 115x270x325 mm2</v>
      </c>
      <c r="B166" s="745">
        <v>52</v>
      </c>
      <c r="C166" s="737" t="s">
        <v>3558</v>
      </c>
      <c r="D166" s="738" t="s">
        <v>3559</v>
      </c>
      <c r="E166" s="779">
        <f t="shared" si="14"/>
        <v>45687</v>
      </c>
      <c r="F166" s="730" t="s">
        <v>3709</v>
      </c>
      <c r="G166" s="731">
        <v>45</v>
      </c>
      <c r="H166" s="730" t="s">
        <v>3709</v>
      </c>
      <c r="I166" s="729">
        <f t="shared" si="12"/>
        <v>45</v>
      </c>
      <c r="J166" s="730" t="s">
        <v>3710</v>
      </c>
      <c r="K166" s="729" t="s">
        <v>3445</v>
      </c>
      <c r="L166" s="738" t="s">
        <v>3592</v>
      </c>
      <c r="M166" s="729" t="str">
        <f t="shared" si="15"/>
        <v>Box File Merk : Bantex Ukuran : 115x270x325 mm</v>
      </c>
      <c r="N166" s="739">
        <v>4</v>
      </c>
      <c r="O166" s="733" t="s">
        <v>3557</v>
      </c>
      <c r="P166" s="734">
        <v>59000</v>
      </c>
      <c r="Q166" s="734">
        <v>236000</v>
      </c>
      <c r="R166" s="735"/>
      <c r="S166" s="759">
        <v>2</v>
      </c>
      <c r="T166" s="61" t="s">
        <v>227</v>
      </c>
      <c r="V166" s="61" t="str">
        <f>VLOOKUP(T166,Sheet3!$C$3:$F$16,2,)</f>
        <v>Gestiwan Bazikho</v>
      </c>
      <c r="W166" s="61" t="str">
        <f>VLOOKUP(T166,Sheet3!$C$3:$F$16,4,)</f>
        <v>081375309828</v>
      </c>
      <c r="X166" s="61" t="str">
        <f>VLOOKUP(T166,Sheet3!$C$3:$F$16,3,)</f>
        <v>Jl. Diponegoro Kel. Pasar Telukdalam - Nias Selatan</v>
      </c>
    </row>
    <row r="167" spans="1:24" ht="26">
      <c r="A167" s="61" t="str">
        <f t="shared" si="11"/>
        <v>Sampul Plastik2</v>
      </c>
      <c r="B167" s="745">
        <v>53</v>
      </c>
      <c r="C167" s="737" t="s">
        <v>3558</v>
      </c>
      <c r="D167" s="738" t="s">
        <v>3559</v>
      </c>
      <c r="E167" s="779">
        <f t="shared" si="14"/>
        <v>45687</v>
      </c>
      <c r="F167" s="730" t="s">
        <v>3709</v>
      </c>
      <c r="G167" s="731">
        <v>45</v>
      </c>
      <c r="H167" s="730" t="s">
        <v>3709</v>
      </c>
      <c r="I167" s="729">
        <f t="shared" si="12"/>
        <v>45</v>
      </c>
      <c r="J167" s="730" t="s">
        <v>3710</v>
      </c>
      <c r="K167" s="729" t="s">
        <v>3445</v>
      </c>
      <c r="L167" s="738" t="s">
        <v>3593</v>
      </c>
      <c r="M167" s="729" t="str">
        <f t="shared" si="15"/>
        <v>Sampul Plastik</v>
      </c>
      <c r="N167" s="739">
        <v>5</v>
      </c>
      <c r="O167" s="733" t="s">
        <v>3561</v>
      </c>
      <c r="P167" s="734">
        <v>65000</v>
      </c>
      <c r="Q167" s="734">
        <v>325000</v>
      </c>
      <c r="R167" s="735"/>
      <c r="S167" s="759">
        <v>2</v>
      </c>
      <c r="T167" s="61" t="s">
        <v>227</v>
      </c>
      <c r="V167" s="61" t="str">
        <f>VLOOKUP(T167,Sheet3!$C$3:$F$16,2,)</f>
        <v>Gestiwan Bazikho</v>
      </c>
      <c r="W167" s="61" t="str">
        <f>VLOOKUP(T167,Sheet3!$C$3:$F$16,4,)</f>
        <v>081375309828</v>
      </c>
      <c r="X167" s="61" t="str">
        <f>VLOOKUP(T167,Sheet3!$C$3:$F$16,3,)</f>
        <v>Jl. Diponegoro Kel. Pasar Telukdalam - Nias Selatan</v>
      </c>
    </row>
    <row r="168" spans="1:24" ht="26">
      <c r="A168" s="61" t="str">
        <f t="shared" si="11"/>
        <v>Tinta Printer Canon 740 Hitam-740 Hitam2</v>
      </c>
      <c r="B168" s="745">
        <v>54</v>
      </c>
      <c r="C168" s="737" t="s">
        <v>3558</v>
      </c>
      <c r="D168" s="738" t="s">
        <v>3559</v>
      </c>
      <c r="E168" s="779">
        <f t="shared" si="14"/>
        <v>45687</v>
      </c>
      <c r="F168" s="730" t="s">
        <v>3709</v>
      </c>
      <c r="G168" s="731">
        <v>45</v>
      </c>
      <c r="H168" s="730" t="s">
        <v>3709</v>
      </c>
      <c r="I168" s="729">
        <f t="shared" si="12"/>
        <v>45</v>
      </c>
      <c r="J168" s="730" t="s">
        <v>3710</v>
      </c>
      <c r="K168" s="729" t="s">
        <v>3445</v>
      </c>
      <c r="L168" s="738" t="s">
        <v>3594</v>
      </c>
      <c r="M168" s="729" t="str">
        <f t="shared" si="15"/>
        <v>Tinta Printer Canon 740 Hitam-740 Hitam</v>
      </c>
      <c r="N168" s="739">
        <v>8</v>
      </c>
      <c r="O168" s="733" t="s">
        <v>3595</v>
      </c>
      <c r="P168" s="734">
        <v>30000</v>
      </c>
      <c r="Q168" s="734">
        <v>240000</v>
      </c>
      <c r="R168" s="735"/>
      <c r="S168" s="759">
        <v>2</v>
      </c>
      <c r="T168" s="61" t="s">
        <v>227</v>
      </c>
      <c r="V168" s="61" t="str">
        <f>VLOOKUP(T168,Sheet3!$C$3:$F$16,2,)</f>
        <v>Gestiwan Bazikho</v>
      </c>
      <c r="W168" s="61" t="str">
        <f>VLOOKUP(T168,Sheet3!$C$3:$F$16,4,)</f>
        <v>081375309828</v>
      </c>
      <c r="X168" s="61" t="str">
        <f>VLOOKUP(T168,Sheet3!$C$3:$F$16,3,)</f>
        <v>Jl. Diponegoro Kel. Pasar Telukdalam - Nias Selatan</v>
      </c>
    </row>
    <row r="169" spans="1:24" ht="26">
      <c r="A169" s="61" t="str">
        <f t="shared" si="11"/>
        <v>Tinta Printer Canon 741 Warna-741 Warna2</v>
      </c>
      <c r="B169" s="745">
        <v>55</v>
      </c>
      <c r="C169" s="737" t="s">
        <v>3558</v>
      </c>
      <c r="D169" s="738" t="s">
        <v>3559</v>
      </c>
      <c r="E169" s="779">
        <f t="shared" si="14"/>
        <v>45687</v>
      </c>
      <c r="F169" s="730" t="s">
        <v>3709</v>
      </c>
      <c r="G169" s="731">
        <v>45</v>
      </c>
      <c r="H169" s="730" t="s">
        <v>3709</v>
      </c>
      <c r="I169" s="729">
        <f t="shared" si="12"/>
        <v>45</v>
      </c>
      <c r="J169" s="730" t="s">
        <v>3710</v>
      </c>
      <c r="K169" s="729" t="s">
        <v>3445</v>
      </c>
      <c r="L169" s="738" t="s">
        <v>3596</v>
      </c>
      <c r="M169" s="729" t="str">
        <f t="shared" si="15"/>
        <v>Tinta Printer Canon 741 Warna-741 Warna</v>
      </c>
      <c r="N169" s="739">
        <v>12</v>
      </c>
      <c r="O169" s="733" t="s">
        <v>3595</v>
      </c>
      <c r="P169" s="734">
        <v>33000</v>
      </c>
      <c r="Q169" s="734">
        <v>396000</v>
      </c>
      <c r="R169" s="735"/>
      <c r="S169" s="759">
        <v>2</v>
      </c>
      <c r="T169" s="61" t="s">
        <v>227</v>
      </c>
      <c r="V169" s="61" t="str">
        <f>VLOOKUP(T169,Sheet3!$C$3:$F$16,2,)</f>
        <v>Gestiwan Bazikho</v>
      </c>
      <c r="W169" s="61" t="str">
        <f>VLOOKUP(T169,Sheet3!$C$3:$F$16,4,)</f>
        <v>081375309828</v>
      </c>
      <c r="X169" s="61" t="str">
        <f>VLOOKUP(T169,Sheet3!$C$3:$F$16,3,)</f>
        <v>Jl. Diponegoro Kel. Pasar Telukdalam - Nias Selatan</v>
      </c>
    </row>
    <row r="170" spans="1:24" ht="26">
      <c r="A170" s="61" t="str">
        <f t="shared" si="11"/>
        <v>C. Tinta Printer EPSON Toner Epson 664 Black2</v>
      </c>
      <c r="B170" s="745">
        <v>56</v>
      </c>
      <c r="C170" s="737" t="s">
        <v>3558</v>
      </c>
      <c r="D170" s="738" t="s">
        <v>3559</v>
      </c>
      <c r="E170" s="779">
        <f t="shared" si="14"/>
        <v>45687</v>
      </c>
      <c r="F170" s="730" t="s">
        <v>3709</v>
      </c>
      <c r="G170" s="731">
        <v>45</v>
      </c>
      <c r="H170" s="730" t="s">
        <v>3709</v>
      </c>
      <c r="I170" s="729">
        <f t="shared" si="12"/>
        <v>45</v>
      </c>
      <c r="J170" s="730" t="s">
        <v>3710</v>
      </c>
      <c r="K170" s="729" t="s">
        <v>3445</v>
      </c>
      <c r="L170" s="738" t="s">
        <v>3597</v>
      </c>
      <c r="M170" s="729" t="str">
        <f t="shared" si="15"/>
        <v>C. Tinta Printer EPSON Toner Epson 664 Black</v>
      </c>
      <c r="N170" s="739">
        <v>6</v>
      </c>
      <c r="O170" s="733" t="s">
        <v>3595</v>
      </c>
      <c r="P170" s="734">
        <v>85000</v>
      </c>
      <c r="Q170" s="734">
        <v>510000</v>
      </c>
      <c r="R170" s="735"/>
      <c r="S170" s="759">
        <v>2</v>
      </c>
      <c r="T170" s="61" t="s">
        <v>227</v>
      </c>
      <c r="V170" s="61" t="str">
        <f>VLOOKUP(T170,Sheet3!$C$3:$F$16,2,)</f>
        <v>Gestiwan Bazikho</v>
      </c>
      <c r="W170" s="61" t="str">
        <f>VLOOKUP(T170,Sheet3!$C$3:$F$16,4,)</f>
        <v>081375309828</v>
      </c>
      <c r="X170" s="61" t="str">
        <f>VLOOKUP(T170,Sheet3!$C$3:$F$16,3,)</f>
        <v>Jl. Diponegoro Kel. Pasar Telukdalam - Nias Selatan</v>
      </c>
    </row>
    <row r="171" spans="1:24" ht="26">
      <c r="A171" s="61" t="str">
        <f t="shared" si="11"/>
        <v>C. Tinta Printer EPSON Tinta Printer Epson Yellow2</v>
      </c>
      <c r="B171" s="745">
        <v>57</v>
      </c>
      <c r="C171" s="737" t="s">
        <v>3558</v>
      </c>
      <c r="D171" s="738" t="s">
        <v>3559</v>
      </c>
      <c r="E171" s="779">
        <f t="shared" si="14"/>
        <v>45687</v>
      </c>
      <c r="F171" s="730" t="s">
        <v>3709</v>
      </c>
      <c r="G171" s="731">
        <v>45</v>
      </c>
      <c r="H171" s="730" t="s">
        <v>3709</v>
      </c>
      <c r="I171" s="729">
        <f t="shared" si="12"/>
        <v>45</v>
      </c>
      <c r="J171" s="730" t="s">
        <v>3710</v>
      </c>
      <c r="K171" s="729" t="s">
        <v>3445</v>
      </c>
      <c r="L171" s="738" t="s">
        <v>3598</v>
      </c>
      <c r="M171" s="729" t="str">
        <f t="shared" si="15"/>
        <v>C. Tinta Printer EPSON Tinta Printer Epson Yellow</v>
      </c>
      <c r="N171" s="739">
        <v>4</v>
      </c>
      <c r="O171" s="733" t="s">
        <v>3595</v>
      </c>
      <c r="P171" s="734">
        <v>110000</v>
      </c>
      <c r="Q171" s="734">
        <v>440000</v>
      </c>
      <c r="R171" s="735"/>
      <c r="S171" s="759">
        <v>2</v>
      </c>
      <c r="T171" s="61" t="s">
        <v>227</v>
      </c>
      <c r="V171" s="61" t="str">
        <f>VLOOKUP(T171,Sheet3!$C$3:$F$16,2,)</f>
        <v>Gestiwan Bazikho</v>
      </c>
      <c r="W171" s="61" t="str">
        <f>VLOOKUP(T171,Sheet3!$C$3:$F$16,4,)</f>
        <v>081375309828</v>
      </c>
      <c r="X171" s="61" t="str">
        <f>VLOOKUP(T171,Sheet3!$C$3:$F$16,3,)</f>
        <v>Jl. Diponegoro Kel. Pasar Telukdalam - Nias Selatan</v>
      </c>
    </row>
    <row r="172" spans="1:24" ht="26">
      <c r="A172" s="61" t="str">
        <f t="shared" si="11"/>
        <v>C. Tinta Printer EPSON Tinta Printer Epson Blue2</v>
      </c>
      <c r="B172" s="745">
        <v>58</v>
      </c>
      <c r="C172" s="737" t="s">
        <v>3558</v>
      </c>
      <c r="D172" s="738" t="s">
        <v>3559</v>
      </c>
      <c r="E172" s="779">
        <f t="shared" si="14"/>
        <v>45687</v>
      </c>
      <c r="F172" s="730" t="s">
        <v>3709</v>
      </c>
      <c r="G172" s="731">
        <v>45</v>
      </c>
      <c r="H172" s="730" t="s">
        <v>3709</v>
      </c>
      <c r="I172" s="729">
        <f t="shared" si="12"/>
        <v>45</v>
      </c>
      <c r="J172" s="730" t="s">
        <v>3710</v>
      </c>
      <c r="K172" s="729" t="s">
        <v>3445</v>
      </c>
      <c r="L172" s="738" t="s">
        <v>3599</v>
      </c>
      <c r="M172" s="729" t="str">
        <f t="shared" si="15"/>
        <v>C. Tinta Printer EPSON Tinta Printer Epson Blue</v>
      </c>
      <c r="N172" s="739">
        <v>4</v>
      </c>
      <c r="O172" s="733" t="s">
        <v>3595</v>
      </c>
      <c r="P172" s="734">
        <v>110000</v>
      </c>
      <c r="Q172" s="734">
        <v>440000</v>
      </c>
      <c r="R172" s="735"/>
      <c r="S172" s="759">
        <v>2</v>
      </c>
      <c r="T172" s="61" t="s">
        <v>227</v>
      </c>
      <c r="V172" s="61" t="str">
        <f>VLOOKUP(T172,Sheet3!$C$3:$F$16,2,)</f>
        <v>Gestiwan Bazikho</v>
      </c>
      <c r="W172" s="61" t="str">
        <f>VLOOKUP(T172,Sheet3!$C$3:$F$16,4,)</f>
        <v>081375309828</v>
      </c>
      <c r="X172" s="61" t="str">
        <f>VLOOKUP(T172,Sheet3!$C$3:$F$16,3,)</f>
        <v>Jl. Diponegoro Kel. Pasar Telukdalam - Nias Selatan</v>
      </c>
    </row>
    <row r="173" spans="1:24" ht="26">
      <c r="A173" s="61" t="str">
        <f t="shared" si="11"/>
        <v>C. Tinta Printer EPSON Tinta Printer Epson Read2</v>
      </c>
      <c r="B173" s="745">
        <v>59</v>
      </c>
      <c r="C173" s="737" t="s">
        <v>3558</v>
      </c>
      <c r="D173" s="738" t="s">
        <v>3559</v>
      </c>
      <c r="E173" s="779">
        <f t="shared" si="14"/>
        <v>45687</v>
      </c>
      <c r="F173" s="730" t="s">
        <v>3709</v>
      </c>
      <c r="G173" s="731">
        <v>45</v>
      </c>
      <c r="H173" s="730" t="s">
        <v>3709</v>
      </c>
      <c r="I173" s="729">
        <f t="shared" si="12"/>
        <v>45</v>
      </c>
      <c r="J173" s="730" t="s">
        <v>3710</v>
      </c>
      <c r="K173" s="729" t="s">
        <v>3445</v>
      </c>
      <c r="L173" s="738" t="s">
        <v>3600</v>
      </c>
      <c r="M173" s="729" t="str">
        <f t="shared" si="15"/>
        <v>C. Tinta Printer EPSON Tinta Printer Epson Read</v>
      </c>
      <c r="N173" s="739">
        <v>4</v>
      </c>
      <c r="O173" s="733" t="s">
        <v>3595</v>
      </c>
      <c r="P173" s="734">
        <v>110000</v>
      </c>
      <c r="Q173" s="734">
        <v>440000</v>
      </c>
      <c r="R173" s="735"/>
      <c r="S173" s="759">
        <v>2</v>
      </c>
      <c r="T173" s="61" t="s">
        <v>227</v>
      </c>
      <c r="V173" s="61" t="str">
        <f>VLOOKUP(T173,Sheet3!$C$3:$F$16,2,)</f>
        <v>Gestiwan Bazikho</v>
      </c>
      <c r="W173" s="61" t="str">
        <f>VLOOKUP(T173,Sheet3!$C$3:$F$16,4,)</f>
        <v>081375309828</v>
      </c>
      <c r="X173" s="61" t="str">
        <f>VLOOKUP(T173,Sheet3!$C$3:$F$16,3,)</f>
        <v>Jl. Diponegoro Kel. Pasar Telukdalam - Nias Selatan</v>
      </c>
    </row>
    <row r="174" spans="1:24" ht="26">
      <c r="A174" s="61" t="str">
        <f t="shared" si="11"/>
        <v>Lakban Besar2</v>
      </c>
      <c r="B174" s="745">
        <v>60</v>
      </c>
      <c r="C174" s="737" t="s">
        <v>3558</v>
      </c>
      <c r="D174" s="738" t="s">
        <v>3559</v>
      </c>
      <c r="E174" s="779">
        <f t="shared" si="14"/>
        <v>45687</v>
      </c>
      <c r="F174" s="730" t="s">
        <v>3709</v>
      </c>
      <c r="G174" s="731">
        <v>45</v>
      </c>
      <c r="H174" s="730" t="s">
        <v>3709</v>
      </c>
      <c r="I174" s="729">
        <f t="shared" si="12"/>
        <v>45</v>
      </c>
      <c r="J174" s="730" t="s">
        <v>3710</v>
      </c>
      <c r="K174" s="729" t="s">
        <v>3445</v>
      </c>
      <c r="L174" s="738" t="s">
        <v>3603</v>
      </c>
      <c r="M174" s="729" t="str">
        <f t="shared" si="15"/>
        <v>Lakban Besar</v>
      </c>
      <c r="N174" s="739">
        <v>5</v>
      </c>
      <c r="O174" s="733" t="s">
        <v>3557</v>
      </c>
      <c r="P174" s="734">
        <v>25000</v>
      </c>
      <c r="Q174" s="734">
        <v>125000</v>
      </c>
      <c r="R174" s="735"/>
      <c r="S174" s="759">
        <v>2</v>
      </c>
      <c r="T174" s="61" t="s">
        <v>227</v>
      </c>
      <c r="V174" s="61" t="str">
        <f>VLOOKUP(T174,Sheet3!$C$3:$F$16,2,)</f>
        <v>Gestiwan Bazikho</v>
      </c>
      <c r="W174" s="61" t="str">
        <f>VLOOKUP(T174,Sheet3!$C$3:$F$16,4,)</f>
        <v>081375309828</v>
      </c>
      <c r="X174" s="61" t="str">
        <f>VLOOKUP(T174,Sheet3!$C$3:$F$16,3,)</f>
        <v>Jl. Diponegoro Kel. Pasar Telukdalam - Nias Selatan</v>
      </c>
    </row>
    <row r="175" spans="1:24" ht="26">
      <c r="A175" s="61" t="str">
        <f t="shared" si="11"/>
        <v>Lakban Bening Sedang2</v>
      </c>
      <c r="B175" s="745">
        <v>61</v>
      </c>
      <c r="C175" s="737" t="s">
        <v>3558</v>
      </c>
      <c r="D175" s="738" t="s">
        <v>3559</v>
      </c>
      <c r="E175" s="779">
        <f t="shared" si="14"/>
        <v>45687</v>
      </c>
      <c r="F175" s="730" t="s">
        <v>3709</v>
      </c>
      <c r="G175" s="731">
        <v>45</v>
      </c>
      <c r="H175" s="730" t="s">
        <v>3709</v>
      </c>
      <c r="I175" s="729">
        <f t="shared" si="12"/>
        <v>45</v>
      </c>
      <c r="J175" s="730" t="s">
        <v>3710</v>
      </c>
      <c r="K175" s="729" t="s">
        <v>3445</v>
      </c>
      <c r="L175" s="738" t="s">
        <v>3873</v>
      </c>
      <c r="M175" s="729" t="str">
        <f t="shared" si="15"/>
        <v>Lakban Bening Sedang</v>
      </c>
      <c r="N175" s="739">
        <v>5</v>
      </c>
      <c r="O175" s="733" t="s">
        <v>3557</v>
      </c>
      <c r="P175" s="734">
        <v>15000</v>
      </c>
      <c r="Q175" s="734">
        <v>75000</v>
      </c>
      <c r="R175" s="735"/>
      <c r="S175" s="759">
        <v>2</v>
      </c>
      <c r="T175" s="61" t="s">
        <v>227</v>
      </c>
      <c r="V175" s="61" t="str">
        <f>VLOOKUP(T175,Sheet3!$C$3:$F$16,2,)</f>
        <v>Gestiwan Bazikho</v>
      </c>
      <c r="W175" s="61" t="str">
        <f>VLOOKUP(T175,Sheet3!$C$3:$F$16,4,)</f>
        <v>081375309828</v>
      </c>
      <c r="X175" s="61" t="str">
        <f>VLOOKUP(T175,Sheet3!$C$3:$F$16,3,)</f>
        <v>Jl. Diponegoro Kel. Pasar Telukdalam - Nias Selatan</v>
      </c>
    </row>
    <row r="176" spans="1:24" ht="26">
      <c r="A176" s="61" t="str">
        <f t="shared" si="11"/>
        <v>Lakban Bening2</v>
      </c>
      <c r="B176" s="745">
        <v>62</v>
      </c>
      <c r="C176" s="737" t="s">
        <v>3558</v>
      </c>
      <c r="D176" s="738" t="s">
        <v>3559</v>
      </c>
      <c r="E176" s="779">
        <f t="shared" si="14"/>
        <v>45687</v>
      </c>
      <c r="F176" s="730" t="s">
        <v>3709</v>
      </c>
      <c r="G176" s="731">
        <v>45</v>
      </c>
      <c r="H176" s="730" t="s">
        <v>3709</v>
      </c>
      <c r="I176" s="729">
        <f t="shared" si="12"/>
        <v>45</v>
      </c>
      <c r="J176" s="730" t="s">
        <v>3710</v>
      </c>
      <c r="K176" s="729" t="s">
        <v>3445</v>
      </c>
      <c r="L176" s="738" t="s">
        <v>3604</v>
      </c>
      <c r="M176" s="729" t="str">
        <f t="shared" si="15"/>
        <v>Lakban Bening</v>
      </c>
      <c r="N176" s="739">
        <v>5</v>
      </c>
      <c r="O176" s="733" t="s">
        <v>3557</v>
      </c>
      <c r="P176" s="734">
        <v>10000</v>
      </c>
      <c r="Q176" s="734">
        <v>50000</v>
      </c>
      <c r="R176" s="735"/>
      <c r="S176" s="759">
        <v>2</v>
      </c>
      <c r="T176" s="61" t="s">
        <v>227</v>
      </c>
      <c r="V176" s="61" t="str">
        <f>VLOOKUP(T176,Sheet3!$C$3:$F$16,2,)</f>
        <v>Gestiwan Bazikho</v>
      </c>
      <c r="W176" s="61" t="str">
        <f>VLOOKUP(T176,Sheet3!$C$3:$F$16,4,)</f>
        <v>081375309828</v>
      </c>
      <c r="X176" s="61" t="str">
        <f>VLOOKUP(T176,Sheet3!$C$3:$F$16,3,)</f>
        <v>Jl. Diponegoro Kel. Pasar Telukdalam - Nias Selatan</v>
      </c>
    </row>
    <row r="177" spans="1:24" ht="26">
      <c r="A177" s="61" t="str">
        <f t="shared" si="11"/>
        <v>Lakban Hitam--2</v>
      </c>
      <c r="B177" s="745">
        <v>63</v>
      </c>
      <c r="C177" s="737" t="s">
        <v>3558</v>
      </c>
      <c r="D177" s="738" t="s">
        <v>3559</v>
      </c>
      <c r="E177" s="779">
        <f t="shared" si="14"/>
        <v>45687</v>
      </c>
      <c r="F177" s="730" t="s">
        <v>3709</v>
      </c>
      <c r="G177" s="731">
        <v>45</v>
      </c>
      <c r="H177" s="730" t="s">
        <v>3709</v>
      </c>
      <c r="I177" s="729">
        <f t="shared" si="12"/>
        <v>45</v>
      </c>
      <c r="J177" s="730" t="s">
        <v>3710</v>
      </c>
      <c r="K177" s="729" t="s">
        <v>3445</v>
      </c>
      <c r="L177" s="738" t="s">
        <v>3605</v>
      </c>
      <c r="M177" s="729" t="str">
        <f t="shared" si="15"/>
        <v>Lakban Hitam--</v>
      </c>
      <c r="N177" s="739">
        <v>5</v>
      </c>
      <c r="O177" s="733" t="s">
        <v>3557</v>
      </c>
      <c r="P177" s="734">
        <v>15000</v>
      </c>
      <c r="Q177" s="734">
        <v>75000</v>
      </c>
      <c r="R177" s="735"/>
      <c r="S177" s="759">
        <v>2</v>
      </c>
      <c r="T177" s="61" t="s">
        <v>227</v>
      </c>
      <c r="V177" s="61" t="str">
        <f>VLOOKUP(T177,Sheet3!$C$3:$F$16,2,)</f>
        <v>Gestiwan Bazikho</v>
      </c>
      <c r="W177" s="61" t="str">
        <f>VLOOKUP(T177,Sheet3!$C$3:$F$16,4,)</f>
        <v>081375309828</v>
      </c>
      <c r="X177" s="61" t="str">
        <f>VLOOKUP(T177,Sheet3!$C$3:$F$16,3,)</f>
        <v>Jl. Diponegoro Kel. Pasar Telukdalam - Nias Selatan</v>
      </c>
    </row>
    <row r="178" spans="1:24" ht="26">
      <c r="A178" s="61" t="str">
        <f t="shared" si="11"/>
        <v>lakban hitam-ukuran : lebar 2 inch, panjang 12m, bahan : kain2</v>
      </c>
      <c r="B178" s="745">
        <v>64</v>
      </c>
      <c r="C178" s="737" t="s">
        <v>3558</v>
      </c>
      <c r="D178" s="738" t="s">
        <v>3559</v>
      </c>
      <c r="E178" s="779">
        <f t="shared" si="14"/>
        <v>45687</v>
      </c>
      <c r="F178" s="730" t="s">
        <v>3709</v>
      </c>
      <c r="G178" s="731">
        <v>45</v>
      </c>
      <c r="H178" s="730" t="s">
        <v>3709</v>
      </c>
      <c r="I178" s="729">
        <f t="shared" si="12"/>
        <v>45</v>
      </c>
      <c r="J178" s="730" t="s">
        <v>3710</v>
      </c>
      <c r="K178" s="729" t="s">
        <v>3445</v>
      </c>
      <c r="L178" s="738" t="s">
        <v>3606</v>
      </c>
      <c r="M178" s="729" t="str">
        <f t="shared" si="15"/>
        <v>lakban hitam-ukuran : lebar 2 inch, panjang 12m, bahan : kain</v>
      </c>
      <c r="N178" s="739">
        <v>4</v>
      </c>
      <c r="O178" s="733" t="s">
        <v>3557</v>
      </c>
      <c r="P178" s="734">
        <v>12500</v>
      </c>
      <c r="Q178" s="734">
        <v>50000</v>
      </c>
      <c r="R178" s="735"/>
      <c r="S178" s="759">
        <v>2</v>
      </c>
      <c r="T178" s="61" t="s">
        <v>227</v>
      </c>
      <c r="V178" s="61" t="str">
        <f>VLOOKUP(T178,Sheet3!$C$3:$F$16,2,)</f>
        <v>Gestiwan Bazikho</v>
      </c>
      <c r="W178" s="61" t="str">
        <f>VLOOKUP(T178,Sheet3!$C$3:$F$16,4,)</f>
        <v>081375309828</v>
      </c>
      <c r="X178" s="61" t="str">
        <f>VLOOKUP(T178,Sheet3!$C$3:$F$16,3,)</f>
        <v>Jl. Diponegoro Kel. Pasar Telukdalam - Nias Selatan</v>
      </c>
    </row>
    <row r="179" spans="1:24" ht="26">
      <c r="A179" s="61" t="str">
        <f t="shared" si="11"/>
        <v>Lakban Hitam uk 2 " Warna hitam uk. 2 "2</v>
      </c>
      <c r="B179" s="745">
        <v>65</v>
      </c>
      <c r="C179" s="737" t="s">
        <v>3558</v>
      </c>
      <c r="D179" s="738" t="s">
        <v>3559</v>
      </c>
      <c r="E179" s="779">
        <f t="shared" si="14"/>
        <v>45687</v>
      </c>
      <c r="F179" s="730" t="s">
        <v>3709</v>
      </c>
      <c r="G179" s="731">
        <v>45</v>
      </c>
      <c r="H179" s="730" t="s">
        <v>3709</v>
      </c>
      <c r="I179" s="729">
        <f t="shared" si="12"/>
        <v>45</v>
      </c>
      <c r="J179" s="730" t="s">
        <v>3710</v>
      </c>
      <c r="K179" s="729" t="s">
        <v>3445</v>
      </c>
      <c r="L179" s="738" t="s">
        <v>3607</v>
      </c>
      <c r="M179" s="729" t="str">
        <f t="shared" si="15"/>
        <v>Lakban Hitam uk 2 " Warna hitam uk. 2 "</v>
      </c>
      <c r="N179" s="739">
        <v>5</v>
      </c>
      <c r="O179" s="733" t="s">
        <v>3557</v>
      </c>
      <c r="P179" s="734">
        <v>25000</v>
      </c>
      <c r="Q179" s="734">
        <v>125000</v>
      </c>
      <c r="R179" s="735"/>
      <c r="S179" s="759">
        <v>2</v>
      </c>
      <c r="T179" s="61" t="s">
        <v>227</v>
      </c>
      <c r="V179" s="61" t="str">
        <f>VLOOKUP(T179,Sheet3!$C$3:$F$16,2,)</f>
        <v>Gestiwan Bazikho</v>
      </c>
      <c r="W179" s="61" t="str">
        <f>VLOOKUP(T179,Sheet3!$C$3:$F$16,4,)</f>
        <v>081375309828</v>
      </c>
      <c r="X179" s="61" t="str">
        <f>VLOOKUP(T179,Sheet3!$C$3:$F$16,3,)</f>
        <v>Jl. Diponegoro Kel. Pasar Telukdalam - Nias Selatan</v>
      </c>
    </row>
    <row r="180" spans="1:24" ht="26">
      <c r="A180" s="61" t="str">
        <f t="shared" si="11"/>
        <v>Lakban warna Uk 2" Warna Coklat Cofiie2</v>
      </c>
      <c r="B180" s="745">
        <v>66</v>
      </c>
      <c r="C180" s="737" t="s">
        <v>3558</v>
      </c>
      <c r="D180" s="738" t="s">
        <v>3559</v>
      </c>
      <c r="E180" s="779">
        <f t="shared" si="14"/>
        <v>45687</v>
      </c>
      <c r="F180" s="730" t="s">
        <v>3709</v>
      </c>
      <c r="G180" s="731">
        <v>45</v>
      </c>
      <c r="H180" s="730" t="s">
        <v>3709</v>
      </c>
      <c r="I180" s="729">
        <f t="shared" si="12"/>
        <v>45</v>
      </c>
      <c r="J180" s="730" t="s">
        <v>3710</v>
      </c>
      <c r="K180" s="729" t="s">
        <v>3445</v>
      </c>
      <c r="L180" s="738" t="s">
        <v>3608</v>
      </c>
      <c r="M180" s="729" t="str">
        <f t="shared" si="15"/>
        <v>Lakban warna Uk 2" Warna Coklat Cofiie</v>
      </c>
      <c r="N180" s="739">
        <v>3</v>
      </c>
      <c r="O180" s="733" t="s">
        <v>3557</v>
      </c>
      <c r="P180" s="734">
        <v>20000</v>
      </c>
      <c r="Q180" s="734">
        <v>60000</v>
      </c>
      <c r="R180" s="735"/>
      <c r="S180" s="759">
        <v>2</v>
      </c>
      <c r="T180" s="61" t="s">
        <v>227</v>
      </c>
      <c r="V180" s="61" t="str">
        <f>VLOOKUP(T180,Sheet3!$C$3:$F$16,2,)</f>
        <v>Gestiwan Bazikho</v>
      </c>
      <c r="W180" s="61" t="str">
        <f>VLOOKUP(T180,Sheet3!$C$3:$F$16,4,)</f>
        <v>081375309828</v>
      </c>
      <c r="X180" s="61" t="str">
        <f>VLOOKUP(T180,Sheet3!$C$3:$F$16,3,)</f>
        <v>Jl. Diponegoro Kel. Pasar Telukdalam - Nias Selatan</v>
      </c>
    </row>
    <row r="181" spans="1:24" ht="26">
      <c r="A181" s="61" t="str">
        <f t="shared" si="11"/>
        <v>Spidol Refil Spidol White Board Snowman2</v>
      </c>
      <c r="B181" s="745">
        <v>67</v>
      </c>
      <c r="C181" s="737" t="s">
        <v>3558</v>
      </c>
      <c r="D181" s="738" t="s">
        <v>3559</v>
      </c>
      <c r="E181" s="779">
        <f t="shared" si="14"/>
        <v>45687</v>
      </c>
      <c r="F181" s="730" t="s">
        <v>3709</v>
      </c>
      <c r="G181" s="731">
        <v>45</v>
      </c>
      <c r="H181" s="730" t="s">
        <v>3709</v>
      </c>
      <c r="I181" s="729">
        <f t="shared" si="12"/>
        <v>45</v>
      </c>
      <c r="J181" s="730" t="s">
        <v>3710</v>
      </c>
      <c r="K181" s="729" t="s">
        <v>3445</v>
      </c>
      <c r="L181" s="738" t="s">
        <v>3609</v>
      </c>
      <c r="M181" s="729" t="str">
        <f t="shared" si="15"/>
        <v>Spidol Refil Spidol White Board Snowman</v>
      </c>
      <c r="N181" s="739">
        <v>10</v>
      </c>
      <c r="O181" s="733" t="s">
        <v>3557</v>
      </c>
      <c r="P181" s="734">
        <v>20900</v>
      </c>
      <c r="Q181" s="734">
        <v>209000</v>
      </c>
      <c r="R181" s="735"/>
      <c r="S181" s="759">
        <v>2</v>
      </c>
      <c r="T181" s="61" t="s">
        <v>227</v>
      </c>
      <c r="V181" s="61" t="str">
        <f>VLOOKUP(T181,Sheet3!$C$3:$F$16,2,)</f>
        <v>Gestiwan Bazikho</v>
      </c>
      <c r="W181" s="61" t="str">
        <f>VLOOKUP(T181,Sheet3!$C$3:$F$16,4,)</f>
        <v>081375309828</v>
      </c>
      <c r="X181" s="61" t="str">
        <f>VLOOKUP(T181,Sheet3!$C$3:$F$16,3,)</f>
        <v>Jl. Diponegoro Kel. Pasar Telukdalam - Nias Selatan</v>
      </c>
    </row>
    <row r="182" spans="1:24" ht="26">
      <c r="A182" s="61" t="str">
        <f t="shared" si="11"/>
        <v>Spidol White board2</v>
      </c>
      <c r="B182" s="745">
        <v>68</v>
      </c>
      <c r="C182" s="737" t="s">
        <v>3558</v>
      </c>
      <c r="D182" s="738" t="s">
        <v>3559</v>
      </c>
      <c r="E182" s="779">
        <f t="shared" si="14"/>
        <v>45687</v>
      </c>
      <c r="F182" s="730" t="s">
        <v>3709</v>
      </c>
      <c r="G182" s="731">
        <v>45</v>
      </c>
      <c r="H182" s="730" t="s">
        <v>3709</v>
      </c>
      <c r="I182" s="729">
        <f t="shared" si="12"/>
        <v>45</v>
      </c>
      <c r="J182" s="730" t="s">
        <v>3710</v>
      </c>
      <c r="K182" s="729" t="s">
        <v>3445</v>
      </c>
      <c r="L182" s="738" t="s">
        <v>3610</v>
      </c>
      <c r="M182" s="729" t="str">
        <f t="shared" si="15"/>
        <v>Spidol White board</v>
      </c>
      <c r="N182" s="739">
        <v>2</v>
      </c>
      <c r="O182" s="733" t="s">
        <v>3577</v>
      </c>
      <c r="P182" s="734">
        <v>120000</v>
      </c>
      <c r="Q182" s="734">
        <v>240000</v>
      </c>
      <c r="R182" s="735"/>
      <c r="S182" s="759">
        <v>2</v>
      </c>
      <c r="T182" s="61" t="s">
        <v>227</v>
      </c>
      <c r="V182" s="61" t="str">
        <f>VLOOKUP(T182,Sheet3!$C$3:$F$16,2,)</f>
        <v>Gestiwan Bazikho</v>
      </c>
      <c r="W182" s="61" t="str">
        <f>VLOOKUP(T182,Sheet3!$C$3:$F$16,4,)</f>
        <v>081375309828</v>
      </c>
      <c r="X182" s="61" t="str">
        <f>VLOOKUP(T182,Sheet3!$C$3:$F$16,3,)</f>
        <v>Jl. Diponegoro Kel. Pasar Telukdalam - Nias Selatan</v>
      </c>
    </row>
    <row r="183" spans="1:24" ht="26">
      <c r="A183" s="61" t="str">
        <f t="shared" si="11"/>
        <v>Stapler HD-10--2</v>
      </c>
      <c r="B183" s="745">
        <v>69</v>
      </c>
      <c r="C183" s="737" t="s">
        <v>3558</v>
      </c>
      <c r="D183" s="738" t="s">
        <v>3559</v>
      </c>
      <c r="E183" s="779">
        <f t="shared" si="14"/>
        <v>45687</v>
      </c>
      <c r="F183" s="730" t="s">
        <v>3709</v>
      </c>
      <c r="G183" s="731">
        <v>45</v>
      </c>
      <c r="H183" s="730" t="s">
        <v>3709</v>
      </c>
      <c r="I183" s="729">
        <f t="shared" si="12"/>
        <v>45</v>
      </c>
      <c r="J183" s="730" t="s">
        <v>3710</v>
      </c>
      <c r="K183" s="729" t="s">
        <v>3445</v>
      </c>
      <c r="L183" s="738" t="s">
        <v>3611</v>
      </c>
      <c r="M183" s="729" t="str">
        <f t="shared" si="15"/>
        <v>Stapler HD-10--</v>
      </c>
      <c r="N183" s="739">
        <v>2</v>
      </c>
      <c r="O183" s="733" t="s">
        <v>3557</v>
      </c>
      <c r="P183" s="734">
        <v>20000</v>
      </c>
      <c r="Q183" s="734">
        <v>40000</v>
      </c>
      <c r="R183" s="735"/>
      <c r="S183" s="759">
        <v>2</v>
      </c>
      <c r="T183" s="61" t="s">
        <v>227</v>
      </c>
      <c r="V183" s="61" t="str">
        <f>VLOOKUP(T183,Sheet3!$C$3:$F$16,2,)</f>
        <v>Gestiwan Bazikho</v>
      </c>
      <c r="W183" s="61" t="str">
        <f>VLOOKUP(T183,Sheet3!$C$3:$F$16,4,)</f>
        <v>081375309828</v>
      </c>
      <c r="X183" s="61" t="str">
        <f>VLOOKUP(T183,Sheet3!$C$3:$F$16,3,)</f>
        <v>Jl. Diponegoro Kel. Pasar Telukdalam - Nias Selatan</v>
      </c>
    </row>
    <row r="184" spans="1:24" ht="26">
      <c r="A184" s="61" t="str">
        <f t="shared" si="11"/>
        <v>Stapler Stapler No, 50 MAX2</v>
      </c>
      <c r="B184" s="745">
        <v>70</v>
      </c>
      <c r="C184" s="737" t="s">
        <v>3558</v>
      </c>
      <c r="D184" s="738" t="s">
        <v>3559</v>
      </c>
      <c r="E184" s="779">
        <f t="shared" si="14"/>
        <v>45687</v>
      </c>
      <c r="F184" s="730" t="s">
        <v>3709</v>
      </c>
      <c r="G184" s="731">
        <v>45</v>
      </c>
      <c r="H184" s="730" t="s">
        <v>3709</v>
      </c>
      <c r="I184" s="729">
        <f t="shared" si="12"/>
        <v>45</v>
      </c>
      <c r="J184" s="730" t="s">
        <v>3710</v>
      </c>
      <c r="K184" s="729" t="s">
        <v>3445</v>
      </c>
      <c r="L184" s="738" t="s">
        <v>3612</v>
      </c>
      <c r="M184" s="729" t="str">
        <f t="shared" si="15"/>
        <v>Stapler Stapler No, 50 MAX</v>
      </c>
      <c r="N184" s="739">
        <v>2</v>
      </c>
      <c r="O184" s="733" t="s">
        <v>3557</v>
      </c>
      <c r="P184" s="734">
        <v>25000</v>
      </c>
      <c r="Q184" s="734">
        <v>50000</v>
      </c>
      <c r="R184" s="735"/>
      <c r="S184" s="759">
        <v>2</v>
      </c>
      <c r="T184" s="61" t="s">
        <v>227</v>
      </c>
      <c r="V184" s="61" t="str">
        <f>VLOOKUP(T184,Sheet3!$C$3:$F$16,2,)</f>
        <v>Gestiwan Bazikho</v>
      </c>
      <c r="W184" s="61" t="str">
        <f>VLOOKUP(T184,Sheet3!$C$3:$F$16,4,)</f>
        <v>081375309828</v>
      </c>
      <c r="X184" s="61" t="str">
        <f>VLOOKUP(T184,Sheet3!$C$3:$F$16,3,)</f>
        <v>Jl. Diponegoro Kel. Pasar Telukdalam - Nias Selatan</v>
      </c>
    </row>
    <row r="185" spans="1:24" ht="26">
      <c r="A185" s="61" t="str">
        <f t="shared" si="11"/>
        <v>PAPER CLIP  Paper Clip No 12</v>
      </c>
      <c r="B185" s="745">
        <v>71</v>
      </c>
      <c r="C185" s="737" t="s">
        <v>3558</v>
      </c>
      <c r="D185" s="738" t="s">
        <v>3559</v>
      </c>
      <c r="E185" s="779">
        <f t="shared" si="14"/>
        <v>45687</v>
      </c>
      <c r="F185" s="730" t="s">
        <v>3709</v>
      </c>
      <c r="G185" s="731">
        <v>45</v>
      </c>
      <c r="H185" s="730" t="s">
        <v>3709</v>
      </c>
      <c r="I185" s="729">
        <f t="shared" si="12"/>
        <v>45</v>
      </c>
      <c r="J185" s="730" t="s">
        <v>3710</v>
      </c>
      <c r="K185" s="729" t="s">
        <v>3445</v>
      </c>
      <c r="L185" s="738" t="s">
        <v>3614</v>
      </c>
      <c r="M185" s="729" t="str">
        <f t="shared" si="15"/>
        <v>PAPER CLIP  Paper Clip No 1</v>
      </c>
      <c r="N185" s="739">
        <v>5</v>
      </c>
      <c r="O185" s="733" t="s">
        <v>3575</v>
      </c>
      <c r="P185" s="734">
        <v>6000</v>
      </c>
      <c r="Q185" s="734">
        <v>30000</v>
      </c>
      <c r="R185" s="735"/>
      <c r="S185" s="759">
        <v>2</v>
      </c>
      <c r="T185" s="61" t="s">
        <v>227</v>
      </c>
      <c r="V185" s="61" t="str">
        <f>VLOOKUP(T185,Sheet3!$C$3:$F$16,2,)</f>
        <v>Gestiwan Bazikho</v>
      </c>
      <c r="W185" s="61" t="str">
        <f>VLOOKUP(T185,Sheet3!$C$3:$F$16,4,)</f>
        <v>081375309828</v>
      </c>
      <c r="X185" s="61" t="str">
        <f>VLOOKUP(T185,Sheet3!$C$3:$F$16,3,)</f>
        <v>Jl. Diponegoro Kel. Pasar Telukdalam - Nias Selatan</v>
      </c>
    </row>
    <row r="186" spans="1:24" ht="26">
      <c r="A186" s="61" t="str">
        <f t="shared" si="11"/>
        <v>Paper Clip No 1  Paper Clip No 32</v>
      </c>
      <c r="B186" s="745">
        <v>72</v>
      </c>
      <c r="C186" s="737" t="s">
        <v>3558</v>
      </c>
      <c r="D186" s="738" t="s">
        <v>3559</v>
      </c>
      <c r="E186" s="779">
        <f t="shared" si="14"/>
        <v>45687</v>
      </c>
      <c r="F186" s="730" t="s">
        <v>3709</v>
      </c>
      <c r="G186" s="731">
        <v>45</v>
      </c>
      <c r="H186" s="730" t="s">
        <v>3709</v>
      </c>
      <c r="I186" s="729">
        <f t="shared" si="12"/>
        <v>45</v>
      </c>
      <c r="J186" s="730" t="s">
        <v>3710</v>
      </c>
      <c r="K186" s="729" t="s">
        <v>3445</v>
      </c>
      <c r="L186" s="738" t="s">
        <v>3615</v>
      </c>
      <c r="M186" s="729" t="str">
        <f t="shared" si="15"/>
        <v>Paper Clip No 1  Paper Clip No 3</v>
      </c>
      <c r="N186" s="739">
        <v>5</v>
      </c>
      <c r="O186" s="733" t="s">
        <v>3575</v>
      </c>
      <c r="P186" s="734">
        <v>6000</v>
      </c>
      <c r="Q186" s="734">
        <v>30000</v>
      </c>
      <c r="R186" s="735"/>
      <c r="S186" s="759">
        <v>2</v>
      </c>
      <c r="T186" s="61" t="s">
        <v>227</v>
      </c>
      <c r="V186" s="61" t="str">
        <f>VLOOKUP(T186,Sheet3!$C$3:$F$16,2,)</f>
        <v>Gestiwan Bazikho</v>
      </c>
      <c r="W186" s="61" t="str">
        <f>VLOOKUP(T186,Sheet3!$C$3:$F$16,4,)</f>
        <v>081375309828</v>
      </c>
      <c r="X186" s="61" t="str">
        <f>VLOOKUP(T186,Sheet3!$C$3:$F$16,3,)</f>
        <v>Jl. Diponegoro Kel. Pasar Telukdalam - Nias Selatan</v>
      </c>
    </row>
    <row r="187" spans="1:24" ht="26">
      <c r="A187" s="61" t="str">
        <f t="shared" si="11"/>
        <v>gunting kertas-ukuran : panjang 21cm x lebar 8cm, stainless steel2</v>
      </c>
      <c r="B187" s="745">
        <v>73</v>
      </c>
      <c r="C187" s="737" t="s">
        <v>3558</v>
      </c>
      <c r="D187" s="738" t="s">
        <v>3559</v>
      </c>
      <c r="E187" s="779">
        <f t="shared" si="14"/>
        <v>45687</v>
      </c>
      <c r="F187" s="730" t="s">
        <v>3709</v>
      </c>
      <c r="G187" s="731">
        <v>45</v>
      </c>
      <c r="H187" s="730" t="s">
        <v>3709</v>
      </c>
      <c r="I187" s="729">
        <f t="shared" si="12"/>
        <v>45</v>
      </c>
      <c r="J187" s="730" t="s">
        <v>3710</v>
      </c>
      <c r="K187" s="729" t="s">
        <v>3445</v>
      </c>
      <c r="L187" s="738" t="s">
        <v>3619</v>
      </c>
      <c r="M187" s="729" t="str">
        <f t="shared" si="15"/>
        <v>gunting kertas-ukuran : panjang 21cm x lebar 8cm, stainless steel</v>
      </c>
      <c r="N187" s="739">
        <v>2</v>
      </c>
      <c r="O187" s="733" t="s">
        <v>3557</v>
      </c>
      <c r="P187" s="734">
        <v>20000</v>
      </c>
      <c r="Q187" s="734">
        <v>40000</v>
      </c>
      <c r="R187" s="735"/>
      <c r="S187" s="759">
        <v>2</v>
      </c>
      <c r="T187" s="61" t="s">
        <v>227</v>
      </c>
      <c r="V187" s="61" t="str">
        <f>VLOOKUP(T187,Sheet3!$C$3:$F$16,2,)</f>
        <v>Gestiwan Bazikho</v>
      </c>
      <c r="W187" s="61" t="str">
        <f>VLOOKUP(T187,Sheet3!$C$3:$F$16,4,)</f>
        <v>081375309828</v>
      </c>
      <c r="X187" s="61" t="str">
        <f>VLOOKUP(T187,Sheet3!$C$3:$F$16,3,)</f>
        <v>Jl. Diponegoro Kel. Pasar Telukdalam - Nias Selatan</v>
      </c>
    </row>
    <row r="188" spans="1:24" ht="26">
      <c r="A188" s="61" t="str">
        <f t="shared" si="11"/>
        <v>Pisau Cutter Kenko L-5002</v>
      </c>
      <c r="B188" s="745">
        <v>74</v>
      </c>
      <c r="C188" s="737" t="s">
        <v>3558</v>
      </c>
      <c r="D188" s="738" t="s">
        <v>3559</v>
      </c>
      <c r="E188" s="779">
        <f t="shared" si="14"/>
        <v>45687</v>
      </c>
      <c r="F188" s="730" t="s">
        <v>3709</v>
      </c>
      <c r="G188" s="731">
        <v>45</v>
      </c>
      <c r="H188" s="730" t="s">
        <v>3709</v>
      </c>
      <c r="I188" s="729">
        <f t="shared" si="12"/>
        <v>45</v>
      </c>
      <c r="J188" s="730" t="s">
        <v>3710</v>
      </c>
      <c r="K188" s="729" t="s">
        <v>3445</v>
      </c>
      <c r="L188" s="738" t="s">
        <v>3620</v>
      </c>
      <c r="M188" s="729" t="str">
        <f t="shared" si="15"/>
        <v>Pisau Cutter Kenko L-500</v>
      </c>
      <c r="N188" s="739">
        <v>2</v>
      </c>
      <c r="O188" s="733" t="s">
        <v>3557</v>
      </c>
      <c r="P188" s="734">
        <v>15000</v>
      </c>
      <c r="Q188" s="734">
        <v>30000</v>
      </c>
      <c r="R188" s="735"/>
      <c r="S188" s="759">
        <v>2</v>
      </c>
      <c r="T188" s="61" t="s">
        <v>227</v>
      </c>
      <c r="V188" s="61" t="str">
        <f>VLOOKUP(T188,Sheet3!$C$3:$F$16,2,)</f>
        <v>Gestiwan Bazikho</v>
      </c>
      <c r="W188" s="61" t="str">
        <f>VLOOKUP(T188,Sheet3!$C$3:$F$16,4,)</f>
        <v>081375309828</v>
      </c>
      <c r="X188" s="61" t="str">
        <f>VLOOKUP(T188,Sheet3!$C$3:$F$16,3,)</f>
        <v>Jl. Diponegoro Kel. Pasar Telukdalam - Nias Selatan</v>
      </c>
    </row>
    <row r="189" spans="1:24" ht="26">
      <c r="A189" s="61" t="str">
        <f t="shared" si="11"/>
        <v>Baterey Kecil2</v>
      </c>
      <c r="B189" s="745">
        <v>75</v>
      </c>
      <c r="C189" s="737" t="s">
        <v>3558</v>
      </c>
      <c r="D189" s="738" t="s">
        <v>3559</v>
      </c>
      <c r="E189" s="779">
        <f t="shared" si="14"/>
        <v>45687</v>
      </c>
      <c r="F189" s="730" t="s">
        <v>3709</v>
      </c>
      <c r="G189" s="731">
        <v>45</v>
      </c>
      <c r="H189" s="730" t="s">
        <v>3709</v>
      </c>
      <c r="I189" s="729">
        <f t="shared" si="12"/>
        <v>45</v>
      </c>
      <c r="J189" s="730" t="s">
        <v>3710</v>
      </c>
      <c r="K189" s="729" t="s">
        <v>3445</v>
      </c>
      <c r="L189" s="738" t="s">
        <v>3623</v>
      </c>
      <c r="M189" s="729" t="str">
        <f t="shared" si="15"/>
        <v>Baterey Kecil</v>
      </c>
      <c r="N189" s="739">
        <v>5</v>
      </c>
      <c r="O189" s="733" t="s">
        <v>3624</v>
      </c>
      <c r="P189" s="734">
        <v>20000</v>
      </c>
      <c r="Q189" s="734">
        <v>100000</v>
      </c>
      <c r="R189" s="735"/>
      <c r="S189" s="759">
        <v>2</v>
      </c>
      <c r="T189" s="61" t="s">
        <v>227</v>
      </c>
      <c r="V189" s="61" t="str">
        <f>VLOOKUP(T189,Sheet3!$C$3:$F$16,2,)</f>
        <v>Gestiwan Bazikho</v>
      </c>
      <c r="W189" s="61" t="str">
        <f>VLOOKUP(T189,Sheet3!$C$3:$F$16,4,)</f>
        <v>081375309828</v>
      </c>
      <c r="X189" s="61" t="str">
        <f>VLOOKUP(T189,Sheet3!$C$3:$F$16,3,)</f>
        <v>Jl. Diponegoro Kel. Pasar Telukdalam - Nias Selatan</v>
      </c>
    </row>
    <row r="190" spans="1:24" ht="26">
      <c r="A190" s="61" t="str">
        <f t="shared" si="11"/>
        <v>Foto Copy Filio dan Kuarto2</v>
      </c>
      <c r="B190" s="745">
        <v>76</v>
      </c>
      <c r="C190" s="737" t="s">
        <v>3633</v>
      </c>
      <c r="D190" s="746" t="s">
        <v>3559</v>
      </c>
      <c r="E190" s="779">
        <f t="shared" si="14"/>
        <v>45687</v>
      </c>
      <c r="F190" s="730" t="s">
        <v>3709</v>
      </c>
      <c r="G190" s="731">
        <v>46</v>
      </c>
      <c r="H190" s="730" t="s">
        <v>3709</v>
      </c>
      <c r="I190" s="729">
        <f t="shared" si="12"/>
        <v>46</v>
      </c>
      <c r="J190" s="730" t="s">
        <v>3710</v>
      </c>
      <c r="K190" s="729" t="s">
        <v>3446</v>
      </c>
      <c r="L190" s="738" t="s">
        <v>3634</v>
      </c>
      <c r="M190" s="729" t="str">
        <f t="shared" si="15"/>
        <v>Foto Copy Filio dan Kuarto</v>
      </c>
      <c r="N190" s="739">
        <v>4900</v>
      </c>
      <c r="O190" s="733" t="s">
        <v>3570</v>
      </c>
      <c r="P190" s="741">
        <v>350</v>
      </c>
      <c r="Q190" s="734">
        <v>1715000</v>
      </c>
      <c r="R190" s="735"/>
      <c r="S190" s="759">
        <v>2</v>
      </c>
      <c r="T190" s="61" t="s">
        <v>227</v>
      </c>
      <c r="V190" s="61" t="str">
        <f>VLOOKUP(T190,Sheet3!$C$3:$F$16,2,)</f>
        <v>Gestiwan Bazikho</v>
      </c>
      <c r="W190" s="61" t="str">
        <f>VLOOKUP(T190,Sheet3!$C$3:$F$16,4,)</f>
        <v>081375309828</v>
      </c>
      <c r="X190" s="61" t="str">
        <f>VLOOKUP(T190,Sheet3!$C$3:$F$16,3,)</f>
        <v>Jl. Diponegoro Kel. Pasar Telukdalam - Nias Selatan</v>
      </c>
    </row>
    <row r="191" spans="1:24" ht="26">
      <c r="A191" s="61" t="str">
        <f t="shared" si="11"/>
        <v>Tisu--2</v>
      </c>
      <c r="B191" s="745">
        <v>78</v>
      </c>
      <c r="C191" s="737" t="s">
        <v>3637</v>
      </c>
      <c r="D191" s="746" t="s">
        <v>3635</v>
      </c>
      <c r="E191" s="779">
        <f t="shared" si="14"/>
        <v>45687</v>
      </c>
      <c r="F191" s="730" t="s">
        <v>3709</v>
      </c>
      <c r="G191" s="731">
        <v>47</v>
      </c>
      <c r="H191" s="730" t="s">
        <v>3709</v>
      </c>
      <c r="I191" s="729">
        <f t="shared" si="12"/>
        <v>47</v>
      </c>
      <c r="J191" s="730" t="s">
        <v>3710</v>
      </c>
      <c r="K191" s="729" t="s">
        <v>3447</v>
      </c>
      <c r="L191" s="738" t="s">
        <v>3649</v>
      </c>
      <c r="M191" s="729" t="str">
        <f t="shared" si="15"/>
        <v>Tisu--</v>
      </c>
      <c r="N191" s="739">
        <v>12</v>
      </c>
      <c r="O191" s="733" t="s">
        <v>3557</v>
      </c>
      <c r="P191" s="734">
        <v>12500</v>
      </c>
      <c r="Q191" s="734">
        <v>150000</v>
      </c>
      <c r="R191" s="735"/>
      <c r="S191" s="759">
        <v>2</v>
      </c>
      <c r="T191" s="61" t="s">
        <v>227</v>
      </c>
      <c r="V191" s="61" t="str">
        <f>VLOOKUP(T191,Sheet3!$C$3:$F$16,2,)</f>
        <v>Gestiwan Bazikho</v>
      </c>
      <c r="W191" s="61" t="str">
        <f>VLOOKUP(T191,Sheet3!$C$3:$F$16,4,)</f>
        <v>081375309828</v>
      </c>
      <c r="X191" s="61" t="str">
        <f>VLOOKUP(T191,Sheet3!$C$3:$F$16,3,)</f>
        <v>Jl. Diponegoro Kel. Pasar Telukdalam - Nias Selatan</v>
      </c>
    </row>
    <row r="192" spans="1:24" ht="26">
      <c r="A192" s="61" t="str">
        <f t="shared" si="11"/>
        <v>vixal 500ml2</v>
      </c>
      <c r="B192" s="745">
        <v>79</v>
      </c>
      <c r="C192" s="737" t="s">
        <v>3637</v>
      </c>
      <c r="D192" s="746" t="s">
        <v>3635</v>
      </c>
      <c r="E192" s="779">
        <f t="shared" si="14"/>
        <v>45687</v>
      </c>
      <c r="F192" s="730" t="s">
        <v>3709</v>
      </c>
      <c r="G192" s="731">
        <v>47</v>
      </c>
      <c r="H192" s="730" t="s">
        <v>3709</v>
      </c>
      <c r="I192" s="729">
        <f t="shared" si="12"/>
        <v>47</v>
      </c>
      <c r="J192" s="730" t="s">
        <v>3710</v>
      </c>
      <c r="K192" s="729" t="s">
        <v>3447</v>
      </c>
      <c r="L192" s="738" t="s">
        <v>3650</v>
      </c>
      <c r="M192" s="729" t="str">
        <f t="shared" si="15"/>
        <v>vixal 500ml</v>
      </c>
      <c r="N192" s="739">
        <v>10</v>
      </c>
      <c r="O192" s="733" t="s">
        <v>3595</v>
      </c>
      <c r="P192" s="734">
        <v>30000</v>
      </c>
      <c r="Q192" s="734">
        <v>300000</v>
      </c>
      <c r="R192" s="735"/>
      <c r="S192" s="759">
        <v>2</v>
      </c>
      <c r="T192" s="61" t="s">
        <v>227</v>
      </c>
      <c r="V192" s="61" t="str">
        <f>VLOOKUP(T192,Sheet3!$C$3:$F$16,2,)</f>
        <v>Gestiwan Bazikho</v>
      </c>
      <c r="W192" s="61" t="str">
        <f>VLOOKUP(T192,Sheet3!$C$3:$F$16,4,)</f>
        <v>081375309828</v>
      </c>
      <c r="X192" s="61" t="str">
        <f>VLOOKUP(T192,Sheet3!$C$3:$F$16,3,)</f>
        <v>Jl. Diponegoro Kel. Pasar Telukdalam - Nias Selatan</v>
      </c>
    </row>
    <row r="193" spans="1:24" ht="26">
      <c r="A193" s="61" t="str">
        <f t="shared" si="11"/>
        <v>Perlengkapan Kebersihan Pembersih Lantai Super Pel Varian 800ml2</v>
      </c>
      <c r="B193" s="745">
        <v>80</v>
      </c>
      <c r="C193" s="737" t="s">
        <v>3637</v>
      </c>
      <c r="D193" s="746" t="s">
        <v>3635</v>
      </c>
      <c r="E193" s="779">
        <f t="shared" si="14"/>
        <v>45687</v>
      </c>
      <c r="F193" s="730" t="s">
        <v>3709</v>
      </c>
      <c r="G193" s="731">
        <v>47</v>
      </c>
      <c r="H193" s="730" t="s">
        <v>3709</v>
      </c>
      <c r="I193" s="729">
        <f t="shared" si="12"/>
        <v>47</v>
      </c>
      <c r="J193" s="730" t="s">
        <v>3710</v>
      </c>
      <c r="K193" s="729" t="s">
        <v>3447</v>
      </c>
      <c r="L193" s="738" t="s">
        <v>3651</v>
      </c>
      <c r="M193" s="738" t="s">
        <v>3853</v>
      </c>
      <c r="N193" s="739">
        <v>15</v>
      </c>
      <c r="O193" s="733" t="s">
        <v>3557</v>
      </c>
      <c r="P193" s="734">
        <v>13500</v>
      </c>
      <c r="Q193" s="734">
        <v>202500</v>
      </c>
      <c r="R193" s="735"/>
      <c r="S193" s="759">
        <v>2</v>
      </c>
      <c r="T193" s="61" t="s">
        <v>227</v>
      </c>
      <c r="V193" s="61" t="str">
        <f>VLOOKUP(T193,Sheet3!$C$3:$F$16,2,)</f>
        <v>Gestiwan Bazikho</v>
      </c>
      <c r="W193" s="61" t="str">
        <f>VLOOKUP(T193,Sheet3!$C$3:$F$16,4,)</f>
        <v>081375309828</v>
      </c>
      <c r="X193" s="61" t="str">
        <f>VLOOKUP(T193,Sheet3!$C$3:$F$16,3,)</f>
        <v>Jl. Diponegoro Kel. Pasar Telukdalam - Nias Selatan</v>
      </c>
    </row>
    <row r="194" spans="1:24" ht="26">
      <c r="A194" s="61" t="str">
        <f t="shared" si="11"/>
        <v>Cairan Pembersih Kaca2</v>
      </c>
      <c r="B194" s="745">
        <v>81</v>
      </c>
      <c r="C194" s="737" t="s">
        <v>3637</v>
      </c>
      <c r="D194" s="746" t="s">
        <v>3635</v>
      </c>
      <c r="E194" s="779">
        <f t="shared" si="14"/>
        <v>45687</v>
      </c>
      <c r="F194" s="730" t="s">
        <v>3709</v>
      </c>
      <c r="G194" s="731">
        <v>47</v>
      </c>
      <c r="H194" s="730" t="s">
        <v>3709</v>
      </c>
      <c r="I194" s="729">
        <f t="shared" si="12"/>
        <v>47</v>
      </c>
      <c r="J194" s="730" t="s">
        <v>3710</v>
      </c>
      <c r="K194" s="729" t="s">
        <v>3447</v>
      </c>
      <c r="L194" s="738" t="s">
        <v>3652</v>
      </c>
      <c r="M194" s="738" t="s">
        <v>3841</v>
      </c>
      <c r="N194" s="739">
        <v>5</v>
      </c>
      <c r="O194" s="733" t="s">
        <v>3557</v>
      </c>
      <c r="P194" s="734">
        <v>12000</v>
      </c>
      <c r="Q194" s="734">
        <v>60000</v>
      </c>
      <c r="R194" s="735"/>
      <c r="S194" s="759">
        <v>2</v>
      </c>
      <c r="T194" s="61" t="s">
        <v>227</v>
      </c>
      <c r="V194" s="61" t="str">
        <f>VLOOKUP(T194,Sheet3!$C$3:$F$16,2,)</f>
        <v>Gestiwan Bazikho</v>
      </c>
      <c r="W194" s="61" t="str">
        <f>VLOOKUP(T194,Sheet3!$C$3:$F$16,4,)</f>
        <v>081375309828</v>
      </c>
      <c r="X194" s="61" t="str">
        <f>VLOOKUP(T194,Sheet3!$C$3:$F$16,3,)</f>
        <v>Jl. Diponegoro Kel. Pasar Telukdalam - Nias Selatan</v>
      </c>
    </row>
    <row r="195" spans="1:24" ht="26">
      <c r="A195" s="61" t="str">
        <f t="shared" si="11"/>
        <v>Perlengkapan Kebersihan Pembersih Pakaian Sunlight Refil 800ml2</v>
      </c>
      <c r="B195" s="745">
        <v>82</v>
      </c>
      <c r="C195" s="737" t="s">
        <v>3637</v>
      </c>
      <c r="D195" s="746" t="s">
        <v>3635</v>
      </c>
      <c r="E195" s="779">
        <f t="shared" si="14"/>
        <v>45687</v>
      </c>
      <c r="F195" s="730" t="s">
        <v>3709</v>
      </c>
      <c r="G195" s="731">
        <v>47</v>
      </c>
      <c r="H195" s="730" t="s">
        <v>3709</v>
      </c>
      <c r="I195" s="729">
        <f t="shared" si="12"/>
        <v>47</v>
      </c>
      <c r="J195" s="730" t="s">
        <v>3710</v>
      </c>
      <c r="K195" s="729" t="s">
        <v>3447</v>
      </c>
      <c r="L195" s="738" t="s">
        <v>3653</v>
      </c>
      <c r="M195" s="738" t="s">
        <v>3842</v>
      </c>
      <c r="N195" s="739">
        <v>3</v>
      </c>
      <c r="O195" s="733" t="s">
        <v>3557</v>
      </c>
      <c r="P195" s="734">
        <v>15000</v>
      </c>
      <c r="Q195" s="734">
        <v>45000</v>
      </c>
      <c r="R195" s="735"/>
      <c r="S195" s="759">
        <v>2</v>
      </c>
      <c r="T195" s="61" t="s">
        <v>227</v>
      </c>
      <c r="V195" s="61" t="str">
        <f>VLOOKUP(T195,Sheet3!$C$3:$F$16,2,)</f>
        <v>Gestiwan Bazikho</v>
      </c>
      <c r="W195" s="61" t="str">
        <f>VLOOKUP(T195,Sheet3!$C$3:$F$16,4,)</f>
        <v>081375309828</v>
      </c>
      <c r="X195" s="61" t="str">
        <f>VLOOKUP(T195,Sheet3!$C$3:$F$16,3,)</f>
        <v>Jl. Diponegoro Kel. Pasar Telukdalam - Nias Selatan</v>
      </c>
    </row>
    <row r="196" spans="1:24" ht="26">
      <c r="A196" s="61" t="str">
        <f t="shared" ref="A196:A259" si="16">L196&amp;S196</f>
        <v>Spon Cuci2</v>
      </c>
      <c r="B196" s="745">
        <v>83</v>
      </c>
      <c r="C196" s="737" t="s">
        <v>3637</v>
      </c>
      <c r="D196" s="746" t="s">
        <v>3635</v>
      </c>
      <c r="E196" s="779">
        <f t="shared" si="14"/>
        <v>45687</v>
      </c>
      <c r="F196" s="730" t="s">
        <v>3709</v>
      </c>
      <c r="G196" s="731">
        <v>47</v>
      </c>
      <c r="H196" s="730" t="s">
        <v>3709</v>
      </c>
      <c r="I196" s="729">
        <f t="shared" ref="I196:I259" si="17">G196</f>
        <v>47</v>
      </c>
      <c r="J196" s="730" t="s">
        <v>3710</v>
      </c>
      <c r="K196" s="729" t="s">
        <v>3447</v>
      </c>
      <c r="L196" s="738" t="s">
        <v>3654</v>
      </c>
      <c r="M196" s="738" t="s">
        <v>3397</v>
      </c>
      <c r="N196" s="739">
        <v>5</v>
      </c>
      <c r="O196" s="733" t="s">
        <v>3557</v>
      </c>
      <c r="P196" s="734">
        <v>12000</v>
      </c>
      <c r="Q196" s="734">
        <v>60000</v>
      </c>
      <c r="R196" s="735"/>
      <c r="S196" s="759">
        <v>2</v>
      </c>
      <c r="T196" s="61" t="s">
        <v>227</v>
      </c>
      <c r="V196" s="61" t="str">
        <f>VLOOKUP(T196,Sheet3!$C$3:$F$16,2,)</f>
        <v>Gestiwan Bazikho</v>
      </c>
      <c r="W196" s="61" t="str">
        <f>VLOOKUP(T196,Sheet3!$C$3:$F$16,4,)</f>
        <v>081375309828</v>
      </c>
      <c r="X196" s="61" t="str">
        <f>VLOOKUP(T196,Sheet3!$C$3:$F$16,3,)</f>
        <v>Jl. Diponegoro Kel. Pasar Telukdalam - Nias Selatan</v>
      </c>
    </row>
    <row r="197" spans="1:24" ht="26">
      <c r="A197" s="61" t="str">
        <f t="shared" si="16"/>
        <v>Handsoap/Pencuci Tangan2</v>
      </c>
      <c r="B197" s="745">
        <v>84</v>
      </c>
      <c r="C197" s="737" t="s">
        <v>3637</v>
      </c>
      <c r="D197" s="746" t="s">
        <v>3635</v>
      </c>
      <c r="E197" s="779">
        <f t="shared" si="14"/>
        <v>45687</v>
      </c>
      <c r="F197" s="730" t="s">
        <v>3709</v>
      </c>
      <c r="G197" s="731">
        <v>47</v>
      </c>
      <c r="H197" s="730" t="s">
        <v>3709</v>
      </c>
      <c r="I197" s="729">
        <f t="shared" si="17"/>
        <v>47</v>
      </c>
      <c r="J197" s="730" t="s">
        <v>3710</v>
      </c>
      <c r="K197" s="729" t="s">
        <v>3447</v>
      </c>
      <c r="L197" s="738" t="s">
        <v>3655</v>
      </c>
      <c r="M197" s="738" t="s">
        <v>3843</v>
      </c>
      <c r="N197" s="739">
        <v>5</v>
      </c>
      <c r="O197" s="733" t="s">
        <v>3595</v>
      </c>
      <c r="P197" s="734">
        <v>67000</v>
      </c>
      <c r="Q197" s="734">
        <v>335000</v>
      </c>
      <c r="R197" s="735"/>
      <c r="S197" s="759">
        <v>2</v>
      </c>
      <c r="T197" s="61" t="s">
        <v>227</v>
      </c>
      <c r="V197" s="61" t="str">
        <f>VLOOKUP(T197,Sheet3!$C$3:$F$16,2,)</f>
        <v>Gestiwan Bazikho</v>
      </c>
      <c r="W197" s="61" t="str">
        <f>VLOOKUP(T197,Sheet3!$C$3:$F$16,4,)</f>
        <v>081375309828</v>
      </c>
      <c r="X197" s="61" t="str">
        <f>VLOOKUP(T197,Sheet3!$C$3:$F$16,3,)</f>
        <v>Jl. Diponegoro Kel. Pasar Telukdalam - Nias Selatan</v>
      </c>
    </row>
    <row r="198" spans="1:24" ht="26">
      <c r="A198" s="61" t="str">
        <f t="shared" si="16"/>
        <v>Pengharum Ruangan2</v>
      </c>
      <c r="B198" s="745">
        <v>85</v>
      </c>
      <c r="C198" s="737" t="s">
        <v>3637</v>
      </c>
      <c r="D198" s="744" t="s">
        <v>3635</v>
      </c>
      <c r="E198" s="779">
        <f t="shared" si="14"/>
        <v>45687</v>
      </c>
      <c r="F198" s="730" t="s">
        <v>3709</v>
      </c>
      <c r="G198" s="731">
        <v>47</v>
      </c>
      <c r="H198" s="730" t="s">
        <v>3709</v>
      </c>
      <c r="I198" s="729">
        <f t="shared" si="17"/>
        <v>47</v>
      </c>
      <c r="J198" s="730" t="s">
        <v>3710</v>
      </c>
      <c r="K198" s="729" t="s">
        <v>3447</v>
      </c>
      <c r="L198" s="738" t="s">
        <v>3656</v>
      </c>
      <c r="M198" s="738" t="s">
        <v>666</v>
      </c>
      <c r="N198" s="739">
        <v>10</v>
      </c>
      <c r="O198" s="733" t="s">
        <v>3557</v>
      </c>
      <c r="P198" s="734">
        <v>12100</v>
      </c>
      <c r="Q198" s="734">
        <v>121000</v>
      </c>
      <c r="R198" s="735"/>
      <c r="S198" s="759">
        <v>2</v>
      </c>
      <c r="T198" s="61" t="s">
        <v>227</v>
      </c>
      <c r="V198" s="61" t="str">
        <f>VLOOKUP(T198,Sheet3!$C$3:$F$16,2,)</f>
        <v>Gestiwan Bazikho</v>
      </c>
      <c r="W198" s="61" t="str">
        <f>VLOOKUP(T198,Sheet3!$C$3:$F$16,4,)</f>
        <v>081375309828</v>
      </c>
      <c r="X198" s="61" t="str">
        <f>VLOOKUP(T198,Sheet3!$C$3:$F$16,3,)</f>
        <v>Jl. Diponegoro Kel. Pasar Telukdalam - Nias Selatan</v>
      </c>
    </row>
    <row r="199" spans="1:24" ht="26">
      <c r="A199" s="61" t="str">
        <f t="shared" si="16"/>
        <v>Hand Sanitizer-Unit2</v>
      </c>
      <c r="B199" s="745">
        <v>86</v>
      </c>
      <c r="C199" s="737" t="s">
        <v>3637</v>
      </c>
      <c r="D199" s="744" t="s">
        <v>3635</v>
      </c>
      <c r="E199" s="779">
        <f t="shared" si="14"/>
        <v>45687</v>
      </c>
      <c r="F199" s="730" t="s">
        <v>3709</v>
      </c>
      <c r="G199" s="731">
        <v>47</v>
      </c>
      <c r="H199" s="730" t="s">
        <v>3709</v>
      </c>
      <c r="I199" s="729">
        <f t="shared" si="17"/>
        <v>47</v>
      </c>
      <c r="J199" s="730" t="s">
        <v>3710</v>
      </c>
      <c r="K199" s="729" t="s">
        <v>3447</v>
      </c>
      <c r="L199" s="738" t="s">
        <v>3657</v>
      </c>
      <c r="M199" s="738" t="s">
        <v>3844</v>
      </c>
      <c r="N199" s="739">
        <v>5</v>
      </c>
      <c r="O199" s="733" t="s">
        <v>3658</v>
      </c>
      <c r="P199" s="734">
        <v>70000</v>
      </c>
      <c r="Q199" s="734">
        <v>350000</v>
      </c>
      <c r="R199" s="735"/>
      <c r="S199" s="759">
        <v>2</v>
      </c>
      <c r="T199" s="61" t="s">
        <v>227</v>
      </c>
      <c r="V199" s="61" t="str">
        <f>VLOOKUP(T199,Sheet3!$C$3:$F$16,2,)</f>
        <v>Gestiwan Bazikho</v>
      </c>
      <c r="W199" s="61" t="str">
        <f>VLOOKUP(T199,Sheet3!$C$3:$F$16,4,)</f>
        <v>081375309828</v>
      </c>
      <c r="X199" s="61" t="str">
        <f>VLOOKUP(T199,Sheet3!$C$3:$F$16,3,)</f>
        <v>Jl. Diponegoro Kel. Pasar Telukdalam - Nias Selatan</v>
      </c>
    </row>
    <row r="200" spans="1:24" ht="26">
      <c r="A200" s="61" t="str">
        <f t="shared" si="16"/>
        <v>Kudapan pada Kegiatan Rapat Penyusunan Program Kesiswaan TP 2024/20252</v>
      </c>
      <c r="B200" s="747">
        <v>4</v>
      </c>
      <c r="C200" s="748" t="s">
        <v>3543</v>
      </c>
      <c r="D200" s="744" t="s">
        <v>3711</v>
      </c>
      <c r="E200" s="779">
        <f t="shared" si="14"/>
        <v>45689</v>
      </c>
      <c r="F200" s="730" t="s">
        <v>3712</v>
      </c>
      <c r="G200" s="731">
        <v>48</v>
      </c>
      <c r="H200" s="730" t="s">
        <v>3710</v>
      </c>
      <c r="I200" s="729">
        <f t="shared" si="17"/>
        <v>48</v>
      </c>
      <c r="J200" s="730" t="s">
        <v>3710</v>
      </c>
      <c r="K200" s="729" t="s">
        <v>3448</v>
      </c>
      <c r="L200" s="746" t="s">
        <v>3713</v>
      </c>
      <c r="M200" s="746" t="s">
        <v>3845</v>
      </c>
      <c r="N200" s="739">
        <v>90</v>
      </c>
      <c r="O200" s="733" t="s">
        <v>3575</v>
      </c>
      <c r="P200" s="734">
        <v>15000</v>
      </c>
      <c r="Q200" s="734">
        <v>1350000</v>
      </c>
      <c r="R200" s="735"/>
      <c r="S200" s="759">
        <v>2</v>
      </c>
      <c r="T200" s="736" t="s">
        <v>10</v>
      </c>
      <c r="V200" s="61" t="str">
        <f>VLOOKUP(T200,Sheet3!$C$3:$F$16,2,)</f>
        <v>Fudi Supiyanto</v>
      </c>
      <c r="W200" s="61" t="str">
        <f>VLOOKUP(T200,Sheet3!$C$3:$F$16,4,)</f>
        <v>082164895397</v>
      </c>
      <c r="X200" s="61" t="str">
        <f>VLOOKUP(T200,Sheet3!$C$3:$F$16,3,)</f>
        <v>Jln Ahmad Yani No.89 Kel. Pasar Telukdalam, Nias Selatan</v>
      </c>
    </row>
    <row r="201" spans="1:24" ht="26">
      <c r="A201" s="61" t="str">
        <f t="shared" si="16"/>
        <v>Konsumsi pada Kegiatan Rapat Penyusunan Program Kesiswaan TP 2024/20252</v>
      </c>
      <c r="B201" s="747">
        <v>5</v>
      </c>
      <c r="C201" s="748" t="s">
        <v>3543</v>
      </c>
      <c r="D201" s="744" t="s">
        <v>3711</v>
      </c>
      <c r="E201" s="779">
        <f t="shared" si="14"/>
        <v>45689</v>
      </c>
      <c r="F201" s="730" t="s">
        <v>3712</v>
      </c>
      <c r="G201" s="731">
        <v>49</v>
      </c>
      <c r="H201" s="730" t="s">
        <v>3710</v>
      </c>
      <c r="I201" s="729">
        <f t="shared" si="17"/>
        <v>49</v>
      </c>
      <c r="J201" s="730" t="s">
        <v>3710</v>
      </c>
      <c r="K201" s="729" t="s">
        <v>3449</v>
      </c>
      <c r="L201" s="746" t="s">
        <v>3714</v>
      </c>
      <c r="M201" s="746" t="s">
        <v>467</v>
      </c>
      <c r="N201" s="739">
        <v>90</v>
      </c>
      <c r="O201" s="733" t="s">
        <v>3575</v>
      </c>
      <c r="P201" s="734">
        <v>40000</v>
      </c>
      <c r="Q201" s="734">
        <v>3600000</v>
      </c>
      <c r="R201" s="735"/>
      <c r="S201" s="759">
        <v>2</v>
      </c>
      <c r="T201" s="736" t="s">
        <v>2507</v>
      </c>
      <c r="V201" s="61" t="str">
        <f>VLOOKUP(T201,Sheet3!$C$3:$F$16,2,)</f>
        <v>Limaati Daeli</v>
      </c>
      <c r="W201" s="61" t="str">
        <f>VLOOKUP(T201,Sheet3!$C$3:$F$16,4,)</f>
        <v>085297578868</v>
      </c>
      <c r="X201" s="61" t="str">
        <f>VLOOKUP(T201,Sheet3!$C$3:$F$16,3,)</f>
        <v>Jl. Saonigeho Km. 2 Telukdalam - Nias Selatan</v>
      </c>
    </row>
    <row r="202" spans="1:24" ht="26">
      <c r="A202" s="61" t="str">
        <f t="shared" si="16"/>
        <v>Biaya Rekening Listrik--2</v>
      </c>
      <c r="B202" s="745">
        <v>89</v>
      </c>
      <c r="C202" s="737" t="s">
        <v>3696</v>
      </c>
      <c r="D202" s="744" t="s">
        <v>3697</v>
      </c>
      <c r="E202" s="779">
        <f t="shared" si="14"/>
        <v>45706</v>
      </c>
      <c r="F202" s="730" t="s">
        <v>3744</v>
      </c>
      <c r="G202" s="731">
        <v>70</v>
      </c>
      <c r="H202" s="730" t="s">
        <v>3744</v>
      </c>
      <c r="I202" s="729">
        <f t="shared" si="17"/>
        <v>70</v>
      </c>
      <c r="J202" s="730" t="s">
        <v>3744</v>
      </c>
      <c r="K202" s="729" t="s">
        <v>3451</v>
      </c>
      <c r="L202" s="738" t="s">
        <v>3698</v>
      </c>
      <c r="M202" s="738" t="s">
        <v>3851</v>
      </c>
      <c r="N202" s="739">
        <v>1</v>
      </c>
      <c r="O202" s="733" t="s">
        <v>3699</v>
      </c>
      <c r="P202" s="734">
        <v>2000000</v>
      </c>
      <c r="Q202" s="734">
        <v>2000000</v>
      </c>
      <c r="R202" s="735"/>
      <c r="S202" s="759">
        <v>2</v>
      </c>
      <c r="V202" s="61" t="e">
        <f>VLOOKUP(T202,Sheet3!$C$3:$F$16,2,)</f>
        <v>#N/A</v>
      </c>
      <c r="W202" s="61" t="e">
        <f>VLOOKUP(T202,Sheet3!$C$3:$F$16,4,)</f>
        <v>#N/A</v>
      </c>
      <c r="X202" s="61" t="e">
        <f>VLOOKUP(T202,Sheet3!$C$3:$F$16,3,)</f>
        <v>#N/A</v>
      </c>
    </row>
    <row r="203" spans="1:24" ht="26">
      <c r="A203" s="61" t="str">
        <f t="shared" si="16"/>
        <v>Biaya Langganan Internet--2</v>
      </c>
      <c r="B203" s="745">
        <v>91</v>
      </c>
      <c r="C203" s="737" t="s">
        <v>3700</v>
      </c>
      <c r="D203" s="744" t="s">
        <v>3701</v>
      </c>
      <c r="E203" s="779">
        <f t="shared" si="14"/>
        <v>45706</v>
      </c>
      <c r="F203" s="730" t="s">
        <v>3744</v>
      </c>
      <c r="G203" s="731">
        <v>71</v>
      </c>
      <c r="H203" s="730" t="s">
        <v>3744</v>
      </c>
      <c r="I203" s="729">
        <f t="shared" si="17"/>
        <v>71</v>
      </c>
      <c r="J203" s="730" t="s">
        <v>3744</v>
      </c>
      <c r="K203" s="729" t="s">
        <v>3452</v>
      </c>
      <c r="L203" s="738" t="s">
        <v>3702</v>
      </c>
      <c r="M203" s="738" t="s">
        <v>3852</v>
      </c>
      <c r="N203" s="739">
        <v>1</v>
      </c>
      <c r="O203" s="733" t="s">
        <v>3699</v>
      </c>
      <c r="P203" s="734">
        <v>1500000</v>
      </c>
      <c r="Q203" s="734">
        <v>1500000</v>
      </c>
      <c r="R203" s="735"/>
      <c r="S203" s="759">
        <v>2</v>
      </c>
      <c r="V203" s="61" t="e">
        <f>VLOOKUP(T203,Sheet3!$C$3:$F$16,2,)</f>
        <v>#N/A</v>
      </c>
      <c r="W203" s="61" t="e">
        <f>VLOOKUP(T203,Sheet3!$C$3:$F$16,4,)</f>
        <v>#N/A</v>
      </c>
      <c r="X203" s="61" t="e">
        <f>VLOOKUP(T203,Sheet3!$C$3:$F$16,3,)</f>
        <v>#N/A</v>
      </c>
    </row>
    <row r="204" spans="1:24" ht="26">
      <c r="A204" s="61" t="str">
        <f t="shared" si="16"/>
        <v>Kudapan pada Kegiatan rubrik/Ibadah Bulanan2</v>
      </c>
      <c r="B204" s="747">
        <v>7</v>
      </c>
      <c r="C204" s="748" t="s">
        <v>3543</v>
      </c>
      <c r="D204" s="744" t="s">
        <v>3703</v>
      </c>
      <c r="E204" s="779">
        <f t="shared" ref="E204:E227" si="18">F204-2</f>
        <v>45707</v>
      </c>
      <c r="F204" s="730" t="s">
        <v>3745</v>
      </c>
      <c r="G204" s="731">
        <v>72</v>
      </c>
      <c r="H204" s="730" t="s">
        <v>3746</v>
      </c>
      <c r="I204" s="729">
        <f t="shared" si="17"/>
        <v>72</v>
      </c>
      <c r="J204" s="730" t="s">
        <v>3746</v>
      </c>
      <c r="K204" s="729" t="s">
        <v>3453</v>
      </c>
      <c r="L204" s="746" t="s">
        <v>3706</v>
      </c>
      <c r="M204" s="746" t="s">
        <v>3845</v>
      </c>
      <c r="N204" s="739">
        <v>100</v>
      </c>
      <c r="O204" s="733" t="s">
        <v>3575</v>
      </c>
      <c r="P204" s="734">
        <v>15000</v>
      </c>
      <c r="Q204" s="734">
        <v>1500000</v>
      </c>
      <c r="R204" s="735"/>
      <c r="S204" s="759">
        <v>2</v>
      </c>
      <c r="T204" s="736" t="s">
        <v>10</v>
      </c>
      <c r="V204" s="61" t="str">
        <f>VLOOKUP(T204,Sheet3!$C$3:$F$16,2,)</f>
        <v>Fudi Supiyanto</v>
      </c>
      <c r="W204" s="61" t="str">
        <f>VLOOKUP(T204,Sheet3!$C$3:$F$16,4,)</f>
        <v>082164895397</v>
      </c>
      <c r="X204" s="61" t="str">
        <f>VLOOKUP(T204,Sheet3!$C$3:$F$16,3,)</f>
        <v>Jln Ahmad Yani No.89 Kel. Pasar Telukdalam, Nias Selatan</v>
      </c>
    </row>
    <row r="205" spans="1:24" ht="26">
      <c r="A205" s="61" t="str">
        <f t="shared" si="16"/>
        <v>Spanduk Uk. 1 x 6 meter-2</v>
      </c>
      <c r="B205" s="747">
        <v>9</v>
      </c>
      <c r="C205" s="748" t="s">
        <v>3633</v>
      </c>
      <c r="D205" s="744" t="s">
        <v>3683</v>
      </c>
      <c r="E205" s="779">
        <f t="shared" si="18"/>
        <v>45708</v>
      </c>
      <c r="F205" s="730" t="s">
        <v>3746</v>
      </c>
      <c r="G205" s="731">
        <v>73</v>
      </c>
      <c r="H205" s="730" t="s">
        <v>3748</v>
      </c>
      <c r="I205" s="729">
        <f t="shared" si="17"/>
        <v>73</v>
      </c>
      <c r="J205" s="730" t="s">
        <v>3748</v>
      </c>
      <c r="K205" s="729" t="s">
        <v>3466</v>
      </c>
      <c r="L205" s="746" t="s">
        <v>3686</v>
      </c>
      <c r="M205" s="746" t="str">
        <f>L205</f>
        <v>Spanduk Uk. 1 x 6 meter-</v>
      </c>
      <c r="N205" s="739">
        <v>2</v>
      </c>
      <c r="O205" s="733" t="s">
        <v>3557</v>
      </c>
      <c r="P205" s="734">
        <v>300000</v>
      </c>
      <c r="Q205" s="734">
        <v>600000</v>
      </c>
      <c r="R205" s="735"/>
      <c r="S205" s="759">
        <v>2</v>
      </c>
      <c r="T205" s="61" t="s">
        <v>2511</v>
      </c>
      <c r="V205" s="61" t="str">
        <f>VLOOKUP(T205,Sheet3!$C$3:$F$16,2,)</f>
        <v>Pieter B.P. Loi</v>
      </c>
      <c r="W205" s="61" t="str">
        <f>VLOOKUP(T205,Sheet3!$C$3:$F$16,4,)</f>
        <v>082166506229</v>
      </c>
      <c r="X205" s="61" t="str">
        <f>VLOOKUP(T205,Sheet3!$C$3:$F$16,3,)</f>
        <v>Jl. Diponegoro Kel. Pasar Telukdalam - Nias Selatan</v>
      </c>
    </row>
    <row r="206" spans="1:24" ht="37.5">
      <c r="A206" s="61" t="str">
        <f t="shared" si="16"/>
        <v>Kudapan pada Kegiatan Bimtek Tenaga Pelaksana Sekolah (Tenaga Ekstrakurikuler, TU, Laboratorium, Perustakaan, dan UKS)2</v>
      </c>
      <c r="B206" s="745">
        <v>13</v>
      </c>
      <c r="C206" s="737" t="s">
        <v>3543</v>
      </c>
      <c r="D206" s="744" t="s">
        <v>3747</v>
      </c>
      <c r="E206" s="779">
        <f t="shared" si="18"/>
        <v>45708</v>
      </c>
      <c r="F206" s="730" t="s">
        <v>3746</v>
      </c>
      <c r="G206" s="731">
        <v>74</v>
      </c>
      <c r="H206" s="730" t="s">
        <v>3748</v>
      </c>
      <c r="I206" s="729">
        <f t="shared" si="17"/>
        <v>74</v>
      </c>
      <c r="J206" s="730" t="s">
        <v>3748</v>
      </c>
      <c r="K206" s="729" t="s">
        <v>3467</v>
      </c>
      <c r="L206" s="738" t="s">
        <v>3749</v>
      </c>
      <c r="M206" s="738" t="s">
        <v>3845</v>
      </c>
      <c r="N206" s="739">
        <v>288</v>
      </c>
      <c r="O206" s="733" t="s">
        <v>3575</v>
      </c>
      <c r="P206" s="734">
        <v>15000</v>
      </c>
      <c r="Q206" s="734">
        <v>4320000</v>
      </c>
      <c r="R206" s="735"/>
      <c r="S206" s="759">
        <v>2</v>
      </c>
      <c r="T206" s="736" t="s">
        <v>10</v>
      </c>
      <c r="V206" s="61" t="str">
        <f>VLOOKUP(T206,Sheet3!$C$3:$F$16,2,)</f>
        <v>Fudi Supiyanto</v>
      </c>
      <c r="W206" s="61" t="str">
        <f>VLOOKUP(T206,Sheet3!$C$3:$F$16,4,)</f>
        <v>082164895397</v>
      </c>
      <c r="X206" s="61" t="str">
        <f>VLOOKUP(T206,Sheet3!$C$3:$F$16,3,)</f>
        <v>Jln Ahmad Yani No.89 Kel. Pasar Telukdalam, Nias Selatan</v>
      </c>
    </row>
    <row r="207" spans="1:24" ht="26">
      <c r="A207" s="61" t="str">
        <f t="shared" si="16"/>
        <v>Kudapan Rapat Rutin Bulanan2</v>
      </c>
      <c r="B207" s="745">
        <v>25</v>
      </c>
      <c r="C207" s="737" t="s">
        <v>3543</v>
      </c>
      <c r="D207" s="744" t="s">
        <v>3664</v>
      </c>
      <c r="E207" s="779">
        <f t="shared" si="18"/>
        <v>45713</v>
      </c>
      <c r="F207" s="730" t="s">
        <v>3750</v>
      </c>
      <c r="G207" s="731">
        <v>75</v>
      </c>
      <c r="H207" s="730" t="s">
        <v>3751</v>
      </c>
      <c r="I207" s="729">
        <f t="shared" si="17"/>
        <v>75</v>
      </c>
      <c r="J207" s="730" t="s">
        <v>3751</v>
      </c>
      <c r="K207" s="729" t="s">
        <v>3468</v>
      </c>
      <c r="L207" s="738" t="s">
        <v>3707</v>
      </c>
      <c r="M207" s="738" t="s">
        <v>3845</v>
      </c>
      <c r="N207" s="739">
        <v>60</v>
      </c>
      <c r="O207" s="733" t="s">
        <v>3557</v>
      </c>
      <c r="P207" s="734">
        <v>15000</v>
      </c>
      <c r="Q207" s="734">
        <v>900000</v>
      </c>
      <c r="R207" s="735"/>
      <c r="S207" s="759">
        <v>2</v>
      </c>
      <c r="T207" s="736" t="s">
        <v>10</v>
      </c>
      <c r="V207" s="61" t="str">
        <f>VLOOKUP(T207,Sheet3!$C$3:$F$16,2,)</f>
        <v>Fudi Supiyanto</v>
      </c>
      <c r="W207" s="61" t="str">
        <f>VLOOKUP(T207,Sheet3!$C$3:$F$16,4,)</f>
        <v>082164895397</v>
      </c>
      <c r="X207" s="61" t="str">
        <f>VLOOKUP(T207,Sheet3!$C$3:$F$16,3,)</f>
        <v>Jln Ahmad Yani No.89 Kel. Pasar Telukdalam, Nias Selatan</v>
      </c>
    </row>
    <row r="208" spans="1:24" ht="26">
      <c r="A208" s="61" t="str">
        <f t="shared" si="16"/>
        <v>Selatieli Nehe2</v>
      </c>
      <c r="B208" s="745">
        <v>95</v>
      </c>
      <c r="C208" s="737" t="s">
        <v>3715</v>
      </c>
      <c r="D208" s="744" t="s">
        <v>3719</v>
      </c>
      <c r="E208" s="779">
        <f t="shared" si="18"/>
        <v>45714</v>
      </c>
      <c r="F208" s="730" t="s">
        <v>3751</v>
      </c>
      <c r="G208" s="731">
        <v>76</v>
      </c>
      <c r="H208" s="730" t="s">
        <v>3751</v>
      </c>
      <c r="I208" s="729">
        <f t="shared" si="17"/>
        <v>76</v>
      </c>
      <c r="J208" s="730" t="s">
        <v>3751</v>
      </c>
      <c r="K208" s="729" t="s">
        <v>3439</v>
      </c>
      <c r="L208" s="738" t="s">
        <v>3717</v>
      </c>
      <c r="M208" s="738" t="s">
        <v>3846</v>
      </c>
      <c r="N208" s="739">
        <v>41</v>
      </c>
      <c r="O208" s="733" t="s">
        <v>3718</v>
      </c>
      <c r="P208" s="734">
        <v>60000</v>
      </c>
      <c r="Q208" s="734">
        <v>2460000</v>
      </c>
      <c r="R208" s="735"/>
      <c r="S208" s="759">
        <v>2</v>
      </c>
      <c r="V208" s="61" t="e">
        <f>VLOOKUP(T208,Sheet3!$C$3:$F$16,2,)</f>
        <v>#N/A</v>
      </c>
      <c r="W208" s="61" t="e">
        <f>VLOOKUP(T208,Sheet3!$C$3:$F$16,4,)</f>
        <v>#N/A</v>
      </c>
      <c r="X208" s="61" t="e">
        <f>VLOOKUP(T208,Sheet3!$C$3:$F$16,3,)</f>
        <v>#N/A</v>
      </c>
    </row>
    <row r="209" spans="1:24" ht="26">
      <c r="A209" s="61" t="str">
        <f t="shared" si="16"/>
        <v>Arifin Metodi Bate'e2</v>
      </c>
      <c r="B209" s="745">
        <v>96</v>
      </c>
      <c r="C209" s="737" t="s">
        <v>3715</v>
      </c>
      <c r="D209" s="744" t="s">
        <v>3719</v>
      </c>
      <c r="E209" s="779">
        <f t="shared" si="18"/>
        <v>45714</v>
      </c>
      <c r="F209" s="730" t="s">
        <v>3751</v>
      </c>
      <c r="G209" s="731">
        <v>77</v>
      </c>
      <c r="H209" s="730" t="s">
        <v>3751</v>
      </c>
      <c r="I209" s="729">
        <f t="shared" si="17"/>
        <v>77</v>
      </c>
      <c r="J209" s="730" t="s">
        <v>3751</v>
      </c>
      <c r="K209" s="729" t="s">
        <v>3440</v>
      </c>
      <c r="L209" s="738" t="s">
        <v>3720</v>
      </c>
      <c r="M209" s="738" t="s">
        <v>3846</v>
      </c>
      <c r="N209" s="739">
        <v>34</v>
      </c>
      <c r="O209" s="733" t="s">
        <v>3718</v>
      </c>
      <c r="P209" s="734">
        <v>60000</v>
      </c>
      <c r="Q209" s="734">
        <v>2040000</v>
      </c>
      <c r="R209" s="735"/>
      <c r="S209" s="759">
        <v>2</v>
      </c>
      <c r="V209" s="61" t="e">
        <f>VLOOKUP(T209,Sheet3!$C$3:$F$16,2,)</f>
        <v>#N/A</v>
      </c>
      <c r="W209" s="61" t="e">
        <f>VLOOKUP(T209,Sheet3!$C$3:$F$16,4,)</f>
        <v>#N/A</v>
      </c>
      <c r="X209" s="61" t="e">
        <f>VLOOKUP(T209,Sheet3!$C$3:$F$16,3,)</f>
        <v>#N/A</v>
      </c>
    </row>
    <row r="210" spans="1:24" ht="26">
      <c r="A210" s="61" t="str">
        <f t="shared" si="16"/>
        <v>Ferdiwati Wau2</v>
      </c>
      <c r="B210" s="745">
        <v>97</v>
      </c>
      <c r="C210" s="737" t="s">
        <v>3715</v>
      </c>
      <c r="D210" s="744" t="s">
        <v>3719</v>
      </c>
      <c r="E210" s="779">
        <f t="shared" si="18"/>
        <v>45714</v>
      </c>
      <c r="F210" s="730" t="s">
        <v>3751</v>
      </c>
      <c r="G210" s="731">
        <v>78</v>
      </c>
      <c r="H210" s="730" t="s">
        <v>3751</v>
      </c>
      <c r="I210" s="729">
        <f t="shared" si="17"/>
        <v>78</v>
      </c>
      <c r="J210" s="730" t="s">
        <v>3751</v>
      </c>
      <c r="K210" s="729" t="s">
        <v>3441</v>
      </c>
      <c r="L210" s="738" t="s">
        <v>3721</v>
      </c>
      <c r="M210" s="738" t="s">
        <v>3846</v>
      </c>
      <c r="N210" s="739">
        <v>34</v>
      </c>
      <c r="O210" s="733" t="s">
        <v>3718</v>
      </c>
      <c r="P210" s="734">
        <v>60000</v>
      </c>
      <c r="Q210" s="734">
        <v>2040000</v>
      </c>
      <c r="R210" s="735"/>
      <c r="S210" s="759">
        <v>2</v>
      </c>
      <c r="V210" s="61" t="e">
        <f>VLOOKUP(T210,Sheet3!$C$3:$F$16,2,)</f>
        <v>#N/A</v>
      </c>
      <c r="W210" s="61" t="e">
        <f>VLOOKUP(T210,Sheet3!$C$3:$F$16,4,)</f>
        <v>#N/A</v>
      </c>
      <c r="X210" s="61" t="e">
        <f>VLOOKUP(T210,Sheet3!$C$3:$F$16,3,)</f>
        <v>#N/A</v>
      </c>
    </row>
    <row r="211" spans="1:24" ht="26">
      <c r="A211" s="61" t="str">
        <f t="shared" si="16"/>
        <v>Noni Alfanita Sarumaha, S.Pd2</v>
      </c>
      <c r="B211" s="745">
        <v>98</v>
      </c>
      <c r="C211" s="737" t="s">
        <v>3715</v>
      </c>
      <c r="D211" s="744" t="s">
        <v>3719</v>
      </c>
      <c r="E211" s="779">
        <f t="shared" si="18"/>
        <v>45714</v>
      </c>
      <c r="F211" s="730" t="s">
        <v>3751</v>
      </c>
      <c r="G211" s="731">
        <v>79</v>
      </c>
      <c r="H211" s="730" t="s">
        <v>3751</v>
      </c>
      <c r="I211" s="729">
        <f t="shared" si="17"/>
        <v>79</v>
      </c>
      <c r="J211" s="730" t="s">
        <v>3751</v>
      </c>
      <c r="K211" s="729" t="s">
        <v>3442</v>
      </c>
      <c r="L211" s="738" t="s">
        <v>3722</v>
      </c>
      <c r="M211" s="738" t="s">
        <v>3846</v>
      </c>
      <c r="N211" s="739">
        <v>37</v>
      </c>
      <c r="O211" s="733" t="s">
        <v>3718</v>
      </c>
      <c r="P211" s="734">
        <v>60000</v>
      </c>
      <c r="Q211" s="734">
        <v>2220000</v>
      </c>
      <c r="R211" s="735"/>
      <c r="S211" s="759">
        <v>2</v>
      </c>
      <c r="V211" s="61" t="e">
        <f>VLOOKUP(T211,Sheet3!$C$3:$F$16,2,)</f>
        <v>#N/A</v>
      </c>
      <c r="W211" s="61" t="e">
        <f>VLOOKUP(T211,Sheet3!$C$3:$F$16,4,)</f>
        <v>#N/A</v>
      </c>
      <c r="X211" s="61" t="e">
        <f>VLOOKUP(T211,Sheet3!$C$3:$F$16,3,)</f>
        <v>#N/A</v>
      </c>
    </row>
    <row r="212" spans="1:24" ht="26">
      <c r="A212" s="61" t="str">
        <f t="shared" si="16"/>
        <v>EMILA HAFO2</v>
      </c>
      <c r="B212" s="745">
        <v>99</v>
      </c>
      <c r="C212" s="737" t="s">
        <v>3715</v>
      </c>
      <c r="D212" s="744" t="s">
        <v>3719</v>
      </c>
      <c r="E212" s="779">
        <f t="shared" si="18"/>
        <v>45714</v>
      </c>
      <c r="F212" s="730" t="s">
        <v>3751</v>
      </c>
      <c r="G212" s="731">
        <v>80</v>
      </c>
      <c r="H212" s="730" t="s">
        <v>3751</v>
      </c>
      <c r="I212" s="729">
        <f t="shared" si="17"/>
        <v>80</v>
      </c>
      <c r="J212" s="730" t="s">
        <v>3751</v>
      </c>
      <c r="K212" s="729" t="s">
        <v>3443</v>
      </c>
      <c r="L212" s="738" t="s">
        <v>3723</v>
      </c>
      <c r="M212" s="738" t="s">
        <v>3846</v>
      </c>
      <c r="N212" s="739">
        <v>35</v>
      </c>
      <c r="O212" s="733" t="s">
        <v>3718</v>
      </c>
      <c r="P212" s="734">
        <v>60000</v>
      </c>
      <c r="Q212" s="734">
        <v>2100000</v>
      </c>
      <c r="R212" s="735"/>
      <c r="S212" s="759">
        <v>2</v>
      </c>
      <c r="V212" s="61" t="e">
        <f>VLOOKUP(T212,Sheet3!$C$3:$F$16,2,)</f>
        <v>#N/A</v>
      </c>
      <c r="W212" s="61" t="e">
        <f>VLOOKUP(T212,Sheet3!$C$3:$F$16,4,)</f>
        <v>#N/A</v>
      </c>
      <c r="X212" s="61" t="e">
        <f>VLOOKUP(T212,Sheet3!$C$3:$F$16,3,)</f>
        <v>#N/A</v>
      </c>
    </row>
    <row r="213" spans="1:24" ht="26">
      <c r="A213" s="61" t="str">
        <f t="shared" si="16"/>
        <v>Asep Nurhidayat2</v>
      </c>
      <c r="B213" s="745">
        <v>100</v>
      </c>
      <c r="C213" s="737" t="s">
        <v>3715</v>
      </c>
      <c r="D213" s="744" t="s">
        <v>3719</v>
      </c>
      <c r="E213" s="779">
        <f t="shared" si="18"/>
        <v>45714</v>
      </c>
      <c r="F213" s="730" t="s">
        <v>3751</v>
      </c>
      <c r="G213" s="731">
        <v>81</v>
      </c>
      <c r="H213" s="730" t="s">
        <v>3751</v>
      </c>
      <c r="I213" s="729">
        <f t="shared" si="17"/>
        <v>81</v>
      </c>
      <c r="J213" s="730" t="s">
        <v>3751</v>
      </c>
      <c r="K213" s="729" t="s">
        <v>3454</v>
      </c>
      <c r="L213" s="738" t="s">
        <v>3724</v>
      </c>
      <c r="M213" s="738" t="s">
        <v>3846</v>
      </c>
      <c r="N213" s="739">
        <v>21</v>
      </c>
      <c r="O213" s="733" t="s">
        <v>3718</v>
      </c>
      <c r="P213" s="734">
        <v>60000</v>
      </c>
      <c r="Q213" s="734">
        <v>1260000</v>
      </c>
      <c r="R213" s="735"/>
      <c r="S213" s="759">
        <v>2</v>
      </c>
      <c r="V213" s="61" t="e">
        <f>VLOOKUP(T213,Sheet3!$C$3:$F$16,2,)</f>
        <v>#N/A</v>
      </c>
      <c r="W213" s="61" t="e">
        <f>VLOOKUP(T213,Sheet3!$C$3:$F$16,4,)</f>
        <v>#N/A</v>
      </c>
      <c r="X213" s="61" t="e">
        <f>VLOOKUP(T213,Sheet3!$C$3:$F$16,3,)</f>
        <v>#N/A</v>
      </c>
    </row>
    <row r="214" spans="1:24" ht="37.5">
      <c r="A214" s="61" t="str">
        <f t="shared" si="16"/>
        <v>Amonius Dakhi2</v>
      </c>
      <c r="B214" s="745">
        <v>101</v>
      </c>
      <c r="C214" s="737" t="s">
        <v>3715</v>
      </c>
      <c r="D214" s="744" t="s">
        <v>3719</v>
      </c>
      <c r="E214" s="779">
        <f t="shared" si="18"/>
        <v>45714</v>
      </c>
      <c r="F214" s="730" t="s">
        <v>3751</v>
      </c>
      <c r="G214" s="731">
        <v>82</v>
      </c>
      <c r="H214" s="730" t="s">
        <v>3751</v>
      </c>
      <c r="I214" s="729">
        <f t="shared" si="17"/>
        <v>82</v>
      </c>
      <c r="J214" s="730" t="s">
        <v>3751</v>
      </c>
      <c r="K214" s="729" t="s">
        <v>3455</v>
      </c>
      <c r="L214" s="738" t="s">
        <v>3725</v>
      </c>
      <c r="M214" s="738" t="s">
        <v>3846</v>
      </c>
      <c r="N214" s="739">
        <v>24</v>
      </c>
      <c r="O214" s="733" t="s">
        <v>3726</v>
      </c>
      <c r="P214" s="734">
        <v>50000</v>
      </c>
      <c r="Q214" s="734">
        <v>1200000</v>
      </c>
      <c r="R214" s="735"/>
      <c r="S214" s="759">
        <v>2</v>
      </c>
      <c r="V214" s="61" t="e">
        <f>VLOOKUP(T214,Sheet3!$C$3:$F$16,2,)</f>
        <v>#N/A</v>
      </c>
      <c r="W214" s="61" t="e">
        <f>VLOOKUP(T214,Sheet3!$C$3:$F$16,4,)</f>
        <v>#N/A</v>
      </c>
      <c r="X214" s="61" t="e">
        <f>VLOOKUP(T214,Sheet3!$C$3:$F$16,3,)</f>
        <v>#N/A</v>
      </c>
    </row>
    <row r="215" spans="1:24" ht="37.5">
      <c r="A215" s="61" t="str">
        <f t="shared" si="16"/>
        <v>NELPI KARIANA WATI GOHAE2</v>
      </c>
      <c r="B215" s="745">
        <v>102</v>
      </c>
      <c r="C215" s="737" t="s">
        <v>3715</v>
      </c>
      <c r="D215" s="744" t="s">
        <v>3719</v>
      </c>
      <c r="E215" s="779">
        <f t="shared" si="18"/>
        <v>45714</v>
      </c>
      <c r="F215" s="730" t="s">
        <v>3751</v>
      </c>
      <c r="G215" s="731">
        <v>83</v>
      </c>
      <c r="H215" s="730" t="s">
        <v>3751</v>
      </c>
      <c r="I215" s="729">
        <f t="shared" si="17"/>
        <v>83</v>
      </c>
      <c r="J215" s="730" t="s">
        <v>3751</v>
      </c>
      <c r="K215" s="729" t="s">
        <v>3456</v>
      </c>
      <c r="L215" s="738" t="s">
        <v>3727</v>
      </c>
      <c r="M215" s="738" t="s">
        <v>3846</v>
      </c>
      <c r="N215" s="739">
        <v>24</v>
      </c>
      <c r="O215" s="733" t="s">
        <v>3726</v>
      </c>
      <c r="P215" s="734">
        <v>50000</v>
      </c>
      <c r="Q215" s="734">
        <v>1200000</v>
      </c>
      <c r="R215" s="735"/>
      <c r="S215" s="759">
        <v>2</v>
      </c>
      <c r="V215" s="61" t="e">
        <f>VLOOKUP(T215,Sheet3!$C$3:$F$16,2,)</f>
        <v>#N/A</v>
      </c>
      <c r="W215" s="61" t="e">
        <f>VLOOKUP(T215,Sheet3!$C$3:$F$16,4,)</f>
        <v>#N/A</v>
      </c>
      <c r="X215" s="61" t="e">
        <f>VLOOKUP(T215,Sheet3!$C$3:$F$16,3,)</f>
        <v>#N/A</v>
      </c>
    </row>
    <row r="216" spans="1:24" ht="37.5">
      <c r="A216" s="61" t="str">
        <f t="shared" si="16"/>
        <v>MERCY GRACE KARTIKA SARI ZAGOTO (1558776677230122)2</v>
      </c>
      <c r="B216" s="745">
        <v>103</v>
      </c>
      <c r="C216" s="737" t="s">
        <v>3715</v>
      </c>
      <c r="D216" s="744" t="s">
        <v>3719</v>
      </c>
      <c r="E216" s="779">
        <f t="shared" si="18"/>
        <v>45714</v>
      </c>
      <c r="F216" s="730" t="s">
        <v>3751</v>
      </c>
      <c r="G216" s="731">
        <v>84</v>
      </c>
      <c r="H216" s="730" t="s">
        <v>3751</v>
      </c>
      <c r="I216" s="729">
        <f t="shared" si="17"/>
        <v>84</v>
      </c>
      <c r="J216" s="730" t="s">
        <v>3751</v>
      </c>
      <c r="K216" s="729" t="s">
        <v>3457</v>
      </c>
      <c r="L216" s="738" t="s">
        <v>3728</v>
      </c>
      <c r="M216" s="738" t="s">
        <v>3846</v>
      </c>
      <c r="N216" s="739">
        <v>35</v>
      </c>
      <c r="O216" s="733" t="s">
        <v>3726</v>
      </c>
      <c r="P216" s="734">
        <v>50000</v>
      </c>
      <c r="Q216" s="734">
        <v>1750000</v>
      </c>
      <c r="R216" s="735"/>
      <c r="S216" s="759">
        <v>2</v>
      </c>
      <c r="V216" s="61" t="e">
        <f>VLOOKUP(T216,Sheet3!$C$3:$F$16,2,)</f>
        <v>#N/A</v>
      </c>
      <c r="W216" s="61" t="e">
        <f>VLOOKUP(T216,Sheet3!$C$3:$F$16,4,)</f>
        <v>#N/A</v>
      </c>
      <c r="X216" s="61" t="e">
        <f>VLOOKUP(T216,Sheet3!$C$3:$F$16,3,)</f>
        <v>#N/A</v>
      </c>
    </row>
    <row r="217" spans="1:24" ht="26">
      <c r="A217" s="61" t="str">
        <f t="shared" si="16"/>
        <v>Estera Nehe2</v>
      </c>
      <c r="B217" s="745">
        <v>105</v>
      </c>
      <c r="C217" s="737" t="s">
        <v>3729</v>
      </c>
      <c r="D217" s="744" t="s">
        <v>3730</v>
      </c>
      <c r="E217" s="779">
        <f t="shared" si="18"/>
        <v>45714</v>
      </c>
      <c r="F217" s="730" t="s">
        <v>3751</v>
      </c>
      <c r="G217" s="731">
        <v>85</v>
      </c>
      <c r="H217" s="730" t="s">
        <v>3751</v>
      </c>
      <c r="I217" s="729">
        <f t="shared" si="17"/>
        <v>85</v>
      </c>
      <c r="J217" s="730" t="s">
        <v>3751</v>
      </c>
      <c r="K217" s="729" t="s">
        <v>3458</v>
      </c>
      <c r="L217" s="738" t="s">
        <v>3731</v>
      </c>
      <c r="M217" s="738" t="s">
        <v>3847</v>
      </c>
      <c r="N217" s="739">
        <v>1</v>
      </c>
      <c r="O217" s="733" t="s">
        <v>3699</v>
      </c>
      <c r="P217" s="734">
        <v>2000000</v>
      </c>
      <c r="Q217" s="734">
        <v>2000000</v>
      </c>
      <c r="R217" s="735"/>
      <c r="S217" s="759">
        <v>2</v>
      </c>
      <c r="V217" s="61" t="e">
        <f>VLOOKUP(T217,Sheet3!$C$3:$F$16,2,)</f>
        <v>#N/A</v>
      </c>
      <c r="W217" s="61" t="e">
        <f>VLOOKUP(T217,Sheet3!$C$3:$F$16,4,)</f>
        <v>#N/A</v>
      </c>
      <c r="X217" s="61" t="e">
        <f>VLOOKUP(T217,Sheet3!$C$3:$F$16,3,)</f>
        <v>#N/A</v>
      </c>
    </row>
    <row r="218" spans="1:24" ht="26">
      <c r="A218" s="61" t="str">
        <f t="shared" si="16"/>
        <v>Hatieli Buulolo2</v>
      </c>
      <c r="B218" s="745">
        <v>106</v>
      </c>
      <c r="C218" s="737" t="s">
        <v>3729</v>
      </c>
      <c r="D218" s="744" t="s">
        <v>3730</v>
      </c>
      <c r="E218" s="779">
        <f t="shared" si="18"/>
        <v>45714</v>
      </c>
      <c r="F218" s="730" t="s">
        <v>3751</v>
      </c>
      <c r="G218" s="731">
        <v>86</v>
      </c>
      <c r="H218" s="730" t="s">
        <v>3751</v>
      </c>
      <c r="I218" s="729">
        <f t="shared" si="17"/>
        <v>86</v>
      </c>
      <c r="J218" s="730" t="s">
        <v>3751</v>
      </c>
      <c r="K218" s="729" t="s">
        <v>3459</v>
      </c>
      <c r="L218" s="738" t="s">
        <v>3732</v>
      </c>
      <c r="M218" s="738" t="s">
        <v>3847</v>
      </c>
      <c r="N218" s="739">
        <v>1</v>
      </c>
      <c r="O218" s="733" t="s">
        <v>3699</v>
      </c>
      <c r="P218" s="734">
        <v>2500000</v>
      </c>
      <c r="Q218" s="734">
        <v>2500000</v>
      </c>
      <c r="R218" s="735"/>
      <c r="S218" s="759">
        <v>2</v>
      </c>
      <c r="V218" s="61" t="e">
        <f>VLOOKUP(T218,Sheet3!$C$3:$F$16,2,)</f>
        <v>#N/A</v>
      </c>
      <c r="W218" s="61" t="e">
        <f>VLOOKUP(T218,Sheet3!$C$3:$F$16,4,)</f>
        <v>#N/A</v>
      </c>
      <c r="X218" s="61" t="e">
        <f>VLOOKUP(T218,Sheet3!$C$3:$F$16,3,)</f>
        <v>#N/A</v>
      </c>
    </row>
    <row r="219" spans="1:24" ht="26">
      <c r="A219" s="61" t="str">
        <f t="shared" si="16"/>
        <v>David J. Sitinjak2</v>
      </c>
      <c r="B219" s="745">
        <v>107</v>
      </c>
      <c r="C219" s="737" t="s">
        <v>3729</v>
      </c>
      <c r="D219" s="744" t="s">
        <v>3730</v>
      </c>
      <c r="E219" s="779">
        <f t="shared" si="18"/>
        <v>45714</v>
      </c>
      <c r="F219" s="730" t="s">
        <v>3751</v>
      </c>
      <c r="G219" s="731">
        <v>87</v>
      </c>
      <c r="H219" s="730" t="s">
        <v>3751</v>
      </c>
      <c r="I219" s="729">
        <f t="shared" si="17"/>
        <v>87</v>
      </c>
      <c r="J219" s="730" t="s">
        <v>3751</v>
      </c>
      <c r="K219" s="729" t="s">
        <v>3460</v>
      </c>
      <c r="L219" s="738" t="s">
        <v>3733</v>
      </c>
      <c r="M219" s="738" t="s">
        <v>3847</v>
      </c>
      <c r="N219" s="739">
        <v>1</v>
      </c>
      <c r="O219" s="733" t="s">
        <v>3699</v>
      </c>
      <c r="P219" s="734">
        <v>2500000</v>
      </c>
      <c r="Q219" s="734">
        <v>2500000</v>
      </c>
      <c r="R219" s="735"/>
      <c r="S219" s="759">
        <v>2</v>
      </c>
      <c r="V219" s="61" t="e">
        <f>VLOOKUP(T219,Sheet3!$C$3:$F$16,2,)</f>
        <v>#N/A</v>
      </c>
      <c r="W219" s="61" t="e">
        <f>VLOOKUP(T219,Sheet3!$C$3:$F$16,4,)</f>
        <v>#N/A</v>
      </c>
      <c r="X219" s="61" t="e">
        <f>VLOOKUP(T219,Sheet3!$C$3:$F$16,3,)</f>
        <v>#N/A</v>
      </c>
    </row>
    <row r="220" spans="1:24" ht="26">
      <c r="A220" s="61" t="str">
        <f t="shared" si="16"/>
        <v>Siona Ziraluo2</v>
      </c>
      <c r="B220" s="745">
        <v>108</v>
      </c>
      <c r="C220" s="737" t="s">
        <v>3729</v>
      </c>
      <c r="D220" s="744" t="s">
        <v>3730</v>
      </c>
      <c r="E220" s="779">
        <f t="shared" si="18"/>
        <v>45714</v>
      </c>
      <c r="F220" s="730" t="s">
        <v>3751</v>
      </c>
      <c r="G220" s="731">
        <v>88</v>
      </c>
      <c r="H220" s="730" t="s">
        <v>3751</v>
      </c>
      <c r="I220" s="729">
        <f t="shared" si="17"/>
        <v>88</v>
      </c>
      <c r="J220" s="730" t="s">
        <v>3751</v>
      </c>
      <c r="K220" s="729" t="s">
        <v>3461</v>
      </c>
      <c r="L220" s="746" t="s">
        <v>3734</v>
      </c>
      <c r="M220" s="738" t="s">
        <v>3847</v>
      </c>
      <c r="N220" s="739">
        <v>1</v>
      </c>
      <c r="O220" s="733" t="s">
        <v>3699</v>
      </c>
      <c r="P220" s="734">
        <v>2000000</v>
      </c>
      <c r="Q220" s="734">
        <v>2000000</v>
      </c>
      <c r="R220" s="735"/>
      <c r="S220" s="759">
        <v>2</v>
      </c>
      <c r="V220" s="61" t="e">
        <f>VLOOKUP(T220,Sheet3!$C$3:$F$16,2,)</f>
        <v>#N/A</v>
      </c>
      <c r="W220" s="61" t="e">
        <f>VLOOKUP(T220,Sheet3!$C$3:$F$16,4,)</f>
        <v>#N/A</v>
      </c>
      <c r="X220" s="61" t="e">
        <f>VLOOKUP(T220,Sheet3!$C$3:$F$16,3,)</f>
        <v>#N/A</v>
      </c>
    </row>
    <row r="221" spans="1:24" ht="26">
      <c r="A221" s="61" t="str">
        <f t="shared" si="16"/>
        <v>Merdina Ziraluo2</v>
      </c>
      <c r="B221" s="745">
        <v>109</v>
      </c>
      <c r="C221" s="737" t="s">
        <v>3729</v>
      </c>
      <c r="D221" s="744" t="s">
        <v>3730</v>
      </c>
      <c r="E221" s="779">
        <f t="shared" si="18"/>
        <v>45714</v>
      </c>
      <c r="F221" s="730" t="s">
        <v>3751</v>
      </c>
      <c r="G221" s="731">
        <v>89</v>
      </c>
      <c r="H221" s="730" t="s">
        <v>3751</v>
      </c>
      <c r="I221" s="729">
        <f t="shared" si="17"/>
        <v>89</v>
      </c>
      <c r="J221" s="730" t="s">
        <v>3751</v>
      </c>
      <c r="K221" s="729" t="s">
        <v>3462</v>
      </c>
      <c r="L221" s="746" t="s">
        <v>3735</v>
      </c>
      <c r="M221" s="738" t="s">
        <v>3847</v>
      </c>
      <c r="N221" s="739">
        <v>1</v>
      </c>
      <c r="O221" s="733" t="s">
        <v>3699</v>
      </c>
      <c r="P221" s="734">
        <v>2500000</v>
      </c>
      <c r="Q221" s="734">
        <v>2500000</v>
      </c>
      <c r="R221" s="735"/>
      <c r="S221" s="759">
        <v>2</v>
      </c>
      <c r="V221" s="61" t="e">
        <f>VLOOKUP(T221,Sheet3!$C$3:$F$16,2,)</f>
        <v>#N/A</v>
      </c>
      <c r="W221" s="61" t="e">
        <f>VLOOKUP(T221,Sheet3!$C$3:$F$16,4,)</f>
        <v>#N/A</v>
      </c>
      <c r="X221" s="61" t="e">
        <f>VLOOKUP(T221,Sheet3!$C$3:$F$16,3,)</f>
        <v>#N/A</v>
      </c>
    </row>
    <row r="222" spans="1:24" ht="26">
      <c r="A222" s="61" t="str">
        <f t="shared" si="16"/>
        <v>Oksilia Buulolo, S.S2</v>
      </c>
      <c r="B222" s="745">
        <v>110</v>
      </c>
      <c r="C222" s="737" t="s">
        <v>3729</v>
      </c>
      <c r="D222" s="744" t="s">
        <v>3730</v>
      </c>
      <c r="E222" s="779">
        <f t="shared" si="18"/>
        <v>45714</v>
      </c>
      <c r="F222" s="730" t="s">
        <v>3751</v>
      </c>
      <c r="G222" s="731">
        <v>90</v>
      </c>
      <c r="H222" s="730" t="s">
        <v>3751</v>
      </c>
      <c r="I222" s="729">
        <f t="shared" si="17"/>
        <v>90</v>
      </c>
      <c r="J222" s="730" t="s">
        <v>3751</v>
      </c>
      <c r="K222" s="729" t="s">
        <v>3463</v>
      </c>
      <c r="L222" s="744" t="s">
        <v>3736</v>
      </c>
      <c r="M222" s="738" t="s">
        <v>3847</v>
      </c>
      <c r="N222" s="732">
        <v>1</v>
      </c>
      <c r="O222" s="733" t="s">
        <v>3737</v>
      </c>
      <c r="P222" s="734">
        <v>2000000</v>
      </c>
      <c r="Q222" s="734">
        <v>2000000</v>
      </c>
      <c r="R222" s="735"/>
      <c r="S222" s="759">
        <v>2</v>
      </c>
      <c r="V222" s="61" t="e">
        <f>VLOOKUP(T222,Sheet3!$C$3:$F$16,2,)</f>
        <v>#N/A</v>
      </c>
      <c r="W222" s="61" t="e">
        <f>VLOOKUP(T222,Sheet3!$C$3:$F$16,4,)</f>
        <v>#N/A</v>
      </c>
      <c r="X222" s="61" t="e">
        <f>VLOOKUP(T222,Sheet3!$C$3:$F$16,3,)</f>
        <v>#N/A</v>
      </c>
    </row>
    <row r="223" spans="1:24" ht="26">
      <c r="A223" s="61" t="str">
        <f t="shared" si="16"/>
        <v>Novika Efdimasari Halawa, S.S.I2</v>
      </c>
      <c r="B223" s="745">
        <v>111</v>
      </c>
      <c r="C223" s="737" t="s">
        <v>3729</v>
      </c>
      <c r="D223" s="744" t="s">
        <v>3730</v>
      </c>
      <c r="E223" s="779">
        <f t="shared" si="18"/>
        <v>45714</v>
      </c>
      <c r="F223" s="730" t="s">
        <v>3751</v>
      </c>
      <c r="G223" s="731">
        <v>91</v>
      </c>
      <c r="H223" s="730" t="s">
        <v>3751</v>
      </c>
      <c r="I223" s="729">
        <f t="shared" si="17"/>
        <v>91</v>
      </c>
      <c r="J223" s="730" t="s">
        <v>3751</v>
      </c>
      <c r="K223" s="729" t="s">
        <v>3464</v>
      </c>
      <c r="L223" s="744" t="s">
        <v>3738</v>
      </c>
      <c r="M223" s="738" t="s">
        <v>3847</v>
      </c>
      <c r="N223" s="732">
        <v>1</v>
      </c>
      <c r="O223" s="733" t="s">
        <v>3737</v>
      </c>
      <c r="P223" s="734">
        <v>2000000</v>
      </c>
      <c r="Q223" s="734">
        <v>2000000</v>
      </c>
      <c r="R223" s="735"/>
      <c r="S223" s="759">
        <v>2</v>
      </c>
      <c r="V223" s="61" t="e">
        <f>VLOOKUP(T223,Sheet3!$C$3:$F$16,2,)</f>
        <v>#N/A</v>
      </c>
      <c r="W223" s="61" t="e">
        <f>VLOOKUP(T223,Sheet3!$C$3:$F$16,4,)</f>
        <v>#N/A</v>
      </c>
      <c r="X223" s="61" t="e">
        <f>VLOOKUP(T223,Sheet3!$C$3:$F$16,3,)</f>
        <v>#N/A</v>
      </c>
    </row>
    <row r="224" spans="1:24" ht="26">
      <c r="A224" s="61" t="str">
        <f t="shared" si="16"/>
        <v>Zefrianus Zai2</v>
      </c>
      <c r="B224" s="745">
        <v>113</v>
      </c>
      <c r="C224" s="737" t="s">
        <v>3739</v>
      </c>
      <c r="D224" s="744" t="s">
        <v>3740</v>
      </c>
      <c r="E224" s="779">
        <f t="shared" si="18"/>
        <v>45714</v>
      </c>
      <c r="F224" s="730" t="s">
        <v>3751</v>
      </c>
      <c r="G224" s="731">
        <v>92</v>
      </c>
      <c r="H224" s="730" t="s">
        <v>3751</v>
      </c>
      <c r="I224" s="729">
        <f t="shared" si="17"/>
        <v>92</v>
      </c>
      <c r="J224" s="730" t="s">
        <v>3751</v>
      </c>
      <c r="K224" s="729" t="s">
        <v>3465</v>
      </c>
      <c r="L224" s="744" t="s">
        <v>3741</v>
      </c>
      <c r="M224" s="738" t="s">
        <v>3847</v>
      </c>
      <c r="N224" s="732">
        <v>1</v>
      </c>
      <c r="O224" s="733" t="s">
        <v>3737</v>
      </c>
      <c r="P224" s="734">
        <v>2000000</v>
      </c>
      <c r="Q224" s="734">
        <v>2000000</v>
      </c>
      <c r="R224" s="735"/>
      <c r="S224" s="759">
        <v>2</v>
      </c>
      <c r="V224" s="61" t="e">
        <f>VLOOKUP(T224,Sheet3!$C$3:$F$16,2,)</f>
        <v>#N/A</v>
      </c>
      <c r="W224" s="61" t="e">
        <f>VLOOKUP(T224,Sheet3!$C$3:$F$16,4,)</f>
        <v>#N/A</v>
      </c>
      <c r="X224" s="61" t="e">
        <f>VLOOKUP(T224,Sheet3!$C$3:$F$16,3,)</f>
        <v>#N/A</v>
      </c>
    </row>
    <row r="225" spans="1:24" ht="26">
      <c r="A225" s="61" t="str">
        <f t="shared" si="16"/>
        <v>Thomas Hondro2</v>
      </c>
      <c r="B225" s="745">
        <v>114</v>
      </c>
      <c r="C225" s="737" t="s">
        <v>3742</v>
      </c>
      <c r="D225" s="729" t="s">
        <v>3740</v>
      </c>
      <c r="E225" s="779">
        <f t="shared" si="18"/>
        <v>45714</v>
      </c>
      <c r="F225" s="730" t="s">
        <v>3751</v>
      </c>
      <c r="G225" s="731">
        <v>93</v>
      </c>
      <c r="H225" s="730" t="s">
        <v>3751</v>
      </c>
      <c r="I225" s="729">
        <f t="shared" si="17"/>
        <v>93</v>
      </c>
      <c r="J225" s="730" t="s">
        <v>3751</v>
      </c>
      <c r="K225" s="729" t="s">
        <v>3469</v>
      </c>
      <c r="L225" s="744" t="s">
        <v>3743</v>
      </c>
      <c r="M225" s="738" t="s">
        <v>3847</v>
      </c>
      <c r="N225" s="732">
        <v>1</v>
      </c>
      <c r="O225" s="733" t="s">
        <v>3699</v>
      </c>
      <c r="P225" s="734">
        <v>1000000</v>
      </c>
      <c r="Q225" s="734">
        <v>1000000</v>
      </c>
      <c r="R225" s="735"/>
      <c r="S225" s="759">
        <v>2</v>
      </c>
      <c r="V225" s="61" t="e">
        <f>VLOOKUP(T225,Sheet3!$C$3:$F$16,2,)</f>
        <v>#N/A</v>
      </c>
      <c r="W225" s="61" t="e">
        <f>VLOOKUP(T225,Sheet3!$C$3:$F$16,4,)</f>
        <v>#N/A</v>
      </c>
      <c r="X225" s="61" t="e">
        <f>VLOOKUP(T225,Sheet3!$C$3:$F$16,3,)</f>
        <v>#N/A</v>
      </c>
    </row>
    <row r="226" spans="1:24" ht="26">
      <c r="A226" s="61" t="str">
        <f t="shared" si="16"/>
        <v>Meja Siswa2</v>
      </c>
      <c r="B226" s="745">
        <v>20</v>
      </c>
      <c r="C226" s="737" t="s">
        <v>3767</v>
      </c>
      <c r="D226" s="744" t="s">
        <v>3764</v>
      </c>
      <c r="E226" s="779">
        <f t="shared" si="18"/>
        <v>45687</v>
      </c>
      <c r="F226" s="730" t="s">
        <v>3709</v>
      </c>
      <c r="G226" s="731"/>
      <c r="H226" s="730" t="s">
        <v>3797</v>
      </c>
      <c r="I226" s="729">
        <f t="shared" si="17"/>
        <v>0</v>
      </c>
      <c r="J226" s="730" t="s">
        <v>3798</v>
      </c>
      <c r="K226" s="729" t="e">
        <v>#N/A</v>
      </c>
      <c r="L226" s="729" t="s">
        <v>3799</v>
      </c>
      <c r="M226" s="729" t="s">
        <v>3854</v>
      </c>
      <c r="N226" s="732">
        <v>148</v>
      </c>
      <c r="O226" s="733" t="s">
        <v>3658</v>
      </c>
      <c r="P226" s="734">
        <v>400000</v>
      </c>
      <c r="Q226" s="734">
        <v>59200000</v>
      </c>
      <c r="R226" s="735"/>
      <c r="S226" s="759">
        <v>2</v>
      </c>
      <c r="V226" s="61" t="e">
        <f>VLOOKUP(T226,Sheet3!$C$3:$F$16,2,)</f>
        <v>#N/A</v>
      </c>
      <c r="W226" s="61" t="e">
        <f>VLOOKUP(T226,Sheet3!$C$3:$F$16,4,)</f>
        <v>#N/A</v>
      </c>
      <c r="X226" s="61" t="e">
        <f>VLOOKUP(T226,Sheet3!$C$3:$F$16,3,)</f>
        <v>#N/A</v>
      </c>
    </row>
    <row r="227" spans="1:24" ht="26">
      <c r="A227" s="61" t="str">
        <f t="shared" si="16"/>
        <v>Jasa Angkutan Meja Siswa2</v>
      </c>
      <c r="B227" s="745">
        <v>21</v>
      </c>
      <c r="C227" s="737" t="s">
        <v>3767</v>
      </c>
      <c r="D227" s="744" t="s">
        <v>3764</v>
      </c>
      <c r="E227" s="779">
        <f t="shared" si="18"/>
        <v>45754</v>
      </c>
      <c r="F227" s="730" t="s">
        <v>3797</v>
      </c>
      <c r="G227" s="731"/>
      <c r="H227" s="730" t="s">
        <v>3797</v>
      </c>
      <c r="I227" s="729">
        <f t="shared" si="17"/>
        <v>0</v>
      </c>
      <c r="J227" s="730" t="s">
        <v>3798</v>
      </c>
      <c r="K227" s="729" t="e">
        <v>#N/A</v>
      </c>
      <c r="L227" s="729" t="s">
        <v>3800</v>
      </c>
      <c r="M227" s="729" t="s">
        <v>3855</v>
      </c>
      <c r="N227" s="732">
        <v>1</v>
      </c>
      <c r="O227" s="733" t="s">
        <v>3553</v>
      </c>
      <c r="P227" s="734">
        <v>4500000</v>
      </c>
      <c r="Q227" s="734">
        <v>4500000</v>
      </c>
      <c r="R227" s="735"/>
      <c r="S227" s="759">
        <v>2</v>
      </c>
      <c r="V227" s="61" t="e">
        <f>VLOOKUP(T227,Sheet3!$C$3:$F$16,2,)</f>
        <v>#N/A</v>
      </c>
      <c r="W227" s="61" t="e">
        <f>VLOOKUP(T227,Sheet3!$C$3:$F$16,4,)</f>
        <v>#N/A</v>
      </c>
      <c r="X227" s="61" t="e">
        <f>VLOOKUP(T227,Sheet3!$C$3:$F$16,3,)</f>
        <v>#N/A</v>
      </c>
    </row>
    <row r="228" spans="1:24">
      <c r="A228" s="61" t="str">
        <f t="shared" si="16"/>
        <v/>
      </c>
      <c r="B228" s="745"/>
      <c r="C228" s="728"/>
      <c r="D228" s="729"/>
      <c r="E228" s="297"/>
      <c r="G228" s="731"/>
      <c r="H228" s="750"/>
      <c r="I228" s="729">
        <f t="shared" si="17"/>
        <v>0</v>
      </c>
      <c r="J228" s="750"/>
      <c r="K228" s="729">
        <v>0</v>
      </c>
      <c r="L228" s="744"/>
      <c r="M228" s="744"/>
      <c r="N228" s="732"/>
      <c r="O228" s="733"/>
      <c r="P228" s="734"/>
      <c r="Q228" s="734"/>
      <c r="R228" s="735"/>
      <c r="V228" s="61" t="e">
        <f>VLOOKUP(T228,Sheet3!$C$3:$F$16,2,)</f>
        <v>#N/A</v>
      </c>
      <c r="W228" s="61" t="e">
        <f>VLOOKUP(T228,Sheet3!$C$3:$F$16,4,)</f>
        <v>#N/A</v>
      </c>
      <c r="X228" s="61" t="e">
        <f>VLOOKUP(T228,Sheet3!$C$3:$F$16,3,)</f>
        <v>#N/A</v>
      </c>
    </row>
    <row r="229" spans="1:24" ht="37.5">
      <c r="A229" s="61" t="str">
        <f t="shared" si="16"/>
        <v>Kudapan pada Kegiatan Sosialisasi pemberdayaan perpustakaan terutama untuk pengembangan minat baca peserta didik3</v>
      </c>
      <c r="B229" s="747">
        <v>4</v>
      </c>
      <c r="C229" s="770" t="s">
        <v>3543</v>
      </c>
      <c r="D229" s="744" t="s">
        <v>3752</v>
      </c>
      <c r="E229" s="779">
        <f t="shared" ref="E229:E292" si="19">F229-2</f>
        <v>45717</v>
      </c>
      <c r="F229" s="730" t="s">
        <v>3753</v>
      </c>
      <c r="G229" s="731">
        <v>94</v>
      </c>
      <c r="H229" s="730" t="s">
        <v>3753</v>
      </c>
      <c r="I229" s="729">
        <f t="shared" si="17"/>
        <v>94</v>
      </c>
      <c r="J229" s="730" t="s">
        <v>3837</v>
      </c>
      <c r="K229" s="729" t="s">
        <v>3470</v>
      </c>
      <c r="L229" s="744" t="s">
        <v>3754</v>
      </c>
      <c r="M229" s="744" t="s">
        <v>3845</v>
      </c>
      <c r="N229" s="732">
        <v>75</v>
      </c>
      <c r="O229" s="733" t="s">
        <v>3575</v>
      </c>
      <c r="P229" s="734">
        <v>15000</v>
      </c>
      <c r="Q229" s="734">
        <v>1125000</v>
      </c>
      <c r="R229" s="735"/>
      <c r="S229" s="759">
        <v>3</v>
      </c>
      <c r="T229" s="736" t="s">
        <v>10</v>
      </c>
      <c r="V229" s="61" t="str">
        <f>VLOOKUP(T229,Sheet3!$C$3:$F$16,2,)</f>
        <v>Fudi Supiyanto</v>
      </c>
      <c r="W229" s="61" t="str">
        <f>VLOOKUP(T229,Sheet3!$C$3:$F$16,4,)</f>
        <v>082164895397</v>
      </c>
      <c r="X229" s="61" t="str">
        <f>VLOOKUP(T229,Sheet3!$C$3:$F$16,3,)</f>
        <v>Jln Ahmad Yani No.89 Kel. Pasar Telukdalam, Nias Selatan</v>
      </c>
    </row>
    <row r="230" spans="1:24" ht="37.5">
      <c r="A230" s="61" t="str">
        <f t="shared" si="16"/>
        <v>Nasi Kotak  pada kegiatan Peningkatan kompetensi guru untuk pembelajaran berorientasi pada peserta didik3</v>
      </c>
      <c r="B230" s="747">
        <v>5</v>
      </c>
      <c r="C230" s="770" t="s">
        <v>3543</v>
      </c>
      <c r="D230" s="744" t="s">
        <v>3755</v>
      </c>
      <c r="E230" s="779">
        <f t="shared" si="19"/>
        <v>45717</v>
      </c>
      <c r="F230" s="730" t="s">
        <v>3753</v>
      </c>
      <c r="G230" s="731">
        <v>95</v>
      </c>
      <c r="H230" s="730" t="s">
        <v>3753</v>
      </c>
      <c r="I230" s="729">
        <f t="shared" si="17"/>
        <v>95</v>
      </c>
      <c r="J230" s="730" t="s">
        <v>3837</v>
      </c>
      <c r="K230" s="729" t="s">
        <v>2785</v>
      </c>
      <c r="L230" s="744" t="s">
        <v>3756</v>
      </c>
      <c r="M230" s="744" t="s">
        <v>467</v>
      </c>
      <c r="N230" s="732">
        <v>75</v>
      </c>
      <c r="O230" s="733" t="s">
        <v>3575</v>
      </c>
      <c r="P230" s="734">
        <v>40000</v>
      </c>
      <c r="Q230" s="734">
        <v>3000000</v>
      </c>
      <c r="R230" s="735"/>
      <c r="S230" s="759">
        <v>3</v>
      </c>
      <c r="T230" s="736" t="s">
        <v>2507</v>
      </c>
      <c r="V230" s="61" t="str">
        <f>VLOOKUP(T230,Sheet3!$C$3:$F$16,2,)</f>
        <v>Limaati Daeli</v>
      </c>
      <c r="W230" s="61" t="str">
        <f>VLOOKUP(T230,Sheet3!$C$3:$F$16,4,)</f>
        <v>085297578868</v>
      </c>
      <c r="X230" s="61" t="str">
        <f>VLOOKUP(T230,Sheet3!$C$3:$F$16,3,)</f>
        <v>Jl. Saonigeho Km. 2 Telukdalam - Nias Selatan</v>
      </c>
    </row>
    <row r="231" spans="1:24" ht="26">
      <c r="A231" s="61" t="str">
        <f t="shared" si="16"/>
        <v>Kudapan pada Kegiatan rubrik/Ibadah Bulanan3</v>
      </c>
      <c r="B231" s="747">
        <v>9</v>
      </c>
      <c r="C231" s="770" t="s">
        <v>3543</v>
      </c>
      <c r="D231" s="744" t="s">
        <v>3703</v>
      </c>
      <c r="E231" s="779">
        <f t="shared" si="19"/>
        <v>45729</v>
      </c>
      <c r="F231" s="730" t="s">
        <v>3763</v>
      </c>
      <c r="G231" s="731">
        <v>103</v>
      </c>
      <c r="H231" s="730" t="s">
        <v>3763</v>
      </c>
      <c r="I231" s="729">
        <f t="shared" si="17"/>
        <v>103</v>
      </c>
      <c r="J231" s="730" t="s">
        <v>3763</v>
      </c>
      <c r="K231" s="729" t="s">
        <v>3472</v>
      </c>
      <c r="L231" s="744" t="s">
        <v>3706</v>
      </c>
      <c r="M231" s="744" t="s">
        <v>3845</v>
      </c>
      <c r="N231" s="732">
        <v>100</v>
      </c>
      <c r="O231" s="733" t="s">
        <v>3575</v>
      </c>
      <c r="P231" s="734">
        <v>15000</v>
      </c>
      <c r="Q231" s="734">
        <v>1500000</v>
      </c>
      <c r="R231" s="735"/>
      <c r="S231" s="759">
        <v>3</v>
      </c>
      <c r="T231" s="736" t="s">
        <v>10</v>
      </c>
      <c r="V231" s="61" t="str">
        <f>VLOOKUP(T231,Sheet3!$C$3:$F$16,2,)</f>
        <v>Fudi Supiyanto</v>
      </c>
      <c r="W231" s="61" t="str">
        <f>VLOOKUP(T231,Sheet3!$C$3:$F$16,4,)</f>
        <v>082164895397</v>
      </c>
      <c r="X231" s="61" t="str">
        <f>VLOOKUP(T231,Sheet3!$C$3:$F$16,3,)</f>
        <v>Jln Ahmad Yani No.89 Kel. Pasar Telukdalam, Nias Selatan</v>
      </c>
    </row>
    <row r="232" spans="1:24" ht="26">
      <c r="A232" s="61" t="str">
        <f t="shared" si="16"/>
        <v>Spanduk Uk. 1 x 6 meter-3</v>
      </c>
      <c r="B232" s="747">
        <v>11</v>
      </c>
      <c r="C232" s="770" t="s">
        <v>3633</v>
      </c>
      <c r="D232" s="744" t="s">
        <v>3683</v>
      </c>
      <c r="E232" s="779">
        <f t="shared" si="19"/>
        <v>45734</v>
      </c>
      <c r="F232" s="730" t="s">
        <v>3775</v>
      </c>
      <c r="G232" s="731">
        <v>109</v>
      </c>
      <c r="H232" s="730" t="s">
        <v>3775</v>
      </c>
      <c r="I232" s="729">
        <f t="shared" si="17"/>
        <v>109</v>
      </c>
      <c r="J232" s="730" t="s">
        <v>3775</v>
      </c>
      <c r="K232" s="729" t="s">
        <v>3479</v>
      </c>
      <c r="L232" s="744" t="s">
        <v>3686</v>
      </c>
      <c r="M232" s="744" t="str">
        <f>L232</f>
        <v>Spanduk Uk. 1 x 6 meter-</v>
      </c>
      <c r="N232" s="732">
        <v>2</v>
      </c>
      <c r="O232" s="733" t="s">
        <v>3557</v>
      </c>
      <c r="P232" s="734">
        <v>300000</v>
      </c>
      <c r="Q232" s="734">
        <v>600000</v>
      </c>
      <c r="R232" s="735"/>
      <c r="S232" s="759">
        <v>3</v>
      </c>
      <c r="T232" s="61" t="s">
        <v>2511</v>
      </c>
      <c r="V232" s="61" t="str">
        <f>VLOOKUP(T232,Sheet3!$C$3:$F$16,2,)</f>
        <v>Pieter B.P. Loi</v>
      </c>
      <c r="W232" s="61" t="str">
        <f>VLOOKUP(T232,Sheet3!$C$3:$F$16,4,)</f>
        <v>082166506229</v>
      </c>
      <c r="X232" s="61" t="str">
        <f>VLOOKUP(T232,Sheet3!$C$3:$F$16,3,)</f>
        <v>Jl. Diponegoro Kel. Pasar Telukdalam - Nias Selatan</v>
      </c>
    </row>
    <row r="233" spans="1:24" ht="37.5">
      <c r="A233" s="61" t="str">
        <f t="shared" si="16"/>
        <v>Nasi Kotak pada kegiatan Peningkatan kompetensi guru untuk pembelajaran berorientasi pada peserta didik3</v>
      </c>
      <c r="B233" s="745">
        <v>15</v>
      </c>
      <c r="C233" s="737" t="s">
        <v>3543</v>
      </c>
      <c r="D233" s="744" t="s">
        <v>3674</v>
      </c>
      <c r="E233" s="779">
        <f t="shared" si="19"/>
        <v>45734</v>
      </c>
      <c r="F233" s="730" t="s">
        <v>3775</v>
      </c>
      <c r="G233" s="731">
        <v>110</v>
      </c>
      <c r="H233" s="730" t="s">
        <v>3775</v>
      </c>
      <c r="I233" s="729">
        <f t="shared" si="17"/>
        <v>110</v>
      </c>
      <c r="J233" s="730" t="s">
        <v>3775</v>
      </c>
      <c r="K233" s="729" t="s">
        <v>3494</v>
      </c>
      <c r="L233" s="738" t="s">
        <v>3776</v>
      </c>
      <c r="M233" s="738" t="s">
        <v>467</v>
      </c>
      <c r="N233" s="739">
        <v>75</v>
      </c>
      <c r="O233" s="733" t="s">
        <v>3575</v>
      </c>
      <c r="P233" s="734">
        <v>40000</v>
      </c>
      <c r="Q233" s="734">
        <v>3000000</v>
      </c>
      <c r="R233" s="735"/>
      <c r="S233" s="759">
        <v>3</v>
      </c>
      <c r="T233" s="736" t="s">
        <v>2507</v>
      </c>
      <c r="V233" s="61" t="str">
        <f>VLOOKUP(T233,Sheet3!$C$3:$F$16,2,)</f>
        <v>Limaati Daeli</v>
      </c>
      <c r="W233" s="61" t="str">
        <f>VLOOKUP(T233,Sheet3!$C$3:$F$16,4,)</f>
        <v>085297578868</v>
      </c>
      <c r="X233" s="61" t="str">
        <f>VLOOKUP(T233,Sheet3!$C$3:$F$16,3,)</f>
        <v>Jl. Saonigeho Km. 2 Telukdalam - Nias Selatan</v>
      </c>
    </row>
    <row r="234" spans="1:24" ht="26">
      <c r="A234" s="61" t="str">
        <f t="shared" si="16"/>
        <v>Kudapan Peningkatan kompetensi guru untuk pembelajaran berorientasi pada peserta didik3</v>
      </c>
      <c r="B234" s="745">
        <v>16</v>
      </c>
      <c r="C234" s="737" t="s">
        <v>3543</v>
      </c>
      <c r="D234" s="744" t="s">
        <v>3674</v>
      </c>
      <c r="E234" s="779">
        <f t="shared" si="19"/>
        <v>45734</v>
      </c>
      <c r="F234" s="730" t="s">
        <v>3775</v>
      </c>
      <c r="G234" s="731">
        <v>111</v>
      </c>
      <c r="H234" s="730" t="s">
        <v>3775</v>
      </c>
      <c r="I234" s="729">
        <f t="shared" si="17"/>
        <v>111</v>
      </c>
      <c r="J234" s="730" t="s">
        <v>3775</v>
      </c>
      <c r="K234" s="729" t="s">
        <v>3480</v>
      </c>
      <c r="L234" s="738" t="s">
        <v>3777</v>
      </c>
      <c r="M234" s="738" t="s">
        <v>3845</v>
      </c>
      <c r="N234" s="739">
        <v>75</v>
      </c>
      <c r="O234" s="733" t="s">
        <v>3575</v>
      </c>
      <c r="P234" s="734">
        <v>15000</v>
      </c>
      <c r="Q234" s="734">
        <v>1125000</v>
      </c>
      <c r="R234" s="735"/>
      <c r="S234" s="759">
        <v>3</v>
      </c>
      <c r="T234" s="736" t="s">
        <v>10</v>
      </c>
      <c r="V234" s="61" t="str">
        <f>VLOOKUP(T234,Sheet3!$C$3:$F$16,2,)</f>
        <v>Fudi Supiyanto</v>
      </c>
      <c r="W234" s="61" t="str">
        <f>VLOOKUP(T234,Sheet3!$C$3:$F$16,4,)</f>
        <v>082164895397</v>
      </c>
      <c r="X234" s="61" t="str">
        <f>VLOOKUP(T234,Sheet3!$C$3:$F$16,3,)</f>
        <v>Jln Ahmad Yani No.89 Kel. Pasar Telukdalam, Nias Selatan</v>
      </c>
    </row>
    <row r="235" spans="1:24" ht="26">
      <c r="A235" s="61" t="str">
        <f t="shared" si="16"/>
        <v>Air Mineral pada pelaksanaan kegiatan bulanan Gerakan Bersih Lingkungan Sekolah3</v>
      </c>
      <c r="B235" s="745">
        <v>20</v>
      </c>
      <c r="C235" s="737" t="s">
        <v>3543</v>
      </c>
      <c r="D235" s="744" t="s">
        <v>3708</v>
      </c>
      <c r="E235" s="779">
        <f t="shared" si="19"/>
        <v>45717</v>
      </c>
      <c r="F235" s="730" t="s">
        <v>3753</v>
      </c>
      <c r="G235" s="731">
        <v>96</v>
      </c>
      <c r="H235" s="730" t="s">
        <v>3753</v>
      </c>
      <c r="I235" s="729">
        <f t="shared" si="17"/>
        <v>96</v>
      </c>
      <c r="J235" s="730" t="s">
        <v>3753</v>
      </c>
      <c r="K235" s="729" t="s">
        <v>3471</v>
      </c>
      <c r="L235" s="738" t="s">
        <v>3546</v>
      </c>
      <c r="M235" s="738" t="s">
        <v>2442</v>
      </c>
      <c r="N235" s="739">
        <v>25</v>
      </c>
      <c r="O235" s="733" t="s">
        <v>3547</v>
      </c>
      <c r="P235" s="734">
        <v>50000</v>
      </c>
      <c r="Q235" s="734">
        <v>1250000</v>
      </c>
      <c r="R235" s="735"/>
      <c r="S235" s="759">
        <v>3</v>
      </c>
      <c r="T235" s="736" t="s">
        <v>10</v>
      </c>
      <c r="V235" s="61" t="str">
        <f>VLOOKUP(T235,Sheet3!$C$3:$F$16,2,)</f>
        <v>Fudi Supiyanto</v>
      </c>
      <c r="W235" s="61" t="str">
        <f>VLOOKUP(T235,Sheet3!$C$3:$F$16,4,)</f>
        <v>082164895397</v>
      </c>
      <c r="X235" s="61" t="str">
        <f>VLOOKUP(T235,Sheet3!$C$3:$F$16,3,)</f>
        <v>Jln Ahmad Yani No.89 Kel. Pasar Telukdalam, Nias Selatan</v>
      </c>
    </row>
    <row r="236" spans="1:24" ht="26">
      <c r="A236" s="61" t="str">
        <f t="shared" si="16"/>
        <v>Jasa Pebaikan Pagar Besi Sekolah3</v>
      </c>
      <c r="B236" s="745">
        <v>23</v>
      </c>
      <c r="C236" s="737" t="s">
        <v>3549</v>
      </c>
      <c r="D236" s="744" t="s">
        <v>3764</v>
      </c>
      <c r="E236" s="779">
        <f t="shared" si="19"/>
        <v>45731</v>
      </c>
      <c r="F236" s="730" t="s">
        <v>3760</v>
      </c>
      <c r="G236" s="731">
        <v>104</v>
      </c>
      <c r="H236" s="730" t="s">
        <v>3765</v>
      </c>
      <c r="I236" s="729">
        <f t="shared" si="17"/>
        <v>104</v>
      </c>
      <c r="J236" s="730" t="s">
        <v>3765</v>
      </c>
      <c r="K236" s="729" t="s">
        <v>3476</v>
      </c>
      <c r="L236" s="738" t="s">
        <v>3766</v>
      </c>
      <c r="M236" s="738"/>
      <c r="N236" s="739">
        <v>1</v>
      </c>
      <c r="O236" s="733" t="s">
        <v>3553</v>
      </c>
      <c r="P236" s="734">
        <v>4000000</v>
      </c>
      <c r="Q236" s="734">
        <v>4000000</v>
      </c>
      <c r="R236" s="735"/>
      <c r="S236" s="759">
        <v>3</v>
      </c>
      <c r="V236" s="61" t="e">
        <f>VLOOKUP(T236,Sheet3!$C$3:$F$16,2,)</f>
        <v>#N/A</v>
      </c>
      <c r="W236" s="61" t="e">
        <f>VLOOKUP(T236,Sheet3!$C$3:$F$16,4,)</f>
        <v>#N/A</v>
      </c>
      <c r="X236" s="61" t="e">
        <f>VLOOKUP(T236,Sheet3!$C$3:$F$16,3,)</f>
        <v>#N/A</v>
      </c>
    </row>
    <row r="237" spans="1:24" ht="26">
      <c r="A237" s="61" t="str">
        <f t="shared" si="16"/>
        <v>Pengadaan Kursi Guru3</v>
      </c>
      <c r="B237" s="745">
        <v>24</v>
      </c>
      <c r="C237" s="737" t="s">
        <v>3767</v>
      </c>
      <c r="D237" s="744" t="s">
        <v>3764</v>
      </c>
      <c r="E237" s="779">
        <f t="shared" si="19"/>
        <v>45731</v>
      </c>
      <c r="F237" s="730" t="s">
        <v>3760</v>
      </c>
      <c r="G237" s="731">
        <v>105</v>
      </c>
      <c r="H237" s="730" t="s">
        <v>3765</v>
      </c>
      <c r="I237" s="729">
        <f t="shared" si="17"/>
        <v>105</v>
      </c>
      <c r="J237" s="730" t="s">
        <v>3768</v>
      </c>
      <c r="K237" s="729" t="s">
        <v>3504</v>
      </c>
      <c r="L237" s="738" t="s">
        <v>3769</v>
      </c>
      <c r="M237" s="738" t="s">
        <v>3856</v>
      </c>
      <c r="N237" s="739">
        <v>30</v>
      </c>
      <c r="O237" s="733" t="s">
        <v>3658</v>
      </c>
      <c r="P237" s="734">
        <v>680000</v>
      </c>
      <c r="Q237" s="734">
        <v>20400000</v>
      </c>
      <c r="R237" s="735"/>
      <c r="S237" s="759">
        <v>3</v>
      </c>
      <c r="T237" s="61" t="s">
        <v>2521</v>
      </c>
      <c r="V237" s="61" t="str">
        <f>VLOOKUP(T237,Sheet3!$C$3:$F$16,2,)</f>
        <v>Marusaha S. Simanjuntak</v>
      </c>
      <c r="W237" s="61" t="str">
        <f>VLOOKUP(T237,Sheet3!$C$3:$F$16,4,)</f>
        <v>085261247862</v>
      </c>
      <c r="X237" s="61" t="str">
        <f>VLOOKUP(T237,Sheet3!$C$3:$F$16,3,)</f>
        <v>Jl. Oswald Siahaan No. 6A Aek Tolang Pandan</v>
      </c>
    </row>
    <row r="238" spans="1:24" ht="26">
      <c r="A238" s="61" t="str">
        <f t="shared" si="16"/>
        <v>Pengadaan Meja Guru3</v>
      </c>
      <c r="B238" s="745">
        <v>25</v>
      </c>
      <c r="C238" s="737" t="s">
        <v>3767</v>
      </c>
      <c r="D238" s="744" t="s">
        <v>3764</v>
      </c>
      <c r="E238" s="779">
        <f t="shared" si="19"/>
        <v>45717</v>
      </c>
      <c r="F238" s="730" t="s">
        <v>3753</v>
      </c>
      <c r="G238" s="731"/>
      <c r="H238" s="730" t="s">
        <v>3816</v>
      </c>
      <c r="I238" s="729">
        <f t="shared" si="17"/>
        <v>0</v>
      </c>
      <c r="J238" s="730" t="s">
        <v>3816</v>
      </c>
      <c r="K238" s="729" t="e">
        <v>#N/A</v>
      </c>
      <c r="L238" s="738" t="s">
        <v>3822</v>
      </c>
      <c r="M238" s="738" t="s">
        <v>3857</v>
      </c>
      <c r="N238" s="739">
        <v>4</v>
      </c>
      <c r="O238" s="733" t="s">
        <v>3557</v>
      </c>
      <c r="P238" s="734">
        <v>2352500</v>
      </c>
      <c r="Q238" s="734">
        <v>9410000</v>
      </c>
      <c r="R238" s="735"/>
      <c r="S238" s="759">
        <v>3</v>
      </c>
      <c r="V238" s="61" t="e">
        <f>VLOOKUP(T238,Sheet3!$C$3:$F$16,2,)</f>
        <v>#N/A</v>
      </c>
      <c r="W238" s="61" t="e">
        <f>VLOOKUP(T238,Sheet3!$C$3:$F$16,4,)</f>
        <v>#N/A</v>
      </c>
      <c r="X238" s="61" t="e">
        <f>VLOOKUP(T238,Sheet3!$C$3:$F$16,3,)</f>
        <v>#N/A</v>
      </c>
    </row>
    <row r="239" spans="1:24" ht="26">
      <c r="A239" s="61" t="str">
        <f t="shared" si="16"/>
        <v>Jasa Angkutan Kursi Guru3</v>
      </c>
      <c r="B239" s="745">
        <v>26</v>
      </c>
      <c r="C239" s="737" t="s">
        <v>3767</v>
      </c>
      <c r="D239" s="744" t="s">
        <v>3764</v>
      </c>
      <c r="E239" s="779">
        <f t="shared" si="19"/>
        <v>45739</v>
      </c>
      <c r="F239" s="730" t="s">
        <v>3768</v>
      </c>
      <c r="G239" s="731">
        <v>106</v>
      </c>
      <c r="H239" s="730" t="s">
        <v>3768</v>
      </c>
      <c r="I239" s="729">
        <f t="shared" si="17"/>
        <v>106</v>
      </c>
      <c r="J239" s="730" t="s">
        <v>3768</v>
      </c>
      <c r="K239" s="729" t="s">
        <v>3499</v>
      </c>
      <c r="L239" s="738" t="s">
        <v>3770</v>
      </c>
      <c r="M239" s="738" t="s">
        <v>3858</v>
      </c>
      <c r="N239" s="739">
        <v>1</v>
      </c>
      <c r="O239" s="733" t="s">
        <v>3553</v>
      </c>
      <c r="P239" s="734">
        <v>3000000</v>
      </c>
      <c r="Q239" s="734">
        <v>3000000</v>
      </c>
      <c r="R239" s="735"/>
      <c r="S239" s="759">
        <v>3</v>
      </c>
      <c r="V239" s="61" t="e">
        <f>VLOOKUP(T239,Sheet3!$C$3:$F$16,2,)</f>
        <v>#N/A</v>
      </c>
      <c r="W239" s="61" t="e">
        <f>VLOOKUP(T239,Sheet3!$C$3:$F$16,4,)</f>
        <v>#N/A</v>
      </c>
      <c r="X239" s="61" t="e">
        <f>VLOOKUP(T239,Sheet3!$C$3:$F$16,3,)</f>
        <v>#N/A</v>
      </c>
    </row>
    <row r="240" spans="1:24" ht="26">
      <c r="A240" s="61" t="str">
        <f t="shared" si="16"/>
        <v>Kudapan Rapat Rutin Bulanan3</v>
      </c>
      <c r="B240" s="745">
        <v>30</v>
      </c>
      <c r="C240" s="737" t="s">
        <v>3543</v>
      </c>
      <c r="D240" s="744" t="s">
        <v>3664</v>
      </c>
      <c r="E240" s="779">
        <f t="shared" si="19"/>
        <v>45735</v>
      </c>
      <c r="F240" s="730" t="s">
        <v>3778</v>
      </c>
      <c r="G240" s="731">
        <v>114</v>
      </c>
      <c r="H240" s="730" t="s">
        <v>3779</v>
      </c>
      <c r="I240" s="729">
        <f t="shared" si="17"/>
        <v>114</v>
      </c>
      <c r="J240" s="730" t="s">
        <v>3779</v>
      </c>
      <c r="K240" s="729" t="s">
        <v>3498</v>
      </c>
      <c r="L240" s="738" t="s">
        <v>3707</v>
      </c>
      <c r="M240" s="738" t="s">
        <v>3845</v>
      </c>
      <c r="N240" s="739">
        <v>60</v>
      </c>
      <c r="O240" s="733" t="s">
        <v>3557</v>
      </c>
      <c r="P240" s="734">
        <v>15000</v>
      </c>
      <c r="Q240" s="734">
        <v>900000</v>
      </c>
      <c r="R240" s="735"/>
      <c r="S240" s="759">
        <v>3</v>
      </c>
      <c r="V240" s="61" t="e">
        <f>VLOOKUP(T240,Sheet3!$C$3:$F$16,2,)</f>
        <v>#N/A</v>
      </c>
      <c r="W240" s="61" t="e">
        <f>VLOOKUP(T240,Sheet3!$C$3:$F$16,4,)</f>
        <v>#N/A</v>
      </c>
      <c r="X240" s="61" t="e">
        <f>VLOOKUP(T240,Sheet3!$C$3:$F$16,3,)</f>
        <v>#N/A</v>
      </c>
    </row>
    <row r="241" spans="1:24" ht="37.5">
      <c r="A241" s="61" t="str">
        <f t="shared" si="16"/>
        <v>Satuan Biaya Konsumsi Makanan dan Minuman Fasilitas Pelayanan Urusan Pendidikan Biasa, Kudapan (Snack) - Provinsi Sumatera Utara--3</v>
      </c>
      <c r="B241" s="745">
        <v>32</v>
      </c>
      <c r="C241" s="737" t="s">
        <v>3771</v>
      </c>
      <c r="D241" s="744" t="s">
        <v>3773</v>
      </c>
      <c r="E241" s="779">
        <f t="shared" si="19"/>
        <v>45731</v>
      </c>
      <c r="F241" s="730" t="s">
        <v>3760</v>
      </c>
      <c r="G241" s="731">
        <v>107</v>
      </c>
      <c r="H241" s="730" t="s">
        <v>3765</v>
      </c>
      <c r="I241" s="729">
        <f t="shared" si="17"/>
        <v>107</v>
      </c>
      <c r="J241" s="730" t="s">
        <v>3765</v>
      </c>
      <c r="K241" s="729" t="s">
        <v>3477</v>
      </c>
      <c r="L241" s="738" t="s">
        <v>3772</v>
      </c>
      <c r="M241" s="738" t="s">
        <v>467</v>
      </c>
      <c r="N241" s="739">
        <v>12</v>
      </c>
      <c r="O241" s="733" t="s">
        <v>3575</v>
      </c>
      <c r="P241" s="734">
        <v>15000</v>
      </c>
      <c r="Q241" s="734">
        <v>180000</v>
      </c>
      <c r="R241" s="735"/>
      <c r="S241" s="759">
        <v>3</v>
      </c>
      <c r="T241" s="736" t="s">
        <v>2507</v>
      </c>
      <c r="V241" s="61" t="str">
        <f>VLOOKUP(T241,Sheet3!$C$3:$F$16,2,)</f>
        <v>Limaati Daeli</v>
      </c>
      <c r="W241" s="61" t="str">
        <f>VLOOKUP(T241,Sheet3!$C$3:$F$16,4,)</f>
        <v>085297578868</v>
      </c>
      <c r="X241" s="61" t="str">
        <f>VLOOKUP(T241,Sheet3!$C$3:$F$16,3,)</f>
        <v>Jl. Saonigeho Km. 2 Telukdalam - Nias Selatan</v>
      </c>
    </row>
    <row r="242" spans="1:24" ht="37.5">
      <c r="A242" s="61" t="str">
        <f t="shared" si="16"/>
        <v>Satuan Biaya Konsumsi Makanan dan Minuman Fasilitas Pelayanan Urusan Pendidikan Biasa, Makan - Provinsi Sumatera Utara--3</v>
      </c>
      <c r="B242" s="745">
        <v>33</v>
      </c>
      <c r="C242" s="737" t="s">
        <v>3771</v>
      </c>
      <c r="D242" s="744" t="s">
        <v>3773</v>
      </c>
      <c r="E242" s="779">
        <f t="shared" si="19"/>
        <v>45731</v>
      </c>
      <c r="F242" s="730" t="s">
        <v>3760</v>
      </c>
      <c r="G242" s="731">
        <v>108</v>
      </c>
      <c r="H242" s="730" t="s">
        <v>3765</v>
      </c>
      <c r="I242" s="729">
        <f t="shared" si="17"/>
        <v>108</v>
      </c>
      <c r="J242" s="730" t="s">
        <v>3765</v>
      </c>
      <c r="K242" s="729" t="s">
        <v>3478</v>
      </c>
      <c r="L242" s="738" t="s">
        <v>3774</v>
      </c>
      <c r="M242" s="738" t="s">
        <v>467</v>
      </c>
      <c r="N242" s="739">
        <v>12</v>
      </c>
      <c r="O242" s="733" t="s">
        <v>3575</v>
      </c>
      <c r="P242" s="734">
        <v>40000</v>
      </c>
      <c r="Q242" s="734">
        <v>480000</v>
      </c>
      <c r="R242" s="735"/>
      <c r="S242" s="759">
        <v>3</v>
      </c>
      <c r="T242" s="736" t="s">
        <v>2507</v>
      </c>
      <c r="V242" s="61" t="str">
        <f>VLOOKUP(T242,Sheet3!$C$3:$F$16,2,)</f>
        <v>Limaati Daeli</v>
      </c>
      <c r="W242" s="61" t="str">
        <f>VLOOKUP(T242,Sheet3!$C$3:$F$16,4,)</f>
        <v>085297578868</v>
      </c>
      <c r="X242" s="61" t="str">
        <f>VLOOKUP(T242,Sheet3!$C$3:$F$16,3,)</f>
        <v>Jl. Saonigeho Km. 2 Telukdalam - Nias Selatan</v>
      </c>
    </row>
    <row r="243" spans="1:24" ht="26">
      <c r="A243" s="61" t="str">
        <f t="shared" si="16"/>
        <v>Plastik Mika3</v>
      </c>
      <c r="B243" s="745">
        <v>35</v>
      </c>
      <c r="C243" s="737" t="s">
        <v>3558</v>
      </c>
      <c r="D243" s="744" t="s">
        <v>3559</v>
      </c>
      <c r="E243" s="779">
        <f t="shared" si="19"/>
        <v>45717</v>
      </c>
      <c r="F243" s="730" t="s">
        <v>3753</v>
      </c>
      <c r="G243" s="731">
        <v>97</v>
      </c>
      <c r="H243" s="730" t="s">
        <v>3753</v>
      </c>
      <c r="I243" s="729">
        <f t="shared" si="17"/>
        <v>97</v>
      </c>
      <c r="J243" s="730" t="s">
        <v>3816</v>
      </c>
      <c r="K243" s="729" t="e">
        <v>#N/A</v>
      </c>
      <c r="L243" s="738" t="s">
        <v>3560</v>
      </c>
      <c r="M243" s="738" t="str">
        <f>L243</f>
        <v>Plastik Mika</v>
      </c>
      <c r="N243" s="739">
        <v>5</v>
      </c>
      <c r="O243" s="733" t="s">
        <v>3561</v>
      </c>
      <c r="P243" s="734">
        <v>60000</v>
      </c>
      <c r="Q243" s="734">
        <v>300000</v>
      </c>
      <c r="R243" s="735"/>
      <c r="S243" s="759">
        <v>3</v>
      </c>
      <c r="V243" s="61" t="e">
        <f>VLOOKUP(T243,Sheet3!$C$3:$F$16,2,)</f>
        <v>#N/A</v>
      </c>
      <c r="W243" s="61" t="e">
        <f>VLOOKUP(T243,Sheet3!$C$3:$F$16,4,)</f>
        <v>#N/A</v>
      </c>
      <c r="X243" s="61" t="e">
        <f>VLOOKUP(T243,Sheet3!$C$3:$F$16,3,)</f>
        <v>#N/A</v>
      </c>
    </row>
    <row r="244" spans="1:24" ht="26">
      <c r="A244" s="61" t="str">
        <f t="shared" si="16"/>
        <v>Kertas Warna Blank Folio, Ukuran : 8,5 x 14",  70 gram3</v>
      </c>
      <c r="B244" s="745">
        <v>36</v>
      </c>
      <c r="C244" s="737" t="s">
        <v>3558</v>
      </c>
      <c r="D244" s="744" t="s">
        <v>3559</v>
      </c>
      <c r="E244" s="779">
        <f t="shared" si="19"/>
        <v>45717</v>
      </c>
      <c r="F244" s="730" t="s">
        <v>3753</v>
      </c>
      <c r="G244" s="731">
        <v>97</v>
      </c>
      <c r="H244" s="730" t="s">
        <v>3753</v>
      </c>
      <c r="I244" s="729">
        <f t="shared" si="17"/>
        <v>97</v>
      </c>
      <c r="J244" s="730" t="s">
        <v>3816</v>
      </c>
      <c r="K244" s="729" t="e">
        <v>#N/A</v>
      </c>
      <c r="L244" s="738" t="s">
        <v>3562</v>
      </c>
      <c r="M244" s="738" t="str">
        <f t="shared" ref="M244:M302" si="20">L244</f>
        <v>Kertas Warna Blank Folio, Ukuran : 8,5 x 14",  70 gram</v>
      </c>
      <c r="N244" s="739">
        <v>2</v>
      </c>
      <c r="O244" s="733" t="s">
        <v>3563</v>
      </c>
      <c r="P244" s="734">
        <v>90000</v>
      </c>
      <c r="Q244" s="734">
        <v>180000</v>
      </c>
      <c r="R244" s="735"/>
      <c r="S244" s="759">
        <v>3</v>
      </c>
      <c r="V244" s="61" t="e">
        <f>VLOOKUP(T244,Sheet3!$C$3:$F$16,2,)</f>
        <v>#N/A</v>
      </c>
      <c r="W244" s="61" t="e">
        <f>VLOOKUP(T244,Sheet3!$C$3:$F$16,4,)</f>
        <v>#N/A</v>
      </c>
      <c r="X244" s="61" t="e">
        <f>VLOOKUP(T244,Sheet3!$C$3:$F$16,3,)</f>
        <v>#N/A</v>
      </c>
    </row>
    <row r="245" spans="1:24" ht="26">
      <c r="A245" s="61" t="str">
        <f t="shared" si="16"/>
        <v>Kertas Lain-Lain Kertas Buffalo3</v>
      </c>
      <c r="B245" s="745">
        <v>37</v>
      </c>
      <c r="C245" s="737" t="s">
        <v>3558</v>
      </c>
      <c r="D245" s="744" t="s">
        <v>3559</v>
      </c>
      <c r="E245" s="779">
        <f t="shared" si="19"/>
        <v>45717</v>
      </c>
      <c r="F245" s="730" t="s">
        <v>3753</v>
      </c>
      <c r="G245" s="731">
        <v>97</v>
      </c>
      <c r="H245" s="730" t="s">
        <v>3753</v>
      </c>
      <c r="I245" s="729">
        <f t="shared" si="17"/>
        <v>97</v>
      </c>
      <c r="J245" s="730" t="s">
        <v>3816</v>
      </c>
      <c r="K245" s="729" t="e">
        <v>#N/A</v>
      </c>
      <c r="L245" s="738" t="s">
        <v>3564</v>
      </c>
      <c r="M245" s="738" t="str">
        <f t="shared" si="20"/>
        <v>Kertas Lain-Lain Kertas Buffalo</v>
      </c>
      <c r="N245" s="739">
        <v>5</v>
      </c>
      <c r="O245" s="733" t="s">
        <v>3561</v>
      </c>
      <c r="P245" s="734">
        <v>31000</v>
      </c>
      <c r="Q245" s="734">
        <v>155000</v>
      </c>
      <c r="R245" s="735"/>
      <c r="S245" s="759">
        <v>3</v>
      </c>
      <c r="V245" s="61" t="e">
        <f>VLOOKUP(T245,Sheet3!$C$3:$F$16,2,)</f>
        <v>#N/A</v>
      </c>
      <c r="W245" s="61" t="e">
        <f>VLOOKUP(T245,Sheet3!$C$3:$F$16,4,)</f>
        <v>#N/A</v>
      </c>
      <c r="X245" s="61" t="e">
        <f>VLOOKUP(T245,Sheet3!$C$3:$F$16,3,)</f>
        <v>#N/A</v>
      </c>
    </row>
    <row r="246" spans="1:24" ht="26">
      <c r="A246" s="61" t="str">
        <f t="shared" si="16"/>
        <v>Kertas Post-It Warna Warni  Sign Here3</v>
      </c>
      <c r="B246" s="745">
        <v>38</v>
      </c>
      <c r="C246" s="737" t="s">
        <v>3558</v>
      </c>
      <c r="D246" s="744" t="s">
        <v>3559</v>
      </c>
      <c r="E246" s="779">
        <f t="shared" si="19"/>
        <v>45717</v>
      </c>
      <c r="F246" s="730" t="s">
        <v>3753</v>
      </c>
      <c r="G246" s="731">
        <v>97</v>
      </c>
      <c r="H246" s="730" t="s">
        <v>3753</v>
      </c>
      <c r="I246" s="729">
        <f t="shared" si="17"/>
        <v>97</v>
      </c>
      <c r="J246" s="730" t="s">
        <v>3816</v>
      </c>
      <c r="K246" s="729" t="e">
        <v>#N/A</v>
      </c>
      <c r="L246" s="738" t="s">
        <v>3565</v>
      </c>
      <c r="M246" s="738" t="str">
        <f t="shared" si="20"/>
        <v>Kertas Post-It Warna Warni  Sign Here</v>
      </c>
      <c r="N246" s="739">
        <v>5</v>
      </c>
      <c r="O246" s="733" t="s">
        <v>3557</v>
      </c>
      <c r="P246" s="734">
        <v>22800</v>
      </c>
      <c r="Q246" s="734">
        <v>114000</v>
      </c>
      <c r="R246" s="735"/>
      <c r="S246" s="759">
        <v>3</v>
      </c>
      <c r="V246" s="61" t="e">
        <f>VLOOKUP(T246,Sheet3!$C$3:$F$16,2,)</f>
        <v>#N/A</v>
      </c>
      <c r="W246" s="61" t="e">
        <f>VLOOKUP(T246,Sheet3!$C$3:$F$16,4,)</f>
        <v>#N/A</v>
      </c>
      <c r="X246" s="61" t="e">
        <f>VLOOKUP(T246,Sheet3!$C$3:$F$16,3,)</f>
        <v>#N/A</v>
      </c>
    </row>
    <row r="247" spans="1:24" ht="26">
      <c r="A247" s="61" t="str">
        <f t="shared" si="16"/>
        <v>Kertas HVS 60 gram Merk : Paper One HVS F4 uk. 8.27"x11.69"3</v>
      </c>
      <c r="B247" s="745">
        <v>39</v>
      </c>
      <c r="C247" s="737" t="s">
        <v>3558</v>
      </c>
      <c r="D247" s="744" t="s">
        <v>3559</v>
      </c>
      <c r="E247" s="779">
        <f t="shared" si="19"/>
        <v>45717</v>
      </c>
      <c r="F247" s="730" t="s">
        <v>3753</v>
      </c>
      <c r="G247" s="731">
        <v>97</v>
      </c>
      <c r="H247" s="730" t="s">
        <v>3753</v>
      </c>
      <c r="I247" s="729">
        <f t="shared" si="17"/>
        <v>97</v>
      </c>
      <c r="J247" s="730" t="s">
        <v>3816</v>
      </c>
      <c r="K247" s="729" t="e">
        <v>#N/A</v>
      </c>
      <c r="L247" s="738" t="s">
        <v>3566</v>
      </c>
      <c r="M247" s="738" t="str">
        <f t="shared" si="20"/>
        <v>Kertas HVS 60 gram Merk : Paper One HVS F4 uk. 8.27"x11.69"</v>
      </c>
      <c r="N247" s="739">
        <v>10</v>
      </c>
      <c r="O247" s="733" t="s">
        <v>3563</v>
      </c>
      <c r="P247" s="734">
        <v>48500</v>
      </c>
      <c r="Q247" s="734">
        <v>485000</v>
      </c>
      <c r="R247" s="735"/>
      <c r="S247" s="759">
        <v>3</v>
      </c>
      <c r="V247" s="61" t="e">
        <f>VLOOKUP(T247,Sheet3!$C$3:$F$16,2,)</f>
        <v>#N/A</v>
      </c>
      <c r="W247" s="61" t="e">
        <f>VLOOKUP(T247,Sheet3!$C$3:$F$16,4,)</f>
        <v>#N/A</v>
      </c>
      <c r="X247" s="61" t="e">
        <f>VLOOKUP(T247,Sheet3!$C$3:$F$16,3,)</f>
        <v>#N/A</v>
      </c>
    </row>
    <row r="248" spans="1:24" ht="26">
      <c r="A248" s="61" t="str">
        <f t="shared" si="16"/>
        <v>Kertas HVS 80 gram Merk : Paper One A4, Ukuran : 8,27" x 11,69", Isi : 500 lembar3</v>
      </c>
      <c r="B248" s="745">
        <v>40</v>
      </c>
      <c r="C248" s="737" t="s">
        <v>3558</v>
      </c>
      <c r="D248" s="738" t="s">
        <v>3559</v>
      </c>
      <c r="E248" s="779">
        <f t="shared" si="19"/>
        <v>45717</v>
      </c>
      <c r="F248" s="730" t="s">
        <v>3753</v>
      </c>
      <c r="G248" s="731">
        <v>97</v>
      </c>
      <c r="H248" s="730" t="s">
        <v>3753</v>
      </c>
      <c r="I248" s="729">
        <f t="shared" si="17"/>
        <v>97</v>
      </c>
      <c r="J248" s="730" t="s">
        <v>3816</v>
      </c>
      <c r="K248" s="729" t="e">
        <v>#N/A</v>
      </c>
      <c r="L248" s="738" t="s">
        <v>3567</v>
      </c>
      <c r="M248" s="738" t="str">
        <f t="shared" si="20"/>
        <v>Kertas HVS 80 gram Merk : Paper One A4, Ukuran : 8,27" x 11,69", Isi : 500 lembar</v>
      </c>
      <c r="N248" s="739">
        <v>40</v>
      </c>
      <c r="O248" s="733" t="s">
        <v>3563</v>
      </c>
      <c r="P248" s="734">
        <v>50000</v>
      </c>
      <c r="Q248" s="734">
        <v>2000000</v>
      </c>
      <c r="R248" s="735"/>
      <c r="S248" s="759">
        <v>3</v>
      </c>
      <c r="V248" s="61" t="e">
        <f>VLOOKUP(T248,Sheet3!$C$3:$F$16,2,)</f>
        <v>#N/A</v>
      </c>
      <c r="W248" s="61" t="e">
        <f>VLOOKUP(T248,Sheet3!$C$3:$F$16,4,)</f>
        <v>#N/A</v>
      </c>
      <c r="X248" s="61" t="e">
        <f>VLOOKUP(T248,Sheet3!$C$3:$F$16,3,)</f>
        <v>#N/A</v>
      </c>
    </row>
    <row r="249" spans="1:24" ht="26">
      <c r="A249" s="61" t="str">
        <f t="shared" si="16"/>
        <v>Kertas StensiI3</v>
      </c>
      <c r="B249" s="745">
        <v>41</v>
      </c>
      <c r="C249" s="737" t="s">
        <v>3558</v>
      </c>
      <c r="D249" s="738" t="s">
        <v>3559</v>
      </c>
      <c r="E249" s="779">
        <f t="shared" si="19"/>
        <v>45717</v>
      </c>
      <c r="F249" s="730" t="s">
        <v>3753</v>
      </c>
      <c r="G249" s="731">
        <v>97</v>
      </c>
      <c r="H249" s="730" t="s">
        <v>3753</v>
      </c>
      <c r="I249" s="729">
        <f t="shared" si="17"/>
        <v>97</v>
      </c>
      <c r="J249" s="730" t="s">
        <v>3816</v>
      </c>
      <c r="K249" s="729" t="e">
        <v>#N/A</v>
      </c>
      <c r="L249" s="738" t="s">
        <v>3568</v>
      </c>
      <c r="M249" s="738" t="str">
        <f t="shared" si="20"/>
        <v>Kertas StensiI</v>
      </c>
      <c r="N249" s="739">
        <v>10</v>
      </c>
      <c r="O249" s="733" t="s">
        <v>3561</v>
      </c>
      <c r="P249" s="734">
        <v>50000</v>
      </c>
      <c r="Q249" s="734">
        <v>500000</v>
      </c>
      <c r="R249" s="735"/>
      <c r="S249" s="759">
        <v>3</v>
      </c>
      <c r="V249" s="61" t="e">
        <f>VLOOKUP(T249,Sheet3!$C$3:$F$16,2,)</f>
        <v>#N/A</v>
      </c>
      <c r="W249" s="61" t="e">
        <f>VLOOKUP(T249,Sheet3!$C$3:$F$16,4,)</f>
        <v>#N/A</v>
      </c>
      <c r="X249" s="61" t="e">
        <f>VLOOKUP(T249,Sheet3!$C$3:$F$16,3,)</f>
        <v>#N/A</v>
      </c>
    </row>
    <row r="250" spans="1:24" ht="26">
      <c r="A250" s="61" t="str">
        <f t="shared" si="16"/>
        <v>Kertas Label3</v>
      </c>
      <c r="B250" s="745">
        <v>42</v>
      </c>
      <c r="C250" s="737" t="s">
        <v>3558</v>
      </c>
      <c r="D250" s="738" t="s">
        <v>3559</v>
      </c>
      <c r="E250" s="779">
        <f t="shared" si="19"/>
        <v>45717</v>
      </c>
      <c r="F250" s="730" t="s">
        <v>3753</v>
      </c>
      <c r="G250" s="731">
        <v>97</v>
      </c>
      <c r="H250" s="730" t="s">
        <v>3753</v>
      </c>
      <c r="I250" s="729">
        <f t="shared" si="17"/>
        <v>97</v>
      </c>
      <c r="J250" s="730" t="s">
        <v>3816</v>
      </c>
      <c r="K250" s="729" t="e">
        <v>#N/A</v>
      </c>
      <c r="L250" s="738" t="s">
        <v>3569</v>
      </c>
      <c r="M250" s="738" t="str">
        <f t="shared" si="20"/>
        <v>Kertas Label</v>
      </c>
      <c r="N250" s="739">
        <v>5</v>
      </c>
      <c r="O250" s="733" t="s">
        <v>3570</v>
      </c>
      <c r="P250" s="734">
        <v>25000</v>
      </c>
      <c r="Q250" s="734">
        <v>125000</v>
      </c>
      <c r="R250" s="735"/>
      <c r="S250" s="759">
        <v>3</v>
      </c>
      <c r="V250" s="61" t="e">
        <f>VLOOKUP(T250,Sheet3!$C$3:$F$16,2,)</f>
        <v>#N/A</v>
      </c>
      <c r="W250" s="61" t="e">
        <f>VLOOKUP(T250,Sheet3!$C$3:$F$16,4,)</f>
        <v>#N/A</v>
      </c>
      <c r="X250" s="61" t="e">
        <f>VLOOKUP(T250,Sheet3!$C$3:$F$16,3,)</f>
        <v>#N/A</v>
      </c>
    </row>
    <row r="251" spans="1:24" ht="26">
      <c r="A251" s="61" t="str">
        <f t="shared" si="16"/>
        <v>Amplop Coklat Merk : GSU Ukuran : 1/2 folio, bergaris3</v>
      </c>
      <c r="B251" s="745">
        <v>43</v>
      </c>
      <c r="C251" s="737" t="s">
        <v>3558</v>
      </c>
      <c r="D251" s="738" t="s">
        <v>3559</v>
      </c>
      <c r="E251" s="779">
        <f t="shared" si="19"/>
        <v>45717</v>
      </c>
      <c r="F251" s="730" t="s">
        <v>3753</v>
      </c>
      <c r="G251" s="731">
        <v>97</v>
      </c>
      <c r="H251" s="730" t="s">
        <v>3753</v>
      </c>
      <c r="I251" s="729">
        <f t="shared" si="17"/>
        <v>97</v>
      </c>
      <c r="J251" s="730" t="s">
        <v>3816</v>
      </c>
      <c r="K251" s="729" t="e">
        <v>#N/A</v>
      </c>
      <c r="L251" s="738" t="s">
        <v>3571</v>
      </c>
      <c r="M251" s="738" t="str">
        <f t="shared" si="20"/>
        <v>Amplop Coklat Merk : GSU Ukuran : 1/2 folio, bergaris</v>
      </c>
      <c r="N251" s="739">
        <v>1</v>
      </c>
      <c r="O251" s="733" t="s">
        <v>3561</v>
      </c>
      <c r="P251" s="734">
        <v>45000</v>
      </c>
      <c r="Q251" s="734">
        <v>45000</v>
      </c>
      <c r="R251" s="735"/>
      <c r="S251" s="759">
        <v>3</v>
      </c>
      <c r="V251" s="61" t="e">
        <f>VLOOKUP(T251,Sheet3!$C$3:$F$16,2,)</f>
        <v>#N/A</v>
      </c>
      <c r="W251" s="61" t="e">
        <f>VLOOKUP(T251,Sheet3!$C$3:$F$16,4,)</f>
        <v>#N/A</v>
      </c>
      <c r="X251" s="61" t="e">
        <f>VLOOKUP(T251,Sheet3!$C$3:$F$16,3,)</f>
        <v>#N/A</v>
      </c>
    </row>
    <row r="252" spans="1:24" ht="26">
      <c r="A252" s="61" t="str">
        <f t="shared" si="16"/>
        <v>Amplop Coklat Merk : Garda Ukuran Cabinet3</v>
      </c>
      <c r="B252" s="745">
        <v>44</v>
      </c>
      <c r="C252" s="737" t="s">
        <v>3558</v>
      </c>
      <c r="D252" s="738" t="s">
        <v>3559</v>
      </c>
      <c r="E252" s="779">
        <f t="shared" si="19"/>
        <v>45717</v>
      </c>
      <c r="F252" s="730" t="s">
        <v>3753</v>
      </c>
      <c r="G252" s="731">
        <v>97</v>
      </c>
      <c r="H252" s="730" t="s">
        <v>3753</v>
      </c>
      <c r="I252" s="729">
        <f t="shared" si="17"/>
        <v>97</v>
      </c>
      <c r="J252" s="730" t="s">
        <v>3816</v>
      </c>
      <c r="K252" s="729" t="e">
        <v>#N/A</v>
      </c>
      <c r="L252" s="738" t="s">
        <v>3572</v>
      </c>
      <c r="M252" s="738" t="str">
        <f t="shared" si="20"/>
        <v>Amplop Coklat Merk : Garda Ukuran Cabinet</v>
      </c>
      <c r="N252" s="739">
        <v>3</v>
      </c>
      <c r="O252" s="733" t="s">
        <v>3561</v>
      </c>
      <c r="P252" s="734">
        <v>23000</v>
      </c>
      <c r="Q252" s="734">
        <v>69000</v>
      </c>
      <c r="R252" s="735"/>
      <c r="S252" s="759">
        <v>3</v>
      </c>
      <c r="V252" s="61" t="e">
        <f>VLOOKUP(T252,Sheet3!$C$3:$F$16,2,)</f>
        <v>#N/A</v>
      </c>
      <c r="W252" s="61" t="e">
        <f>VLOOKUP(T252,Sheet3!$C$3:$F$16,4,)</f>
        <v>#N/A</v>
      </c>
      <c r="X252" s="61" t="e">
        <f>VLOOKUP(T252,Sheet3!$C$3:$F$16,3,)</f>
        <v>#N/A</v>
      </c>
    </row>
    <row r="253" spans="1:24" ht="26">
      <c r="A253" s="61" t="str">
        <f t="shared" si="16"/>
        <v>Amplop Coklat Merk : GSU Ukuran Folio polos3</v>
      </c>
      <c r="B253" s="745">
        <v>45</v>
      </c>
      <c r="C253" s="737" t="s">
        <v>3558</v>
      </c>
      <c r="D253" s="738" t="s">
        <v>3559</v>
      </c>
      <c r="E253" s="779">
        <f t="shared" si="19"/>
        <v>45717</v>
      </c>
      <c r="F253" s="730" t="s">
        <v>3753</v>
      </c>
      <c r="G253" s="731">
        <v>97</v>
      </c>
      <c r="H253" s="730" t="s">
        <v>3753</v>
      </c>
      <c r="I253" s="729">
        <f t="shared" si="17"/>
        <v>97</v>
      </c>
      <c r="J253" s="730" t="s">
        <v>3816</v>
      </c>
      <c r="K253" s="729" t="e">
        <v>#N/A</v>
      </c>
      <c r="L253" s="738" t="s">
        <v>3573</v>
      </c>
      <c r="M253" s="738" t="str">
        <f t="shared" si="20"/>
        <v>Amplop Coklat Merk : GSU Ukuran Folio polos</v>
      </c>
      <c r="N253" s="739">
        <v>2</v>
      </c>
      <c r="O253" s="733" t="s">
        <v>3561</v>
      </c>
      <c r="P253" s="734">
        <v>60000</v>
      </c>
      <c r="Q253" s="734">
        <v>120000</v>
      </c>
      <c r="R253" s="735"/>
      <c r="S253" s="759">
        <v>3</v>
      </c>
      <c r="V253" s="61" t="e">
        <f>VLOOKUP(T253,Sheet3!$C$3:$F$16,2,)</f>
        <v>#N/A</v>
      </c>
      <c r="W253" s="61" t="e">
        <f>VLOOKUP(T253,Sheet3!$C$3:$F$16,4,)</f>
        <v>#N/A</v>
      </c>
      <c r="X253" s="61" t="e">
        <f>VLOOKUP(T253,Sheet3!$C$3:$F$16,3,)</f>
        <v>#N/A</v>
      </c>
    </row>
    <row r="254" spans="1:24" ht="26">
      <c r="A254" s="61" t="str">
        <f t="shared" si="16"/>
        <v>Amplop Panjang Putih Polos Merk : Jaya Ukuran : 11 x 23 cm3</v>
      </c>
      <c r="B254" s="745">
        <v>46</v>
      </c>
      <c r="C254" s="737" t="s">
        <v>3558</v>
      </c>
      <c r="D254" s="738" t="s">
        <v>3559</v>
      </c>
      <c r="E254" s="779">
        <f t="shared" si="19"/>
        <v>45717</v>
      </c>
      <c r="F254" s="730" t="s">
        <v>3753</v>
      </c>
      <c r="G254" s="731">
        <v>97</v>
      </c>
      <c r="H254" s="730" t="s">
        <v>3753</v>
      </c>
      <c r="I254" s="729">
        <f t="shared" si="17"/>
        <v>97</v>
      </c>
      <c r="J254" s="730" t="s">
        <v>3816</v>
      </c>
      <c r="K254" s="729" t="e">
        <v>#N/A</v>
      </c>
      <c r="L254" s="738" t="s">
        <v>3574</v>
      </c>
      <c r="M254" s="738" t="str">
        <f t="shared" si="20"/>
        <v>Amplop Panjang Putih Polos Merk : Jaya Ukuran : 11 x 23 cm</v>
      </c>
      <c r="N254" s="739">
        <v>1</v>
      </c>
      <c r="O254" s="733" t="s">
        <v>3575</v>
      </c>
      <c r="P254" s="734">
        <v>48000</v>
      </c>
      <c r="Q254" s="734">
        <v>48000</v>
      </c>
      <c r="R254" s="735"/>
      <c r="S254" s="759">
        <v>3</v>
      </c>
      <c r="V254" s="61" t="e">
        <f>VLOOKUP(T254,Sheet3!$C$3:$F$16,2,)</f>
        <v>#N/A</v>
      </c>
      <c r="W254" s="61" t="e">
        <f>VLOOKUP(T254,Sheet3!$C$3:$F$16,4,)</f>
        <v>#N/A</v>
      </c>
      <c r="X254" s="61" t="e">
        <f>VLOOKUP(T254,Sheet3!$C$3:$F$16,3,)</f>
        <v>#N/A</v>
      </c>
    </row>
    <row r="255" spans="1:24" ht="26">
      <c r="A255" s="61" t="str">
        <f t="shared" si="16"/>
        <v>Ballpoint Boldiner Standar3</v>
      </c>
      <c r="B255" s="745">
        <v>47</v>
      </c>
      <c r="C255" s="737" t="s">
        <v>3558</v>
      </c>
      <c r="D255" s="738" t="s">
        <v>3559</v>
      </c>
      <c r="E255" s="779">
        <f t="shared" si="19"/>
        <v>45717</v>
      </c>
      <c r="F255" s="730" t="s">
        <v>3753</v>
      </c>
      <c r="G255" s="731">
        <v>97</v>
      </c>
      <c r="H255" s="730" t="s">
        <v>3753</v>
      </c>
      <c r="I255" s="729">
        <f t="shared" si="17"/>
        <v>97</v>
      </c>
      <c r="J255" s="730" t="s">
        <v>3816</v>
      </c>
      <c r="K255" s="729" t="e">
        <v>#N/A</v>
      </c>
      <c r="L255" s="738" t="s">
        <v>3576</v>
      </c>
      <c r="M255" s="738" t="str">
        <f t="shared" si="20"/>
        <v>Ballpoint Boldiner Standar</v>
      </c>
      <c r="N255" s="739">
        <v>2</v>
      </c>
      <c r="O255" s="733" t="s">
        <v>3577</v>
      </c>
      <c r="P255" s="734">
        <v>225000</v>
      </c>
      <c r="Q255" s="734">
        <v>450000</v>
      </c>
      <c r="R255" s="735"/>
      <c r="S255" s="759">
        <v>3</v>
      </c>
      <c r="V255" s="61" t="e">
        <f>VLOOKUP(T255,Sheet3!$C$3:$F$16,2,)</f>
        <v>#N/A</v>
      </c>
      <c r="W255" s="61" t="e">
        <f>VLOOKUP(T255,Sheet3!$C$3:$F$16,4,)</f>
        <v>#N/A</v>
      </c>
      <c r="X255" s="61" t="e">
        <f>VLOOKUP(T255,Sheet3!$C$3:$F$16,3,)</f>
        <v>#N/A</v>
      </c>
    </row>
    <row r="256" spans="1:24" ht="26">
      <c r="A256" s="61" t="str">
        <f t="shared" si="16"/>
        <v>Ballpoint Drawing Pen 0,1 Snowman3</v>
      </c>
      <c r="B256" s="745">
        <v>48</v>
      </c>
      <c r="C256" s="737" t="s">
        <v>3558</v>
      </c>
      <c r="D256" s="738" t="s">
        <v>3559</v>
      </c>
      <c r="E256" s="779">
        <f t="shared" si="19"/>
        <v>45717</v>
      </c>
      <c r="F256" s="730" t="s">
        <v>3753</v>
      </c>
      <c r="G256" s="731">
        <v>97</v>
      </c>
      <c r="H256" s="730" t="s">
        <v>3753</v>
      </c>
      <c r="I256" s="729">
        <f t="shared" si="17"/>
        <v>97</v>
      </c>
      <c r="J256" s="730" t="s">
        <v>3816</v>
      </c>
      <c r="K256" s="729" t="e">
        <v>#N/A</v>
      </c>
      <c r="L256" s="738" t="s">
        <v>3578</v>
      </c>
      <c r="M256" s="738" t="str">
        <f t="shared" si="20"/>
        <v>Ballpoint Drawing Pen 0,1 Snowman</v>
      </c>
      <c r="N256" s="739">
        <v>1</v>
      </c>
      <c r="O256" s="733" t="s">
        <v>3577</v>
      </c>
      <c r="P256" s="734">
        <v>95000</v>
      </c>
      <c r="Q256" s="734">
        <v>95000</v>
      </c>
      <c r="R256" s="735"/>
      <c r="S256" s="759">
        <v>3</v>
      </c>
      <c r="V256" s="61" t="e">
        <f>VLOOKUP(T256,Sheet3!$C$3:$F$16,2,)</f>
        <v>#N/A</v>
      </c>
      <c r="W256" s="61" t="e">
        <f>VLOOKUP(T256,Sheet3!$C$3:$F$16,4,)</f>
        <v>#N/A</v>
      </c>
      <c r="X256" s="61" t="e">
        <f>VLOOKUP(T256,Sheet3!$C$3:$F$16,3,)</f>
        <v>#N/A</v>
      </c>
    </row>
    <row r="257" spans="1:24" ht="26">
      <c r="A257" s="61" t="str">
        <f t="shared" si="16"/>
        <v>Ballpoint Standard AE73</v>
      </c>
      <c r="B257" s="745">
        <v>49</v>
      </c>
      <c r="C257" s="737" t="s">
        <v>3558</v>
      </c>
      <c r="D257" s="738" t="s">
        <v>3559</v>
      </c>
      <c r="E257" s="779">
        <f t="shared" si="19"/>
        <v>45717</v>
      </c>
      <c r="F257" s="730" t="s">
        <v>3753</v>
      </c>
      <c r="G257" s="731">
        <v>97</v>
      </c>
      <c r="H257" s="730" t="s">
        <v>3753</v>
      </c>
      <c r="I257" s="729">
        <f t="shared" si="17"/>
        <v>97</v>
      </c>
      <c r="J257" s="730" t="s">
        <v>3816</v>
      </c>
      <c r="K257" s="729" t="e">
        <v>#N/A</v>
      </c>
      <c r="L257" s="738" t="s">
        <v>3579</v>
      </c>
      <c r="M257" s="738" t="str">
        <f t="shared" si="20"/>
        <v>Ballpoint Standard AE7</v>
      </c>
      <c r="N257" s="739">
        <v>2</v>
      </c>
      <c r="O257" s="733" t="s">
        <v>3577</v>
      </c>
      <c r="P257" s="734">
        <v>20000</v>
      </c>
      <c r="Q257" s="734">
        <v>40000</v>
      </c>
      <c r="R257" s="735"/>
      <c r="S257" s="759">
        <v>3</v>
      </c>
      <c r="V257" s="61" t="e">
        <f>VLOOKUP(T257,Sheet3!$C$3:$F$16,2,)</f>
        <v>#N/A</v>
      </c>
      <c r="W257" s="61" t="e">
        <f>VLOOKUP(T257,Sheet3!$C$3:$F$16,4,)</f>
        <v>#N/A</v>
      </c>
      <c r="X257" s="61" t="e">
        <f>VLOOKUP(T257,Sheet3!$C$3:$F$16,3,)</f>
        <v>#N/A</v>
      </c>
    </row>
    <row r="258" spans="1:24" ht="26">
      <c r="A258" s="61" t="str">
        <f t="shared" si="16"/>
        <v>Ballpoint Pilot G23</v>
      </c>
      <c r="B258" s="745">
        <v>50</v>
      </c>
      <c r="C258" s="737" t="s">
        <v>3558</v>
      </c>
      <c r="D258" s="738" t="s">
        <v>3559</v>
      </c>
      <c r="E258" s="779">
        <f t="shared" si="19"/>
        <v>45717</v>
      </c>
      <c r="F258" s="730" t="s">
        <v>3753</v>
      </c>
      <c r="G258" s="731">
        <v>97</v>
      </c>
      <c r="H258" s="730" t="s">
        <v>3753</v>
      </c>
      <c r="I258" s="729">
        <f t="shared" si="17"/>
        <v>97</v>
      </c>
      <c r="J258" s="730" t="s">
        <v>3816</v>
      </c>
      <c r="K258" s="729" t="e">
        <v>#N/A</v>
      </c>
      <c r="L258" s="738" t="s">
        <v>3580</v>
      </c>
      <c r="M258" s="738" t="str">
        <f t="shared" si="20"/>
        <v>Ballpoint Pilot G2</v>
      </c>
      <c r="N258" s="739">
        <v>1</v>
      </c>
      <c r="O258" s="733" t="s">
        <v>3577</v>
      </c>
      <c r="P258" s="734">
        <v>235000</v>
      </c>
      <c r="Q258" s="734">
        <v>235000</v>
      </c>
      <c r="R258" s="735"/>
      <c r="S258" s="759">
        <v>3</v>
      </c>
      <c r="V258" s="61" t="e">
        <f>VLOOKUP(T258,Sheet3!$C$3:$F$16,2,)</f>
        <v>#N/A</v>
      </c>
      <c r="W258" s="61" t="e">
        <f>VLOOKUP(T258,Sheet3!$C$3:$F$16,4,)</f>
        <v>#N/A</v>
      </c>
      <c r="X258" s="61" t="e">
        <f>VLOOKUP(T258,Sheet3!$C$3:$F$16,3,)</f>
        <v>#N/A</v>
      </c>
    </row>
    <row r="259" spans="1:24" ht="26">
      <c r="A259" s="61" t="str">
        <f t="shared" si="16"/>
        <v>Binder Klip  nomor 1073</v>
      </c>
      <c r="B259" s="745">
        <v>51</v>
      </c>
      <c r="C259" s="737" t="s">
        <v>3558</v>
      </c>
      <c r="D259" s="738" t="s">
        <v>3559</v>
      </c>
      <c r="E259" s="779">
        <f t="shared" si="19"/>
        <v>45717</v>
      </c>
      <c r="F259" s="730" t="s">
        <v>3753</v>
      </c>
      <c r="G259" s="731">
        <v>97</v>
      </c>
      <c r="H259" s="730" t="s">
        <v>3753</v>
      </c>
      <c r="I259" s="729">
        <f t="shared" si="17"/>
        <v>97</v>
      </c>
      <c r="J259" s="730" t="s">
        <v>3816</v>
      </c>
      <c r="K259" s="729" t="e">
        <v>#N/A</v>
      </c>
      <c r="L259" s="738" t="s">
        <v>3581</v>
      </c>
      <c r="M259" s="738" t="str">
        <f t="shared" si="20"/>
        <v>Binder Klip  nomor 107</v>
      </c>
      <c r="N259" s="739">
        <v>5</v>
      </c>
      <c r="O259" s="733" t="s">
        <v>3575</v>
      </c>
      <c r="P259" s="734">
        <v>7800</v>
      </c>
      <c r="Q259" s="734">
        <v>39000</v>
      </c>
      <c r="R259" s="735"/>
      <c r="S259" s="759">
        <v>3</v>
      </c>
      <c r="V259" s="61" t="e">
        <f>VLOOKUP(T259,Sheet3!$C$3:$F$16,2,)</f>
        <v>#N/A</v>
      </c>
      <c r="W259" s="61" t="e">
        <f>VLOOKUP(T259,Sheet3!$C$3:$F$16,4,)</f>
        <v>#N/A</v>
      </c>
      <c r="X259" s="61" t="e">
        <f>VLOOKUP(T259,Sheet3!$C$3:$F$16,3,)</f>
        <v>#N/A</v>
      </c>
    </row>
    <row r="260" spans="1:24" ht="26">
      <c r="A260" s="61" t="str">
        <f t="shared" ref="A260:A323" si="21">L260&amp;S260</f>
        <v>Binder Klip  nomor 1113</v>
      </c>
      <c r="B260" s="745">
        <v>52</v>
      </c>
      <c r="C260" s="737" t="s">
        <v>3558</v>
      </c>
      <c r="D260" s="738" t="s">
        <v>3559</v>
      </c>
      <c r="E260" s="779">
        <f t="shared" si="19"/>
        <v>45717</v>
      </c>
      <c r="F260" s="730" t="s">
        <v>3753</v>
      </c>
      <c r="G260" s="731">
        <v>97</v>
      </c>
      <c r="H260" s="730" t="s">
        <v>3753</v>
      </c>
      <c r="I260" s="729">
        <f t="shared" ref="I260:I323" si="22">G260</f>
        <v>97</v>
      </c>
      <c r="J260" s="730" t="s">
        <v>3816</v>
      </c>
      <c r="K260" s="729" t="e">
        <v>#N/A</v>
      </c>
      <c r="L260" s="738" t="s">
        <v>3582</v>
      </c>
      <c r="M260" s="738" t="str">
        <f t="shared" si="20"/>
        <v>Binder Klip  nomor 111</v>
      </c>
      <c r="N260" s="739">
        <v>5</v>
      </c>
      <c r="O260" s="733" t="s">
        <v>3575</v>
      </c>
      <c r="P260" s="734">
        <v>11000</v>
      </c>
      <c r="Q260" s="734">
        <v>55000</v>
      </c>
      <c r="R260" s="735"/>
      <c r="S260" s="759">
        <v>3</v>
      </c>
      <c r="V260" s="61" t="e">
        <f>VLOOKUP(T260,Sheet3!$C$3:$F$16,2,)</f>
        <v>#N/A</v>
      </c>
      <c r="W260" s="61" t="e">
        <f>VLOOKUP(T260,Sheet3!$C$3:$F$16,4,)</f>
        <v>#N/A</v>
      </c>
      <c r="X260" s="61" t="e">
        <f>VLOOKUP(T260,Sheet3!$C$3:$F$16,3,)</f>
        <v>#N/A</v>
      </c>
    </row>
    <row r="261" spans="1:24" ht="26">
      <c r="A261" s="61" t="str">
        <f t="shared" si="21"/>
        <v>Binder Klip  nomor 2003</v>
      </c>
      <c r="B261" s="745">
        <v>53</v>
      </c>
      <c r="C261" s="737" t="s">
        <v>3558</v>
      </c>
      <c r="D261" s="738" t="s">
        <v>3559</v>
      </c>
      <c r="E261" s="779">
        <f t="shared" si="19"/>
        <v>45717</v>
      </c>
      <c r="F261" s="730" t="s">
        <v>3753</v>
      </c>
      <c r="G261" s="731">
        <v>97</v>
      </c>
      <c r="H261" s="730" t="s">
        <v>3753</v>
      </c>
      <c r="I261" s="729">
        <f t="shared" si="22"/>
        <v>97</v>
      </c>
      <c r="J261" s="730" t="s">
        <v>3816</v>
      </c>
      <c r="K261" s="729" t="e">
        <v>#N/A</v>
      </c>
      <c r="L261" s="738" t="s">
        <v>3583</v>
      </c>
      <c r="M261" s="738" t="str">
        <f t="shared" si="20"/>
        <v>Binder Klip  nomor 200</v>
      </c>
      <c r="N261" s="739">
        <v>10</v>
      </c>
      <c r="O261" s="733" t="s">
        <v>3575</v>
      </c>
      <c r="P261" s="734">
        <v>16500</v>
      </c>
      <c r="Q261" s="734">
        <v>165000</v>
      </c>
      <c r="R261" s="735"/>
      <c r="S261" s="759">
        <v>3</v>
      </c>
      <c r="V261" s="61" t="e">
        <f>VLOOKUP(T261,Sheet3!$C$3:$F$16,2,)</f>
        <v>#N/A</v>
      </c>
      <c r="W261" s="61" t="e">
        <f>VLOOKUP(T261,Sheet3!$C$3:$F$16,4,)</f>
        <v>#N/A</v>
      </c>
      <c r="X261" s="61" t="e">
        <f>VLOOKUP(T261,Sheet3!$C$3:$F$16,3,)</f>
        <v>#N/A</v>
      </c>
    </row>
    <row r="262" spans="1:24" ht="26">
      <c r="A262" s="61" t="str">
        <f t="shared" si="21"/>
        <v>Binder Klip  nomor 2603</v>
      </c>
      <c r="B262" s="745">
        <v>54</v>
      </c>
      <c r="C262" s="737" t="s">
        <v>3558</v>
      </c>
      <c r="D262" s="738" t="s">
        <v>3559</v>
      </c>
      <c r="E262" s="779">
        <f t="shared" si="19"/>
        <v>45717</v>
      </c>
      <c r="F262" s="730" t="s">
        <v>3753</v>
      </c>
      <c r="G262" s="731">
        <v>97</v>
      </c>
      <c r="H262" s="730" t="s">
        <v>3753</v>
      </c>
      <c r="I262" s="729">
        <f t="shared" si="22"/>
        <v>97</v>
      </c>
      <c r="J262" s="730" t="s">
        <v>3816</v>
      </c>
      <c r="K262" s="729" t="e">
        <v>#N/A</v>
      </c>
      <c r="L262" s="738" t="s">
        <v>3584</v>
      </c>
      <c r="M262" s="738" t="str">
        <f t="shared" si="20"/>
        <v>Binder Klip  nomor 260</v>
      </c>
      <c r="N262" s="739">
        <v>10</v>
      </c>
      <c r="O262" s="733" t="s">
        <v>3575</v>
      </c>
      <c r="P262" s="734">
        <v>20000</v>
      </c>
      <c r="Q262" s="734">
        <v>200000</v>
      </c>
      <c r="R262" s="735"/>
      <c r="S262" s="759">
        <v>3</v>
      </c>
      <c r="V262" s="61" t="e">
        <f>VLOOKUP(T262,Sheet3!$C$3:$F$16,2,)</f>
        <v>#N/A</v>
      </c>
      <c r="W262" s="61" t="e">
        <f>VLOOKUP(T262,Sheet3!$C$3:$F$16,4,)</f>
        <v>#N/A</v>
      </c>
      <c r="X262" s="61" t="e">
        <f>VLOOKUP(T262,Sheet3!$C$3:$F$16,3,)</f>
        <v>#N/A</v>
      </c>
    </row>
    <row r="263" spans="1:24" ht="26">
      <c r="A263" s="61" t="str">
        <f t="shared" si="21"/>
        <v>Binder Klip Merk : KENKO nomor 1053</v>
      </c>
      <c r="B263" s="745">
        <v>55</v>
      </c>
      <c r="C263" s="737" t="s">
        <v>3558</v>
      </c>
      <c r="D263" s="738" t="s">
        <v>3559</v>
      </c>
      <c r="E263" s="779">
        <f t="shared" si="19"/>
        <v>45717</v>
      </c>
      <c r="F263" s="730" t="s">
        <v>3753</v>
      </c>
      <c r="G263" s="731">
        <v>97</v>
      </c>
      <c r="H263" s="730" t="s">
        <v>3753</v>
      </c>
      <c r="I263" s="729">
        <f t="shared" si="22"/>
        <v>97</v>
      </c>
      <c r="J263" s="730" t="s">
        <v>3816</v>
      </c>
      <c r="K263" s="729" t="e">
        <v>#N/A</v>
      </c>
      <c r="L263" s="738" t="s">
        <v>3585</v>
      </c>
      <c r="M263" s="738" t="str">
        <f t="shared" si="20"/>
        <v>Binder Klip Merk : KENKO nomor 105</v>
      </c>
      <c r="N263" s="739">
        <v>2</v>
      </c>
      <c r="O263" s="733" t="s">
        <v>3575</v>
      </c>
      <c r="P263" s="734">
        <v>5000</v>
      </c>
      <c r="Q263" s="734">
        <v>10000</v>
      </c>
      <c r="R263" s="735"/>
      <c r="S263" s="759">
        <v>3</v>
      </c>
      <c r="V263" s="61" t="e">
        <f>VLOOKUP(T263,Sheet3!$C$3:$F$16,2,)</f>
        <v>#N/A</v>
      </c>
      <c r="W263" s="61" t="e">
        <f>VLOOKUP(T263,Sheet3!$C$3:$F$16,4,)</f>
        <v>#N/A</v>
      </c>
      <c r="X263" s="61" t="e">
        <f>VLOOKUP(T263,Sheet3!$C$3:$F$16,3,)</f>
        <v>#N/A</v>
      </c>
    </row>
    <row r="264" spans="1:24" ht="26">
      <c r="A264" s="61" t="str">
        <f t="shared" si="21"/>
        <v>Map Binder3</v>
      </c>
      <c r="B264" s="745">
        <v>56</v>
      </c>
      <c r="C264" s="737" t="s">
        <v>3558</v>
      </c>
      <c r="D264" s="738" t="s">
        <v>3559</v>
      </c>
      <c r="E264" s="779">
        <f t="shared" si="19"/>
        <v>45717</v>
      </c>
      <c r="F264" s="730" t="s">
        <v>3753</v>
      </c>
      <c r="G264" s="731">
        <v>97</v>
      </c>
      <c r="H264" s="730" t="s">
        <v>3753</v>
      </c>
      <c r="I264" s="729">
        <f t="shared" si="22"/>
        <v>97</v>
      </c>
      <c r="J264" s="730" t="s">
        <v>3816</v>
      </c>
      <c r="K264" s="729" t="e">
        <v>#N/A</v>
      </c>
      <c r="L264" s="738" t="s">
        <v>3586</v>
      </c>
      <c r="M264" s="738" t="str">
        <f t="shared" si="20"/>
        <v>Map Binder</v>
      </c>
      <c r="N264" s="739">
        <v>12</v>
      </c>
      <c r="O264" s="733" t="s">
        <v>3557</v>
      </c>
      <c r="P264" s="734">
        <v>35500</v>
      </c>
      <c r="Q264" s="734">
        <v>426000</v>
      </c>
      <c r="R264" s="735"/>
      <c r="S264" s="759">
        <v>3</v>
      </c>
      <c r="V264" s="61" t="e">
        <f>VLOOKUP(T264,Sheet3!$C$3:$F$16,2,)</f>
        <v>#N/A</v>
      </c>
      <c r="W264" s="61" t="e">
        <f>VLOOKUP(T264,Sheet3!$C$3:$F$16,4,)</f>
        <v>#N/A</v>
      </c>
      <c r="X264" s="61" t="e">
        <f>VLOOKUP(T264,Sheet3!$C$3:$F$16,3,)</f>
        <v>#N/A</v>
      </c>
    </row>
    <row r="265" spans="1:24" ht="26">
      <c r="A265" s="61" t="str">
        <f t="shared" si="21"/>
        <v>Stofmap Kertas3</v>
      </c>
      <c r="B265" s="745">
        <v>57</v>
      </c>
      <c r="C265" s="737" t="s">
        <v>3558</v>
      </c>
      <c r="D265" s="738" t="s">
        <v>3559</v>
      </c>
      <c r="E265" s="779">
        <f t="shared" si="19"/>
        <v>45717</v>
      </c>
      <c r="F265" s="730" t="s">
        <v>3753</v>
      </c>
      <c r="G265" s="731">
        <v>97</v>
      </c>
      <c r="H265" s="730" t="s">
        <v>3753</v>
      </c>
      <c r="I265" s="729">
        <f t="shared" si="22"/>
        <v>97</v>
      </c>
      <c r="J265" s="730" t="s">
        <v>3816</v>
      </c>
      <c r="K265" s="729" t="e">
        <v>#N/A</v>
      </c>
      <c r="L265" s="738" t="s">
        <v>3587</v>
      </c>
      <c r="M265" s="738" t="str">
        <f t="shared" si="20"/>
        <v>Stofmap Kertas</v>
      </c>
      <c r="N265" s="739">
        <v>1</v>
      </c>
      <c r="O265" s="733" t="s">
        <v>3588</v>
      </c>
      <c r="P265" s="734">
        <v>88000</v>
      </c>
      <c r="Q265" s="734">
        <v>88000</v>
      </c>
      <c r="R265" s="735"/>
      <c r="S265" s="759">
        <v>3</v>
      </c>
      <c r="V265" s="61" t="e">
        <f>VLOOKUP(T265,Sheet3!$C$3:$F$16,2,)</f>
        <v>#N/A</v>
      </c>
      <c r="W265" s="61" t="e">
        <f>VLOOKUP(T265,Sheet3!$C$3:$F$16,4,)</f>
        <v>#N/A</v>
      </c>
      <c r="X265" s="61" t="e">
        <f>VLOOKUP(T265,Sheet3!$C$3:$F$16,3,)</f>
        <v>#N/A</v>
      </c>
    </row>
    <row r="266" spans="1:24" ht="26">
      <c r="A266" s="61" t="str">
        <f t="shared" si="21"/>
        <v>Stofmap Transparan tali3</v>
      </c>
      <c r="B266" s="745">
        <v>58</v>
      </c>
      <c r="C266" s="737" t="s">
        <v>3558</v>
      </c>
      <c r="D266" s="738" t="s">
        <v>3559</v>
      </c>
      <c r="E266" s="779">
        <f t="shared" si="19"/>
        <v>45717</v>
      </c>
      <c r="F266" s="730" t="s">
        <v>3753</v>
      </c>
      <c r="G266" s="731">
        <v>97</v>
      </c>
      <c r="H266" s="730" t="s">
        <v>3753</v>
      </c>
      <c r="I266" s="729">
        <f t="shared" si="22"/>
        <v>97</v>
      </c>
      <c r="J266" s="730" t="s">
        <v>3816</v>
      </c>
      <c r="K266" s="729" t="e">
        <v>#N/A</v>
      </c>
      <c r="L266" s="738" t="s">
        <v>3589</v>
      </c>
      <c r="M266" s="738" t="str">
        <f t="shared" si="20"/>
        <v>Stofmap Transparan tali</v>
      </c>
      <c r="N266" s="739">
        <v>100</v>
      </c>
      <c r="O266" s="733" t="s">
        <v>3557</v>
      </c>
      <c r="P266" s="734">
        <v>5500</v>
      </c>
      <c r="Q266" s="734">
        <v>550000</v>
      </c>
      <c r="R266" s="735"/>
      <c r="S266" s="759">
        <v>3</v>
      </c>
      <c r="V266" s="61" t="e">
        <f>VLOOKUP(T266,Sheet3!$C$3:$F$16,2,)</f>
        <v>#N/A</v>
      </c>
      <c r="W266" s="61" t="e">
        <f>VLOOKUP(T266,Sheet3!$C$3:$F$16,4,)</f>
        <v>#N/A</v>
      </c>
      <c r="X266" s="61" t="e">
        <f>VLOOKUP(T266,Sheet3!$C$3:$F$16,3,)</f>
        <v>#N/A</v>
      </c>
    </row>
    <row r="267" spans="1:24" ht="26">
      <c r="A267" s="61" t="str">
        <f t="shared" si="21"/>
        <v>Stofmap Transparan3</v>
      </c>
      <c r="B267" s="745">
        <v>59</v>
      </c>
      <c r="C267" s="737" t="s">
        <v>3558</v>
      </c>
      <c r="D267" s="738" t="s">
        <v>3559</v>
      </c>
      <c r="E267" s="779">
        <f t="shared" si="19"/>
        <v>45717</v>
      </c>
      <c r="F267" s="730" t="s">
        <v>3753</v>
      </c>
      <c r="G267" s="731">
        <v>97</v>
      </c>
      <c r="H267" s="730" t="s">
        <v>3753</v>
      </c>
      <c r="I267" s="729">
        <f t="shared" si="22"/>
        <v>97</v>
      </c>
      <c r="J267" s="730" t="s">
        <v>3816</v>
      </c>
      <c r="K267" s="729" t="e">
        <v>#N/A</v>
      </c>
      <c r="L267" s="738" t="s">
        <v>3590</v>
      </c>
      <c r="M267" s="738" t="str">
        <f t="shared" si="20"/>
        <v>Stofmap Transparan</v>
      </c>
      <c r="N267" s="739">
        <v>100</v>
      </c>
      <c r="O267" s="733" t="s">
        <v>3557</v>
      </c>
      <c r="P267" s="734">
        <v>5500</v>
      </c>
      <c r="Q267" s="734">
        <v>550000</v>
      </c>
      <c r="R267" s="735"/>
      <c r="S267" s="759">
        <v>3</v>
      </c>
      <c r="V267" s="61" t="e">
        <f>VLOOKUP(T267,Sheet3!$C$3:$F$16,2,)</f>
        <v>#N/A</v>
      </c>
      <c r="W267" s="61" t="e">
        <f>VLOOKUP(T267,Sheet3!$C$3:$F$16,4,)</f>
        <v>#N/A</v>
      </c>
      <c r="X267" s="61" t="e">
        <f>VLOOKUP(T267,Sheet3!$C$3:$F$16,3,)</f>
        <v>#N/A</v>
      </c>
    </row>
    <row r="268" spans="1:24" ht="26">
      <c r="A268" s="61" t="str">
        <f t="shared" si="21"/>
        <v>Binder Klip Ordner3</v>
      </c>
      <c r="B268" s="745">
        <v>60</v>
      </c>
      <c r="C268" s="737" t="s">
        <v>3558</v>
      </c>
      <c r="D268" s="738" t="s">
        <v>3559</v>
      </c>
      <c r="E268" s="779">
        <f t="shared" si="19"/>
        <v>45717</v>
      </c>
      <c r="F268" s="730" t="s">
        <v>3753</v>
      </c>
      <c r="G268" s="731">
        <v>97</v>
      </c>
      <c r="H268" s="730" t="s">
        <v>3753</v>
      </c>
      <c r="I268" s="729">
        <f t="shared" si="22"/>
        <v>97</v>
      </c>
      <c r="J268" s="730" t="s">
        <v>3816</v>
      </c>
      <c r="K268" s="729" t="e">
        <v>#N/A</v>
      </c>
      <c r="L268" s="738" t="s">
        <v>3591</v>
      </c>
      <c r="M268" s="738" t="str">
        <f t="shared" si="20"/>
        <v>Binder Klip Ordner</v>
      </c>
      <c r="N268" s="739">
        <v>6</v>
      </c>
      <c r="O268" s="733" t="s">
        <v>3557</v>
      </c>
      <c r="P268" s="734">
        <v>49500</v>
      </c>
      <c r="Q268" s="734">
        <v>297000</v>
      </c>
      <c r="R268" s="735"/>
      <c r="S268" s="759">
        <v>3</v>
      </c>
      <c r="V268" s="61" t="e">
        <f>VLOOKUP(T268,Sheet3!$C$3:$F$16,2,)</f>
        <v>#N/A</v>
      </c>
      <c r="W268" s="61" t="e">
        <f>VLOOKUP(T268,Sheet3!$C$3:$F$16,4,)</f>
        <v>#N/A</v>
      </c>
      <c r="X268" s="61" t="e">
        <f>VLOOKUP(T268,Sheet3!$C$3:$F$16,3,)</f>
        <v>#N/A</v>
      </c>
    </row>
    <row r="269" spans="1:24" ht="26">
      <c r="A269" s="61" t="str">
        <f t="shared" si="21"/>
        <v>Box File Merk : Bantex Ukuran : 115x270x325 mm3</v>
      </c>
      <c r="B269" s="745">
        <v>61</v>
      </c>
      <c r="C269" s="737" t="s">
        <v>3558</v>
      </c>
      <c r="D269" s="738" t="s">
        <v>3559</v>
      </c>
      <c r="E269" s="779">
        <f t="shared" si="19"/>
        <v>45717</v>
      </c>
      <c r="F269" s="730" t="s">
        <v>3753</v>
      </c>
      <c r="G269" s="731">
        <v>97</v>
      </c>
      <c r="H269" s="730" t="s">
        <v>3753</v>
      </c>
      <c r="I269" s="729">
        <f t="shared" si="22"/>
        <v>97</v>
      </c>
      <c r="J269" s="730" t="s">
        <v>3816</v>
      </c>
      <c r="K269" s="729" t="e">
        <v>#N/A</v>
      </c>
      <c r="L269" s="738" t="s">
        <v>3592</v>
      </c>
      <c r="M269" s="738" t="str">
        <f t="shared" si="20"/>
        <v>Box File Merk : Bantex Ukuran : 115x270x325 mm</v>
      </c>
      <c r="N269" s="739">
        <v>4</v>
      </c>
      <c r="O269" s="733" t="s">
        <v>3557</v>
      </c>
      <c r="P269" s="734">
        <v>59000</v>
      </c>
      <c r="Q269" s="734">
        <v>236000</v>
      </c>
      <c r="R269" s="735"/>
      <c r="S269" s="759">
        <v>3</v>
      </c>
      <c r="V269" s="61" t="e">
        <f>VLOOKUP(T269,Sheet3!$C$3:$F$16,2,)</f>
        <v>#N/A</v>
      </c>
      <c r="W269" s="61" t="e">
        <f>VLOOKUP(T269,Sheet3!$C$3:$F$16,4,)</f>
        <v>#N/A</v>
      </c>
      <c r="X269" s="61" t="e">
        <f>VLOOKUP(T269,Sheet3!$C$3:$F$16,3,)</f>
        <v>#N/A</v>
      </c>
    </row>
    <row r="270" spans="1:24" ht="26">
      <c r="A270" s="61" t="str">
        <f t="shared" si="21"/>
        <v>Sampul Plastik3</v>
      </c>
      <c r="B270" s="745">
        <v>62</v>
      </c>
      <c r="C270" s="737" t="s">
        <v>3558</v>
      </c>
      <c r="D270" s="738" t="s">
        <v>3559</v>
      </c>
      <c r="E270" s="779">
        <f t="shared" si="19"/>
        <v>45717</v>
      </c>
      <c r="F270" s="730" t="s">
        <v>3753</v>
      </c>
      <c r="G270" s="731">
        <v>97</v>
      </c>
      <c r="H270" s="730" t="s">
        <v>3753</v>
      </c>
      <c r="I270" s="729">
        <f t="shared" si="22"/>
        <v>97</v>
      </c>
      <c r="J270" s="730" t="s">
        <v>3816</v>
      </c>
      <c r="K270" s="729" t="e">
        <v>#N/A</v>
      </c>
      <c r="L270" s="738" t="s">
        <v>3593</v>
      </c>
      <c r="M270" s="738" t="str">
        <f t="shared" si="20"/>
        <v>Sampul Plastik</v>
      </c>
      <c r="N270" s="739">
        <v>5</v>
      </c>
      <c r="O270" s="733" t="s">
        <v>3561</v>
      </c>
      <c r="P270" s="734">
        <v>65000</v>
      </c>
      <c r="Q270" s="734">
        <v>325000</v>
      </c>
      <c r="R270" s="735"/>
      <c r="S270" s="759">
        <v>3</v>
      </c>
      <c r="V270" s="61" t="e">
        <f>VLOOKUP(T270,Sheet3!$C$3:$F$16,2,)</f>
        <v>#N/A</v>
      </c>
      <c r="W270" s="61" t="e">
        <f>VLOOKUP(T270,Sheet3!$C$3:$F$16,4,)</f>
        <v>#N/A</v>
      </c>
      <c r="X270" s="61" t="e">
        <f>VLOOKUP(T270,Sheet3!$C$3:$F$16,3,)</f>
        <v>#N/A</v>
      </c>
    </row>
    <row r="271" spans="1:24" ht="26">
      <c r="A271" s="61" t="str">
        <f t="shared" si="21"/>
        <v>Tinta Printer Canon 740 Hitam-740 Hitam3</v>
      </c>
      <c r="B271" s="745">
        <v>63</v>
      </c>
      <c r="C271" s="737" t="s">
        <v>3558</v>
      </c>
      <c r="D271" s="738" t="s">
        <v>3559</v>
      </c>
      <c r="E271" s="779">
        <f t="shared" si="19"/>
        <v>45717</v>
      </c>
      <c r="F271" s="730" t="s">
        <v>3753</v>
      </c>
      <c r="G271" s="731">
        <v>97</v>
      </c>
      <c r="H271" s="730" t="s">
        <v>3753</v>
      </c>
      <c r="I271" s="729">
        <f t="shared" si="22"/>
        <v>97</v>
      </c>
      <c r="J271" s="730" t="s">
        <v>3816</v>
      </c>
      <c r="K271" s="729" t="e">
        <v>#N/A</v>
      </c>
      <c r="L271" s="738" t="s">
        <v>3594</v>
      </c>
      <c r="M271" s="738" t="str">
        <f t="shared" si="20"/>
        <v>Tinta Printer Canon 740 Hitam-740 Hitam</v>
      </c>
      <c r="N271" s="739">
        <v>8</v>
      </c>
      <c r="O271" s="733" t="s">
        <v>3595</v>
      </c>
      <c r="P271" s="734">
        <v>30000</v>
      </c>
      <c r="Q271" s="734">
        <v>240000</v>
      </c>
      <c r="R271" s="735"/>
      <c r="S271" s="759">
        <v>3</v>
      </c>
      <c r="V271" s="61" t="e">
        <f>VLOOKUP(T271,Sheet3!$C$3:$F$16,2,)</f>
        <v>#N/A</v>
      </c>
      <c r="W271" s="61" t="e">
        <f>VLOOKUP(T271,Sheet3!$C$3:$F$16,4,)</f>
        <v>#N/A</v>
      </c>
      <c r="X271" s="61" t="e">
        <f>VLOOKUP(T271,Sheet3!$C$3:$F$16,3,)</f>
        <v>#N/A</v>
      </c>
    </row>
    <row r="272" spans="1:24" ht="26">
      <c r="A272" s="61" t="str">
        <f t="shared" si="21"/>
        <v>Tinta Printer Canon 741 Warna-741 Warna3</v>
      </c>
      <c r="B272" s="745">
        <v>64</v>
      </c>
      <c r="C272" s="737" t="s">
        <v>3558</v>
      </c>
      <c r="D272" s="738" t="s">
        <v>3559</v>
      </c>
      <c r="E272" s="779">
        <f t="shared" si="19"/>
        <v>45717</v>
      </c>
      <c r="F272" s="730" t="s">
        <v>3753</v>
      </c>
      <c r="G272" s="731">
        <v>97</v>
      </c>
      <c r="H272" s="730" t="s">
        <v>3753</v>
      </c>
      <c r="I272" s="729">
        <f t="shared" si="22"/>
        <v>97</v>
      </c>
      <c r="J272" s="730" t="s">
        <v>3816</v>
      </c>
      <c r="K272" s="729" t="e">
        <v>#N/A</v>
      </c>
      <c r="L272" s="738" t="s">
        <v>3596</v>
      </c>
      <c r="M272" s="738" t="str">
        <f t="shared" si="20"/>
        <v>Tinta Printer Canon 741 Warna-741 Warna</v>
      </c>
      <c r="N272" s="739">
        <v>12</v>
      </c>
      <c r="O272" s="733" t="s">
        <v>3595</v>
      </c>
      <c r="P272" s="734">
        <v>33000</v>
      </c>
      <c r="Q272" s="734">
        <v>396000</v>
      </c>
      <c r="R272" s="735"/>
      <c r="S272" s="759">
        <v>3</v>
      </c>
      <c r="V272" s="61" t="e">
        <f>VLOOKUP(T272,Sheet3!$C$3:$F$16,2,)</f>
        <v>#N/A</v>
      </c>
      <c r="W272" s="61" t="e">
        <f>VLOOKUP(T272,Sheet3!$C$3:$F$16,4,)</f>
        <v>#N/A</v>
      </c>
      <c r="X272" s="61" t="e">
        <f>VLOOKUP(T272,Sheet3!$C$3:$F$16,3,)</f>
        <v>#N/A</v>
      </c>
    </row>
    <row r="273" spans="1:24" ht="26">
      <c r="A273" s="61" t="str">
        <f t="shared" si="21"/>
        <v>C. Tinta Printer EPSON Toner Epson 664 Black3</v>
      </c>
      <c r="B273" s="745">
        <v>65</v>
      </c>
      <c r="C273" s="737" t="s">
        <v>3558</v>
      </c>
      <c r="D273" s="738" t="s">
        <v>3559</v>
      </c>
      <c r="E273" s="779">
        <f t="shared" si="19"/>
        <v>45717</v>
      </c>
      <c r="F273" s="730" t="s">
        <v>3753</v>
      </c>
      <c r="G273" s="731">
        <v>97</v>
      </c>
      <c r="H273" s="730" t="s">
        <v>3753</v>
      </c>
      <c r="I273" s="729">
        <f t="shared" si="22"/>
        <v>97</v>
      </c>
      <c r="J273" s="730" t="s">
        <v>3816</v>
      </c>
      <c r="K273" s="729" t="e">
        <v>#N/A</v>
      </c>
      <c r="L273" s="738" t="s">
        <v>3597</v>
      </c>
      <c r="M273" s="738" t="str">
        <f t="shared" si="20"/>
        <v>C. Tinta Printer EPSON Toner Epson 664 Black</v>
      </c>
      <c r="N273" s="739">
        <v>6</v>
      </c>
      <c r="O273" s="733" t="s">
        <v>3595</v>
      </c>
      <c r="P273" s="734">
        <v>85000</v>
      </c>
      <c r="Q273" s="734">
        <v>510000</v>
      </c>
      <c r="R273" s="735"/>
      <c r="S273" s="759">
        <v>3</v>
      </c>
      <c r="V273" s="61" t="e">
        <f>VLOOKUP(T273,Sheet3!$C$3:$F$16,2,)</f>
        <v>#N/A</v>
      </c>
      <c r="W273" s="61" t="e">
        <f>VLOOKUP(T273,Sheet3!$C$3:$F$16,4,)</f>
        <v>#N/A</v>
      </c>
      <c r="X273" s="61" t="e">
        <f>VLOOKUP(T273,Sheet3!$C$3:$F$16,3,)</f>
        <v>#N/A</v>
      </c>
    </row>
    <row r="274" spans="1:24" ht="26">
      <c r="A274" s="61" t="str">
        <f t="shared" si="21"/>
        <v>C. Tinta Printer EPSON Tinta Printer Epson Yellow3</v>
      </c>
      <c r="B274" s="745">
        <v>66</v>
      </c>
      <c r="C274" s="737" t="s">
        <v>3558</v>
      </c>
      <c r="D274" s="738" t="s">
        <v>3559</v>
      </c>
      <c r="E274" s="779">
        <f t="shared" si="19"/>
        <v>45717</v>
      </c>
      <c r="F274" s="730" t="s">
        <v>3753</v>
      </c>
      <c r="G274" s="731">
        <v>97</v>
      </c>
      <c r="H274" s="730" t="s">
        <v>3753</v>
      </c>
      <c r="I274" s="729">
        <f t="shared" si="22"/>
        <v>97</v>
      </c>
      <c r="J274" s="730" t="s">
        <v>3816</v>
      </c>
      <c r="K274" s="729" t="e">
        <v>#N/A</v>
      </c>
      <c r="L274" s="738" t="s">
        <v>3598</v>
      </c>
      <c r="M274" s="738" t="str">
        <f t="shared" si="20"/>
        <v>C. Tinta Printer EPSON Tinta Printer Epson Yellow</v>
      </c>
      <c r="N274" s="739">
        <v>4</v>
      </c>
      <c r="O274" s="733" t="s">
        <v>3595</v>
      </c>
      <c r="P274" s="734">
        <v>110000</v>
      </c>
      <c r="Q274" s="734">
        <v>440000</v>
      </c>
      <c r="R274" s="735"/>
      <c r="S274" s="759">
        <v>3</v>
      </c>
      <c r="V274" s="61" t="e">
        <f>VLOOKUP(T274,Sheet3!$C$3:$F$16,2,)</f>
        <v>#N/A</v>
      </c>
      <c r="W274" s="61" t="e">
        <f>VLOOKUP(T274,Sheet3!$C$3:$F$16,4,)</f>
        <v>#N/A</v>
      </c>
      <c r="X274" s="61" t="e">
        <f>VLOOKUP(T274,Sheet3!$C$3:$F$16,3,)</f>
        <v>#N/A</v>
      </c>
    </row>
    <row r="275" spans="1:24" ht="26">
      <c r="A275" s="61" t="str">
        <f t="shared" si="21"/>
        <v>C. Tinta Printer EPSON Tinta Printer Epson Blue3</v>
      </c>
      <c r="B275" s="745">
        <v>67</v>
      </c>
      <c r="C275" s="737" t="s">
        <v>3558</v>
      </c>
      <c r="D275" s="738" t="s">
        <v>3559</v>
      </c>
      <c r="E275" s="779">
        <f t="shared" si="19"/>
        <v>45717</v>
      </c>
      <c r="F275" s="730" t="s">
        <v>3753</v>
      </c>
      <c r="G275" s="731">
        <v>97</v>
      </c>
      <c r="H275" s="730" t="s">
        <v>3753</v>
      </c>
      <c r="I275" s="729">
        <f t="shared" si="22"/>
        <v>97</v>
      </c>
      <c r="J275" s="730" t="s">
        <v>3816</v>
      </c>
      <c r="K275" s="729" t="e">
        <v>#N/A</v>
      </c>
      <c r="L275" s="738" t="s">
        <v>3599</v>
      </c>
      <c r="M275" s="738" t="str">
        <f t="shared" si="20"/>
        <v>C. Tinta Printer EPSON Tinta Printer Epson Blue</v>
      </c>
      <c r="N275" s="739">
        <v>4</v>
      </c>
      <c r="O275" s="733" t="s">
        <v>3595</v>
      </c>
      <c r="P275" s="734">
        <v>110000</v>
      </c>
      <c r="Q275" s="734">
        <v>440000</v>
      </c>
      <c r="R275" s="735"/>
      <c r="S275" s="759">
        <v>3</v>
      </c>
      <c r="V275" s="61" t="e">
        <f>VLOOKUP(T275,Sheet3!$C$3:$F$16,2,)</f>
        <v>#N/A</v>
      </c>
      <c r="W275" s="61" t="e">
        <f>VLOOKUP(T275,Sheet3!$C$3:$F$16,4,)</f>
        <v>#N/A</v>
      </c>
      <c r="X275" s="61" t="e">
        <f>VLOOKUP(T275,Sheet3!$C$3:$F$16,3,)</f>
        <v>#N/A</v>
      </c>
    </row>
    <row r="276" spans="1:24" ht="26">
      <c r="A276" s="61" t="str">
        <f t="shared" si="21"/>
        <v>C. Tinta Printer EPSON Tinta Printer Epson Read3</v>
      </c>
      <c r="B276" s="745">
        <v>68</v>
      </c>
      <c r="C276" s="737" t="s">
        <v>3558</v>
      </c>
      <c r="D276" s="738" t="s">
        <v>3559</v>
      </c>
      <c r="E276" s="779">
        <f t="shared" si="19"/>
        <v>45717</v>
      </c>
      <c r="F276" s="730" t="s">
        <v>3753</v>
      </c>
      <c r="G276" s="731">
        <v>97</v>
      </c>
      <c r="H276" s="730" t="s">
        <v>3753</v>
      </c>
      <c r="I276" s="729">
        <f t="shared" si="22"/>
        <v>97</v>
      </c>
      <c r="J276" s="730" t="s">
        <v>3816</v>
      </c>
      <c r="K276" s="729" t="e">
        <v>#N/A</v>
      </c>
      <c r="L276" s="738" t="s">
        <v>3600</v>
      </c>
      <c r="M276" s="738" t="str">
        <f t="shared" si="20"/>
        <v>C. Tinta Printer EPSON Tinta Printer Epson Read</v>
      </c>
      <c r="N276" s="739">
        <v>4</v>
      </c>
      <c r="O276" s="733" t="s">
        <v>3595</v>
      </c>
      <c r="P276" s="734">
        <v>110000</v>
      </c>
      <c r="Q276" s="734">
        <v>440000</v>
      </c>
      <c r="R276" s="735"/>
      <c r="S276" s="759">
        <v>3</v>
      </c>
      <c r="V276" s="61" t="e">
        <f>VLOOKUP(T276,Sheet3!$C$3:$F$16,2,)</f>
        <v>#N/A</v>
      </c>
      <c r="W276" s="61" t="e">
        <f>VLOOKUP(T276,Sheet3!$C$3:$F$16,4,)</f>
        <v>#N/A</v>
      </c>
      <c r="X276" s="61" t="e">
        <f>VLOOKUP(T276,Sheet3!$C$3:$F$16,3,)</f>
        <v>#N/A</v>
      </c>
    </row>
    <row r="277" spans="1:24" ht="26">
      <c r="A277" s="61" t="str">
        <f t="shared" si="21"/>
        <v>Catridge Printer Epson T 014--3</v>
      </c>
      <c r="B277" s="745">
        <v>69</v>
      </c>
      <c r="C277" s="737" t="s">
        <v>3558</v>
      </c>
      <c r="D277" s="738" t="s">
        <v>3559</v>
      </c>
      <c r="E277" s="779">
        <f t="shared" si="19"/>
        <v>45717</v>
      </c>
      <c r="F277" s="730" t="s">
        <v>3753</v>
      </c>
      <c r="G277" s="731">
        <v>97</v>
      </c>
      <c r="H277" s="730" t="s">
        <v>3753</v>
      </c>
      <c r="I277" s="729">
        <f t="shared" si="22"/>
        <v>97</v>
      </c>
      <c r="J277" s="730" t="s">
        <v>3816</v>
      </c>
      <c r="K277" s="729" t="e">
        <v>#N/A</v>
      </c>
      <c r="L277" s="738" t="s">
        <v>3602</v>
      </c>
      <c r="M277" s="738" t="str">
        <f t="shared" si="20"/>
        <v>Catridge Printer Epson T 014--</v>
      </c>
      <c r="N277" s="739">
        <v>4</v>
      </c>
      <c r="O277" s="733" t="s">
        <v>3595</v>
      </c>
      <c r="P277" s="734">
        <v>310000</v>
      </c>
      <c r="Q277" s="734">
        <v>1240000</v>
      </c>
      <c r="R277" s="735"/>
      <c r="S277" s="759">
        <v>3</v>
      </c>
      <c r="V277" s="61" t="e">
        <f>VLOOKUP(T277,Sheet3!$C$3:$F$16,2,)</f>
        <v>#N/A</v>
      </c>
      <c r="W277" s="61" t="e">
        <f>VLOOKUP(T277,Sheet3!$C$3:$F$16,4,)</f>
        <v>#N/A</v>
      </c>
      <c r="X277" s="61" t="e">
        <f>VLOOKUP(T277,Sheet3!$C$3:$F$16,3,)</f>
        <v>#N/A</v>
      </c>
    </row>
    <row r="278" spans="1:24" ht="26">
      <c r="A278" s="61" t="str">
        <f t="shared" si="21"/>
        <v>Lakban Besar3</v>
      </c>
      <c r="B278" s="745">
        <v>70</v>
      </c>
      <c r="C278" s="737" t="s">
        <v>3558</v>
      </c>
      <c r="D278" s="738" t="s">
        <v>3559</v>
      </c>
      <c r="E278" s="779">
        <f t="shared" si="19"/>
        <v>45717</v>
      </c>
      <c r="F278" s="730" t="s">
        <v>3753</v>
      </c>
      <c r="G278" s="731">
        <v>97</v>
      </c>
      <c r="H278" s="730" t="s">
        <v>3753</v>
      </c>
      <c r="I278" s="729">
        <f t="shared" si="22"/>
        <v>97</v>
      </c>
      <c r="J278" s="730" t="s">
        <v>3816</v>
      </c>
      <c r="K278" s="729" t="e">
        <v>#N/A</v>
      </c>
      <c r="L278" s="738" t="s">
        <v>3603</v>
      </c>
      <c r="M278" s="738" t="str">
        <f t="shared" si="20"/>
        <v>Lakban Besar</v>
      </c>
      <c r="N278" s="739">
        <v>5</v>
      </c>
      <c r="O278" s="733" t="s">
        <v>3557</v>
      </c>
      <c r="P278" s="734">
        <v>25000</v>
      </c>
      <c r="Q278" s="734">
        <v>125000</v>
      </c>
      <c r="R278" s="735"/>
      <c r="S278" s="759">
        <v>3</v>
      </c>
      <c r="V278" s="61" t="e">
        <f>VLOOKUP(T278,Sheet3!$C$3:$F$16,2,)</f>
        <v>#N/A</v>
      </c>
      <c r="W278" s="61" t="e">
        <f>VLOOKUP(T278,Sheet3!$C$3:$F$16,4,)</f>
        <v>#N/A</v>
      </c>
      <c r="X278" s="61" t="e">
        <f>VLOOKUP(T278,Sheet3!$C$3:$F$16,3,)</f>
        <v>#N/A</v>
      </c>
    </row>
    <row r="279" spans="1:24" ht="26">
      <c r="A279" s="61" t="str">
        <f t="shared" si="21"/>
        <v>Lakban Bening Sedang3</v>
      </c>
      <c r="B279" s="745">
        <v>71</v>
      </c>
      <c r="C279" s="737" t="s">
        <v>3558</v>
      </c>
      <c r="D279" s="738" t="s">
        <v>3559</v>
      </c>
      <c r="E279" s="779">
        <f t="shared" si="19"/>
        <v>45717</v>
      </c>
      <c r="F279" s="730" t="s">
        <v>3753</v>
      </c>
      <c r="G279" s="731">
        <v>97</v>
      </c>
      <c r="H279" s="730" t="s">
        <v>3753</v>
      </c>
      <c r="I279" s="729">
        <f t="shared" si="22"/>
        <v>97</v>
      </c>
      <c r="J279" s="730" t="s">
        <v>3816</v>
      </c>
      <c r="K279" s="729" t="e">
        <v>#N/A</v>
      </c>
      <c r="L279" s="738" t="s">
        <v>3873</v>
      </c>
      <c r="M279" s="738" t="str">
        <f t="shared" si="20"/>
        <v>Lakban Bening Sedang</v>
      </c>
      <c r="N279" s="739">
        <v>5</v>
      </c>
      <c r="O279" s="733" t="s">
        <v>3557</v>
      </c>
      <c r="P279" s="734">
        <v>15000</v>
      </c>
      <c r="Q279" s="734">
        <v>75000</v>
      </c>
      <c r="R279" s="735"/>
      <c r="S279" s="759">
        <v>3</v>
      </c>
      <c r="V279" s="61" t="e">
        <f>VLOOKUP(T279,Sheet3!$C$3:$F$16,2,)</f>
        <v>#N/A</v>
      </c>
      <c r="W279" s="61" t="e">
        <f>VLOOKUP(T279,Sheet3!$C$3:$F$16,4,)</f>
        <v>#N/A</v>
      </c>
      <c r="X279" s="61" t="e">
        <f>VLOOKUP(T279,Sheet3!$C$3:$F$16,3,)</f>
        <v>#N/A</v>
      </c>
    </row>
    <row r="280" spans="1:24" ht="26">
      <c r="A280" s="61" t="str">
        <f t="shared" si="21"/>
        <v>Lakban Bening3</v>
      </c>
      <c r="B280" s="745">
        <v>72</v>
      </c>
      <c r="C280" s="737" t="s">
        <v>3558</v>
      </c>
      <c r="D280" s="738" t="s">
        <v>3559</v>
      </c>
      <c r="E280" s="779">
        <f t="shared" si="19"/>
        <v>45717</v>
      </c>
      <c r="F280" s="730" t="s">
        <v>3753</v>
      </c>
      <c r="G280" s="731">
        <v>97</v>
      </c>
      <c r="H280" s="730" t="s">
        <v>3753</v>
      </c>
      <c r="I280" s="729">
        <f t="shared" si="22"/>
        <v>97</v>
      </c>
      <c r="J280" s="730" t="s">
        <v>3816</v>
      </c>
      <c r="K280" s="729" t="e">
        <v>#N/A</v>
      </c>
      <c r="L280" s="738" t="s">
        <v>3604</v>
      </c>
      <c r="M280" s="738" t="str">
        <f t="shared" si="20"/>
        <v>Lakban Bening</v>
      </c>
      <c r="N280" s="739">
        <v>5</v>
      </c>
      <c r="O280" s="733" t="s">
        <v>3557</v>
      </c>
      <c r="P280" s="734">
        <v>10000</v>
      </c>
      <c r="Q280" s="734">
        <v>50000</v>
      </c>
      <c r="R280" s="735"/>
      <c r="S280" s="759">
        <v>3</v>
      </c>
      <c r="V280" s="61" t="e">
        <f>VLOOKUP(T280,Sheet3!$C$3:$F$16,2,)</f>
        <v>#N/A</v>
      </c>
      <c r="W280" s="61" t="e">
        <f>VLOOKUP(T280,Sheet3!$C$3:$F$16,4,)</f>
        <v>#N/A</v>
      </c>
      <c r="X280" s="61" t="e">
        <f>VLOOKUP(T280,Sheet3!$C$3:$F$16,3,)</f>
        <v>#N/A</v>
      </c>
    </row>
    <row r="281" spans="1:24" ht="26">
      <c r="A281" s="61" t="str">
        <f t="shared" si="21"/>
        <v>Lakban Hitam--3</v>
      </c>
      <c r="B281" s="745">
        <v>73</v>
      </c>
      <c r="C281" s="737" t="s">
        <v>3558</v>
      </c>
      <c r="D281" s="738" t="s">
        <v>3559</v>
      </c>
      <c r="E281" s="779">
        <f t="shared" si="19"/>
        <v>45717</v>
      </c>
      <c r="F281" s="730" t="s">
        <v>3753</v>
      </c>
      <c r="G281" s="731">
        <v>97</v>
      </c>
      <c r="H281" s="730" t="s">
        <v>3753</v>
      </c>
      <c r="I281" s="729">
        <f t="shared" si="22"/>
        <v>97</v>
      </c>
      <c r="J281" s="730" t="s">
        <v>3816</v>
      </c>
      <c r="K281" s="729" t="e">
        <v>#N/A</v>
      </c>
      <c r="L281" s="738" t="s">
        <v>3605</v>
      </c>
      <c r="M281" s="738" t="str">
        <f t="shared" si="20"/>
        <v>Lakban Hitam--</v>
      </c>
      <c r="N281" s="739">
        <v>5</v>
      </c>
      <c r="O281" s="733" t="s">
        <v>3557</v>
      </c>
      <c r="P281" s="734">
        <v>15000</v>
      </c>
      <c r="Q281" s="734">
        <v>75000</v>
      </c>
      <c r="R281" s="735"/>
      <c r="S281" s="759">
        <v>3</v>
      </c>
      <c r="V281" s="61" t="e">
        <f>VLOOKUP(T281,Sheet3!$C$3:$F$16,2,)</f>
        <v>#N/A</v>
      </c>
      <c r="W281" s="61" t="e">
        <f>VLOOKUP(T281,Sheet3!$C$3:$F$16,4,)</f>
        <v>#N/A</v>
      </c>
      <c r="X281" s="61" t="e">
        <f>VLOOKUP(T281,Sheet3!$C$3:$F$16,3,)</f>
        <v>#N/A</v>
      </c>
    </row>
    <row r="282" spans="1:24" ht="26">
      <c r="A282" s="61" t="str">
        <f t="shared" si="21"/>
        <v>lakban hitam-ukuran : lebar 2 inch, panjang 12m, bahan : kain3</v>
      </c>
      <c r="B282" s="745">
        <v>74</v>
      </c>
      <c r="C282" s="737" t="s">
        <v>3558</v>
      </c>
      <c r="D282" s="738" t="s">
        <v>3559</v>
      </c>
      <c r="E282" s="779">
        <f t="shared" si="19"/>
        <v>45717</v>
      </c>
      <c r="F282" s="730" t="s">
        <v>3753</v>
      </c>
      <c r="G282" s="731">
        <v>97</v>
      </c>
      <c r="H282" s="730" t="s">
        <v>3753</v>
      </c>
      <c r="I282" s="729">
        <f t="shared" si="22"/>
        <v>97</v>
      </c>
      <c r="J282" s="730" t="s">
        <v>3816</v>
      </c>
      <c r="K282" s="729" t="e">
        <v>#N/A</v>
      </c>
      <c r="L282" s="738" t="s">
        <v>3606</v>
      </c>
      <c r="M282" s="738" t="str">
        <f t="shared" si="20"/>
        <v>lakban hitam-ukuran : lebar 2 inch, panjang 12m, bahan : kain</v>
      </c>
      <c r="N282" s="739">
        <v>4</v>
      </c>
      <c r="O282" s="733" t="s">
        <v>3557</v>
      </c>
      <c r="P282" s="734">
        <v>12500</v>
      </c>
      <c r="Q282" s="734">
        <v>50000</v>
      </c>
      <c r="R282" s="735"/>
      <c r="S282" s="759">
        <v>3</v>
      </c>
      <c r="V282" s="61" t="e">
        <f>VLOOKUP(T282,Sheet3!$C$3:$F$16,2,)</f>
        <v>#N/A</v>
      </c>
      <c r="W282" s="61" t="e">
        <f>VLOOKUP(T282,Sheet3!$C$3:$F$16,4,)</f>
        <v>#N/A</v>
      </c>
      <c r="X282" s="61" t="e">
        <f>VLOOKUP(T282,Sheet3!$C$3:$F$16,3,)</f>
        <v>#N/A</v>
      </c>
    </row>
    <row r="283" spans="1:24" ht="26">
      <c r="A283" s="61" t="str">
        <f t="shared" si="21"/>
        <v>Lakban Hitam uk 2 " Warna hitam uk. 2 "3</v>
      </c>
      <c r="B283" s="745">
        <v>75</v>
      </c>
      <c r="C283" s="737" t="s">
        <v>3558</v>
      </c>
      <c r="D283" s="744" t="s">
        <v>3559</v>
      </c>
      <c r="E283" s="779">
        <f t="shared" si="19"/>
        <v>45717</v>
      </c>
      <c r="F283" s="730" t="s">
        <v>3753</v>
      </c>
      <c r="G283" s="731">
        <v>97</v>
      </c>
      <c r="H283" s="730" t="s">
        <v>3753</v>
      </c>
      <c r="I283" s="729">
        <f t="shared" si="22"/>
        <v>97</v>
      </c>
      <c r="J283" s="730" t="s">
        <v>3816</v>
      </c>
      <c r="K283" s="729" t="e">
        <v>#N/A</v>
      </c>
      <c r="L283" s="738" t="s">
        <v>3607</v>
      </c>
      <c r="M283" s="738" t="str">
        <f t="shared" si="20"/>
        <v>Lakban Hitam uk 2 " Warna hitam uk. 2 "</v>
      </c>
      <c r="N283" s="739">
        <v>5</v>
      </c>
      <c r="O283" s="733" t="s">
        <v>3557</v>
      </c>
      <c r="P283" s="734">
        <v>25000</v>
      </c>
      <c r="Q283" s="734">
        <v>125000</v>
      </c>
      <c r="R283" s="735"/>
      <c r="S283" s="759">
        <v>3</v>
      </c>
      <c r="V283" s="61" t="e">
        <f>VLOOKUP(T283,Sheet3!$C$3:$F$16,2,)</f>
        <v>#N/A</v>
      </c>
      <c r="W283" s="61" t="e">
        <f>VLOOKUP(T283,Sheet3!$C$3:$F$16,4,)</f>
        <v>#N/A</v>
      </c>
      <c r="X283" s="61" t="e">
        <f>VLOOKUP(T283,Sheet3!$C$3:$F$16,3,)</f>
        <v>#N/A</v>
      </c>
    </row>
    <row r="284" spans="1:24" ht="26">
      <c r="A284" s="61" t="str">
        <f t="shared" si="21"/>
        <v>Lakban warna Uk 2" Warna Coklat Cofiie3</v>
      </c>
      <c r="B284" s="745">
        <v>76</v>
      </c>
      <c r="C284" s="737" t="s">
        <v>3558</v>
      </c>
      <c r="D284" s="744" t="s">
        <v>3559</v>
      </c>
      <c r="E284" s="779">
        <f t="shared" si="19"/>
        <v>45717</v>
      </c>
      <c r="F284" s="730" t="s">
        <v>3753</v>
      </c>
      <c r="G284" s="731">
        <v>97</v>
      </c>
      <c r="H284" s="730" t="s">
        <v>3753</v>
      </c>
      <c r="I284" s="729">
        <f t="shared" si="22"/>
        <v>97</v>
      </c>
      <c r="J284" s="730" t="s">
        <v>3816</v>
      </c>
      <c r="K284" s="729" t="e">
        <v>#N/A</v>
      </c>
      <c r="L284" s="738" t="s">
        <v>3608</v>
      </c>
      <c r="M284" s="738" t="str">
        <f t="shared" si="20"/>
        <v>Lakban warna Uk 2" Warna Coklat Cofiie</v>
      </c>
      <c r="N284" s="739">
        <v>3</v>
      </c>
      <c r="O284" s="733" t="s">
        <v>3557</v>
      </c>
      <c r="P284" s="734">
        <v>20000</v>
      </c>
      <c r="Q284" s="734">
        <v>60000</v>
      </c>
      <c r="R284" s="735"/>
      <c r="S284" s="759">
        <v>3</v>
      </c>
      <c r="V284" s="61" t="e">
        <f>VLOOKUP(T284,Sheet3!$C$3:$F$16,2,)</f>
        <v>#N/A</v>
      </c>
      <c r="W284" s="61" t="e">
        <f>VLOOKUP(T284,Sheet3!$C$3:$F$16,4,)</f>
        <v>#N/A</v>
      </c>
      <c r="X284" s="61" t="e">
        <f>VLOOKUP(T284,Sheet3!$C$3:$F$16,3,)</f>
        <v>#N/A</v>
      </c>
    </row>
    <row r="285" spans="1:24" ht="26">
      <c r="A285" s="61" t="str">
        <f t="shared" si="21"/>
        <v>Spidol Refil Spidol White Board Snowman3</v>
      </c>
      <c r="B285" s="745">
        <v>77</v>
      </c>
      <c r="C285" s="737" t="s">
        <v>3558</v>
      </c>
      <c r="D285" s="744" t="s">
        <v>3559</v>
      </c>
      <c r="E285" s="779">
        <f t="shared" si="19"/>
        <v>45717</v>
      </c>
      <c r="F285" s="730" t="s">
        <v>3753</v>
      </c>
      <c r="G285" s="731">
        <v>97</v>
      </c>
      <c r="H285" s="730" t="s">
        <v>3753</v>
      </c>
      <c r="I285" s="729">
        <f t="shared" si="22"/>
        <v>97</v>
      </c>
      <c r="J285" s="730" t="s">
        <v>3816</v>
      </c>
      <c r="K285" s="729" t="e">
        <v>#N/A</v>
      </c>
      <c r="L285" s="738" t="s">
        <v>3609</v>
      </c>
      <c r="M285" s="738" t="str">
        <f t="shared" si="20"/>
        <v>Spidol Refil Spidol White Board Snowman</v>
      </c>
      <c r="N285" s="739">
        <v>10</v>
      </c>
      <c r="O285" s="733" t="s">
        <v>3557</v>
      </c>
      <c r="P285" s="734">
        <v>20900</v>
      </c>
      <c r="Q285" s="734">
        <v>209000</v>
      </c>
      <c r="R285" s="735"/>
      <c r="S285" s="759">
        <v>3</v>
      </c>
      <c r="V285" s="61" t="e">
        <f>VLOOKUP(T285,Sheet3!$C$3:$F$16,2,)</f>
        <v>#N/A</v>
      </c>
      <c r="W285" s="61" t="e">
        <f>VLOOKUP(T285,Sheet3!$C$3:$F$16,4,)</f>
        <v>#N/A</v>
      </c>
      <c r="X285" s="61" t="e">
        <f>VLOOKUP(T285,Sheet3!$C$3:$F$16,3,)</f>
        <v>#N/A</v>
      </c>
    </row>
    <row r="286" spans="1:24" ht="26">
      <c r="A286" s="61" t="str">
        <f t="shared" si="21"/>
        <v>Spidol White board3</v>
      </c>
      <c r="B286" s="745">
        <v>78</v>
      </c>
      <c r="C286" s="737" t="s">
        <v>3558</v>
      </c>
      <c r="D286" s="744" t="s">
        <v>3559</v>
      </c>
      <c r="E286" s="779">
        <f t="shared" si="19"/>
        <v>45717</v>
      </c>
      <c r="F286" s="730" t="s">
        <v>3753</v>
      </c>
      <c r="G286" s="731">
        <v>97</v>
      </c>
      <c r="H286" s="730" t="s">
        <v>3753</v>
      </c>
      <c r="I286" s="729">
        <f t="shared" si="22"/>
        <v>97</v>
      </c>
      <c r="J286" s="730" t="s">
        <v>3816</v>
      </c>
      <c r="K286" s="729" t="e">
        <v>#N/A</v>
      </c>
      <c r="L286" s="738" t="s">
        <v>3610</v>
      </c>
      <c r="M286" s="738" t="str">
        <f t="shared" si="20"/>
        <v>Spidol White board</v>
      </c>
      <c r="N286" s="739">
        <v>2</v>
      </c>
      <c r="O286" s="733" t="s">
        <v>3577</v>
      </c>
      <c r="P286" s="734">
        <v>120000</v>
      </c>
      <c r="Q286" s="734">
        <v>240000</v>
      </c>
      <c r="R286" s="735"/>
      <c r="S286" s="759">
        <v>3</v>
      </c>
      <c r="V286" s="61" t="e">
        <f>VLOOKUP(T286,Sheet3!$C$3:$F$16,2,)</f>
        <v>#N/A</v>
      </c>
      <c r="W286" s="61" t="e">
        <f>VLOOKUP(T286,Sheet3!$C$3:$F$16,4,)</f>
        <v>#N/A</v>
      </c>
      <c r="X286" s="61" t="e">
        <f>VLOOKUP(T286,Sheet3!$C$3:$F$16,3,)</f>
        <v>#N/A</v>
      </c>
    </row>
    <row r="287" spans="1:24" ht="26">
      <c r="A287" s="61" t="str">
        <f t="shared" si="21"/>
        <v>Stapler HD-10--3</v>
      </c>
      <c r="B287" s="745">
        <v>79</v>
      </c>
      <c r="C287" s="737" t="s">
        <v>3558</v>
      </c>
      <c r="D287" s="744" t="s">
        <v>3559</v>
      </c>
      <c r="E287" s="779">
        <f t="shared" si="19"/>
        <v>45717</v>
      </c>
      <c r="F287" s="730" t="s">
        <v>3753</v>
      </c>
      <c r="G287" s="731">
        <v>97</v>
      </c>
      <c r="H287" s="730" t="s">
        <v>3753</v>
      </c>
      <c r="I287" s="729">
        <f t="shared" si="22"/>
        <v>97</v>
      </c>
      <c r="J287" s="730" t="s">
        <v>3816</v>
      </c>
      <c r="K287" s="729" t="e">
        <v>#N/A</v>
      </c>
      <c r="L287" s="738" t="s">
        <v>3611</v>
      </c>
      <c r="M287" s="738" t="str">
        <f t="shared" si="20"/>
        <v>Stapler HD-10--</v>
      </c>
      <c r="N287" s="739">
        <v>2</v>
      </c>
      <c r="O287" s="733" t="s">
        <v>3557</v>
      </c>
      <c r="P287" s="734">
        <v>20000</v>
      </c>
      <c r="Q287" s="734">
        <v>40000</v>
      </c>
      <c r="R287" s="735"/>
      <c r="S287" s="759">
        <v>3</v>
      </c>
      <c r="V287" s="61" t="e">
        <f>VLOOKUP(T287,Sheet3!$C$3:$F$16,2,)</f>
        <v>#N/A</v>
      </c>
      <c r="W287" s="61" t="e">
        <f>VLOOKUP(T287,Sheet3!$C$3:$F$16,4,)</f>
        <v>#N/A</v>
      </c>
      <c r="X287" s="61" t="e">
        <f>VLOOKUP(T287,Sheet3!$C$3:$F$16,3,)</f>
        <v>#N/A</v>
      </c>
    </row>
    <row r="288" spans="1:24" ht="26">
      <c r="A288" s="61" t="str">
        <f t="shared" si="21"/>
        <v>Stapler Stapler No, 50 MAX3</v>
      </c>
      <c r="B288" s="745">
        <v>80</v>
      </c>
      <c r="C288" s="737" t="s">
        <v>3558</v>
      </c>
      <c r="D288" s="744" t="s">
        <v>3559</v>
      </c>
      <c r="E288" s="779">
        <f t="shared" si="19"/>
        <v>45717</v>
      </c>
      <c r="F288" s="730" t="s">
        <v>3753</v>
      </c>
      <c r="G288" s="731">
        <v>97</v>
      </c>
      <c r="H288" s="730" t="s">
        <v>3753</v>
      </c>
      <c r="I288" s="729">
        <f t="shared" si="22"/>
        <v>97</v>
      </c>
      <c r="J288" s="730" t="s">
        <v>3816</v>
      </c>
      <c r="K288" s="729" t="e">
        <v>#N/A</v>
      </c>
      <c r="L288" s="738" t="s">
        <v>3612</v>
      </c>
      <c r="M288" s="738" t="str">
        <f t="shared" si="20"/>
        <v>Stapler Stapler No, 50 MAX</v>
      </c>
      <c r="N288" s="739">
        <v>2</v>
      </c>
      <c r="O288" s="733" t="s">
        <v>3557</v>
      </c>
      <c r="P288" s="734">
        <v>25000</v>
      </c>
      <c r="Q288" s="734">
        <v>50000</v>
      </c>
      <c r="R288" s="735"/>
      <c r="S288" s="759">
        <v>3</v>
      </c>
      <c r="V288" s="61" t="e">
        <f>VLOOKUP(T288,Sheet3!$C$3:$F$16,2,)</f>
        <v>#N/A</v>
      </c>
      <c r="W288" s="61" t="e">
        <f>VLOOKUP(T288,Sheet3!$C$3:$F$16,4,)</f>
        <v>#N/A</v>
      </c>
      <c r="X288" s="61" t="e">
        <f>VLOOKUP(T288,Sheet3!$C$3:$F$16,3,)</f>
        <v>#N/A</v>
      </c>
    </row>
    <row r="289" spans="1:24" ht="26">
      <c r="A289" s="61" t="str">
        <f t="shared" si="21"/>
        <v>PAPER CLIP  Paper Clip No 13</v>
      </c>
      <c r="B289" s="745">
        <v>81</v>
      </c>
      <c r="C289" s="737" t="s">
        <v>3558</v>
      </c>
      <c r="D289" s="744" t="s">
        <v>3559</v>
      </c>
      <c r="E289" s="779">
        <f t="shared" si="19"/>
        <v>45717</v>
      </c>
      <c r="F289" s="730" t="s">
        <v>3753</v>
      </c>
      <c r="G289" s="731">
        <v>97</v>
      </c>
      <c r="H289" s="730" t="s">
        <v>3753</v>
      </c>
      <c r="I289" s="729">
        <f t="shared" si="22"/>
        <v>97</v>
      </c>
      <c r="J289" s="730" t="s">
        <v>3816</v>
      </c>
      <c r="K289" s="729" t="e">
        <v>#N/A</v>
      </c>
      <c r="L289" s="738" t="s">
        <v>3614</v>
      </c>
      <c r="M289" s="738" t="str">
        <f t="shared" si="20"/>
        <v>PAPER CLIP  Paper Clip No 1</v>
      </c>
      <c r="N289" s="739">
        <v>5</v>
      </c>
      <c r="O289" s="733" t="s">
        <v>3575</v>
      </c>
      <c r="P289" s="734">
        <v>6000</v>
      </c>
      <c r="Q289" s="734">
        <v>30000</v>
      </c>
      <c r="R289" s="735"/>
      <c r="S289" s="759">
        <v>3</v>
      </c>
      <c r="V289" s="61" t="e">
        <f>VLOOKUP(T289,Sheet3!$C$3:$F$16,2,)</f>
        <v>#N/A</v>
      </c>
      <c r="W289" s="61" t="e">
        <f>VLOOKUP(T289,Sheet3!$C$3:$F$16,4,)</f>
        <v>#N/A</v>
      </c>
      <c r="X289" s="61" t="e">
        <f>VLOOKUP(T289,Sheet3!$C$3:$F$16,3,)</f>
        <v>#N/A</v>
      </c>
    </row>
    <row r="290" spans="1:24" ht="26">
      <c r="A290" s="61" t="str">
        <f t="shared" si="21"/>
        <v>Paper Clip No 1  Paper Clip No 33</v>
      </c>
      <c r="B290" s="745">
        <v>82</v>
      </c>
      <c r="C290" s="737" t="s">
        <v>3558</v>
      </c>
      <c r="D290" s="744" t="s">
        <v>3559</v>
      </c>
      <c r="E290" s="779">
        <f t="shared" si="19"/>
        <v>45717</v>
      </c>
      <c r="F290" s="730" t="s">
        <v>3753</v>
      </c>
      <c r="G290" s="731">
        <v>97</v>
      </c>
      <c r="H290" s="730" t="s">
        <v>3753</v>
      </c>
      <c r="I290" s="729">
        <f t="shared" si="22"/>
        <v>97</v>
      </c>
      <c r="J290" s="730" t="s">
        <v>3816</v>
      </c>
      <c r="K290" s="729" t="e">
        <v>#N/A</v>
      </c>
      <c r="L290" s="738" t="s">
        <v>3615</v>
      </c>
      <c r="M290" s="738" t="str">
        <f t="shared" si="20"/>
        <v>Paper Clip No 1  Paper Clip No 3</v>
      </c>
      <c r="N290" s="739">
        <v>5</v>
      </c>
      <c r="O290" s="733" t="s">
        <v>3575</v>
      </c>
      <c r="P290" s="734">
        <v>6000</v>
      </c>
      <c r="Q290" s="734">
        <v>30000</v>
      </c>
      <c r="R290" s="735"/>
      <c r="S290" s="759">
        <v>3</v>
      </c>
      <c r="V290" s="61" t="e">
        <f>VLOOKUP(T290,Sheet3!$C$3:$F$16,2,)</f>
        <v>#N/A</v>
      </c>
      <c r="W290" s="61" t="e">
        <f>VLOOKUP(T290,Sheet3!$C$3:$F$16,4,)</f>
        <v>#N/A</v>
      </c>
      <c r="X290" s="61" t="e">
        <f>VLOOKUP(T290,Sheet3!$C$3:$F$16,3,)</f>
        <v>#N/A</v>
      </c>
    </row>
    <row r="291" spans="1:24" ht="26">
      <c r="A291" s="61" t="str">
        <f t="shared" si="21"/>
        <v>Isi Staples Sedang3</v>
      </c>
      <c r="B291" s="745">
        <v>83</v>
      </c>
      <c r="C291" s="737" t="s">
        <v>3558</v>
      </c>
      <c r="D291" s="744" t="s">
        <v>3559</v>
      </c>
      <c r="E291" s="779">
        <f t="shared" si="19"/>
        <v>45717</v>
      </c>
      <c r="F291" s="730" t="s">
        <v>3753</v>
      </c>
      <c r="G291" s="731">
        <v>97</v>
      </c>
      <c r="H291" s="730" t="s">
        <v>3753</v>
      </c>
      <c r="I291" s="729">
        <f t="shared" si="22"/>
        <v>97</v>
      </c>
      <c r="J291" s="730" t="s">
        <v>3816</v>
      </c>
      <c r="K291" s="729" t="e">
        <v>#N/A</v>
      </c>
      <c r="L291" s="738" t="s">
        <v>3617</v>
      </c>
      <c r="M291" s="738" t="str">
        <f t="shared" si="20"/>
        <v>Isi Staples Sedang</v>
      </c>
      <c r="N291" s="739">
        <v>2</v>
      </c>
      <c r="O291" s="733" t="s">
        <v>3575</v>
      </c>
      <c r="P291" s="734">
        <v>40000</v>
      </c>
      <c r="Q291" s="734">
        <v>80000</v>
      </c>
      <c r="R291" s="735"/>
      <c r="S291" s="759">
        <v>3</v>
      </c>
      <c r="V291" s="61" t="e">
        <f>VLOOKUP(T291,Sheet3!$C$3:$F$16,2,)</f>
        <v>#N/A</v>
      </c>
      <c r="W291" s="61" t="e">
        <f>VLOOKUP(T291,Sheet3!$C$3:$F$16,4,)</f>
        <v>#N/A</v>
      </c>
      <c r="X291" s="61" t="e">
        <f>VLOOKUP(T291,Sheet3!$C$3:$F$16,3,)</f>
        <v>#N/A</v>
      </c>
    </row>
    <row r="292" spans="1:24" ht="26">
      <c r="A292" s="61" t="str">
        <f t="shared" si="21"/>
        <v>Isi Staples besar3</v>
      </c>
      <c r="B292" s="745">
        <v>84</v>
      </c>
      <c r="C292" s="737" t="s">
        <v>3558</v>
      </c>
      <c r="D292" s="744" t="s">
        <v>3559</v>
      </c>
      <c r="E292" s="779">
        <f t="shared" si="19"/>
        <v>45717</v>
      </c>
      <c r="F292" s="730" t="s">
        <v>3753</v>
      </c>
      <c r="G292" s="731">
        <v>97</v>
      </c>
      <c r="H292" s="730" t="s">
        <v>3753</v>
      </c>
      <c r="I292" s="729">
        <f t="shared" si="22"/>
        <v>97</v>
      </c>
      <c r="J292" s="730" t="s">
        <v>3816</v>
      </c>
      <c r="K292" s="729" t="e">
        <v>#N/A</v>
      </c>
      <c r="L292" s="738" t="s">
        <v>3618</v>
      </c>
      <c r="M292" s="738" t="str">
        <f t="shared" si="20"/>
        <v>Isi Staples besar</v>
      </c>
      <c r="N292" s="739">
        <v>2</v>
      </c>
      <c r="O292" s="733" t="s">
        <v>3575</v>
      </c>
      <c r="P292" s="734">
        <v>80000</v>
      </c>
      <c r="Q292" s="734">
        <v>160000</v>
      </c>
      <c r="R292" s="735"/>
      <c r="S292" s="759">
        <v>3</v>
      </c>
      <c r="V292" s="61" t="e">
        <f>VLOOKUP(T292,Sheet3!$C$3:$F$16,2,)</f>
        <v>#N/A</v>
      </c>
      <c r="W292" s="61" t="e">
        <f>VLOOKUP(T292,Sheet3!$C$3:$F$16,4,)</f>
        <v>#N/A</v>
      </c>
      <c r="X292" s="61" t="e">
        <f>VLOOKUP(T292,Sheet3!$C$3:$F$16,3,)</f>
        <v>#N/A</v>
      </c>
    </row>
    <row r="293" spans="1:24" ht="26">
      <c r="A293" s="61" t="str">
        <f t="shared" si="21"/>
        <v>gunting kertas-ukuran : panjang 21cm x lebar 8cm, stainless steel3</v>
      </c>
      <c r="B293" s="745">
        <v>85</v>
      </c>
      <c r="C293" s="737" t="s">
        <v>3558</v>
      </c>
      <c r="D293" s="744" t="s">
        <v>3559</v>
      </c>
      <c r="E293" s="779">
        <f t="shared" ref="E293:E329" si="23">F293-2</f>
        <v>45717</v>
      </c>
      <c r="F293" s="730" t="s">
        <v>3753</v>
      </c>
      <c r="G293" s="731">
        <v>97</v>
      </c>
      <c r="H293" s="730" t="s">
        <v>3753</v>
      </c>
      <c r="I293" s="729">
        <f t="shared" si="22"/>
        <v>97</v>
      </c>
      <c r="J293" s="730" t="s">
        <v>3816</v>
      </c>
      <c r="K293" s="729" t="e">
        <v>#N/A</v>
      </c>
      <c r="L293" s="738" t="s">
        <v>3619</v>
      </c>
      <c r="M293" s="738" t="str">
        <f t="shared" si="20"/>
        <v>gunting kertas-ukuran : panjang 21cm x lebar 8cm, stainless steel</v>
      </c>
      <c r="N293" s="739">
        <v>2</v>
      </c>
      <c r="O293" s="733" t="s">
        <v>3557</v>
      </c>
      <c r="P293" s="734">
        <v>20000</v>
      </c>
      <c r="Q293" s="734">
        <v>40000</v>
      </c>
      <c r="R293" s="735"/>
      <c r="S293" s="759">
        <v>3</v>
      </c>
      <c r="V293" s="61" t="e">
        <f>VLOOKUP(T293,Sheet3!$C$3:$F$16,2,)</f>
        <v>#N/A</v>
      </c>
      <c r="W293" s="61" t="e">
        <f>VLOOKUP(T293,Sheet3!$C$3:$F$16,4,)</f>
        <v>#N/A</v>
      </c>
      <c r="X293" s="61" t="e">
        <f>VLOOKUP(T293,Sheet3!$C$3:$F$16,3,)</f>
        <v>#N/A</v>
      </c>
    </row>
    <row r="294" spans="1:24" ht="26">
      <c r="A294" s="61" t="str">
        <f t="shared" si="21"/>
        <v>Pisau Cutter Kenko L-5003</v>
      </c>
      <c r="B294" s="745">
        <v>86</v>
      </c>
      <c r="C294" s="737" t="s">
        <v>3558</v>
      </c>
      <c r="D294" s="744" t="s">
        <v>3559</v>
      </c>
      <c r="E294" s="779">
        <f t="shared" si="23"/>
        <v>45717</v>
      </c>
      <c r="F294" s="730" t="s">
        <v>3753</v>
      </c>
      <c r="G294" s="731">
        <v>97</v>
      </c>
      <c r="H294" s="730" t="s">
        <v>3753</v>
      </c>
      <c r="I294" s="729">
        <f t="shared" si="22"/>
        <v>97</v>
      </c>
      <c r="J294" s="730" t="s">
        <v>3816</v>
      </c>
      <c r="K294" s="729" t="e">
        <v>#N/A</v>
      </c>
      <c r="L294" s="738" t="s">
        <v>3620</v>
      </c>
      <c r="M294" s="738" t="str">
        <f t="shared" si="20"/>
        <v>Pisau Cutter Kenko L-500</v>
      </c>
      <c r="N294" s="739">
        <v>2</v>
      </c>
      <c r="O294" s="733" t="s">
        <v>3557</v>
      </c>
      <c r="P294" s="734">
        <v>15000</v>
      </c>
      <c r="Q294" s="734">
        <v>30000</v>
      </c>
      <c r="R294" s="735"/>
      <c r="S294" s="759">
        <v>3</v>
      </c>
      <c r="V294" s="61" t="e">
        <f>VLOOKUP(T294,Sheet3!$C$3:$F$16,2,)</f>
        <v>#N/A</v>
      </c>
      <c r="W294" s="61" t="e">
        <f>VLOOKUP(T294,Sheet3!$C$3:$F$16,4,)</f>
        <v>#N/A</v>
      </c>
      <c r="X294" s="61" t="e">
        <f>VLOOKUP(T294,Sheet3!$C$3:$F$16,3,)</f>
        <v>#N/A</v>
      </c>
    </row>
    <row r="295" spans="1:24" ht="26">
      <c r="A295" s="61" t="str">
        <f t="shared" si="21"/>
        <v>Baterey Kecil3</v>
      </c>
      <c r="B295" s="745">
        <v>87</v>
      </c>
      <c r="C295" s="737" t="s">
        <v>3558</v>
      </c>
      <c r="D295" s="744" t="s">
        <v>3559</v>
      </c>
      <c r="E295" s="779">
        <f t="shared" si="23"/>
        <v>45717</v>
      </c>
      <c r="F295" s="730" t="s">
        <v>3753</v>
      </c>
      <c r="G295" s="731">
        <v>97</v>
      </c>
      <c r="H295" s="730" t="s">
        <v>3753</v>
      </c>
      <c r="I295" s="729">
        <f t="shared" si="22"/>
        <v>97</v>
      </c>
      <c r="J295" s="730" t="s">
        <v>3816</v>
      </c>
      <c r="K295" s="729" t="e">
        <v>#N/A</v>
      </c>
      <c r="L295" s="738" t="s">
        <v>3623</v>
      </c>
      <c r="M295" s="738" t="str">
        <f t="shared" si="20"/>
        <v>Baterey Kecil</v>
      </c>
      <c r="N295" s="739">
        <v>5</v>
      </c>
      <c r="O295" s="733" t="s">
        <v>3624</v>
      </c>
      <c r="P295" s="734">
        <v>20000</v>
      </c>
      <c r="Q295" s="734">
        <v>100000</v>
      </c>
      <c r="R295" s="735"/>
      <c r="S295" s="759">
        <v>3</v>
      </c>
      <c r="V295" s="61" t="e">
        <f>VLOOKUP(T295,Sheet3!$C$3:$F$16,2,)</f>
        <v>#N/A</v>
      </c>
      <c r="W295" s="61" t="e">
        <f>VLOOKUP(T295,Sheet3!$C$3:$F$16,4,)</f>
        <v>#N/A</v>
      </c>
      <c r="X295" s="61" t="e">
        <f>VLOOKUP(T295,Sheet3!$C$3:$F$16,3,)</f>
        <v>#N/A</v>
      </c>
    </row>
    <row r="296" spans="1:24" ht="26">
      <c r="A296" s="61" t="str">
        <f t="shared" si="21"/>
        <v>Baterey Tanggung3</v>
      </c>
      <c r="B296" s="745">
        <v>88</v>
      </c>
      <c r="C296" s="737" t="s">
        <v>3558</v>
      </c>
      <c r="D296" s="744" t="s">
        <v>3559</v>
      </c>
      <c r="E296" s="779">
        <f t="shared" si="23"/>
        <v>45717</v>
      </c>
      <c r="F296" s="730" t="s">
        <v>3753</v>
      </c>
      <c r="G296" s="731">
        <v>97</v>
      </c>
      <c r="H296" s="730" t="s">
        <v>3753</v>
      </c>
      <c r="I296" s="729">
        <f t="shared" si="22"/>
        <v>97</v>
      </c>
      <c r="J296" s="730" t="s">
        <v>3816</v>
      </c>
      <c r="K296" s="729" t="e">
        <v>#N/A</v>
      </c>
      <c r="L296" s="738" t="s">
        <v>3625</v>
      </c>
      <c r="M296" s="738" t="str">
        <f t="shared" si="20"/>
        <v>Baterey Tanggung</v>
      </c>
      <c r="N296" s="739">
        <v>5</v>
      </c>
      <c r="O296" s="733" t="s">
        <v>3624</v>
      </c>
      <c r="P296" s="734">
        <v>30000</v>
      </c>
      <c r="Q296" s="734">
        <v>150000</v>
      </c>
      <c r="R296" s="735"/>
      <c r="S296" s="759">
        <v>3</v>
      </c>
      <c r="V296" s="61" t="e">
        <f>VLOOKUP(T296,Sheet3!$C$3:$F$16,2,)</f>
        <v>#N/A</v>
      </c>
      <c r="W296" s="61" t="e">
        <f>VLOOKUP(T296,Sheet3!$C$3:$F$16,4,)</f>
        <v>#N/A</v>
      </c>
      <c r="X296" s="61" t="e">
        <f>VLOOKUP(T296,Sheet3!$C$3:$F$16,3,)</f>
        <v>#N/A</v>
      </c>
    </row>
    <row r="297" spans="1:24" ht="26">
      <c r="A297" s="61" t="str">
        <f t="shared" si="21"/>
        <v>USB FLASH DISK USB/Flash Disk 4GB3</v>
      </c>
      <c r="B297" s="745">
        <v>89</v>
      </c>
      <c r="C297" s="737" t="s">
        <v>3558</v>
      </c>
      <c r="D297" s="744" t="s">
        <v>3559</v>
      </c>
      <c r="E297" s="779">
        <f t="shared" si="23"/>
        <v>45717</v>
      </c>
      <c r="F297" s="730" t="s">
        <v>3753</v>
      </c>
      <c r="G297" s="731">
        <v>97</v>
      </c>
      <c r="H297" s="730" t="s">
        <v>3753</v>
      </c>
      <c r="I297" s="729">
        <f t="shared" si="22"/>
        <v>97</v>
      </c>
      <c r="J297" s="730" t="s">
        <v>3816</v>
      </c>
      <c r="K297" s="729" t="e">
        <v>#N/A</v>
      </c>
      <c r="L297" s="738" t="s">
        <v>3628</v>
      </c>
      <c r="M297" s="738" t="str">
        <f t="shared" si="20"/>
        <v>USB FLASH DISK USB/Flash Disk 4GB</v>
      </c>
      <c r="N297" s="739">
        <v>1</v>
      </c>
      <c r="O297" s="733" t="s">
        <v>3557</v>
      </c>
      <c r="P297" s="734">
        <v>80000</v>
      </c>
      <c r="Q297" s="734">
        <v>80000</v>
      </c>
      <c r="R297" s="735"/>
      <c r="S297" s="759">
        <v>3</v>
      </c>
      <c r="V297" s="61" t="e">
        <f>VLOOKUP(T297,Sheet3!$C$3:$F$16,2,)</f>
        <v>#N/A</v>
      </c>
      <c r="W297" s="61" t="e">
        <f>VLOOKUP(T297,Sheet3!$C$3:$F$16,4,)</f>
        <v>#N/A</v>
      </c>
      <c r="X297" s="61" t="e">
        <f>VLOOKUP(T297,Sheet3!$C$3:$F$16,3,)</f>
        <v>#N/A</v>
      </c>
    </row>
    <row r="298" spans="1:24" ht="26">
      <c r="A298" s="61" t="str">
        <f t="shared" si="21"/>
        <v>Tinta Stempel3</v>
      </c>
      <c r="B298" s="745">
        <v>90</v>
      </c>
      <c r="C298" s="737" t="s">
        <v>3558</v>
      </c>
      <c r="D298" s="744" t="s">
        <v>3559</v>
      </c>
      <c r="E298" s="779">
        <f t="shared" si="23"/>
        <v>45717</v>
      </c>
      <c r="F298" s="730" t="s">
        <v>3753</v>
      </c>
      <c r="G298" s="731">
        <v>97</v>
      </c>
      <c r="H298" s="730" t="s">
        <v>3753</v>
      </c>
      <c r="I298" s="729">
        <f t="shared" si="22"/>
        <v>97</v>
      </c>
      <c r="J298" s="730" t="s">
        <v>3816</v>
      </c>
      <c r="K298" s="729" t="e">
        <v>#N/A</v>
      </c>
      <c r="L298" s="738" t="s">
        <v>3631</v>
      </c>
      <c r="M298" s="738" t="str">
        <f t="shared" si="20"/>
        <v>Tinta Stempel</v>
      </c>
      <c r="N298" s="739">
        <v>5</v>
      </c>
      <c r="O298" s="733" t="s">
        <v>3595</v>
      </c>
      <c r="P298" s="734">
        <v>20000</v>
      </c>
      <c r="Q298" s="734">
        <v>100000</v>
      </c>
      <c r="R298" s="735"/>
      <c r="S298" s="759">
        <v>3</v>
      </c>
      <c r="V298" s="61" t="e">
        <f>VLOOKUP(T298,Sheet3!$C$3:$F$16,2,)</f>
        <v>#N/A</v>
      </c>
      <c r="W298" s="61" t="e">
        <f>VLOOKUP(T298,Sheet3!$C$3:$F$16,4,)</f>
        <v>#N/A</v>
      </c>
      <c r="X298" s="61" t="e">
        <f>VLOOKUP(T298,Sheet3!$C$3:$F$16,3,)</f>
        <v>#N/A</v>
      </c>
    </row>
    <row r="299" spans="1:24" ht="26">
      <c r="A299" s="61" t="str">
        <f t="shared" si="21"/>
        <v>Materai 10.0003</v>
      </c>
      <c r="B299" s="745">
        <v>91</v>
      </c>
      <c r="C299" s="737" t="s">
        <v>3558</v>
      </c>
      <c r="D299" s="744" t="s">
        <v>3559</v>
      </c>
      <c r="E299" s="779">
        <f t="shared" si="23"/>
        <v>45717</v>
      </c>
      <c r="F299" s="730" t="s">
        <v>3753</v>
      </c>
      <c r="G299" s="731">
        <v>97</v>
      </c>
      <c r="H299" s="730" t="s">
        <v>3753</v>
      </c>
      <c r="I299" s="729">
        <f t="shared" si="22"/>
        <v>97</v>
      </c>
      <c r="J299" s="730" t="s">
        <v>3816</v>
      </c>
      <c r="K299" s="729" t="e">
        <v>#N/A</v>
      </c>
      <c r="L299" s="738" t="s">
        <v>3632</v>
      </c>
      <c r="M299" s="738" t="str">
        <f t="shared" si="20"/>
        <v>Materai 10.000</v>
      </c>
      <c r="N299" s="739">
        <v>100</v>
      </c>
      <c r="O299" s="733" t="s">
        <v>3557</v>
      </c>
      <c r="P299" s="734">
        <v>12000</v>
      </c>
      <c r="Q299" s="734">
        <v>1200000</v>
      </c>
      <c r="R299" s="735"/>
      <c r="S299" s="759">
        <v>3</v>
      </c>
      <c r="V299" s="61" t="e">
        <f>VLOOKUP(T299,Sheet3!$C$3:$F$16,2,)</f>
        <v>#N/A</v>
      </c>
      <c r="W299" s="61" t="e">
        <f>VLOOKUP(T299,Sheet3!$C$3:$F$16,4,)</f>
        <v>#N/A</v>
      </c>
      <c r="X299" s="61" t="e">
        <f>VLOOKUP(T299,Sheet3!$C$3:$F$16,3,)</f>
        <v>#N/A</v>
      </c>
    </row>
    <row r="300" spans="1:24" ht="26">
      <c r="A300" s="61" t="str">
        <f t="shared" si="21"/>
        <v>Foto Copy Filio dan Kuarto3</v>
      </c>
      <c r="B300" s="745">
        <v>92</v>
      </c>
      <c r="C300" s="737" t="s">
        <v>3633</v>
      </c>
      <c r="D300" s="744" t="s">
        <v>3559</v>
      </c>
      <c r="E300" s="779">
        <f t="shared" si="23"/>
        <v>45717</v>
      </c>
      <c r="F300" s="730" t="s">
        <v>3753</v>
      </c>
      <c r="G300" s="731">
        <v>98</v>
      </c>
      <c r="H300" s="730" t="s">
        <v>3753</v>
      </c>
      <c r="I300" s="729">
        <f t="shared" si="22"/>
        <v>98</v>
      </c>
      <c r="J300" s="730" t="s">
        <v>3816</v>
      </c>
      <c r="K300" s="729" t="e">
        <v>#N/A</v>
      </c>
      <c r="L300" s="738" t="s">
        <v>3634</v>
      </c>
      <c r="M300" s="738" t="str">
        <f t="shared" si="20"/>
        <v>Foto Copy Filio dan Kuarto</v>
      </c>
      <c r="N300" s="739">
        <v>4500</v>
      </c>
      <c r="O300" s="733" t="s">
        <v>3570</v>
      </c>
      <c r="P300" s="741">
        <v>350</v>
      </c>
      <c r="Q300" s="734">
        <v>1575000</v>
      </c>
      <c r="R300" s="735"/>
      <c r="S300" s="759">
        <v>3</v>
      </c>
      <c r="V300" s="61" t="e">
        <f>VLOOKUP(T300,Sheet3!$C$3:$F$16,2,)</f>
        <v>#N/A</v>
      </c>
      <c r="W300" s="61" t="e">
        <f>VLOOKUP(T300,Sheet3!$C$3:$F$16,4,)</f>
        <v>#N/A</v>
      </c>
      <c r="X300" s="61" t="e">
        <f>VLOOKUP(T300,Sheet3!$C$3:$F$16,3,)</f>
        <v>#N/A</v>
      </c>
    </row>
    <row r="301" spans="1:24" ht="26">
      <c r="A301" s="61" t="str">
        <f t="shared" si="21"/>
        <v>Tisu--3</v>
      </c>
      <c r="B301" s="745">
        <v>94</v>
      </c>
      <c r="C301" s="737" t="s">
        <v>3637</v>
      </c>
      <c r="D301" s="744" t="s">
        <v>3635</v>
      </c>
      <c r="E301" s="779">
        <f t="shared" si="23"/>
        <v>45717</v>
      </c>
      <c r="F301" s="730" t="s">
        <v>3753</v>
      </c>
      <c r="G301" s="731">
        <v>99</v>
      </c>
      <c r="H301" s="730" t="s">
        <v>3753</v>
      </c>
      <c r="I301" s="729">
        <f t="shared" si="22"/>
        <v>99</v>
      </c>
      <c r="J301" s="730" t="s">
        <v>3816</v>
      </c>
      <c r="K301" s="729" t="e">
        <v>#N/A</v>
      </c>
      <c r="L301" s="738" t="s">
        <v>3649</v>
      </c>
      <c r="M301" s="738" t="str">
        <f t="shared" si="20"/>
        <v>Tisu--</v>
      </c>
      <c r="N301" s="739">
        <v>12</v>
      </c>
      <c r="O301" s="733" t="s">
        <v>3557</v>
      </c>
      <c r="P301" s="734">
        <v>12500</v>
      </c>
      <c r="Q301" s="734">
        <v>150000</v>
      </c>
      <c r="R301" s="735"/>
      <c r="S301" s="759">
        <v>3</v>
      </c>
      <c r="V301" s="61" t="e">
        <f>VLOOKUP(T301,Sheet3!$C$3:$F$16,2,)</f>
        <v>#N/A</v>
      </c>
      <c r="W301" s="61" t="e">
        <f>VLOOKUP(T301,Sheet3!$C$3:$F$16,4,)</f>
        <v>#N/A</v>
      </c>
      <c r="X301" s="61" t="e">
        <f>VLOOKUP(T301,Sheet3!$C$3:$F$16,3,)</f>
        <v>#N/A</v>
      </c>
    </row>
    <row r="302" spans="1:24" ht="26">
      <c r="A302" s="61" t="str">
        <f t="shared" si="21"/>
        <v>vixal 500ml3</v>
      </c>
      <c r="B302" s="745">
        <v>95</v>
      </c>
      <c r="C302" s="737" t="s">
        <v>3637</v>
      </c>
      <c r="D302" s="744" t="s">
        <v>3635</v>
      </c>
      <c r="E302" s="779">
        <f t="shared" si="23"/>
        <v>45717</v>
      </c>
      <c r="F302" s="730" t="s">
        <v>3753</v>
      </c>
      <c r="G302" s="731">
        <v>99</v>
      </c>
      <c r="H302" s="730" t="s">
        <v>3753</v>
      </c>
      <c r="I302" s="729">
        <f t="shared" si="22"/>
        <v>99</v>
      </c>
      <c r="J302" s="730" t="s">
        <v>3816</v>
      </c>
      <c r="K302" s="729" t="e">
        <v>#N/A</v>
      </c>
      <c r="L302" s="738" t="s">
        <v>3650</v>
      </c>
      <c r="M302" s="738" t="str">
        <f t="shared" si="20"/>
        <v>vixal 500ml</v>
      </c>
      <c r="N302" s="739">
        <v>10</v>
      </c>
      <c r="O302" s="733" t="s">
        <v>3595</v>
      </c>
      <c r="P302" s="734">
        <v>30000</v>
      </c>
      <c r="Q302" s="734">
        <v>300000</v>
      </c>
      <c r="R302" s="735"/>
      <c r="S302" s="759">
        <v>3</v>
      </c>
      <c r="V302" s="61" t="e">
        <f>VLOOKUP(T302,Sheet3!$C$3:$F$16,2,)</f>
        <v>#N/A</v>
      </c>
      <c r="W302" s="61" t="e">
        <f>VLOOKUP(T302,Sheet3!$C$3:$F$16,4,)</f>
        <v>#N/A</v>
      </c>
      <c r="X302" s="61" t="e">
        <f>VLOOKUP(T302,Sheet3!$C$3:$F$16,3,)</f>
        <v>#N/A</v>
      </c>
    </row>
    <row r="303" spans="1:24" ht="26">
      <c r="A303" s="61" t="str">
        <f t="shared" si="21"/>
        <v>Perlengkapan Kebersihan Pembersih Lantai Super Pel Varian 800ml3</v>
      </c>
      <c r="B303" s="745">
        <v>96</v>
      </c>
      <c r="C303" s="737" t="s">
        <v>3637</v>
      </c>
      <c r="D303" s="744" t="s">
        <v>3635</v>
      </c>
      <c r="E303" s="779">
        <f t="shared" si="23"/>
        <v>45717</v>
      </c>
      <c r="F303" s="730" t="s">
        <v>3753</v>
      </c>
      <c r="G303" s="731">
        <v>99</v>
      </c>
      <c r="H303" s="730" t="s">
        <v>3753</v>
      </c>
      <c r="I303" s="729">
        <f t="shared" si="22"/>
        <v>99</v>
      </c>
      <c r="J303" s="730" t="s">
        <v>3816</v>
      </c>
      <c r="K303" s="729" t="e">
        <v>#N/A</v>
      </c>
      <c r="L303" s="738" t="s">
        <v>3651</v>
      </c>
      <c r="M303" s="738" t="s">
        <v>3853</v>
      </c>
      <c r="N303" s="739">
        <v>15</v>
      </c>
      <c r="O303" s="733" t="s">
        <v>3557</v>
      </c>
      <c r="P303" s="734">
        <v>13500</v>
      </c>
      <c r="Q303" s="734">
        <v>202500</v>
      </c>
      <c r="R303" s="735"/>
      <c r="S303" s="759">
        <v>3</v>
      </c>
      <c r="V303" s="61" t="e">
        <f>VLOOKUP(T303,Sheet3!$C$3:$F$16,2,)</f>
        <v>#N/A</v>
      </c>
      <c r="W303" s="61" t="e">
        <f>VLOOKUP(T303,Sheet3!$C$3:$F$16,4,)</f>
        <v>#N/A</v>
      </c>
      <c r="X303" s="61" t="e">
        <f>VLOOKUP(T303,Sheet3!$C$3:$F$16,3,)</f>
        <v>#N/A</v>
      </c>
    </row>
    <row r="304" spans="1:24" ht="26">
      <c r="A304" s="61" t="str">
        <f t="shared" si="21"/>
        <v>Cairan Pembersih Kaca3</v>
      </c>
      <c r="B304" s="745">
        <v>97</v>
      </c>
      <c r="C304" s="737" t="s">
        <v>3637</v>
      </c>
      <c r="D304" s="744" t="s">
        <v>3635</v>
      </c>
      <c r="E304" s="779">
        <f t="shared" si="23"/>
        <v>45717</v>
      </c>
      <c r="F304" s="730" t="s">
        <v>3753</v>
      </c>
      <c r="G304" s="731">
        <v>99</v>
      </c>
      <c r="H304" s="730" t="s">
        <v>3753</v>
      </c>
      <c r="I304" s="729">
        <f t="shared" si="22"/>
        <v>99</v>
      </c>
      <c r="J304" s="730" t="s">
        <v>3816</v>
      </c>
      <c r="K304" s="729" t="e">
        <v>#N/A</v>
      </c>
      <c r="L304" s="738" t="s">
        <v>3652</v>
      </c>
      <c r="M304" s="738" t="s">
        <v>3841</v>
      </c>
      <c r="N304" s="739">
        <v>5</v>
      </c>
      <c r="O304" s="733" t="s">
        <v>3557</v>
      </c>
      <c r="P304" s="734">
        <v>12000</v>
      </c>
      <c r="Q304" s="734">
        <v>60000</v>
      </c>
      <c r="R304" s="735"/>
      <c r="S304" s="759">
        <v>3</v>
      </c>
      <c r="V304" s="61" t="e">
        <f>VLOOKUP(T304,Sheet3!$C$3:$F$16,2,)</f>
        <v>#N/A</v>
      </c>
      <c r="W304" s="61" t="e">
        <f>VLOOKUP(T304,Sheet3!$C$3:$F$16,4,)</f>
        <v>#N/A</v>
      </c>
      <c r="X304" s="61" t="e">
        <f>VLOOKUP(T304,Sheet3!$C$3:$F$16,3,)</f>
        <v>#N/A</v>
      </c>
    </row>
    <row r="305" spans="1:24" ht="26">
      <c r="A305" s="61" t="str">
        <f t="shared" si="21"/>
        <v>Perlengkapan Kebersihan Pembersih Pakaian Sunlight Refil 800ml3</v>
      </c>
      <c r="B305" s="745">
        <v>98</v>
      </c>
      <c r="C305" s="737" t="s">
        <v>3637</v>
      </c>
      <c r="D305" s="744" t="s">
        <v>3635</v>
      </c>
      <c r="E305" s="779">
        <f t="shared" si="23"/>
        <v>45717</v>
      </c>
      <c r="F305" s="730" t="s">
        <v>3753</v>
      </c>
      <c r="G305" s="731">
        <v>99</v>
      </c>
      <c r="H305" s="730" t="s">
        <v>3753</v>
      </c>
      <c r="I305" s="729">
        <f t="shared" si="22"/>
        <v>99</v>
      </c>
      <c r="J305" s="730" t="s">
        <v>3816</v>
      </c>
      <c r="K305" s="729" t="e">
        <v>#N/A</v>
      </c>
      <c r="L305" s="738" t="s">
        <v>3653</v>
      </c>
      <c r="M305" s="738" t="s">
        <v>3842</v>
      </c>
      <c r="N305" s="739">
        <v>3</v>
      </c>
      <c r="O305" s="733" t="s">
        <v>3557</v>
      </c>
      <c r="P305" s="734">
        <v>15000</v>
      </c>
      <c r="Q305" s="734">
        <v>45000</v>
      </c>
      <c r="R305" s="735"/>
      <c r="S305" s="759">
        <v>3</v>
      </c>
      <c r="V305" s="61" t="e">
        <f>VLOOKUP(T305,Sheet3!$C$3:$F$16,2,)</f>
        <v>#N/A</v>
      </c>
      <c r="W305" s="61" t="e">
        <f>VLOOKUP(T305,Sheet3!$C$3:$F$16,4,)</f>
        <v>#N/A</v>
      </c>
      <c r="X305" s="61" t="e">
        <f>VLOOKUP(T305,Sheet3!$C$3:$F$16,3,)</f>
        <v>#N/A</v>
      </c>
    </row>
    <row r="306" spans="1:24" ht="26">
      <c r="A306" s="61" t="str">
        <f t="shared" si="21"/>
        <v>Spon Cuci3</v>
      </c>
      <c r="B306" s="745">
        <v>99</v>
      </c>
      <c r="C306" s="737" t="s">
        <v>3637</v>
      </c>
      <c r="D306" s="744" t="s">
        <v>3635</v>
      </c>
      <c r="E306" s="779">
        <f t="shared" si="23"/>
        <v>45717</v>
      </c>
      <c r="F306" s="730" t="s">
        <v>3753</v>
      </c>
      <c r="G306" s="731">
        <v>99</v>
      </c>
      <c r="H306" s="730" t="s">
        <v>3753</v>
      </c>
      <c r="I306" s="729">
        <f t="shared" si="22"/>
        <v>99</v>
      </c>
      <c r="J306" s="730" t="s">
        <v>3816</v>
      </c>
      <c r="K306" s="729" t="e">
        <v>#N/A</v>
      </c>
      <c r="L306" s="738" t="s">
        <v>3654</v>
      </c>
      <c r="M306" s="738" t="s">
        <v>3397</v>
      </c>
      <c r="N306" s="739">
        <v>5</v>
      </c>
      <c r="O306" s="733" t="s">
        <v>3557</v>
      </c>
      <c r="P306" s="734">
        <v>12000</v>
      </c>
      <c r="Q306" s="734">
        <v>60000</v>
      </c>
      <c r="R306" s="735"/>
      <c r="S306" s="759">
        <v>3</v>
      </c>
      <c r="V306" s="61" t="e">
        <f>VLOOKUP(T306,Sheet3!$C$3:$F$16,2,)</f>
        <v>#N/A</v>
      </c>
      <c r="W306" s="61" t="e">
        <f>VLOOKUP(T306,Sheet3!$C$3:$F$16,4,)</f>
        <v>#N/A</v>
      </c>
      <c r="X306" s="61" t="e">
        <f>VLOOKUP(T306,Sheet3!$C$3:$F$16,3,)</f>
        <v>#N/A</v>
      </c>
    </row>
    <row r="307" spans="1:24" ht="26">
      <c r="A307" s="61" t="str">
        <f t="shared" si="21"/>
        <v>Handsoap/Pencuci Tangan3</v>
      </c>
      <c r="B307" s="745">
        <v>100</v>
      </c>
      <c r="C307" s="737" t="s">
        <v>3637</v>
      </c>
      <c r="D307" s="744" t="s">
        <v>3635</v>
      </c>
      <c r="E307" s="779">
        <f t="shared" si="23"/>
        <v>45717</v>
      </c>
      <c r="F307" s="730" t="s">
        <v>3753</v>
      </c>
      <c r="G307" s="731">
        <v>99</v>
      </c>
      <c r="H307" s="730" t="s">
        <v>3753</v>
      </c>
      <c r="I307" s="729">
        <f t="shared" si="22"/>
        <v>99</v>
      </c>
      <c r="J307" s="730" t="s">
        <v>3816</v>
      </c>
      <c r="K307" s="729" t="e">
        <v>#N/A</v>
      </c>
      <c r="L307" s="738" t="s">
        <v>3655</v>
      </c>
      <c r="M307" s="738" t="s">
        <v>3843</v>
      </c>
      <c r="N307" s="739">
        <v>5</v>
      </c>
      <c r="O307" s="733" t="s">
        <v>3595</v>
      </c>
      <c r="P307" s="734">
        <v>67000</v>
      </c>
      <c r="Q307" s="734">
        <v>335000</v>
      </c>
      <c r="R307" s="735"/>
      <c r="S307" s="759">
        <v>3</v>
      </c>
      <c r="V307" s="61" t="e">
        <f>VLOOKUP(T307,Sheet3!$C$3:$F$16,2,)</f>
        <v>#N/A</v>
      </c>
      <c r="W307" s="61" t="e">
        <f>VLOOKUP(T307,Sheet3!$C$3:$F$16,4,)</f>
        <v>#N/A</v>
      </c>
      <c r="X307" s="61" t="e">
        <f>VLOOKUP(T307,Sheet3!$C$3:$F$16,3,)</f>
        <v>#N/A</v>
      </c>
    </row>
    <row r="308" spans="1:24" ht="26">
      <c r="A308" s="61" t="str">
        <f t="shared" si="21"/>
        <v>Pengharum Ruangan3</v>
      </c>
      <c r="B308" s="745">
        <v>101</v>
      </c>
      <c r="C308" s="737" t="s">
        <v>3637</v>
      </c>
      <c r="D308" s="744" t="s">
        <v>3635</v>
      </c>
      <c r="E308" s="779">
        <f t="shared" si="23"/>
        <v>45717</v>
      </c>
      <c r="F308" s="730" t="s">
        <v>3753</v>
      </c>
      <c r="G308" s="731">
        <v>99</v>
      </c>
      <c r="H308" s="730" t="s">
        <v>3753</v>
      </c>
      <c r="I308" s="729">
        <f t="shared" si="22"/>
        <v>99</v>
      </c>
      <c r="J308" s="730" t="s">
        <v>3816</v>
      </c>
      <c r="K308" s="729" t="e">
        <v>#N/A</v>
      </c>
      <c r="L308" s="738" t="s">
        <v>3656</v>
      </c>
      <c r="M308" s="738" t="s">
        <v>666</v>
      </c>
      <c r="N308" s="739">
        <v>10</v>
      </c>
      <c r="O308" s="733" t="s">
        <v>3557</v>
      </c>
      <c r="P308" s="734">
        <v>12100</v>
      </c>
      <c r="Q308" s="734">
        <v>121000</v>
      </c>
      <c r="R308" s="735"/>
      <c r="S308" s="759">
        <v>3</v>
      </c>
      <c r="V308" s="61" t="e">
        <f>VLOOKUP(T308,Sheet3!$C$3:$F$16,2,)</f>
        <v>#N/A</v>
      </c>
      <c r="W308" s="61" t="e">
        <f>VLOOKUP(T308,Sheet3!$C$3:$F$16,4,)</f>
        <v>#N/A</v>
      </c>
      <c r="X308" s="61" t="e">
        <f>VLOOKUP(T308,Sheet3!$C$3:$F$16,3,)</f>
        <v>#N/A</v>
      </c>
    </row>
    <row r="309" spans="1:24" ht="26">
      <c r="A309" s="61" t="str">
        <f t="shared" si="21"/>
        <v>Hand Sanitizer-Unit3</v>
      </c>
      <c r="B309" s="745">
        <v>102</v>
      </c>
      <c r="C309" s="737" t="s">
        <v>3637</v>
      </c>
      <c r="D309" s="744" t="s">
        <v>3635</v>
      </c>
      <c r="E309" s="779">
        <f t="shared" si="23"/>
        <v>45717</v>
      </c>
      <c r="F309" s="730" t="s">
        <v>3753</v>
      </c>
      <c r="G309" s="731">
        <v>99</v>
      </c>
      <c r="H309" s="730" t="s">
        <v>3753</v>
      </c>
      <c r="I309" s="729">
        <f t="shared" si="22"/>
        <v>99</v>
      </c>
      <c r="J309" s="730" t="s">
        <v>3816</v>
      </c>
      <c r="K309" s="729" t="e">
        <v>#N/A</v>
      </c>
      <c r="L309" s="738" t="s">
        <v>3657</v>
      </c>
      <c r="M309" s="738" t="s">
        <v>3844</v>
      </c>
      <c r="N309" s="739">
        <v>5</v>
      </c>
      <c r="O309" s="733" t="s">
        <v>3658</v>
      </c>
      <c r="P309" s="734">
        <v>70000</v>
      </c>
      <c r="Q309" s="734">
        <v>350000</v>
      </c>
      <c r="R309" s="735"/>
      <c r="S309" s="759">
        <v>3</v>
      </c>
      <c r="V309" s="61" t="e">
        <f>VLOOKUP(T309,Sheet3!$C$3:$F$16,2,)</f>
        <v>#N/A</v>
      </c>
      <c r="W309" s="61" t="e">
        <f>VLOOKUP(T309,Sheet3!$C$3:$F$16,4,)</f>
        <v>#N/A</v>
      </c>
      <c r="X309" s="61" t="e">
        <f>VLOOKUP(T309,Sheet3!$C$3:$F$16,3,)</f>
        <v>#N/A</v>
      </c>
    </row>
    <row r="310" spans="1:24" ht="26">
      <c r="A310" s="61" t="str">
        <f t="shared" si="21"/>
        <v>Biaya Rekening Listrik--3</v>
      </c>
      <c r="B310" s="745">
        <v>105</v>
      </c>
      <c r="C310" s="737" t="s">
        <v>3696</v>
      </c>
      <c r="D310" s="744" t="s">
        <v>3697</v>
      </c>
      <c r="E310" s="779">
        <f t="shared" si="23"/>
        <v>45734</v>
      </c>
      <c r="F310" s="730" t="s">
        <v>3775</v>
      </c>
      <c r="G310" s="731">
        <v>112</v>
      </c>
      <c r="H310" s="730" t="s">
        <v>3775</v>
      </c>
      <c r="I310" s="729">
        <f t="shared" si="22"/>
        <v>112</v>
      </c>
      <c r="J310" s="730" t="s">
        <v>3775</v>
      </c>
      <c r="K310" s="729" t="s">
        <v>3495</v>
      </c>
      <c r="L310" s="738" t="s">
        <v>3698</v>
      </c>
      <c r="M310" s="738" t="s">
        <v>3859</v>
      </c>
      <c r="N310" s="739">
        <v>1</v>
      </c>
      <c r="O310" s="733" t="s">
        <v>3699</v>
      </c>
      <c r="P310" s="734">
        <v>2000000</v>
      </c>
      <c r="Q310" s="734">
        <v>2000000</v>
      </c>
      <c r="R310" s="735"/>
      <c r="S310" s="759">
        <v>3</v>
      </c>
      <c r="V310" s="61" t="e">
        <f>VLOOKUP(T310,Sheet3!$C$3:$F$16,2,)</f>
        <v>#N/A</v>
      </c>
      <c r="W310" s="61" t="e">
        <f>VLOOKUP(T310,Sheet3!$C$3:$F$16,4,)</f>
        <v>#N/A</v>
      </c>
      <c r="X310" s="61" t="e">
        <f>VLOOKUP(T310,Sheet3!$C$3:$F$16,3,)</f>
        <v>#N/A</v>
      </c>
    </row>
    <row r="311" spans="1:24" ht="26">
      <c r="A311" s="61" t="str">
        <f t="shared" si="21"/>
        <v>Biaya Langganan Internet--3</v>
      </c>
      <c r="B311" s="745">
        <v>107</v>
      </c>
      <c r="C311" s="737" t="s">
        <v>3700</v>
      </c>
      <c r="D311" s="744" t="s">
        <v>3701</v>
      </c>
      <c r="E311" s="779">
        <f t="shared" si="23"/>
        <v>45734</v>
      </c>
      <c r="F311" s="730" t="s">
        <v>3775</v>
      </c>
      <c r="G311" s="731">
        <v>113</v>
      </c>
      <c r="H311" s="730" t="s">
        <v>3775</v>
      </c>
      <c r="I311" s="729">
        <f t="shared" si="22"/>
        <v>113</v>
      </c>
      <c r="J311" s="730" t="s">
        <v>3775</v>
      </c>
      <c r="K311" s="729" t="s">
        <v>3496</v>
      </c>
      <c r="L311" s="738" t="s">
        <v>3702</v>
      </c>
      <c r="M311" s="738" t="s">
        <v>3860</v>
      </c>
      <c r="N311" s="739">
        <v>1</v>
      </c>
      <c r="O311" s="733" t="s">
        <v>3699</v>
      </c>
      <c r="P311" s="734">
        <v>1500000</v>
      </c>
      <c r="Q311" s="734">
        <v>1500000</v>
      </c>
      <c r="R311" s="735"/>
      <c r="S311" s="759">
        <v>3</v>
      </c>
      <c r="V311" s="61" t="e">
        <f>VLOOKUP(T311,Sheet3!$C$3:$F$16,2,)</f>
        <v>#N/A</v>
      </c>
      <c r="W311" s="61" t="e">
        <f>VLOOKUP(T311,Sheet3!$C$3:$F$16,4,)</f>
        <v>#N/A</v>
      </c>
      <c r="X311" s="61" t="e">
        <f>VLOOKUP(T311,Sheet3!$C$3:$F$16,3,)</f>
        <v>#N/A</v>
      </c>
    </row>
    <row r="312" spans="1:24" ht="26">
      <c r="A312" s="61" t="str">
        <f t="shared" si="21"/>
        <v>Selatieli Nehe3</v>
      </c>
      <c r="B312" s="745">
        <v>111</v>
      </c>
      <c r="C312" s="737" t="s">
        <v>3715</v>
      </c>
      <c r="D312" s="744" t="s">
        <v>3719</v>
      </c>
      <c r="E312" s="779">
        <f t="shared" si="23"/>
        <v>45735</v>
      </c>
      <c r="F312" s="730" t="s">
        <v>3778</v>
      </c>
      <c r="G312" s="731">
        <v>115</v>
      </c>
      <c r="H312" s="730" t="s">
        <v>3778</v>
      </c>
      <c r="I312" s="729">
        <f t="shared" si="22"/>
        <v>115</v>
      </c>
      <c r="J312" s="730" t="s">
        <v>3778</v>
      </c>
      <c r="K312" s="729" t="s">
        <v>3482</v>
      </c>
      <c r="L312" s="744" t="s">
        <v>3717</v>
      </c>
      <c r="M312" s="744" t="s">
        <v>3846</v>
      </c>
      <c r="N312" s="732">
        <v>41</v>
      </c>
      <c r="O312" s="733" t="s">
        <v>3718</v>
      </c>
      <c r="P312" s="734">
        <v>60000</v>
      </c>
      <c r="Q312" s="734">
        <v>2460000</v>
      </c>
      <c r="R312" s="735"/>
      <c r="S312" s="759">
        <v>3</v>
      </c>
      <c r="V312" s="61" t="e">
        <f>VLOOKUP(T312,Sheet3!$C$3:$F$16,2,)</f>
        <v>#N/A</v>
      </c>
      <c r="W312" s="61" t="e">
        <f>VLOOKUP(T312,Sheet3!$C$3:$F$16,4,)</f>
        <v>#N/A</v>
      </c>
      <c r="X312" s="61" t="e">
        <f>VLOOKUP(T312,Sheet3!$C$3:$F$16,3,)</f>
        <v>#N/A</v>
      </c>
    </row>
    <row r="313" spans="1:24" ht="26">
      <c r="A313" s="61" t="str">
        <f t="shared" si="21"/>
        <v>Arifin Metodi Bate'e3</v>
      </c>
      <c r="B313" s="745">
        <v>112</v>
      </c>
      <c r="C313" s="737" t="s">
        <v>3715</v>
      </c>
      <c r="D313" s="744" t="s">
        <v>3719</v>
      </c>
      <c r="E313" s="779">
        <f t="shared" si="23"/>
        <v>45735</v>
      </c>
      <c r="F313" s="730" t="s">
        <v>3778</v>
      </c>
      <c r="G313" s="731">
        <v>116</v>
      </c>
      <c r="H313" s="730" t="s">
        <v>3778</v>
      </c>
      <c r="I313" s="729">
        <f t="shared" si="22"/>
        <v>116</v>
      </c>
      <c r="J313" s="730" t="s">
        <v>3778</v>
      </c>
      <c r="K313" s="729" t="s">
        <v>3483</v>
      </c>
      <c r="L313" s="744" t="s">
        <v>3720</v>
      </c>
      <c r="M313" s="744" t="s">
        <v>3846</v>
      </c>
      <c r="N313" s="732">
        <v>34</v>
      </c>
      <c r="O313" s="733" t="s">
        <v>3718</v>
      </c>
      <c r="P313" s="734">
        <v>60000</v>
      </c>
      <c r="Q313" s="734">
        <v>2040000</v>
      </c>
      <c r="R313" s="735"/>
      <c r="S313" s="759">
        <v>3</v>
      </c>
      <c r="V313" s="61" t="e">
        <f>VLOOKUP(T313,Sheet3!$C$3:$F$16,2,)</f>
        <v>#N/A</v>
      </c>
      <c r="W313" s="61" t="e">
        <f>VLOOKUP(T313,Sheet3!$C$3:$F$16,4,)</f>
        <v>#N/A</v>
      </c>
      <c r="X313" s="61" t="e">
        <f>VLOOKUP(T313,Sheet3!$C$3:$F$16,3,)</f>
        <v>#N/A</v>
      </c>
    </row>
    <row r="314" spans="1:24" ht="26">
      <c r="A314" s="61" t="str">
        <f t="shared" si="21"/>
        <v>Ferdiwati Wau3</v>
      </c>
      <c r="B314" s="745">
        <v>113</v>
      </c>
      <c r="C314" s="737" t="s">
        <v>3715</v>
      </c>
      <c r="D314" s="744" t="s">
        <v>3719</v>
      </c>
      <c r="E314" s="779">
        <f t="shared" si="23"/>
        <v>45735</v>
      </c>
      <c r="F314" s="730" t="s">
        <v>3778</v>
      </c>
      <c r="G314" s="731">
        <v>117</v>
      </c>
      <c r="H314" s="730" t="s">
        <v>3778</v>
      </c>
      <c r="I314" s="729">
        <f t="shared" si="22"/>
        <v>117</v>
      </c>
      <c r="J314" s="730" t="s">
        <v>3778</v>
      </c>
      <c r="K314" s="729" t="s">
        <v>3484</v>
      </c>
      <c r="L314" s="744" t="s">
        <v>3721</v>
      </c>
      <c r="M314" s="744" t="s">
        <v>3846</v>
      </c>
      <c r="N314" s="732">
        <v>34</v>
      </c>
      <c r="O314" s="733" t="s">
        <v>3718</v>
      </c>
      <c r="P314" s="734">
        <v>60000</v>
      </c>
      <c r="Q314" s="734">
        <v>2040000</v>
      </c>
      <c r="R314" s="735"/>
      <c r="S314" s="759">
        <v>3</v>
      </c>
      <c r="V314" s="61" t="e">
        <f>VLOOKUP(T314,Sheet3!$C$3:$F$16,2,)</f>
        <v>#N/A</v>
      </c>
      <c r="W314" s="61" t="e">
        <f>VLOOKUP(T314,Sheet3!$C$3:$F$16,4,)</f>
        <v>#N/A</v>
      </c>
      <c r="X314" s="61" t="e">
        <f>VLOOKUP(T314,Sheet3!$C$3:$F$16,3,)</f>
        <v>#N/A</v>
      </c>
    </row>
    <row r="315" spans="1:24" ht="26">
      <c r="A315" s="61" t="str">
        <f t="shared" si="21"/>
        <v>Noni Alfanita Sarumaha, S.Pd3</v>
      </c>
      <c r="B315" s="745">
        <v>114</v>
      </c>
      <c r="C315" s="737" t="s">
        <v>3715</v>
      </c>
      <c r="D315" s="744" t="s">
        <v>3719</v>
      </c>
      <c r="E315" s="779">
        <f t="shared" si="23"/>
        <v>45735</v>
      </c>
      <c r="F315" s="730" t="s">
        <v>3778</v>
      </c>
      <c r="G315" s="731">
        <v>118</v>
      </c>
      <c r="H315" s="730" t="s">
        <v>3778</v>
      </c>
      <c r="I315" s="729">
        <f t="shared" si="22"/>
        <v>118</v>
      </c>
      <c r="J315" s="730" t="s">
        <v>3778</v>
      </c>
      <c r="K315" s="729" t="s">
        <v>3485</v>
      </c>
      <c r="L315" s="744" t="s">
        <v>3722</v>
      </c>
      <c r="M315" s="744" t="s">
        <v>3846</v>
      </c>
      <c r="N315" s="732">
        <v>37</v>
      </c>
      <c r="O315" s="733" t="s">
        <v>3718</v>
      </c>
      <c r="P315" s="734">
        <v>60000</v>
      </c>
      <c r="Q315" s="734">
        <v>2220000</v>
      </c>
      <c r="R315" s="735"/>
      <c r="S315" s="759">
        <v>3</v>
      </c>
      <c r="V315" s="61" t="e">
        <f>VLOOKUP(T315,Sheet3!$C$3:$F$16,2,)</f>
        <v>#N/A</v>
      </c>
      <c r="W315" s="61" t="e">
        <f>VLOOKUP(T315,Sheet3!$C$3:$F$16,4,)</f>
        <v>#N/A</v>
      </c>
      <c r="X315" s="61" t="e">
        <f>VLOOKUP(T315,Sheet3!$C$3:$F$16,3,)</f>
        <v>#N/A</v>
      </c>
    </row>
    <row r="316" spans="1:24" ht="26">
      <c r="A316" s="61" t="str">
        <f t="shared" si="21"/>
        <v>EMILA HAFO3</v>
      </c>
      <c r="B316" s="745">
        <v>115</v>
      </c>
      <c r="C316" s="737" t="s">
        <v>3715</v>
      </c>
      <c r="D316" s="744" t="s">
        <v>3719</v>
      </c>
      <c r="E316" s="779">
        <f t="shared" si="23"/>
        <v>45735</v>
      </c>
      <c r="F316" s="730" t="s">
        <v>3778</v>
      </c>
      <c r="G316" s="731">
        <v>119</v>
      </c>
      <c r="H316" s="730" t="s">
        <v>3778</v>
      </c>
      <c r="I316" s="729">
        <f t="shared" si="22"/>
        <v>119</v>
      </c>
      <c r="J316" s="730" t="s">
        <v>3778</v>
      </c>
      <c r="K316" s="729" t="s">
        <v>3486</v>
      </c>
      <c r="L316" s="744" t="s">
        <v>3723</v>
      </c>
      <c r="M316" s="744" t="s">
        <v>3846</v>
      </c>
      <c r="N316" s="732">
        <v>35</v>
      </c>
      <c r="O316" s="733" t="s">
        <v>3718</v>
      </c>
      <c r="P316" s="734">
        <v>60000</v>
      </c>
      <c r="Q316" s="734">
        <v>2100000</v>
      </c>
      <c r="R316" s="735"/>
      <c r="S316" s="759">
        <v>3</v>
      </c>
      <c r="V316" s="61" t="e">
        <f>VLOOKUP(T316,Sheet3!$C$3:$F$16,2,)</f>
        <v>#N/A</v>
      </c>
      <c r="W316" s="61" t="e">
        <f>VLOOKUP(T316,Sheet3!$C$3:$F$16,4,)</f>
        <v>#N/A</v>
      </c>
      <c r="X316" s="61" t="e">
        <f>VLOOKUP(T316,Sheet3!$C$3:$F$16,3,)</f>
        <v>#N/A</v>
      </c>
    </row>
    <row r="317" spans="1:24" ht="26">
      <c r="A317" s="61" t="str">
        <f t="shared" si="21"/>
        <v>Asep Nurhidayat3</v>
      </c>
      <c r="B317" s="745">
        <v>116</v>
      </c>
      <c r="C317" s="737" t="s">
        <v>3715</v>
      </c>
      <c r="D317" s="744" t="s">
        <v>3719</v>
      </c>
      <c r="E317" s="779">
        <f t="shared" si="23"/>
        <v>45735</v>
      </c>
      <c r="F317" s="730" t="s">
        <v>3778</v>
      </c>
      <c r="G317" s="731">
        <v>120</v>
      </c>
      <c r="H317" s="730" t="s">
        <v>3778</v>
      </c>
      <c r="I317" s="729">
        <f t="shared" si="22"/>
        <v>120</v>
      </c>
      <c r="J317" s="730" t="s">
        <v>3778</v>
      </c>
      <c r="K317" s="729" t="s">
        <v>3487</v>
      </c>
      <c r="L317" s="744" t="s">
        <v>3724</v>
      </c>
      <c r="M317" s="744" t="s">
        <v>3846</v>
      </c>
      <c r="N317" s="732">
        <v>21</v>
      </c>
      <c r="O317" s="733" t="s">
        <v>3718</v>
      </c>
      <c r="P317" s="734">
        <v>60000</v>
      </c>
      <c r="Q317" s="734">
        <v>1260000</v>
      </c>
      <c r="R317" s="735"/>
      <c r="S317" s="759">
        <v>3</v>
      </c>
      <c r="V317" s="61" t="e">
        <f>VLOOKUP(T317,Sheet3!$C$3:$F$16,2,)</f>
        <v>#N/A</v>
      </c>
      <c r="W317" s="61" t="e">
        <f>VLOOKUP(T317,Sheet3!$C$3:$F$16,4,)</f>
        <v>#N/A</v>
      </c>
      <c r="X317" s="61" t="e">
        <f>VLOOKUP(T317,Sheet3!$C$3:$F$16,3,)</f>
        <v>#N/A</v>
      </c>
    </row>
    <row r="318" spans="1:24" ht="37.5">
      <c r="A318" s="61" t="str">
        <f t="shared" si="21"/>
        <v>Amonius Dakhi3</v>
      </c>
      <c r="B318" s="745">
        <v>117</v>
      </c>
      <c r="C318" s="737" t="s">
        <v>3715</v>
      </c>
      <c r="D318" s="744" t="s">
        <v>3719</v>
      </c>
      <c r="E318" s="779">
        <f t="shared" si="23"/>
        <v>45735</v>
      </c>
      <c r="F318" s="730" t="s">
        <v>3778</v>
      </c>
      <c r="G318" s="731">
        <v>121</v>
      </c>
      <c r="H318" s="730" t="s">
        <v>3778</v>
      </c>
      <c r="I318" s="729">
        <f t="shared" si="22"/>
        <v>121</v>
      </c>
      <c r="J318" s="730" t="s">
        <v>3778</v>
      </c>
      <c r="K318" s="729" t="s">
        <v>3488</v>
      </c>
      <c r="L318" s="744" t="s">
        <v>3725</v>
      </c>
      <c r="M318" s="744" t="s">
        <v>3846</v>
      </c>
      <c r="N318" s="732">
        <v>24</v>
      </c>
      <c r="O318" s="733" t="s">
        <v>3726</v>
      </c>
      <c r="P318" s="734">
        <v>50000</v>
      </c>
      <c r="Q318" s="734">
        <v>1200000</v>
      </c>
      <c r="R318" s="735"/>
      <c r="S318" s="759">
        <v>3</v>
      </c>
      <c r="V318" s="61" t="e">
        <f>VLOOKUP(T318,Sheet3!$C$3:$F$16,2,)</f>
        <v>#N/A</v>
      </c>
      <c r="W318" s="61" t="e">
        <f>VLOOKUP(T318,Sheet3!$C$3:$F$16,4,)</f>
        <v>#N/A</v>
      </c>
      <c r="X318" s="61" t="e">
        <f>VLOOKUP(T318,Sheet3!$C$3:$F$16,3,)</f>
        <v>#N/A</v>
      </c>
    </row>
    <row r="319" spans="1:24" ht="37.5">
      <c r="A319" s="61" t="str">
        <f t="shared" si="21"/>
        <v>NELPI KARIANA WATI GOHAE3</v>
      </c>
      <c r="B319" s="745">
        <v>118</v>
      </c>
      <c r="C319" s="737" t="s">
        <v>3715</v>
      </c>
      <c r="D319" s="744" t="s">
        <v>3719</v>
      </c>
      <c r="E319" s="779">
        <f t="shared" si="23"/>
        <v>45735</v>
      </c>
      <c r="F319" s="730" t="s">
        <v>3778</v>
      </c>
      <c r="G319" s="731">
        <v>122</v>
      </c>
      <c r="H319" s="730" t="s">
        <v>3778</v>
      </c>
      <c r="I319" s="729">
        <f t="shared" si="22"/>
        <v>122</v>
      </c>
      <c r="J319" s="730" t="s">
        <v>3778</v>
      </c>
      <c r="K319" s="729" t="s">
        <v>3489</v>
      </c>
      <c r="L319" s="744" t="s">
        <v>3727</v>
      </c>
      <c r="M319" s="744" t="s">
        <v>3846</v>
      </c>
      <c r="N319" s="732">
        <v>24</v>
      </c>
      <c r="O319" s="733" t="s">
        <v>3726</v>
      </c>
      <c r="P319" s="734">
        <v>50000</v>
      </c>
      <c r="Q319" s="734">
        <v>1200000</v>
      </c>
      <c r="R319" s="735"/>
      <c r="S319" s="759">
        <v>3</v>
      </c>
      <c r="V319" s="61" t="e">
        <f>VLOOKUP(T319,Sheet3!$C$3:$F$16,2,)</f>
        <v>#N/A</v>
      </c>
      <c r="W319" s="61" t="e">
        <f>VLOOKUP(T319,Sheet3!$C$3:$F$16,4,)</f>
        <v>#N/A</v>
      </c>
      <c r="X319" s="61" t="e">
        <f>VLOOKUP(T319,Sheet3!$C$3:$F$16,3,)</f>
        <v>#N/A</v>
      </c>
    </row>
    <row r="320" spans="1:24" ht="37.5">
      <c r="A320" s="61" t="str">
        <f t="shared" si="21"/>
        <v>MERCY GRACE KARTIKA SARI ZAGOTO (1558776677230122)3</v>
      </c>
      <c r="B320" s="745">
        <v>119</v>
      </c>
      <c r="C320" s="737" t="s">
        <v>3715</v>
      </c>
      <c r="D320" s="744" t="s">
        <v>3719</v>
      </c>
      <c r="E320" s="779">
        <f t="shared" si="23"/>
        <v>45735</v>
      </c>
      <c r="F320" s="730" t="s">
        <v>3778</v>
      </c>
      <c r="G320" s="731">
        <v>123</v>
      </c>
      <c r="H320" s="730" t="s">
        <v>3778</v>
      </c>
      <c r="I320" s="729">
        <f t="shared" si="22"/>
        <v>123</v>
      </c>
      <c r="J320" s="730" t="s">
        <v>3778</v>
      </c>
      <c r="K320" s="729" t="s">
        <v>3490</v>
      </c>
      <c r="L320" s="744" t="s">
        <v>3728</v>
      </c>
      <c r="M320" s="744" t="s">
        <v>3846</v>
      </c>
      <c r="N320" s="732">
        <v>35</v>
      </c>
      <c r="O320" s="733" t="s">
        <v>3726</v>
      </c>
      <c r="P320" s="734">
        <v>50000</v>
      </c>
      <c r="Q320" s="734">
        <v>1750000</v>
      </c>
      <c r="R320" s="735"/>
      <c r="S320" s="759">
        <v>3</v>
      </c>
      <c r="V320" s="61" t="e">
        <f>VLOOKUP(T320,Sheet3!$C$3:$F$16,2,)</f>
        <v>#N/A</v>
      </c>
      <c r="W320" s="61" t="e">
        <f>VLOOKUP(T320,Sheet3!$C$3:$F$16,4,)</f>
        <v>#N/A</v>
      </c>
      <c r="X320" s="61" t="e">
        <f>VLOOKUP(T320,Sheet3!$C$3:$F$16,3,)</f>
        <v>#N/A</v>
      </c>
    </row>
    <row r="321" spans="1:24" ht="26">
      <c r="A321" s="61" t="str">
        <f t="shared" si="21"/>
        <v>Estera Nehe3</v>
      </c>
      <c r="B321" s="745">
        <v>121</v>
      </c>
      <c r="C321" s="737" t="s">
        <v>3729</v>
      </c>
      <c r="D321" s="744" t="s">
        <v>3730</v>
      </c>
      <c r="E321" s="779">
        <f t="shared" si="23"/>
        <v>45735</v>
      </c>
      <c r="F321" s="730" t="s">
        <v>3778</v>
      </c>
      <c r="G321" s="731">
        <v>124</v>
      </c>
      <c r="H321" s="730" t="s">
        <v>3778</v>
      </c>
      <c r="I321" s="729">
        <f t="shared" si="22"/>
        <v>124</v>
      </c>
      <c r="J321" s="730" t="s">
        <v>3778</v>
      </c>
      <c r="K321" s="729" t="s">
        <v>3491</v>
      </c>
      <c r="L321" s="744" t="s">
        <v>3731</v>
      </c>
      <c r="M321" s="744" t="s">
        <v>3847</v>
      </c>
      <c r="N321" s="732">
        <v>1</v>
      </c>
      <c r="O321" s="733" t="s">
        <v>3699</v>
      </c>
      <c r="P321" s="734">
        <v>2000000</v>
      </c>
      <c r="Q321" s="734">
        <v>2000000</v>
      </c>
      <c r="R321" s="735"/>
      <c r="S321" s="759">
        <v>3</v>
      </c>
      <c r="V321" s="61" t="e">
        <f>VLOOKUP(T321,Sheet3!$C$3:$F$16,2,)</f>
        <v>#N/A</v>
      </c>
      <c r="W321" s="61" t="e">
        <f>VLOOKUP(T321,Sheet3!$C$3:$F$16,4,)</f>
        <v>#N/A</v>
      </c>
      <c r="X321" s="61" t="e">
        <f>VLOOKUP(T321,Sheet3!$C$3:$F$16,3,)</f>
        <v>#N/A</v>
      </c>
    </row>
    <row r="322" spans="1:24" ht="26">
      <c r="A322" s="61" t="str">
        <f t="shared" si="21"/>
        <v>Hatieli Buulolo3</v>
      </c>
      <c r="B322" s="745">
        <v>122</v>
      </c>
      <c r="C322" s="737" t="s">
        <v>3729</v>
      </c>
      <c r="D322" s="744" t="s">
        <v>3730</v>
      </c>
      <c r="E322" s="779">
        <f t="shared" si="23"/>
        <v>45735</v>
      </c>
      <c r="F322" s="730" t="s">
        <v>3778</v>
      </c>
      <c r="G322" s="731">
        <v>125</v>
      </c>
      <c r="H322" s="730" t="s">
        <v>3778</v>
      </c>
      <c r="I322" s="729">
        <f t="shared" si="22"/>
        <v>125</v>
      </c>
      <c r="J322" s="730" t="s">
        <v>3778</v>
      </c>
      <c r="K322" s="729" t="s">
        <v>3492</v>
      </c>
      <c r="L322" s="744" t="s">
        <v>3732</v>
      </c>
      <c r="M322" s="744" t="s">
        <v>3847</v>
      </c>
      <c r="N322" s="732">
        <v>1</v>
      </c>
      <c r="O322" s="733" t="s">
        <v>3699</v>
      </c>
      <c r="P322" s="734">
        <v>2500000</v>
      </c>
      <c r="Q322" s="734">
        <v>2500000</v>
      </c>
      <c r="R322" s="735"/>
      <c r="S322" s="759">
        <v>3</v>
      </c>
      <c r="V322" s="61" t="e">
        <f>VLOOKUP(T322,Sheet3!$C$3:$F$16,2,)</f>
        <v>#N/A</v>
      </c>
      <c r="W322" s="61" t="e">
        <f>VLOOKUP(T322,Sheet3!$C$3:$F$16,4,)</f>
        <v>#N/A</v>
      </c>
      <c r="X322" s="61" t="e">
        <f>VLOOKUP(T322,Sheet3!$C$3:$F$16,3,)</f>
        <v>#N/A</v>
      </c>
    </row>
    <row r="323" spans="1:24" ht="26">
      <c r="A323" s="61" t="str">
        <f t="shared" si="21"/>
        <v>David J. Sitinjak3</v>
      </c>
      <c r="B323" s="745">
        <v>123</v>
      </c>
      <c r="C323" s="737" t="s">
        <v>3729</v>
      </c>
      <c r="D323" s="744" t="s">
        <v>3730</v>
      </c>
      <c r="E323" s="779">
        <f t="shared" si="23"/>
        <v>45735</v>
      </c>
      <c r="F323" s="730" t="s">
        <v>3778</v>
      </c>
      <c r="G323" s="731">
        <v>126</v>
      </c>
      <c r="H323" s="730" t="s">
        <v>3778</v>
      </c>
      <c r="I323" s="729">
        <f t="shared" si="22"/>
        <v>126</v>
      </c>
      <c r="J323" s="730" t="s">
        <v>3778</v>
      </c>
      <c r="K323" s="729" t="s">
        <v>3493</v>
      </c>
      <c r="L323" s="744" t="s">
        <v>3733</v>
      </c>
      <c r="M323" s="744" t="s">
        <v>3847</v>
      </c>
      <c r="N323" s="732">
        <v>1</v>
      </c>
      <c r="O323" s="733" t="s">
        <v>3699</v>
      </c>
      <c r="P323" s="734">
        <v>2500000</v>
      </c>
      <c r="Q323" s="734">
        <v>2500000</v>
      </c>
      <c r="R323" s="735"/>
      <c r="S323" s="759">
        <v>3</v>
      </c>
      <c r="V323" s="61" t="e">
        <f>VLOOKUP(T323,Sheet3!$C$3:$F$16,2,)</f>
        <v>#N/A</v>
      </c>
      <c r="W323" s="61" t="e">
        <f>VLOOKUP(T323,Sheet3!$C$3:$F$16,4,)</f>
        <v>#N/A</v>
      </c>
      <c r="X323" s="61" t="e">
        <f>VLOOKUP(T323,Sheet3!$C$3:$F$16,3,)</f>
        <v>#N/A</v>
      </c>
    </row>
    <row r="324" spans="1:24" ht="26">
      <c r="A324" s="61" t="str">
        <f t="shared" ref="A324:A329" si="24">L324&amp;S324</f>
        <v>Siona Ziraluo3</v>
      </c>
      <c r="B324" s="745">
        <v>124</v>
      </c>
      <c r="C324" s="737" t="s">
        <v>3729</v>
      </c>
      <c r="D324" s="744" t="s">
        <v>3730</v>
      </c>
      <c r="E324" s="779">
        <f t="shared" si="23"/>
        <v>45735</v>
      </c>
      <c r="F324" s="730" t="s">
        <v>3778</v>
      </c>
      <c r="G324" s="731">
        <v>127</v>
      </c>
      <c r="H324" s="730" t="s">
        <v>3778</v>
      </c>
      <c r="I324" s="729">
        <f t="shared" ref="I324:I387" si="25">G324</f>
        <v>127</v>
      </c>
      <c r="J324" s="730" t="s">
        <v>3778</v>
      </c>
      <c r="K324" s="729" t="s">
        <v>3481</v>
      </c>
      <c r="L324" s="744" t="s">
        <v>3734</v>
      </c>
      <c r="M324" s="744" t="s">
        <v>3847</v>
      </c>
      <c r="N324" s="732">
        <v>1</v>
      </c>
      <c r="O324" s="733" t="s">
        <v>3699</v>
      </c>
      <c r="P324" s="734">
        <v>2000000</v>
      </c>
      <c r="Q324" s="734">
        <v>2000000</v>
      </c>
      <c r="R324" s="735"/>
      <c r="S324" s="759">
        <v>3</v>
      </c>
      <c r="V324" s="61" t="e">
        <f>VLOOKUP(T324,Sheet3!$C$3:$F$16,2,)</f>
        <v>#N/A</v>
      </c>
      <c r="W324" s="61" t="e">
        <f>VLOOKUP(T324,Sheet3!$C$3:$F$16,4,)</f>
        <v>#N/A</v>
      </c>
      <c r="X324" s="61" t="e">
        <f>VLOOKUP(T324,Sheet3!$C$3:$F$16,3,)</f>
        <v>#N/A</v>
      </c>
    </row>
    <row r="325" spans="1:24" ht="26">
      <c r="A325" s="61" t="str">
        <f t="shared" si="24"/>
        <v>Merdina Ziraluo3</v>
      </c>
      <c r="B325" s="745">
        <v>125</v>
      </c>
      <c r="C325" s="737" t="s">
        <v>3729</v>
      </c>
      <c r="D325" s="744" t="s">
        <v>3730</v>
      </c>
      <c r="E325" s="779">
        <f t="shared" si="23"/>
        <v>45735</v>
      </c>
      <c r="F325" s="730" t="s">
        <v>3778</v>
      </c>
      <c r="G325" s="731">
        <v>128</v>
      </c>
      <c r="H325" s="730" t="s">
        <v>3778</v>
      </c>
      <c r="I325" s="729">
        <f t="shared" si="25"/>
        <v>128</v>
      </c>
      <c r="J325" s="730" t="s">
        <v>3778</v>
      </c>
      <c r="K325" s="729" t="s">
        <v>3500</v>
      </c>
      <c r="L325" s="744" t="s">
        <v>3735</v>
      </c>
      <c r="M325" s="744" t="s">
        <v>3847</v>
      </c>
      <c r="N325" s="732">
        <v>1</v>
      </c>
      <c r="O325" s="733" t="s">
        <v>3699</v>
      </c>
      <c r="P325" s="734">
        <v>2500000</v>
      </c>
      <c r="Q325" s="734">
        <v>2500000</v>
      </c>
      <c r="R325" s="735"/>
      <c r="S325" s="759">
        <v>3</v>
      </c>
      <c r="V325" s="61" t="e">
        <f>VLOOKUP(T325,Sheet3!$C$3:$F$16,2,)</f>
        <v>#N/A</v>
      </c>
      <c r="W325" s="61" t="e">
        <f>VLOOKUP(T325,Sheet3!$C$3:$F$16,4,)</f>
        <v>#N/A</v>
      </c>
      <c r="X325" s="61" t="e">
        <f>VLOOKUP(T325,Sheet3!$C$3:$F$16,3,)</f>
        <v>#N/A</v>
      </c>
    </row>
    <row r="326" spans="1:24" ht="26">
      <c r="A326" s="61" t="str">
        <f t="shared" si="24"/>
        <v>Oksilia Buulolo, S.S3</v>
      </c>
      <c r="B326" s="745">
        <v>126</v>
      </c>
      <c r="C326" s="737" t="s">
        <v>3729</v>
      </c>
      <c r="D326" s="744" t="s">
        <v>3730</v>
      </c>
      <c r="E326" s="779">
        <f t="shared" si="23"/>
        <v>45735</v>
      </c>
      <c r="F326" s="730" t="s">
        <v>3778</v>
      </c>
      <c r="G326" s="731">
        <v>129</v>
      </c>
      <c r="H326" s="730" t="s">
        <v>3778</v>
      </c>
      <c r="I326" s="729">
        <f t="shared" si="25"/>
        <v>129</v>
      </c>
      <c r="J326" s="730" t="s">
        <v>3778</v>
      </c>
      <c r="K326" s="729" t="s">
        <v>3501</v>
      </c>
      <c r="L326" s="744" t="s">
        <v>3736</v>
      </c>
      <c r="M326" s="744" t="s">
        <v>3847</v>
      </c>
      <c r="N326" s="732">
        <v>1</v>
      </c>
      <c r="O326" s="733" t="s">
        <v>3737</v>
      </c>
      <c r="P326" s="734">
        <v>2000000</v>
      </c>
      <c r="Q326" s="734">
        <v>2000000</v>
      </c>
      <c r="R326" s="735"/>
      <c r="S326" s="759">
        <v>3</v>
      </c>
      <c r="V326" s="61" t="e">
        <f>VLOOKUP(T326,Sheet3!$C$3:$F$16,2,)</f>
        <v>#N/A</v>
      </c>
      <c r="W326" s="61" t="e">
        <f>VLOOKUP(T326,Sheet3!$C$3:$F$16,4,)</f>
        <v>#N/A</v>
      </c>
      <c r="X326" s="61" t="e">
        <f>VLOOKUP(T326,Sheet3!$C$3:$F$16,3,)</f>
        <v>#N/A</v>
      </c>
    </row>
    <row r="327" spans="1:24" ht="26">
      <c r="A327" s="61" t="str">
        <f t="shared" si="24"/>
        <v>Novika Efdimasari Halawa, S.S.I3</v>
      </c>
      <c r="B327" s="745">
        <v>127</v>
      </c>
      <c r="C327" s="737" t="s">
        <v>3729</v>
      </c>
      <c r="D327" s="744" t="s">
        <v>3730</v>
      </c>
      <c r="E327" s="779">
        <f t="shared" si="23"/>
        <v>45735</v>
      </c>
      <c r="F327" s="730" t="s">
        <v>3778</v>
      </c>
      <c r="G327" s="731">
        <v>130</v>
      </c>
      <c r="H327" s="730" t="s">
        <v>3778</v>
      </c>
      <c r="I327" s="729">
        <f t="shared" si="25"/>
        <v>130</v>
      </c>
      <c r="J327" s="730" t="s">
        <v>3778</v>
      </c>
      <c r="K327" s="729" t="s">
        <v>3502</v>
      </c>
      <c r="L327" s="744" t="s">
        <v>3738</v>
      </c>
      <c r="M327" s="744" t="s">
        <v>3847</v>
      </c>
      <c r="N327" s="732">
        <v>1</v>
      </c>
      <c r="O327" s="733" t="s">
        <v>3737</v>
      </c>
      <c r="P327" s="734">
        <v>2000000</v>
      </c>
      <c r="Q327" s="734">
        <v>2000000</v>
      </c>
      <c r="R327" s="735"/>
      <c r="S327" s="759">
        <v>3</v>
      </c>
      <c r="V327" s="61" t="e">
        <f>VLOOKUP(T327,Sheet3!$C$3:$F$16,2,)</f>
        <v>#N/A</v>
      </c>
      <c r="W327" s="61" t="e">
        <f>VLOOKUP(T327,Sheet3!$C$3:$F$16,4,)</f>
        <v>#N/A</v>
      </c>
      <c r="X327" s="61" t="e">
        <f>VLOOKUP(T327,Sheet3!$C$3:$F$16,3,)</f>
        <v>#N/A</v>
      </c>
    </row>
    <row r="328" spans="1:24" ht="26">
      <c r="A328" s="61" t="str">
        <f t="shared" si="24"/>
        <v>Zefrianus Zai3</v>
      </c>
      <c r="B328" s="745">
        <v>129</v>
      </c>
      <c r="C328" s="737" t="s">
        <v>3739</v>
      </c>
      <c r="D328" s="744" t="s">
        <v>3740</v>
      </c>
      <c r="E328" s="779">
        <f t="shared" si="23"/>
        <v>45735</v>
      </c>
      <c r="F328" s="730" t="s">
        <v>3778</v>
      </c>
      <c r="G328" s="731">
        <v>131</v>
      </c>
      <c r="H328" s="730" t="s">
        <v>3778</v>
      </c>
      <c r="I328" s="729">
        <f t="shared" si="25"/>
        <v>131</v>
      </c>
      <c r="J328" s="730" t="s">
        <v>3778</v>
      </c>
      <c r="K328" s="729" t="s">
        <v>3503</v>
      </c>
      <c r="L328" s="744" t="s">
        <v>3741</v>
      </c>
      <c r="M328" s="744" t="s">
        <v>3847</v>
      </c>
      <c r="N328" s="732">
        <v>1</v>
      </c>
      <c r="O328" s="733" t="s">
        <v>3737</v>
      </c>
      <c r="P328" s="734">
        <v>2000000</v>
      </c>
      <c r="Q328" s="734">
        <v>2000000</v>
      </c>
      <c r="R328" s="735"/>
      <c r="S328" s="759">
        <v>3</v>
      </c>
      <c r="V328" s="61" t="e">
        <f>VLOOKUP(T328,Sheet3!$C$3:$F$16,2,)</f>
        <v>#N/A</v>
      </c>
      <c r="W328" s="61" t="e">
        <f>VLOOKUP(T328,Sheet3!$C$3:$F$16,4,)</f>
        <v>#N/A</v>
      </c>
      <c r="X328" s="61" t="e">
        <f>VLOOKUP(T328,Sheet3!$C$3:$F$16,3,)</f>
        <v>#N/A</v>
      </c>
    </row>
    <row r="329" spans="1:24" ht="26">
      <c r="A329" s="61" t="str">
        <f t="shared" si="24"/>
        <v>Thomas Hondro3</v>
      </c>
      <c r="B329" s="745">
        <v>130</v>
      </c>
      <c r="C329" s="737" t="s">
        <v>3742</v>
      </c>
      <c r="D329" s="744" t="s">
        <v>3740</v>
      </c>
      <c r="E329" s="779">
        <f t="shared" si="23"/>
        <v>45735</v>
      </c>
      <c r="F329" s="730" t="s">
        <v>3778</v>
      </c>
      <c r="G329" s="731">
        <v>132</v>
      </c>
      <c r="H329" s="730" t="s">
        <v>3778</v>
      </c>
      <c r="I329" s="729">
        <f t="shared" si="25"/>
        <v>132</v>
      </c>
      <c r="J329" s="730" t="s">
        <v>3778</v>
      </c>
      <c r="K329" s="729" t="s">
        <v>3497</v>
      </c>
      <c r="L329" s="744" t="s">
        <v>3743</v>
      </c>
      <c r="M329" s="744" t="s">
        <v>3847</v>
      </c>
      <c r="N329" s="732">
        <v>1</v>
      </c>
      <c r="O329" s="733" t="s">
        <v>3699</v>
      </c>
      <c r="P329" s="734">
        <v>1000000</v>
      </c>
      <c r="Q329" s="734">
        <v>1000000</v>
      </c>
      <c r="R329" s="735"/>
      <c r="S329" s="759">
        <v>3</v>
      </c>
      <c r="V329" s="61" t="e">
        <f>VLOOKUP(T329,Sheet3!$C$3:$F$16,2,)</f>
        <v>#N/A</v>
      </c>
      <c r="W329" s="61" t="e">
        <f>VLOOKUP(T329,Sheet3!$C$3:$F$16,4,)</f>
        <v>#N/A</v>
      </c>
      <c r="X329" s="61" t="e">
        <f>VLOOKUP(T329,Sheet3!$C$3:$F$16,3,)</f>
        <v>#N/A</v>
      </c>
    </row>
    <row r="330" spans="1:24">
      <c r="B330" s="745"/>
      <c r="C330" s="728"/>
      <c r="D330" s="744"/>
      <c r="E330" s="297"/>
      <c r="G330" s="731"/>
      <c r="I330" s="729">
        <f t="shared" si="25"/>
        <v>0</v>
      </c>
      <c r="L330" s="744"/>
      <c r="M330" s="744"/>
      <c r="N330" s="732"/>
      <c r="O330" s="733"/>
      <c r="P330" s="734"/>
      <c r="Q330" s="734"/>
      <c r="R330" s="735"/>
      <c r="V330" s="61" t="e">
        <f>VLOOKUP(T330,Sheet3!$C$3:$F$16,2,)</f>
        <v>#N/A</v>
      </c>
      <c r="W330" s="61" t="e">
        <f>VLOOKUP(T330,Sheet3!$C$3:$F$16,4,)</f>
        <v>#N/A</v>
      </c>
      <c r="X330" s="61" t="e">
        <f>VLOOKUP(T330,Sheet3!$C$3:$F$16,3,)</f>
        <v>#N/A</v>
      </c>
    </row>
    <row r="331" spans="1:24" ht="37.5">
      <c r="B331" s="753">
        <v>4</v>
      </c>
      <c r="C331" s="756" t="s">
        <v>3782</v>
      </c>
      <c r="D331" s="756" t="s">
        <v>3802</v>
      </c>
      <c r="E331" s="297"/>
      <c r="G331" s="731">
        <v>325</v>
      </c>
      <c r="I331" s="729">
        <f t="shared" si="25"/>
        <v>325</v>
      </c>
      <c r="L331" s="756" t="s">
        <v>2293</v>
      </c>
      <c r="M331" s="756" t="s">
        <v>3845</v>
      </c>
      <c r="N331" s="642">
        <v>100</v>
      </c>
      <c r="O331" s="382" t="s">
        <v>231</v>
      </c>
      <c r="P331" s="644">
        <v>15000</v>
      </c>
      <c r="Q331" s="644">
        <v>1500000</v>
      </c>
      <c r="R331" s="758"/>
      <c r="S331" s="759">
        <v>4</v>
      </c>
      <c r="T331" s="736" t="s">
        <v>10</v>
      </c>
      <c r="V331" s="61" t="str">
        <f>VLOOKUP(T331,Sheet3!$C$3:$F$16,2,)</f>
        <v>Fudi Supiyanto</v>
      </c>
      <c r="W331" s="61" t="str">
        <f>VLOOKUP(T331,Sheet3!$C$3:$F$16,4,)</f>
        <v>082164895397</v>
      </c>
      <c r="X331" s="61" t="str">
        <f>VLOOKUP(T331,Sheet3!$C$3:$F$16,3,)</f>
        <v>Jln Ahmad Yani No.89 Kel. Pasar Telukdalam, Nias Selatan</v>
      </c>
    </row>
    <row r="332" spans="1:24" ht="37.5">
      <c r="B332" s="753">
        <v>6</v>
      </c>
      <c r="C332" s="756" t="s">
        <v>3794</v>
      </c>
      <c r="D332" s="756" t="s">
        <v>3806</v>
      </c>
      <c r="E332" s="297"/>
      <c r="G332" s="731">
        <v>326</v>
      </c>
      <c r="I332" s="729">
        <f t="shared" si="25"/>
        <v>326</v>
      </c>
      <c r="L332" s="756" t="s">
        <v>2287</v>
      </c>
      <c r="M332" s="756" t="str">
        <f>L332</f>
        <v>Spanduk Uk. 1 x 6 meter-</v>
      </c>
      <c r="N332" s="642">
        <v>2</v>
      </c>
      <c r="O332" s="382" t="s">
        <v>2436</v>
      </c>
      <c r="P332" s="644">
        <v>300000</v>
      </c>
      <c r="Q332" s="644">
        <v>600000</v>
      </c>
      <c r="R332" s="758"/>
      <c r="S332" s="759">
        <v>4</v>
      </c>
      <c r="T332" s="61" t="s">
        <v>2511</v>
      </c>
      <c r="V332" s="61" t="str">
        <f>VLOOKUP(T332,Sheet3!$C$3:$F$16,2,)</f>
        <v>Pieter B.P. Loi</v>
      </c>
      <c r="W332" s="61" t="str">
        <f>VLOOKUP(T332,Sheet3!$C$3:$F$16,4,)</f>
        <v>082166506229</v>
      </c>
      <c r="X332" s="61" t="str">
        <f>VLOOKUP(T332,Sheet3!$C$3:$F$16,3,)</f>
        <v>Jl. Diponegoro Kel. Pasar Telukdalam - Nias Selatan</v>
      </c>
    </row>
    <row r="333" spans="1:24" ht="37.5">
      <c r="B333" s="753">
        <v>9</v>
      </c>
      <c r="C333" s="756" t="s">
        <v>3803</v>
      </c>
      <c r="D333" s="756" t="s">
        <v>3804</v>
      </c>
      <c r="E333" s="297"/>
      <c r="G333" s="731">
        <v>327</v>
      </c>
      <c r="I333" s="729">
        <f t="shared" si="25"/>
        <v>327</v>
      </c>
      <c r="L333" s="756" t="s">
        <v>2295</v>
      </c>
      <c r="M333" s="756" t="s">
        <v>467</v>
      </c>
      <c r="N333" s="642">
        <v>30</v>
      </c>
      <c r="O333" s="382" t="s">
        <v>231</v>
      </c>
      <c r="P333" s="644">
        <v>40000</v>
      </c>
      <c r="Q333" s="644">
        <v>1200000</v>
      </c>
      <c r="R333" s="758"/>
      <c r="S333" s="759">
        <v>4</v>
      </c>
      <c r="T333" s="736" t="s">
        <v>2507</v>
      </c>
      <c r="V333" s="61" t="str">
        <f>VLOOKUP(T333,Sheet3!$C$3:$F$16,2,)</f>
        <v>Limaati Daeli</v>
      </c>
      <c r="W333" s="61" t="str">
        <f>VLOOKUP(T333,Sheet3!$C$3:$F$16,4,)</f>
        <v>085297578868</v>
      </c>
      <c r="X333" s="61" t="str">
        <f>VLOOKUP(T333,Sheet3!$C$3:$F$16,3,)</f>
        <v>Jl. Saonigeho Km. 2 Telukdalam - Nias Selatan</v>
      </c>
    </row>
    <row r="334" spans="1:24" ht="37.5">
      <c r="B334" s="753">
        <v>13</v>
      </c>
      <c r="C334" s="754" t="s">
        <v>3782</v>
      </c>
      <c r="D334" s="756" t="s">
        <v>3805</v>
      </c>
      <c r="E334" s="297"/>
      <c r="G334" s="731">
        <v>328</v>
      </c>
      <c r="I334" s="729">
        <f t="shared" si="25"/>
        <v>328</v>
      </c>
      <c r="L334" s="754" t="s">
        <v>2315</v>
      </c>
      <c r="M334" s="754" t="s">
        <v>3845</v>
      </c>
      <c r="N334" s="755">
        <v>60</v>
      </c>
      <c r="O334" s="382" t="s">
        <v>231</v>
      </c>
      <c r="P334" s="644">
        <v>15000</v>
      </c>
      <c r="Q334" s="644">
        <v>900000</v>
      </c>
      <c r="R334" s="758"/>
      <c r="S334" s="759">
        <v>4</v>
      </c>
      <c r="T334" s="736" t="s">
        <v>2507</v>
      </c>
      <c r="V334" s="61" t="str">
        <f>VLOOKUP(T334,Sheet3!$C$3:$F$16,2,)</f>
        <v>Limaati Daeli</v>
      </c>
      <c r="W334" s="61" t="str">
        <f>VLOOKUP(T334,Sheet3!$C$3:$F$16,4,)</f>
        <v>085297578868</v>
      </c>
      <c r="X334" s="61" t="str">
        <f>VLOOKUP(T334,Sheet3!$C$3:$F$16,3,)</f>
        <v>Jl. Saonigeho Km. 2 Telukdalam - Nias Selatan</v>
      </c>
    </row>
    <row r="335" spans="1:24" ht="37.5">
      <c r="B335" s="753">
        <v>14</v>
      </c>
      <c r="C335" s="754" t="s">
        <v>3782</v>
      </c>
      <c r="D335" s="756" t="s">
        <v>3805</v>
      </c>
      <c r="E335" s="297"/>
      <c r="G335" s="731">
        <v>329</v>
      </c>
      <c r="I335" s="729">
        <f t="shared" si="25"/>
        <v>329</v>
      </c>
      <c r="L335" s="754" t="s">
        <v>2316</v>
      </c>
      <c r="M335" s="754" t="s">
        <v>467</v>
      </c>
      <c r="N335" s="755">
        <v>60</v>
      </c>
      <c r="O335" s="382" t="s">
        <v>231</v>
      </c>
      <c r="P335" s="644">
        <v>40000</v>
      </c>
      <c r="Q335" s="644">
        <v>2400000</v>
      </c>
      <c r="R335" s="758"/>
      <c r="S335" s="759">
        <v>4</v>
      </c>
      <c r="T335" s="736" t="s">
        <v>2507</v>
      </c>
      <c r="V335" s="61" t="str">
        <f>VLOOKUP(T335,Sheet3!$C$3:$F$16,2,)</f>
        <v>Limaati Daeli</v>
      </c>
      <c r="W335" s="61" t="str">
        <f>VLOOKUP(T335,Sheet3!$C$3:$F$16,4,)</f>
        <v>085297578868</v>
      </c>
      <c r="X335" s="61" t="str">
        <f>VLOOKUP(T335,Sheet3!$C$3:$F$16,3,)</f>
        <v>Jl. Saonigeho Km. 2 Telukdalam - Nias Selatan</v>
      </c>
    </row>
    <row r="336" spans="1:24" ht="37.5">
      <c r="B336" s="753">
        <v>16</v>
      </c>
      <c r="C336" s="754" t="s">
        <v>3782</v>
      </c>
      <c r="D336" s="756" t="s">
        <v>3801</v>
      </c>
      <c r="E336" s="297"/>
      <c r="G336" s="731">
        <v>330</v>
      </c>
      <c r="I336" s="729">
        <f t="shared" si="25"/>
        <v>330</v>
      </c>
      <c r="L336" s="754" t="s">
        <v>2317</v>
      </c>
      <c r="M336" s="754" t="s">
        <v>3845</v>
      </c>
      <c r="N336" s="755">
        <v>60</v>
      </c>
      <c r="O336" s="382" t="s">
        <v>231</v>
      </c>
      <c r="P336" s="644">
        <v>15000</v>
      </c>
      <c r="Q336" s="644">
        <v>900000</v>
      </c>
      <c r="R336" s="758"/>
      <c r="S336" s="759">
        <v>4</v>
      </c>
      <c r="T336" s="736" t="s">
        <v>10</v>
      </c>
      <c r="V336" s="61" t="str">
        <f>VLOOKUP(T336,Sheet3!$C$3:$F$16,2,)</f>
        <v>Fudi Supiyanto</v>
      </c>
      <c r="W336" s="61" t="str">
        <f>VLOOKUP(T336,Sheet3!$C$3:$F$16,4,)</f>
        <v>082164895397</v>
      </c>
      <c r="X336" s="61" t="str">
        <f>VLOOKUP(T336,Sheet3!$C$3:$F$16,3,)</f>
        <v>Jln Ahmad Yani No.89 Kel. Pasar Telukdalam, Nias Selatan</v>
      </c>
    </row>
    <row r="337" spans="2:24" ht="37.5">
      <c r="B337" s="753">
        <v>17</v>
      </c>
      <c r="C337" s="754" t="s">
        <v>3782</v>
      </c>
      <c r="D337" s="756" t="s">
        <v>3801</v>
      </c>
      <c r="E337" s="297"/>
      <c r="G337" s="731">
        <v>331</v>
      </c>
      <c r="I337" s="729">
        <f t="shared" si="25"/>
        <v>331</v>
      </c>
      <c r="L337" s="754" t="s">
        <v>2318</v>
      </c>
      <c r="M337" s="754" t="s">
        <v>467</v>
      </c>
      <c r="N337" s="755">
        <v>60</v>
      </c>
      <c r="O337" s="382" t="s">
        <v>231</v>
      </c>
      <c r="P337" s="644">
        <v>40000</v>
      </c>
      <c r="Q337" s="644">
        <v>2400000</v>
      </c>
      <c r="R337" s="758"/>
      <c r="S337" s="759">
        <v>4</v>
      </c>
      <c r="T337" s="736" t="s">
        <v>2507</v>
      </c>
      <c r="V337" s="61" t="str">
        <f>VLOOKUP(T337,Sheet3!$C$3:$F$16,2,)</f>
        <v>Limaati Daeli</v>
      </c>
      <c r="W337" s="61" t="str">
        <f>VLOOKUP(T337,Sheet3!$C$3:$F$16,4,)</f>
        <v>085297578868</v>
      </c>
      <c r="X337" s="61" t="str">
        <f>VLOOKUP(T337,Sheet3!$C$3:$F$16,3,)</f>
        <v>Jl. Saonigeho Km. 2 Telukdalam - Nias Selatan</v>
      </c>
    </row>
    <row r="338" spans="2:24" ht="37.5">
      <c r="B338" s="753">
        <v>21</v>
      </c>
      <c r="C338" s="754" t="s">
        <v>3782</v>
      </c>
      <c r="D338" s="756" t="s">
        <v>3783</v>
      </c>
      <c r="E338" s="297"/>
      <c r="G338" s="731">
        <v>332</v>
      </c>
      <c r="I338" s="729">
        <f t="shared" si="25"/>
        <v>332</v>
      </c>
      <c r="L338" s="754" t="s">
        <v>2285</v>
      </c>
      <c r="M338" s="754" t="s">
        <v>2442</v>
      </c>
      <c r="N338" s="755">
        <v>25</v>
      </c>
      <c r="O338" s="382" t="s">
        <v>3784</v>
      </c>
      <c r="P338" s="644">
        <v>50000</v>
      </c>
      <c r="Q338" s="644">
        <v>1250000</v>
      </c>
      <c r="R338" s="758"/>
      <c r="S338" s="759">
        <v>4</v>
      </c>
      <c r="T338" s="736" t="s">
        <v>10</v>
      </c>
      <c r="V338" s="61" t="str">
        <f>VLOOKUP(T338,Sheet3!$C$3:$F$16,2,)</f>
        <v>Fudi Supiyanto</v>
      </c>
      <c r="W338" s="61" t="str">
        <f>VLOOKUP(T338,Sheet3!$C$3:$F$16,4,)</f>
        <v>082164895397</v>
      </c>
      <c r="X338" s="61" t="str">
        <f>VLOOKUP(T338,Sheet3!$C$3:$F$16,3,)</f>
        <v>Jln Ahmad Yani No.89 Kel. Pasar Telukdalam, Nias Selatan</v>
      </c>
    </row>
    <row r="339" spans="2:24" ht="37.5">
      <c r="B339" s="753">
        <v>24</v>
      </c>
      <c r="C339" s="754" t="s">
        <v>3785</v>
      </c>
      <c r="D339" s="756" t="s">
        <v>3786</v>
      </c>
      <c r="E339" s="297"/>
      <c r="G339" s="731">
        <v>333</v>
      </c>
      <c r="I339" s="729">
        <f t="shared" si="25"/>
        <v>333</v>
      </c>
      <c r="L339" s="754" t="s">
        <v>3814</v>
      </c>
      <c r="M339" s="754" t="s">
        <v>3861</v>
      </c>
      <c r="N339" s="755">
        <v>20</v>
      </c>
      <c r="O339" s="382" t="s">
        <v>2436</v>
      </c>
      <c r="P339" s="644">
        <v>285000</v>
      </c>
      <c r="Q339" s="644">
        <v>5700000</v>
      </c>
      <c r="R339" s="758"/>
      <c r="S339" s="759">
        <v>4</v>
      </c>
      <c r="T339" s="61" t="s">
        <v>3878</v>
      </c>
      <c r="V339" s="61" t="str">
        <f>VLOOKUP(T339,Sheet3!$C$3:$F$16,2,)</f>
        <v>Wirawan Bazikho</v>
      </c>
      <c r="W339" s="61" t="str">
        <f>VLOOKUP(T339,Sheet3!$C$3:$F$16,4,)</f>
        <v>082166714290</v>
      </c>
      <c r="X339" s="61" t="str">
        <f>VLOOKUP(T339,Sheet3!$C$3:$F$16,3,)</f>
        <v>Jl. Diponegoro No. 87, Kel Pasar Telukdalam - Nias Selatan</v>
      </c>
    </row>
    <row r="340" spans="2:24" ht="37.5">
      <c r="B340" s="753">
        <v>25</v>
      </c>
      <c r="C340" s="754" t="s">
        <v>3785</v>
      </c>
      <c r="D340" s="756" t="s">
        <v>3786</v>
      </c>
      <c r="E340" s="297"/>
      <c r="G340" s="731">
        <v>334</v>
      </c>
      <c r="I340" s="729">
        <f t="shared" si="25"/>
        <v>334</v>
      </c>
      <c r="L340" s="754" t="s">
        <v>3787</v>
      </c>
      <c r="M340" s="754" t="str">
        <f>L340</f>
        <v>Kalsiboard</v>
      </c>
      <c r="N340" s="755">
        <v>10</v>
      </c>
      <c r="O340" s="382" t="s">
        <v>3788</v>
      </c>
      <c r="P340" s="644">
        <v>350000</v>
      </c>
      <c r="Q340" s="644">
        <v>3500000</v>
      </c>
      <c r="R340" s="758"/>
      <c r="S340" s="759">
        <v>4</v>
      </c>
      <c r="T340" s="61" t="s">
        <v>3878</v>
      </c>
      <c r="V340" s="61" t="str">
        <f>VLOOKUP(T340,Sheet3!$C$3:$F$16,2,)</f>
        <v>Wirawan Bazikho</v>
      </c>
      <c r="W340" s="61" t="str">
        <f>VLOOKUP(T340,Sheet3!$C$3:$F$16,4,)</f>
        <v>082166714290</v>
      </c>
      <c r="X340" s="61" t="str">
        <f>VLOOKUP(T340,Sheet3!$C$3:$F$16,3,)</f>
        <v>Jl. Diponegoro No. 87, Kel Pasar Telukdalam - Nias Selatan</v>
      </c>
    </row>
    <row r="341" spans="2:24" ht="37.5">
      <c r="B341" s="753">
        <v>26</v>
      </c>
      <c r="C341" s="754" t="s">
        <v>3785</v>
      </c>
      <c r="D341" s="756" t="s">
        <v>3786</v>
      </c>
      <c r="E341" s="297"/>
      <c r="G341" s="731">
        <v>335</v>
      </c>
      <c r="I341" s="729">
        <f t="shared" si="25"/>
        <v>335</v>
      </c>
      <c r="L341" s="754" t="s">
        <v>3815</v>
      </c>
      <c r="M341" s="754" t="s">
        <v>3861</v>
      </c>
      <c r="N341" s="755">
        <v>3</v>
      </c>
      <c r="O341" s="382" t="s">
        <v>2436</v>
      </c>
      <c r="P341" s="644">
        <v>750000</v>
      </c>
      <c r="Q341" s="644">
        <v>2250000</v>
      </c>
      <c r="R341" s="758"/>
      <c r="S341" s="759">
        <v>4</v>
      </c>
      <c r="T341" s="61" t="s">
        <v>3878</v>
      </c>
      <c r="V341" s="61" t="str">
        <f>VLOOKUP(T341,Sheet3!$C$3:$F$16,2,)</f>
        <v>Wirawan Bazikho</v>
      </c>
      <c r="W341" s="61" t="str">
        <f>VLOOKUP(T341,Sheet3!$C$3:$F$16,4,)</f>
        <v>082166714290</v>
      </c>
      <c r="X341" s="61" t="str">
        <f>VLOOKUP(T341,Sheet3!$C$3:$F$16,3,)</f>
        <v>Jl. Diponegoro No. 87, Kel Pasar Telukdalam - Nias Selatan</v>
      </c>
    </row>
    <row r="342" spans="2:24" ht="37.5">
      <c r="B342" s="753">
        <v>27</v>
      </c>
      <c r="C342" s="754" t="s">
        <v>3785</v>
      </c>
      <c r="D342" s="756" t="s">
        <v>3786</v>
      </c>
      <c r="E342" s="297"/>
      <c r="G342" s="731">
        <v>336</v>
      </c>
      <c r="I342" s="729">
        <f t="shared" si="25"/>
        <v>336</v>
      </c>
      <c r="L342" s="754" t="s">
        <v>3808</v>
      </c>
      <c r="M342" s="754" t="s">
        <v>3862</v>
      </c>
      <c r="N342" s="755">
        <v>1</v>
      </c>
      <c r="O342" s="382" t="s">
        <v>608</v>
      </c>
      <c r="P342" s="644">
        <v>1800000</v>
      </c>
      <c r="Q342" s="644">
        <v>1800000</v>
      </c>
      <c r="R342" s="758"/>
      <c r="S342" s="759">
        <v>4</v>
      </c>
      <c r="V342" s="61" t="e">
        <f>VLOOKUP(T342,Sheet3!$C$3:$F$16,2,)</f>
        <v>#N/A</v>
      </c>
      <c r="W342" s="61" t="e">
        <f>VLOOKUP(T342,Sheet3!$C$3:$F$16,4,)</f>
        <v>#N/A</v>
      </c>
      <c r="X342" s="61" t="e">
        <f>VLOOKUP(T342,Sheet3!$C$3:$F$16,3,)</f>
        <v>#N/A</v>
      </c>
    </row>
    <row r="343" spans="2:24" ht="37.5">
      <c r="B343" s="753">
        <v>28</v>
      </c>
      <c r="C343" s="754" t="s">
        <v>3785</v>
      </c>
      <c r="D343" s="756" t="s">
        <v>3786</v>
      </c>
      <c r="E343" s="297"/>
      <c r="G343" s="731">
        <v>337</v>
      </c>
      <c r="I343" s="729">
        <f t="shared" si="25"/>
        <v>337</v>
      </c>
      <c r="L343" s="754" t="s">
        <v>3817</v>
      </c>
      <c r="M343" s="754" t="s">
        <v>3862</v>
      </c>
      <c r="N343" s="755">
        <v>1</v>
      </c>
      <c r="O343" s="382" t="s">
        <v>608</v>
      </c>
      <c r="P343" s="644">
        <v>2000000</v>
      </c>
      <c r="Q343" s="644">
        <v>2000000</v>
      </c>
      <c r="R343" s="758"/>
      <c r="S343" s="759">
        <v>4</v>
      </c>
      <c r="V343" s="61" t="e">
        <f>VLOOKUP(T343,Sheet3!$C$3:$F$16,2,)</f>
        <v>#N/A</v>
      </c>
      <c r="W343" s="61" t="e">
        <f>VLOOKUP(T343,Sheet3!$C$3:$F$16,4,)</f>
        <v>#N/A</v>
      </c>
      <c r="X343" s="61" t="e">
        <f>VLOOKUP(T343,Sheet3!$C$3:$F$16,3,)</f>
        <v>#N/A</v>
      </c>
    </row>
    <row r="344" spans="2:24" ht="37.5">
      <c r="B344" s="753">
        <v>30</v>
      </c>
      <c r="C344" s="754" t="s">
        <v>3780</v>
      </c>
      <c r="D344" s="756" t="s">
        <v>3781</v>
      </c>
      <c r="E344" s="297"/>
      <c r="G344" s="731">
        <v>338</v>
      </c>
      <c r="I344" s="729">
        <f t="shared" si="25"/>
        <v>338</v>
      </c>
      <c r="L344" s="754" t="s">
        <v>2286</v>
      </c>
      <c r="M344" s="754" t="str">
        <f>L344</f>
        <v>bola lampu hannock-45 watt</v>
      </c>
      <c r="N344" s="755">
        <v>23</v>
      </c>
      <c r="O344" s="382" t="s">
        <v>2436</v>
      </c>
      <c r="P344" s="644">
        <v>77800</v>
      </c>
      <c r="Q344" s="644">
        <v>1789400</v>
      </c>
      <c r="R344" s="758"/>
      <c r="S344" s="759">
        <v>4</v>
      </c>
      <c r="T344" s="61" t="s">
        <v>3878</v>
      </c>
      <c r="V344" s="61" t="str">
        <f>VLOOKUP(T344,Sheet3!$C$3:$F$16,2,)</f>
        <v>Wirawan Bazikho</v>
      </c>
      <c r="W344" s="61" t="str">
        <f>VLOOKUP(T344,Sheet3!$C$3:$F$16,4,)</f>
        <v>082166714290</v>
      </c>
      <c r="X344" s="61" t="str">
        <f>VLOOKUP(T344,Sheet3!$C$3:$F$16,3,)</f>
        <v>Jl. Diponegoro No. 87, Kel Pasar Telukdalam - Nias Selatan</v>
      </c>
    </row>
    <row r="345" spans="2:24" ht="37.5">
      <c r="B345" s="753">
        <v>34</v>
      </c>
      <c r="C345" s="754" t="s">
        <v>3782</v>
      </c>
      <c r="D345" s="756" t="s">
        <v>3836</v>
      </c>
      <c r="E345" s="297"/>
      <c r="G345" s="731">
        <v>339</v>
      </c>
      <c r="I345" s="729">
        <f t="shared" si="25"/>
        <v>339</v>
      </c>
      <c r="L345" s="754" t="s">
        <v>2297</v>
      </c>
      <c r="M345" s="754" t="s">
        <v>3845</v>
      </c>
      <c r="N345" s="755">
        <v>60</v>
      </c>
      <c r="O345" s="382" t="s">
        <v>2436</v>
      </c>
      <c r="P345" s="644">
        <v>15000</v>
      </c>
      <c r="Q345" s="644">
        <v>900000</v>
      </c>
      <c r="R345" s="758"/>
      <c r="S345" s="759">
        <v>4</v>
      </c>
      <c r="T345" s="736" t="s">
        <v>10</v>
      </c>
      <c r="V345" s="61" t="str">
        <f>VLOOKUP(T345,Sheet3!$C$3:$F$16,2,)</f>
        <v>Fudi Supiyanto</v>
      </c>
      <c r="W345" s="61" t="str">
        <f>VLOOKUP(T345,Sheet3!$C$3:$F$16,4,)</f>
        <v>082164895397</v>
      </c>
      <c r="X345" s="61" t="str">
        <f>VLOOKUP(T345,Sheet3!$C$3:$F$16,3,)</f>
        <v>Jln Ahmad Yani No.89 Kel. Pasar Telukdalam, Nias Selatan</v>
      </c>
    </row>
    <row r="346" spans="2:24" ht="37.5">
      <c r="B346" s="753">
        <v>36</v>
      </c>
      <c r="C346" s="754" t="s">
        <v>3789</v>
      </c>
      <c r="D346" s="756" t="s">
        <v>3790</v>
      </c>
      <c r="E346" s="297"/>
      <c r="G346" s="731">
        <v>340</v>
      </c>
      <c r="I346" s="729">
        <f t="shared" si="25"/>
        <v>340</v>
      </c>
      <c r="L346" s="754" t="s">
        <v>259</v>
      </c>
      <c r="M346" s="754" t="str">
        <f>L346</f>
        <v>Plastik Mika</v>
      </c>
      <c r="N346" s="755">
        <v>5</v>
      </c>
      <c r="O346" s="382" t="s">
        <v>229</v>
      </c>
      <c r="P346" s="644">
        <v>60000</v>
      </c>
      <c r="Q346" s="644">
        <v>300000</v>
      </c>
      <c r="R346" s="758"/>
      <c r="S346" s="759">
        <v>4</v>
      </c>
      <c r="T346" s="61" t="s">
        <v>227</v>
      </c>
      <c r="V346" s="61" t="str">
        <f>VLOOKUP(T346,Sheet3!$C$3:$F$16,2,)</f>
        <v>Gestiwan Bazikho</v>
      </c>
      <c r="W346" s="61" t="str">
        <f>VLOOKUP(T346,Sheet3!$C$3:$F$16,4,)</f>
        <v>081375309828</v>
      </c>
      <c r="X346" s="61" t="str">
        <f>VLOOKUP(T346,Sheet3!$C$3:$F$16,3,)</f>
        <v>Jl. Diponegoro Kel. Pasar Telukdalam - Nias Selatan</v>
      </c>
    </row>
    <row r="347" spans="2:24" ht="37.5">
      <c r="B347" s="753">
        <v>37</v>
      </c>
      <c r="C347" s="754" t="s">
        <v>3789</v>
      </c>
      <c r="D347" s="756" t="s">
        <v>3790</v>
      </c>
      <c r="E347" s="297"/>
      <c r="G347" s="731">
        <v>341</v>
      </c>
      <c r="I347" s="729">
        <f t="shared" si="25"/>
        <v>341</v>
      </c>
      <c r="L347" s="754" t="s">
        <v>251</v>
      </c>
      <c r="M347" s="754" t="str">
        <f t="shared" ref="M347:M398" si="26">L347</f>
        <v>Kertas Warna Blank Folio, Ukuran : 8,5 x 14",  70 gram</v>
      </c>
      <c r="N347" s="755">
        <v>2</v>
      </c>
      <c r="O347" s="382" t="s">
        <v>3791</v>
      </c>
      <c r="P347" s="644">
        <v>90000</v>
      </c>
      <c r="Q347" s="644">
        <v>180000</v>
      </c>
      <c r="R347" s="758"/>
      <c r="S347" s="759">
        <v>4</v>
      </c>
      <c r="T347" s="61" t="s">
        <v>227</v>
      </c>
      <c r="V347" s="61" t="str">
        <f>VLOOKUP(T347,Sheet3!$C$3:$F$16,2,)</f>
        <v>Gestiwan Bazikho</v>
      </c>
      <c r="W347" s="61" t="str">
        <f>VLOOKUP(T347,Sheet3!$C$3:$F$16,4,)</f>
        <v>081375309828</v>
      </c>
      <c r="X347" s="61" t="str">
        <f>VLOOKUP(T347,Sheet3!$C$3:$F$16,3,)</f>
        <v>Jl. Diponegoro Kel. Pasar Telukdalam - Nias Selatan</v>
      </c>
    </row>
    <row r="348" spans="2:24" ht="37.5">
      <c r="B348" s="753">
        <v>38</v>
      </c>
      <c r="C348" s="754" t="s">
        <v>3789</v>
      </c>
      <c r="D348" s="756" t="s">
        <v>3790</v>
      </c>
      <c r="E348" s="297"/>
      <c r="G348" s="731">
        <v>342</v>
      </c>
      <c r="I348" s="729">
        <f t="shared" si="25"/>
        <v>342</v>
      </c>
      <c r="L348" s="754" t="s">
        <v>2237</v>
      </c>
      <c r="M348" s="754" t="str">
        <f t="shared" si="26"/>
        <v>Kertas Lain-Lain Kertas Buffalo</v>
      </c>
      <c r="N348" s="755">
        <v>5</v>
      </c>
      <c r="O348" s="382" t="s">
        <v>229</v>
      </c>
      <c r="P348" s="644">
        <v>31000</v>
      </c>
      <c r="Q348" s="644">
        <v>155000</v>
      </c>
      <c r="R348" s="758"/>
      <c r="S348" s="759">
        <v>4</v>
      </c>
      <c r="T348" s="61" t="s">
        <v>227</v>
      </c>
      <c r="V348" s="61" t="str">
        <f>VLOOKUP(T348,Sheet3!$C$3:$F$16,2,)</f>
        <v>Gestiwan Bazikho</v>
      </c>
      <c r="W348" s="61" t="str">
        <f>VLOOKUP(T348,Sheet3!$C$3:$F$16,4,)</f>
        <v>081375309828</v>
      </c>
      <c r="X348" s="61" t="str">
        <f>VLOOKUP(T348,Sheet3!$C$3:$F$16,3,)</f>
        <v>Jl. Diponegoro Kel. Pasar Telukdalam - Nias Selatan</v>
      </c>
    </row>
    <row r="349" spans="2:24" ht="37.5">
      <c r="B349" s="753">
        <v>39</v>
      </c>
      <c r="C349" s="754" t="s">
        <v>3789</v>
      </c>
      <c r="D349" s="756" t="s">
        <v>3790</v>
      </c>
      <c r="E349" s="297"/>
      <c r="G349" s="731">
        <v>343</v>
      </c>
      <c r="I349" s="729">
        <f t="shared" si="25"/>
        <v>343</v>
      </c>
      <c r="L349" s="754" t="s">
        <v>249</v>
      </c>
      <c r="M349" s="754" t="str">
        <f t="shared" si="26"/>
        <v>Kertas Post-It Warna Warni  Sign Here</v>
      </c>
      <c r="N349" s="755">
        <v>5</v>
      </c>
      <c r="O349" s="382" t="s">
        <v>2436</v>
      </c>
      <c r="P349" s="644">
        <v>22800</v>
      </c>
      <c r="Q349" s="644">
        <v>114000</v>
      </c>
      <c r="R349" s="758"/>
      <c r="S349" s="759">
        <v>4</v>
      </c>
      <c r="T349" s="61" t="s">
        <v>227</v>
      </c>
      <c r="V349" s="61" t="str">
        <f>VLOOKUP(T349,Sheet3!$C$3:$F$16,2,)</f>
        <v>Gestiwan Bazikho</v>
      </c>
      <c r="W349" s="61" t="str">
        <f>VLOOKUP(T349,Sheet3!$C$3:$F$16,4,)</f>
        <v>081375309828</v>
      </c>
      <c r="X349" s="61" t="str">
        <f>VLOOKUP(T349,Sheet3!$C$3:$F$16,3,)</f>
        <v>Jl. Diponegoro Kel. Pasar Telukdalam - Nias Selatan</v>
      </c>
    </row>
    <row r="350" spans="2:24" ht="37.5">
      <c r="B350" s="753">
        <v>40</v>
      </c>
      <c r="C350" s="754" t="s">
        <v>3789</v>
      </c>
      <c r="D350" s="754" t="s">
        <v>3790</v>
      </c>
      <c r="E350" s="297"/>
      <c r="G350" s="731">
        <v>344</v>
      </c>
      <c r="I350" s="729">
        <f t="shared" si="25"/>
        <v>344</v>
      </c>
      <c r="L350" s="754" t="s">
        <v>2261</v>
      </c>
      <c r="M350" s="754" t="str">
        <f t="shared" si="26"/>
        <v>Kertas HVS 60 gram Merk : Paper One HVS F4 uk. 8.27"x11.69"</v>
      </c>
      <c r="N350" s="755">
        <v>10</v>
      </c>
      <c r="O350" s="382" t="s">
        <v>3791</v>
      </c>
      <c r="P350" s="644">
        <v>48500</v>
      </c>
      <c r="Q350" s="644">
        <v>485000</v>
      </c>
      <c r="R350" s="758"/>
      <c r="S350" s="759">
        <v>4</v>
      </c>
      <c r="T350" s="61" t="s">
        <v>227</v>
      </c>
      <c r="V350" s="61" t="str">
        <f>VLOOKUP(T350,Sheet3!$C$3:$F$16,2,)</f>
        <v>Gestiwan Bazikho</v>
      </c>
      <c r="W350" s="61" t="str">
        <f>VLOOKUP(T350,Sheet3!$C$3:$F$16,4,)</f>
        <v>081375309828</v>
      </c>
      <c r="X350" s="61" t="str">
        <f>VLOOKUP(T350,Sheet3!$C$3:$F$16,3,)</f>
        <v>Jl. Diponegoro Kel. Pasar Telukdalam - Nias Selatan</v>
      </c>
    </row>
    <row r="351" spans="2:24" ht="37.5">
      <c r="B351" s="753">
        <v>41</v>
      </c>
      <c r="C351" s="754" t="s">
        <v>3789</v>
      </c>
      <c r="D351" s="754" t="s">
        <v>3790</v>
      </c>
      <c r="E351" s="297"/>
      <c r="G351" s="731">
        <v>345</v>
      </c>
      <c r="I351" s="729">
        <f t="shared" si="25"/>
        <v>345</v>
      </c>
      <c r="L351" s="754" t="s">
        <v>247</v>
      </c>
      <c r="M351" s="754" t="str">
        <f t="shared" si="26"/>
        <v>Kertas HVS 80 gram Merk : Paper One A4, Ukuran : 8,27" x 11,69", Isi : 500 lembar</v>
      </c>
      <c r="N351" s="755">
        <v>40</v>
      </c>
      <c r="O351" s="382" t="s">
        <v>3791</v>
      </c>
      <c r="P351" s="644">
        <v>50000</v>
      </c>
      <c r="Q351" s="644">
        <v>2000000</v>
      </c>
      <c r="R351" s="758"/>
      <c r="S351" s="759">
        <v>4</v>
      </c>
      <c r="T351" s="61" t="s">
        <v>227</v>
      </c>
      <c r="V351" s="61" t="str">
        <f>VLOOKUP(T351,Sheet3!$C$3:$F$16,2,)</f>
        <v>Gestiwan Bazikho</v>
      </c>
      <c r="W351" s="61" t="str">
        <f>VLOOKUP(T351,Sheet3!$C$3:$F$16,4,)</f>
        <v>081375309828</v>
      </c>
      <c r="X351" s="61" t="str">
        <f>VLOOKUP(T351,Sheet3!$C$3:$F$16,3,)</f>
        <v>Jl. Diponegoro Kel. Pasar Telukdalam - Nias Selatan</v>
      </c>
    </row>
    <row r="352" spans="2:24" ht="37.5">
      <c r="B352" s="753">
        <v>42</v>
      </c>
      <c r="C352" s="754" t="s">
        <v>3789</v>
      </c>
      <c r="D352" s="754" t="s">
        <v>3790</v>
      </c>
      <c r="E352" s="297"/>
      <c r="G352" s="731">
        <v>346</v>
      </c>
      <c r="I352" s="729">
        <f t="shared" si="25"/>
        <v>346</v>
      </c>
      <c r="L352" s="754" t="s">
        <v>250</v>
      </c>
      <c r="M352" s="754" t="str">
        <f t="shared" si="26"/>
        <v>Kertas StensiI</v>
      </c>
      <c r="N352" s="755">
        <v>10</v>
      </c>
      <c r="O352" s="382" t="s">
        <v>229</v>
      </c>
      <c r="P352" s="644">
        <v>50000</v>
      </c>
      <c r="Q352" s="644">
        <v>500000</v>
      </c>
      <c r="R352" s="758"/>
      <c r="S352" s="759">
        <v>4</v>
      </c>
      <c r="T352" s="61" t="s">
        <v>227</v>
      </c>
      <c r="V352" s="61" t="str">
        <f>VLOOKUP(T352,Sheet3!$C$3:$F$16,2,)</f>
        <v>Gestiwan Bazikho</v>
      </c>
      <c r="W352" s="61" t="str">
        <f>VLOOKUP(T352,Sheet3!$C$3:$F$16,4,)</f>
        <v>081375309828</v>
      </c>
      <c r="X352" s="61" t="str">
        <f>VLOOKUP(T352,Sheet3!$C$3:$F$16,3,)</f>
        <v>Jl. Diponegoro Kel. Pasar Telukdalam - Nias Selatan</v>
      </c>
    </row>
    <row r="353" spans="2:24" ht="37.5">
      <c r="B353" s="753">
        <v>43</v>
      </c>
      <c r="C353" s="754" t="s">
        <v>3789</v>
      </c>
      <c r="D353" s="754" t="s">
        <v>3790</v>
      </c>
      <c r="E353" s="297"/>
      <c r="G353" s="731">
        <v>347</v>
      </c>
      <c r="I353" s="729">
        <f t="shared" si="25"/>
        <v>347</v>
      </c>
      <c r="L353" s="754" t="s">
        <v>248</v>
      </c>
      <c r="M353" s="754" t="str">
        <f t="shared" si="26"/>
        <v>Kertas Label</v>
      </c>
      <c r="N353" s="755">
        <v>5</v>
      </c>
      <c r="O353" s="382" t="s">
        <v>3788</v>
      </c>
      <c r="P353" s="644">
        <v>25000</v>
      </c>
      <c r="Q353" s="644">
        <v>125000</v>
      </c>
      <c r="R353" s="758"/>
      <c r="S353" s="759">
        <v>4</v>
      </c>
      <c r="T353" s="61" t="s">
        <v>227</v>
      </c>
      <c r="V353" s="61" t="str">
        <f>VLOOKUP(T353,Sheet3!$C$3:$F$16,2,)</f>
        <v>Gestiwan Bazikho</v>
      </c>
      <c r="W353" s="61" t="str">
        <f>VLOOKUP(T353,Sheet3!$C$3:$F$16,4,)</f>
        <v>081375309828</v>
      </c>
      <c r="X353" s="61" t="str">
        <f>VLOOKUP(T353,Sheet3!$C$3:$F$16,3,)</f>
        <v>Jl. Diponegoro Kel. Pasar Telukdalam - Nias Selatan</v>
      </c>
    </row>
    <row r="354" spans="2:24" ht="37.5">
      <c r="B354" s="753">
        <v>44</v>
      </c>
      <c r="C354" s="754" t="s">
        <v>3789</v>
      </c>
      <c r="D354" s="754" t="s">
        <v>3790</v>
      </c>
      <c r="E354" s="297"/>
      <c r="G354" s="731">
        <v>348</v>
      </c>
      <c r="I354" s="729">
        <f t="shared" si="25"/>
        <v>348</v>
      </c>
      <c r="L354" s="754" t="s">
        <v>230</v>
      </c>
      <c r="M354" s="754" t="str">
        <f t="shared" si="26"/>
        <v>Amplop Coklat Merk : GSU Ukuran : 1/2 folio, bergaris</v>
      </c>
      <c r="N354" s="755">
        <v>1</v>
      </c>
      <c r="O354" s="382" t="s">
        <v>229</v>
      </c>
      <c r="P354" s="644">
        <v>45000</v>
      </c>
      <c r="Q354" s="644">
        <v>45000</v>
      </c>
      <c r="R354" s="758"/>
      <c r="S354" s="759">
        <v>4</v>
      </c>
      <c r="T354" s="61" t="s">
        <v>227</v>
      </c>
      <c r="V354" s="61" t="str">
        <f>VLOOKUP(T354,Sheet3!$C$3:$F$16,2,)</f>
        <v>Gestiwan Bazikho</v>
      </c>
      <c r="W354" s="61" t="str">
        <f>VLOOKUP(T354,Sheet3!$C$3:$F$16,4,)</f>
        <v>081375309828</v>
      </c>
      <c r="X354" s="61" t="str">
        <f>VLOOKUP(T354,Sheet3!$C$3:$F$16,3,)</f>
        <v>Jl. Diponegoro Kel. Pasar Telukdalam - Nias Selatan</v>
      </c>
    </row>
    <row r="355" spans="2:24" ht="37.5">
      <c r="B355" s="753">
        <v>45</v>
      </c>
      <c r="C355" s="754" t="s">
        <v>3789</v>
      </c>
      <c r="D355" s="754" t="s">
        <v>3790</v>
      </c>
      <c r="E355" s="297"/>
      <c r="G355" s="731">
        <v>349</v>
      </c>
      <c r="I355" s="729">
        <f t="shared" si="25"/>
        <v>349</v>
      </c>
      <c r="L355" s="754" t="s">
        <v>228</v>
      </c>
      <c r="M355" s="754" t="str">
        <f t="shared" si="26"/>
        <v>Amplop Coklat Merk : Garda Ukuran Cabinet</v>
      </c>
      <c r="N355" s="755">
        <v>3</v>
      </c>
      <c r="O355" s="382" t="s">
        <v>229</v>
      </c>
      <c r="P355" s="644">
        <v>23000</v>
      </c>
      <c r="Q355" s="644">
        <v>69000</v>
      </c>
      <c r="R355" s="758"/>
      <c r="S355" s="759">
        <v>4</v>
      </c>
      <c r="T355" s="61" t="s">
        <v>227</v>
      </c>
      <c r="V355" s="61" t="str">
        <f>VLOOKUP(T355,Sheet3!$C$3:$F$16,2,)</f>
        <v>Gestiwan Bazikho</v>
      </c>
      <c r="W355" s="61" t="str">
        <f>VLOOKUP(T355,Sheet3!$C$3:$F$16,4,)</f>
        <v>081375309828</v>
      </c>
      <c r="X355" s="61" t="str">
        <f>VLOOKUP(T355,Sheet3!$C$3:$F$16,3,)</f>
        <v>Jl. Diponegoro Kel. Pasar Telukdalam - Nias Selatan</v>
      </c>
    </row>
    <row r="356" spans="2:24" ht="37.5">
      <c r="B356" s="753">
        <v>46</v>
      </c>
      <c r="C356" s="754" t="s">
        <v>3789</v>
      </c>
      <c r="D356" s="754" t="s">
        <v>3790</v>
      </c>
      <c r="E356" s="297"/>
      <c r="G356" s="731">
        <v>350</v>
      </c>
      <c r="I356" s="729">
        <f t="shared" si="25"/>
        <v>350</v>
      </c>
      <c r="L356" s="754" t="s">
        <v>2235</v>
      </c>
      <c r="M356" s="754" t="str">
        <f t="shared" si="26"/>
        <v>Amplop Coklat Merk : GSU Ukuran Folio polos</v>
      </c>
      <c r="N356" s="755">
        <v>2</v>
      </c>
      <c r="O356" s="382" t="s">
        <v>229</v>
      </c>
      <c r="P356" s="644">
        <v>60000</v>
      </c>
      <c r="Q356" s="644">
        <v>120000</v>
      </c>
      <c r="R356" s="758"/>
      <c r="S356" s="759">
        <v>4</v>
      </c>
      <c r="T356" s="61" t="s">
        <v>227</v>
      </c>
      <c r="V356" s="61" t="str">
        <f>VLOOKUP(T356,Sheet3!$C$3:$F$16,2,)</f>
        <v>Gestiwan Bazikho</v>
      </c>
      <c r="W356" s="61" t="str">
        <f>VLOOKUP(T356,Sheet3!$C$3:$F$16,4,)</f>
        <v>081375309828</v>
      </c>
      <c r="X356" s="61" t="str">
        <f>VLOOKUP(T356,Sheet3!$C$3:$F$16,3,)</f>
        <v>Jl. Diponegoro Kel. Pasar Telukdalam - Nias Selatan</v>
      </c>
    </row>
    <row r="357" spans="2:24" ht="37.5">
      <c r="B357" s="753">
        <v>47</v>
      </c>
      <c r="C357" s="754" t="s">
        <v>3789</v>
      </c>
      <c r="D357" s="754" t="s">
        <v>3790</v>
      </c>
      <c r="E357" s="297"/>
      <c r="G357" s="731">
        <v>351</v>
      </c>
      <c r="I357" s="729">
        <f t="shared" si="25"/>
        <v>351</v>
      </c>
      <c r="L357" s="754" t="s">
        <v>2247</v>
      </c>
      <c r="M357" s="754" t="str">
        <f t="shared" si="26"/>
        <v>Amplop Panjang Putih Polos Merk : Jaya Ukuran : 11 x 23 cm</v>
      </c>
      <c r="N357" s="755">
        <v>1</v>
      </c>
      <c r="O357" s="382" t="s">
        <v>231</v>
      </c>
      <c r="P357" s="644">
        <v>48000</v>
      </c>
      <c r="Q357" s="644">
        <v>48000</v>
      </c>
      <c r="R357" s="758"/>
      <c r="S357" s="759">
        <v>4</v>
      </c>
      <c r="T357" s="61" t="s">
        <v>227</v>
      </c>
      <c r="V357" s="61" t="str">
        <f>VLOOKUP(T357,Sheet3!$C$3:$F$16,2,)</f>
        <v>Gestiwan Bazikho</v>
      </c>
      <c r="W357" s="61" t="str">
        <f>VLOOKUP(T357,Sheet3!$C$3:$F$16,4,)</f>
        <v>081375309828</v>
      </c>
      <c r="X357" s="61" t="str">
        <f>VLOOKUP(T357,Sheet3!$C$3:$F$16,3,)</f>
        <v>Jl. Diponegoro Kel. Pasar Telukdalam - Nias Selatan</v>
      </c>
    </row>
    <row r="358" spans="2:24" ht="37.5">
      <c r="B358" s="753">
        <v>48</v>
      </c>
      <c r="C358" s="754" t="s">
        <v>3789</v>
      </c>
      <c r="D358" s="754" t="s">
        <v>3790</v>
      </c>
      <c r="E358" s="297"/>
      <c r="G358" s="731">
        <v>352</v>
      </c>
      <c r="I358" s="729">
        <f t="shared" si="25"/>
        <v>352</v>
      </c>
      <c r="L358" s="754" t="s">
        <v>233</v>
      </c>
      <c r="M358" s="754" t="str">
        <f t="shared" si="26"/>
        <v>Ballpoint Drawing Pen 0,1 Snowman</v>
      </c>
      <c r="N358" s="755">
        <v>1</v>
      </c>
      <c r="O358" s="382" t="s">
        <v>232</v>
      </c>
      <c r="P358" s="644">
        <v>95000</v>
      </c>
      <c r="Q358" s="644">
        <v>95000</v>
      </c>
      <c r="R358" s="758"/>
      <c r="S358" s="759">
        <v>4</v>
      </c>
      <c r="T358" s="61" t="s">
        <v>227</v>
      </c>
      <c r="V358" s="61" t="str">
        <f>VLOOKUP(T358,Sheet3!$C$3:$F$16,2,)</f>
        <v>Gestiwan Bazikho</v>
      </c>
      <c r="W358" s="61" t="str">
        <f>VLOOKUP(T358,Sheet3!$C$3:$F$16,4,)</f>
        <v>081375309828</v>
      </c>
      <c r="X358" s="61" t="str">
        <f>VLOOKUP(T358,Sheet3!$C$3:$F$16,3,)</f>
        <v>Jl. Diponegoro Kel. Pasar Telukdalam - Nias Selatan</v>
      </c>
    </row>
    <row r="359" spans="2:24" ht="37.5">
      <c r="B359" s="753">
        <v>49</v>
      </c>
      <c r="C359" s="754" t="s">
        <v>3789</v>
      </c>
      <c r="D359" s="754" t="s">
        <v>3790</v>
      </c>
      <c r="E359" s="297"/>
      <c r="G359" s="731">
        <v>353</v>
      </c>
      <c r="I359" s="729">
        <f t="shared" si="25"/>
        <v>353</v>
      </c>
      <c r="L359" s="754" t="s">
        <v>2256</v>
      </c>
      <c r="M359" s="754" t="str">
        <f t="shared" si="26"/>
        <v>Ballpoint Standard AE7</v>
      </c>
      <c r="N359" s="755">
        <v>2</v>
      </c>
      <c r="O359" s="382" t="s">
        <v>232</v>
      </c>
      <c r="P359" s="644">
        <v>20000</v>
      </c>
      <c r="Q359" s="644">
        <v>40000</v>
      </c>
      <c r="R359" s="758"/>
      <c r="S359" s="759">
        <v>4</v>
      </c>
      <c r="T359" s="61" t="s">
        <v>227</v>
      </c>
      <c r="V359" s="61" t="str">
        <f>VLOOKUP(T359,Sheet3!$C$3:$F$16,2,)</f>
        <v>Gestiwan Bazikho</v>
      </c>
      <c r="W359" s="61" t="str">
        <f>VLOOKUP(T359,Sheet3!$C$3:$F$16,4,)</f>
        <v>081375309828</v>
      </c>
      <c r="X359" s="61" t="str">
        <f>VLOOKUP(T359,Sheet3!$C$3:$F$16,3,)</f>
        <v>Jl. Diponegoro Kel. Pasar Telukdalam - Nias Selatan</v>
      </c>
    </row>
    <row r="360" spans="2:24" ht="37.5">
      <c r="B360" s="753">
        <v>50</v>
      </c>
      <c r="C360" s="754" t="s">
        <v>3789</v>
      </c>
      <c r="D360" s="754" t="s">
        <v>3790</v>
      </c>
      <c r="E360" s="297"/>
      <c r="G360" s="731">
        <v>354</v>
      </c>
      <c r="I360" s="729">
        <f t="shared" si="25"/>
        <v>354</v>
      </c>
      <c r="L360" s="754" t="s">
        <v>234</v>
      </c>
      <c r="M360" s="754" t="str">
        <f t="shared" si="26"/>
        <v>Ballpoint Pilot G2</v>
      </c>
      <c r="N360" s="755">
        <v>1</v>
      </c>
      <c r="O360" s="382" t="s">
        <v>232</v>
      </c>
      <c r="P360" s="644">
        <v>235000</v>
      </c>
      <c r="Q360" s="644">
        <v>235000</v>
      </c>
      <c r="R360" s="758"/>
      <c r="S360" s="759">
        <v>4</v>
      </c>
      <c r="T360" s="61" t="s">
        <v>227</v>
      </c>
      <c r="V360" s="61" t="str">
        <f>VLOOKUP(T360,Sheet3!$C$3:$F$16,2,)</f>
        <v>Gestiwan Bazikho</v>
      </c>
      <c r="W360" s="61" t="str">
        <f>VLOOKUP(T360,Sheet3!$C$3:$F$16,4,)</f>
        <v>081375309828</v>
      </c>
      <c r="X360" s="61" t="str">
        <f>VLOOKUP(T360,Sheet3!$C$3:$F$16,3,)</f>
        <v>Jl. Diponegoro Kel. Pasar Telukdalam - Nias Selatan</v>
      </c>
    </row>
    <row r="361" spans="2:24" ht="37.5">
      <c r="B361" s="753">
        <v>51</v>
      </c>
      <c r="C361" s="754" t="s">
        <v>3789</v>
      </c>
      <c r="D361" s="754" t="s">
        <v>3790</v>
      </c>
      <c r="E361" s="297"/>
      <c r="G361" s="731">
        <v>355</v>
      </c>
      <c r="I361" s="729">
        <f t="shared" si="25"/>
        <v>355</v>
      </c>
      <c r="L361" s="754" t="s">
        <v>237</v>
      </c>
      <c r="M361" s="754" t="str">
        <f t="shared" si="26"/>
        <v>Binder Klip  nomor 107</v>
      </c>
      <c r="N361" s="755">
        <v>5</v>
      </c>
      <c r="O361" s="382" t="s">
        <v>231</v>
      </c>
      <c r="P361" s="644">
        <v>7800</v>
      </c>
      <c r="Q361" s="644">
        <v>39000</v>
      </c>
      <c r="R361" s="758"/>
      <c r="S361" s="759">
        <v>4</v>
      </c>
      <c r="T361" s="61" t="s">
        <v>227</v>
      </c>
      <c r="V361" s="61" t="str">
        <f>VLOOKUP(T361,Sheet3!$C$3:$F$16,2,)</f>
        <v>Gestiwan Bazikho</v>
      </c>
      <c r="W361" s="61" t="str">
        <f>VLOOKUP(T361,Sheet3!$C$3:$F$16,4,)</f>
        <v>081375309828</v>
      </c>
      <c r="X361" s="61" t="str">
        <f>VLOOKUP(T361,Sheet3!$C$3:$F$16,3,)</f>
        <v>Jl. Diponegoro Kel. Pasar Telukdalam - Nias Selatan</v>
      </c>
    </row>
    <row r="362" spans="2:24" ht="37.5">
      <c r="B362" s="753">
        <v>52</v>
      </c>
      <c r="C362" s="754" t="s">
        <v>3789</v>
      </c>
      <c r="D362" s="754" t="s">
        <v>3790</v>
      </c>
      <c r="E362" s="297"/>
      <c r="G362" s="731">
        <v>356</v>
      </c>
      <c r="I362" s="729">
        <f t="shared" si="25"/>
        <v>356</v>
      </c>
      <c r="L362" s="754" t="s">
        <v>238</v>
      </c>
      <c r="M362" s="754" t="str">
        <f t="shared" si="26"/>
        <v>Binder Klip  nomor 111</v>
      </c>
      <c r="N362" s="755">
        <v>5</v>
      </c>
      <c r="O362" s="382" t="s">
        <v>231</v>
      </c>
      <c r="P362" s="644">
        <v>11000</v>
      </c>
      <c r="Q362" s="644">
        <v>55000</v>
      </c>
      <c r="R362" s="758"/>
      <c r="S362" s="759">
        <v>4</v>
      </c>
      <c r="T362" s="61" t="s">
        <v>227</v>
      </c>
      <c r="V362" s="61" t="str">
        <f>VLOOKUP(T362,Sheet3!$C$3:$F$16,2,)</f>
        <v>Gestiwan Bazikho</v>
      </c>
      <c r="W362" s="61" t="str">
        <f>VLOOKUP(T362,Sheet3!$C$3:$F$16,4,)</f>
        <v>081375309828</v>
      </c>
      <c r="X362" s="61" t="str">
        <f>VLOOKUP(T362,Sheet3!$C$3:$F$16,3,)</f>
        <v>Jl. Diponegoro Kel. Pasar Telukdalam - Nias Selatan</v>
      </c>
    </row>
    <row r="363" spans="2:24" ht="37.5">
      <c r="B363" s="753">
        <v>53</v>
      </c>
      <c r="C363" s="754" t="s">
        <v>3789</v>
      </c>
      <c r="D363" s="754" t="s">
        <v>3790</v>
      </c>
      <c r="E363" s="297"/>
      <c r="G363" s="731">
        <v>357</v>
      </c>
      <c r="I363" s="729">
        <f t="shared" si="25"/>
        <v>357</v>
      </c>
      <c r="L363" s="754" t="s">
        <v>239</v>
      </c>
      <c r="M363" s="754" t="str">
        <f t="shared" si="26"/>
        <v>Binder Klip  nomor 200</v>
      </c>
      <c r="N363" s="755">
        <v>10</v>
      </c>
      <c r="O363" s="382" t="s">
        <v>231</v>
      </c>
      <c r="P363" s="644">
        <v>16500</v>
      </c>
      <c r="Q363" s="644">
        <v>165000</v>
      </c>
      <c r="R363" s="758"/>
      <c r="S363" s="759">
        <v>4</v>
      </c>
      <c r="T363" s="61" t="s">
        <v>227</v>
      </c>
      <c r="V363" s="61" t="str">
        <f>VLOOKUP(T363,Sheet3!$C$3:$F$16,2,)</f>
        <v>Gestiwan Bazikho</v>
      </c>
      <c r="W363" s="61" t="str">
        <f>VLOOKUP(T363,Sheet3!$C$3:$F$16,4,)</f>
        <v>081375309828</v>
      </c>
      <c r="X363" s="61" t="str">
        <f>VLOOKUP(T363,Sheet3!$C$3:$F$16,3,)</f>
        <v>Jl. Diponegoro Kel. Pasar Telukdalam - Nias Selatan</v>
      </c>
    </row>
    <row r="364" spans="2:24" ht="37.5">
      <c r="B364" s="753">
        <v>54</v>
      </c>
      <c r="C364" s="754" t="s">
        <v>3789</v>
      </c>
      <c r="D364" s="754" t="s">
        <v>3790</v>
      </c>
      <c r="E364" s="297"/>
      <c r="G364" s="731">
        <v>358</v>
      </c>
      <c r="I364" s="729">
        <f t="shared" si="25"/>
        <v>358</v>
      </c>
      <c r="L364" s="754" t="s">
        <v>240</v>
      </c>
      <c r="M364" s="754" t="str">
        <f t="shared" si="26"/>
        <v>Binder Klip  nomor 260</v>
      </c>
      <c r="N364" s="755">
        <v>10</v>
      </c>
      <c r="O364" s="382" t="s">
        <v>231</v>
      </c>
      <c r="P364" s="644">
        <v>20000</v>
      </c>
      <c r="Q364" s="644">
        <v>200000</v>
      </c>
      <c r="R364" s="758"/>
      <c r="S364" s="759">
        <v>4</v>
      </c>
      <c r="T364" s="61" t="s">
        <v>227</v>
      </c>
      <c r="V364" s="61" t="str">
        <f>VLOOKUP(T364,Sheet3!$C$3:$F$16,2,)</f>
        <v>Gestiwan Bazikho</v>
      </c>
      <c r="W364" s="61" t="str">
        <f>VLOOKUP(T364,Sheet3!$C$3:$F$16,4,)</f>
        <v>081375309828</v>
      </c>
      <c r="X364" s="61" t="str">
        <f>VLOOKUP(T364,Sheet3!$C$3:$F$16,3,)</f>
        <v>Jl. Diponegoro Kel. Pasar Telukdalam - Nias Selatan</v>
      </c>
    </row>
    <row r="365" spans="2:24" ht="37.5">
      <c r="B365" s="753">
        <v>55</v>
      </c>
      <c r="C365" s="754" t="s">
        <v>3789</v>
      </c>
      <c r="D365" s="754" t="s">
        <v>3790</v>
      </c>
      <c r="E365" s="297"/>
      <c r="G365" s="731">
        <v>359</v>
      </c>
      <c r="I365" s="729">
        <f t="shared" si="25"/>
        <v>359</v>
      </c>
      <c r="L365" s="754" t="s">
        <v>241</v>
      </c>
      <c r="M365" s="754" t="str">
        <f t="shared" si="26"/>
        <v>Binder Klip Merk : KENKO nomor 105</v>
      </c>
      <c r="N365" s="755">
        <v>2</v>
      </c>
      <c r="O365" s="382" t="s">
        <v>231</v>
      </c>
      <c r="P365" s="644">
        <v>5000</v>
      </c>
      <c r="Q365" s="644">
        <v>10000</v>
      </c>
      <c r="R365" s="758"/>
      <c r="S365" s="759">
        <v>4</v>
      </c>
      <c r="T365" s="61" t="s">
        <v>227</v>
      </c>
      <c r="V365" s="61" t="str">
        <f>VLOOKUP(T365,Sheet3!$C$3:$F$16,2,)</f>
        <v>Gestiwan Bazikho</v>
      </c>
      <c r="W365" s="61" t="str">
        <f>VLOOKUP(T365,Sheet3!$C$3:$F$16,4,)</f>
        <v>081375309828</v>
      </c>
      <c r="X365" s="61" t="str">
        <f>VLOOKUP(T365,Sheet3!$C$3:$F$16,3,)</f>
        <v>Jl. Diponegoro Kel. Pasar Telukdalam - Nias Selatan</v>
      </c>
    </row>
    <row r="366" spans="2:24" ht="37.5">
      <c r="B366" s="753">
        <v>56</v>
      </c>
      <c r="C366" s="754" t="s">
        <v>3789</v>
      </c>
      <c r="D366" s="754" t="s">
        <v>3790</v>
      </c>
      <c r="E366" s="297"/>
      <c r="G366" s="731">
        <v>360</v>
      </c>
      <c r="I366" s="729">
        <f t="shared" si="25"/>
        <v>360</v>
      </c>
      <c r="L366" s="754" t="s">
        <v>254</v>
      </c>
      <c r="M366" s="754" t="str">
        <f t="shared" si="26"/>
        <v>Map Binder</v>
      </c>
      <c r="N366" s="755">
        <v>12</v>
      </c>
      <c r="O366" s="382" t="s">
        <v>2436</v>
      </c>
      <c r="P366" s="644">
        <v>35500</v>
      </c>
      <c r="Q366" s="644">
        <v>426000</v>
      </c>
      <c r="R366" s="758"/>
      <c r="S366" s="759">
        <v>4</v>
      </c>
      <c r="T366" s="61" t="s">
        <v>227</v>
      </c>
      <c r="V366" s="61" t="str">
        <f>VLOOKUP(T366,Sheet3!$C$3:$F$16,2,)</f>
        <v>Gestiwan Bazikho</v>
      </c>
      <c r="W366" s="61" t="str">
        <f>VLOOKUP(T366,Sheet3!$C$3:$F$16,4,)</f>
        <v>081375309828</v>
      </c>
      <c r="X366" s="61" t="str">
        <f>VLOOKUP(T366,Sheet3!$C$3:$F$16,3,)</f>
        <v>Jl. Diponegoro Kel. Pasar Telukdalam - Nias Selatan</v>
      </c>
    </row>
    <row r="367" spans="2:24" ht="37.5">
      <c r="B367" s="753">
        <v>57</v>
      </c>
      <c r="C367" s="754" t="s">
        <v>3789</v>
      </c>
      <c r="D367" s="754" t="s">
        <v>3790</v>
      </c>
      <c r="E367" s="297"/>
      <c r="G367" s="731">
        <v>361</v>
      </c>
      <c r="I367" s="729">
        <f t="shared" si="25"/>
        <v>361</v>
      </c>
      <c r="L367" s="754" t="s">
        <v>263</v>
      </c>
      <c r="M367" s="754" t="str">
        <f t="shared" si="26"/>
        <v>Stofmap Kertas</v>
      </c>
      <c r="N367" s="755">
        <v>1</v>
      </c>
      <c r="O367" s="382" t="s">
        <v>3792</v>
      </c>
      <c r="P367" s="644">
        <v>88000</v>
      </c>
      <c r="Q367" s="644">
        <v>88000</v>
      </c>
      <c r="R367" s="758"/>
      <c r="S367" s="759">
        <v>4</v>
      </c>
      <c r="T367" s="61" t="s">
        <v>227</v>
      </c>
      <c r="V367" s="61" t="str">
        <f>VLOOKUP(T367,Sheet3!$C$3:$F$16,2,)</f>
        <v>Gestiwan Bazikho</v>
      </c>
      <c r="W367" s="61" t="str">
        <f>VLOOKUP(T367,Sheet3!$C$3:$F$16,4,)</f>
        <v>081375309828</v>
      </c>
      <c r="X367" s="61" t="str">
        <f>VLOOKUP(T367,Sheet3!$C$3:$F$16,3,)</f>
        <v>Jl. Diponegoro Kel. Pasar Telukdalam - Nias Selatan</v>
      </c>
    </row>
    <row r="368" spans="2:24" ht="37.5">
      <c r="B368" s="753">
        <v>58</v>
      </c>
      <c r="C368" s="754" t="s">
        <v>3789</v>
      </c>
      <c r="D368" s="754" t="s">
        <v>3790</v>
      </c>
      <c r="E368" s="297"/>
      <c r="G368" s="731">
        <v>362</v>
      </c>
      <c r="I368" s="729">
        <f t="shared" si="25"/>
        <v>362</v>
      </c>
      <c r="L368" s="754" t="s">
        <v>2234</v>
      </c>
      <c r="M368" s="754" t="str">
        <f t="shared" si="26"/>
        <v>Stofmap Transparan tali</v>
      </c>
      <c r="N368" s="755">
        <v>100</v>
      </c>
      <c r="O368" s="382" t="s">
        <v>2436</v>
      </c>
      <c r="P368" s="644">
        <v>5500</v>
      </c>
      <c r="Q368" s="644">
        <v>550000</v>
      </c>
      <c r="R368" s="758"/>
      <c r="S368" s="759">
        <v>4</v>
      </c>
      <c r="T368" s="61" t="s">
        <v>227</v>
      </c>
      <c r="V368" s="61" t="str">
        <f>VLOOKUP(T368,Sheet3!$C$3:$F$16,2,)</f>
        <v>Gestiwan Bazikho</v>
      </c>
      <c r="W368" s="61" t="str">
        <f>VLOOKUP(T368,Sheet3!$C$3:$F$16,4,)</f>
        <v>081375309828</v>
      </c>
      <c r="X368" s="61" t="str">
        <f>VLOOKUP(T368,Sheet3!$C$3:$F$16,3,)</f>
        <v>Jl. Diponegoro Kel. Pasar Telukdalam - Nias Selatan</v>
      </c>
    </row>
    <row r="369" spans="2:24" ht="37.5">
      <c r="B369" s="753">
        <v>59</v>
      </c>
      <c r="C369" s="754" t="s">
        <v>3789</v>
      </c>
      <c r="D369" s="754" t="s">
        <v>3790</v>
      </c>
      <c r="E369" s="297"/>
      <c r="G369" s="731">
        <v>363</v>
      </c>
      <c r="I369" s="729">
        <f t="shared" si="25"/>
        <v>363</v>
      </c>
      <c r="L369" s="754" t="s">
        <v>264</v>
      </c>
      <c r="M369" s="754" t="str">
        <f t="shared" si="26"/>
        <v>Stofmap Transparan</v>
      </c>
      <c r="N369" s="755">
        <v>100</v>
      </c>
      <c r="O369" s="382" t="s">
        <v>2436</v>
      </c>
      <c r="P369" s="644">
        <v>5500</v>
      </c>
      <c r="Q369" s="644">
        <v>550000</v>
      </c>
      <c r="R369" s="758"/>
      <c r="S369" s="759">
        <v>4</v>
      </c>
      <c r="T369" s="61" t="s">
        <v>227</v>
      </c>
      <c r="V369" s="61" t="str">
        <f>VLOOKUP(T369,Sheet3!$C$3:$F$16,2,)</f>
        <v>Gestiwan Bazikho</v>
      </c>
      <c r="W369" s="61" t="str">
        <f>VLOOKUP(T369,Sheet3!$C$3:$F$16,4,)</f>
        <v>081375309828</v>
      </c>
      <c r="X369" s="61" t="str">
        <f>VLOOKUP(T369,Sheet3!$C$3:$F$16,3,)</f>
        <v>Jl. Diponegoro Kel. Pasar Telukdalam - Nias Selatan</v>
      </c>
    </row>
    <row r="370" spans="2:24" ht="37.5">
      <c r="B370" s="753">
        <v>60</v>
      </c>
      <c r="C370" s="754" t="s">
        <v>3789</v>
      </c>
      <c r="D370" s="754" t="s">
        <v>3790</v>
      </c>
      <c r="E370" s="297"/>
      <c r="G370" s="731">
        <v>364</v>
      </c>
      <c r="I370" s="729">
        <f t="shared" si="25"/>
        <v>364</v>
      </c>
      <c r="L370" s="754" t="s">
        <v>242</v>
      </c>
      <c r="M370" s="754" t="str">
        <f t="shared" si="26"/>
        <v>Binder Klip Ordner</v>
      </c>
      <c r="N370" s="755">
        <v>6</v>
      </c>
      <c r="O370" s="382" t="s">
        <v>2436</v>
      </c>
      <c r="P370" s="644">
        <v>49500</v>
      </c>
      <c r="Q370" s="644">
        <v>297000</v>
      </c>
      <c r="R370" s="758"/>
      <c r="S370" s="759">
        <v>4</v>
      </c>
      <c r="T370" s="61" t="s">
        <v>227</v>
      </c>
      <c r="V370" s="61" t="str">
        <f>VLOOKUP(T370,Sheet3!$C$3:$F$16,2,)</f>
        <v>Gestiwan Bazikho</v>
      </c>
      <c r="W370" s="61" t="str">
        <f>VLOOKUP(T370,Sheet3!$C$3:$F$16,4,)</f>
        <v>081375309828</v>
      </c>
      <c r="X370" s="61" t="str">
        <f>VLOOKUP(T370,Sheet3!$C$3:$F$16,3,)</f>
        <v>Jl. Diponegoro Kel. Pasar Telukdalam - Nias Selatan</v>
      </c>
    </row>
    <row r="371" spans="2:24" ht="37.5">
      <c r="B371" s="753">
        <v>61</v>
      </c>
      <c r="C371" s="754" t="s">
        <v>3789</v>
      </c>
      <c r="D371" s="754" t="s">
        <v>3790</v>
      </c>
      <c r="E371" s="297"/>
      <c r="G371" s="731">
        <v>365</v>
      </c>
      <c r="I371" s="729">
        <f t="shared" si="25"/>
        <v>365</v>
      </c>
      <c r="L371" s="754" t="s">
        <v>2252</v>
      </c>
      <c r="M371" s="754" t="str">
        <f t="shared" si="26"/>
        <v>Box File Merk : Bantex Ukuran : 115x270x325 mm</v>
      </c>
      <c r="N371" s="755">
        <v>4</v>
      </c>
      <c r="O371" s="382" t="s">
        <v>2436</v>
      </c>
      <c r="P371" s="644">
        <v>59000</v>
      </c>
      <c r="Q371" s="644">
        <v>236000</v>
      </c>
      <c r="R371" s="758"/>
      <c r="S371" s="759">
        <v>4</v>
      </c>
      <c r="T371" s="61" t="s">
        <v>227</v>
      </c>
      <c r="V371" s="61" t="str">
        <f>VLOOKUP(T371,Sheet3!$C$3:$F$16,2,)</f>
        <v>Gestiwan Bazikho</v>
      </c>
      <c r="W371" s="61" t="str">
        <f>VLOOKUP(T371,Sheet3!$C$3:$F$16,4,)</f>
        <v>081375309828</v>
      </c>
      <c r="X371" s="61" t="str">
        <f>VLOOKUP(T371,Sheet3!$C$3:$F$16,3,)</f>
        <v>Jl. Diponegoro Kel. Pasar Telukdalam - Nias Selatan</v>
      </c>
    </row>
    <row r="372" spans="2:24" ht="37.5">
      <c r="B372" s="753">
        <v>62</v>
      </c>
      <c r="C372" s="754" t="s">
        <v>3789</v>
      </c>
      <c r="D372" s="754" t="s">
        <v>3790</v>
      </c>
      <c r="E372" s="297"/>
      <c r="G372" s="731">
        <v>366</v>
      </c>
      <c r="I372" s="729">
        <f t="shared" si="25"/>
        <v>366</v>
      </c>
      <c r="L372" s="754" t="s">
        <v>260</v>
      </c>
      <c r="M372" s="754" t="str">
        <f t="shared" si="26"/>
        <v>Sampul Plastik</v>
      </c>
      <c r="N372" s="755">
        <v>5</v>
      </c>
      <c r="O372" s="382" t="s">
        <v>229</v>
      </c>
      <c r="P372" s="644">
        <v>65000</v>
      </c>
      <c r="Q372" s="644">
        <v>325000</v>
      </c>
      <c r="R372" s="758"/>
      <c r="S372" s="759">
        <v>4</v>
      </c>
      <c r="T372" s="61" t="s">
        <v>227</v>
      </c>
      <c r="V372" s="61" t="str">
        <f>VLOOKUP(T372,Sheet3!$C$3:$F$16,2,)</f>
        <v>Gestiwan Bazikho</v>
      </c>
      <c r="W372" s="61" t="str">
        <f>VLOOKUP(T372,Sheet3!$C$3:$F$16,4,)</f>
        <v>081375309828</v>
      </c>
      <c r="X372" s="61" t="str">
        <f>VLOOKUP(T372,Sheet3!$C$3:$F$16,3,)</f>
        <v>Jl. Diponegoro Kel. Pasar Telukdalam - Nias Selatan</v>
      </c>
    </row>
    <row r="373" spans="2:24" ht="37.5">
      <c r="B373" s="753">
        <v>63</v>
      </c>
      <c r="C373" s="754" t="s">
        <v>3789</v>
      </c>
      <c r="D373" s="754" t="s">
        <v>3790</v>
      </c>
      <c r="E373" s="297"/>
      <c r="G373" s="731">
        <v>367</v>
      </c>
      <c r="I373" s="729">
        <f t="shared" si="25"/>
        <v>367</v>
      </c>
      <c r="L373" s="754" t="s">
        <v>2260</v>
      </c>
      <c r="M373" s="754" t="str">
        <f t="shared" si="26"/>
        <v>Tinta Printer Canon 740 Hitam-740 Hitam</v>
      </c>
      <c r="N373" s="755">
        <v>8</v>
      </c>
      <c r="O373" s="382" t="s">
        <v>244</v>
      </c>
      <c r="P373" s="644">
        <v>30000</v>
      </c>
      <c r="Q373" s="644">
        <v>240000</v>
      </c>
      <c r="R373" s="758"/>
      <c r="S373" s="759">
        <v>4</v>
      </c>
      <c r="T373" s="61" t="s">
        <v>227</v>
      </c>
      <c r="V373" s="61" t="str">
        <f>VLOOKUP(T373,Sheet3!$C$3:$F$16,2,)</f>
        <v>Gestiwan Bazikho</v>
      </c>
      <c r="W373" s="61" t="str">
        <f>VLOOKUP(T373,Sheet3!$C$3:$F$16,4,)</f>
        <v>081375309828</v>
      </c>
      <c r="X373" s="61" t="str">
        <f>VLOOKUP(T373,Sheet3!$C$3:$F$16,3,)</f>
        <v>Jl. Diponegoro Kel. Pasar Telukdalam - Nias Selatan</v>
      </c>
    </row>
    <row r="374" spans="2:24" ht="37.5">
      <c r="B374" s="753">
        <v>64</v>
      </c>
      <c r="C374" s="754" t="s">
        <v>3789</v>
      </c>
      <c r="D374" s="754" t="s">
        <v>3790</v>
      </c>
      <c r="E374" s="297"/>
      <c r="G374" s="731">
        <v>368</v>
      </c>
      <c r="I374" s="729">
        <f t="shared" si="25"/>
        <v>368</v>
      </c>
      <c r="L374" s="754" t="s">
        <v>2239</v>
      </c>
      <c r="M374" s="754" t="str">
        <f t="shared" si="26"/>
        <v>Tinta Printer Canon 741 Warna-741 Warna</v>
      </c>
      <c r="N374" s="755">
        <v>12</v>
      </c>
      <c r="O374" s="382" t="s">
        <v>244</v>
      </c>
      <c r="P374" s="644">
        <v>33000</v>
      </c>
      <c r="Q374" s="644">
        <v>396000</v>
      </c>
      <c r="R374" s="758"/>
      <c r="S374" s="759">
        <v>4</v>
      </c>
      <c r="T374" s="61" t="s">
        <v>227</v>
      </c>
      <c r="V374" s="61" t="str">
        <f>VLOOKUP(T374,Sheet3!$C$3:$F$16,2,)</f>
        <v>Gestiwan Bazikho</v>
      </c>
      <c r="W374" s="61" t="str">
        <f>VLOOKUP(T374,Sheet3!$C$3:$F$16,4,)</f>
        <v>081375309828</v>
      </c>
      <c r="X374" s="61" t="str">
        <f>VLOOKUP(T374,Sheet3!$C$3:$F$16,3,)</f>
        <v>Jl. Diponegoro Kel. Pasar Telukdalam - Nias Selatan</v>
      </c>
    </row>
    <row r="375" spans="2:24" ht="37.5">
      <c r="B375" s="753">
        <v>65</v>
      </c>
      <c r="C375" s="754" t="s">
        <v>3789</v>
      </c>
      <c r="D375" s="754" t="s">
        <v>3790</v>
      </c>
      <c r="E375" s="297"/>
      <c r="G375" s="731">
        <v>369</v>
      </c>
      <c r="I375" s="729">
        <f t="shared" si="25"/>
        <v>369</v>
      </c>
      <c r="L375" s="754" t="s">
        <v>2250</v>
      </c>
      <c r="M375" s="754" t="str">
        <f t="shared" si="26"/>
        <v>C. Tinta Printer EPSON Toner Epson 664 Black</v>
      </c>
      <c r="N375" s="755">
        <v>6</v>
      </c>
      <c r="O375" s="382" t="s">
        <v>244</v>
      </c>
      <c r="P375" s="644">
        <v>85000</v>
      </c>
      <c r="Q375" s="644">
        <v>510000</v>
      </c>
      <c r="R375" s="758"/>
      <c r="S375" s="759">
        <v>4</v>
      </c>
      <c r="T375" s="61" t="s">
        <v>227</v>
      </c>
      <c r="V375" s="61" t="str">
        <f>VLOOKUP(T375,Sheet3!$C$3:$F$16,2,)</f>
        <v>Gestiwan Bazikho</v>
      </c>
      <c r="W375" s="61" t="str">
        <f>VLOOKUP(T375,Sheet3!$C$3:$F$16,4,)</f>
        <v>081375309828</v>
      </c>
      <c r="X375" s="61" t="str">
        <f>VLOOKUP(T375,Sheet3!$C$3:$F$16,3,)</f>
        <v>Jl. Diponegoro Kel. Pasar Telukdalam - Nias Selatan</v>
      </c>
    </row>
    <row r="376" spans="2:24" ht="37.5">
      <c r="B376" s="753">
        <v>66</v>
      </c>
      <c r="C376" s="754" t="s">
        <v>3789</v>
      </c>
      <c r="D376" s="754" t="s">
        <v>3790</v>
      </c>
      <c r="E376" s="297"/>
      <c r="G376" s="731">
        <v>370</v>
      </c>
      <c r="I376" s="729">
        <f t="shared" si="25"/>
        <v>370</v>
      </c>
      <c r="L376" s="754" t="s">
        <v>246</v>
      </c>
      <c r="M376" s="754" t="str">
        <f t="shared" si="26"/>
        <v>C. Tinta Printer EPSON Tinta Printer Epson Yellow</v>
      </c>
      <c r="N376" s="755">
        <v>4</v>
      </c>
      <c r="O376" s="382" t="s">
        <v>244</v>
      </c>
      <c r="P376" s="644">
        <v>110000</v>
      </c>
      <c r="Q376" s="644">
        <v>440000</v>
      </c>
      <c r="R376" s="758"/>
      <c r="S376" s="759">
        <v>4</v>
      </c>
      <c r="T376" s="61" t="s">
        <v>227</v>
      </c>
      <c r="V376" s="61" t="str">
        <f>VLOOKUP(T376,Sheet3!$C$3:$F$16,2,)</f>
        <v>Gestiwan Bazikho</v>
      </c>
      <c r="W376" s="61" t="str">
        <f>VLOOKUP(T376,Sheet3!$C$3:$F$16,4,)</f>
        <v>081375309828</v>
      </c>
      <c r="X376" s="61" t="str">
        <f>VLOOKUP(T376,Sheet3!$C$3:$F$16,3,)</f>
        <v>Jl. Diponegoro Kel. Pasar Telukdalam - Nias Selatan</v>
      </c>
    </row>
    <row r="377" spans="2:24" ht="37.5">
      <c r="B377" s="753">
        <v>67</v>
      </c>
      <c r="C377" s="754" t="s">
        <v>3789</v>
      </c>
      <c r="D377" s="754" t="s">
        <v>3790</v>
      </c>
      <c r="E377" s="297"/>
      <c r="G377" s="731">
        <v>371</v>
      </c>
      <c r="I377" s="729">
        <f t="shared" si="25"/>
        <v>371</v>
      </c>
      <c r="L377" s="754" t="s">
        <v>243</v>
      </c>
      <c r="M377" s="754" t="str">
        <f t="shared" si="26"/>
        <v>C. Tinta Printer EPSON Tinta Printer Epson Blue</v>
      </c>
      <c r="N377" s="755">
        <v>4</v>
      </c>
      <c r="O377" s="382" t="s">
        <v>244</v>
      </c>
      <c r="P377" s="644">
        <v>110000</v>
      </c>
      <c r="Q377" s="644">
        <v>440000</v>
      </c>
      <c r="R377" s="758"/>
      <c r="S377" s="759">
        <v>4</v>
      </c>
      <c r="T377" s="61" t="s">
        <v>227</v>
      </c>
      <c r="V377" s="61" t="str">
        <f>VLOOKUP(T377,Sheet3!$C$3:$F$16,2,)</f>
        <v>Gestiwan Bazikho</v>
      </c>
      <c r="W377" s="61" t="str">
        <f>VLOOKUP(T377,Sheet3!$C$3:$F$16,4,)</f>
        <v>081375309828</v>
      </c>
      <c r="X377" s="61" t="str">
        <f>VLOOKUP(T377,Sheet3!$C$3:$F$16,3,)</f>
        <v>Jl. Diponegoro Kel. Pasar Telukdalam - Nias Selatan</v>
      </c>
    </row>
    <row r="378" spans="2:24" ht="37.5">
      <c r="B378" s="753">
        <v>68</v>
      </c>
      <c r="C378" s="754" t="s">
        <v>3789</v>
      </c>
      <c r="D378" s="754" t="s">
        <v>3790</v>
      </c>
      <c r="E378" s="297"/>
      <c r="G378" s="731">
        <v>372</v>
      </c>
      <c r="I378" s="729">
        <f t="shared" si="25"/>
        <v>372</v>
      </c>
      <c r="L378" s="754" t="s">
        <v>245</v>
      </c>
      <c r="M378" s="754" t="str">
        <f t="shared" si="26"/>
        <v>C. Tinta Printer EPSON Tinta Printer Epson Read</v>
      </c>
      <c r="N378" s="755">
        <v>4</v>
      </c>
      <c r="O378" s="382" t="s">
        <v>244</v>
      </c>
      <c r="P378" s="644">
        <v>110000</v>
      </c>
      <c r="Q378" s="644">
        <v>440000</v>
      </c>
      <c r="R378" s="758"/>
      <c r="S378" s="759">
        <v>4</v>
      </c>
      <c r="T378" s="61" t="s">
        <v>227</v>
      </c>
      <c r="V378" s="61" t="str">
        <f>VLOOKUP(T378,Sheet3!$C$3:$F$16,2,)</f>
        <v>Gestiwan Bazikho</v>
      </c>
      <c r="W378" s="61" t="str">
        <f>VLOOKUP(T378,Sheet3!$C$3:$F$16,4,)</f>
        <v>081375309828</v>
      </c>
      <c r="X378" s="61" t="str">
        <f>VLOOKUP(T378,Sheet3!$C$3:$F$16,3,)</f>
        <v>Jl. Diponegoro Kel. Pasar Telukdalam - Nias Selatan</v>
      </c>
    </row>
    <row r="379" spans="2:24" ht="37.5">
      <c r="B379" s="753">
        <v>69</v>
      </c>
      <c r="C379" s="754" t="s">
        <v>3789</v>
      </c>
      <c r="D379" s="754" t="s">
        <v>3790</v>
      </c>
      <c r="E379" s="297"/>
      <c r="G379" s="731">
        <v>373</v>
      </c>
      <c r="I379" s="729">
        <f t="shared" si="25"/>
        <v>373</v>
      </c>
      <c r="L379" s="754" t="s">
        <v>2258</v>
      </c>
      <c r="M379" s="754" t="str">
        <f t="shared" si="26"/>
        <v>Lakban Besar</v>
      </c>
      <c r="N379" s="755">
        <v>5</v>
      </c>
      <c r="O379" s="382" t="s">
        <v>2436</v>
      </c>
      <c r="P379" s="644">
        <v>25000</v>
      </c>
      <c r="Q379" s="644">
        <v>125000</v>
      </c>
      <c r="R379" s="758"/>
      <c r="S379" s="759">
        <v>4</v>
      </c>
      <c r="T379" s="61" t="s">
        <v>227</v>
      </c>
      <c r="V379" s="61" t="str">
        <f>VLOOKUP(T379,Sheet3!$C$3:$F$16,2,)</f>
        <v>Gestiwan Bazikho</v>
      </c>
      <c r="W379" s="61" t="str">
        <f>VLOOKUP(T379,Sheet3!$C$3:$F$16,4,)</f>
        <v>081375309828</v>
      </c>
      <c r="X379" s="61" t="str">
        <f>VLOOKUP(T379,Sheet3!$C$3:$F$16,3,)</f>
        <v>Jl. Diponegoro Kel. Pasar Telukdalam - Nias Selatan</v>
      </c>
    </row>
    <row r="380" spans="2:24" ht="37.5">
      <c r="B380" s="753">
        <v>70</v>
      </c>
      <c r="C380" s="754" t="s">
        <v>3789</v>
      </c>
      <c r="D380" s="754" t="s">
        <v>3790</v>
      </c>
      <c r="E380" s="297"/>
      <c r="G380" s="731">
        <v>374</v>
      </c>
      <c r="I380" s="729">
        <f t="shared" si="25"/>
        <v>374</v>
      </c>
      <c r="L380" s="754" t="s">
        <v>252</v>
      </c>
      <c r="M380" s="754" t="str">
        <f t="shared" si="26"/>
        <v>Lakban Bening</v>
      </c>
      <c r="N380" s="755">
        <v>5</v>
      </c>
      <c r="O380" s="382" t="s">
        <v>2436</v>
      </c>
      <c r="P380" s="644">
        <v>15000</v>
      </c>
      <c r="Q380" s="644">
        <v>75000</v>
      </c>
      <c r="R380" s="758"/>
      <c r="S380" s="759">
        <v>4</v>
      </c>
      <c r="T380" s="61" t="s">
        <v>227</v>
      </c>
      <c r="V380" s="61" t="str">
        <f>VLOOKUP(T380,Sheet3!$C$3:$F$16,2,)</f>
        <v>Gestiwan Bazikho</v>
      </c>
      <c r="W380" s="61" t="str">
        <f>VLOOKUP(T380,Sheet3!$C$3:$F$16,4,)</f>
        <v>081375309828</v>
      </c>
      <c r="X380" s="61" t="str">
        <f>VLOOKUP(T380,Sheet3!$C$3:$F$16,3,)</f>
        <v>Jl. Diponegoro Kel. Pasar Telukdalam - Nias Selatan</v>
      </c>
    </row>
    <row r="381" spans="2:24" ht="37.5">
      <c r="B381" s="753">
        <v>71</v>
      </c>
      <c r="C381" s="754" t="s">
        <v>3789</v>
      </c>
      <c r="D381" s="754" t="s">
        <v>3790</v>
      </c>
      <c r="E381" s="297"/>
      <c r="G381" s="731">
        <v>375</v>
      </c>
      <c r="I381" s="729">
        <f t="shared" si="25"/>
        <v>375</v>
      </c>
      <c r="L381" s="754" t="s">
        <v>252</v>
      </c>
      <c r="M381" s="754" t="str">
        <f t="shared" si="26"/>
        <v>Lakban Bening</v>
      </c>
      <c r="N381" s="755">
        <v>5</v>
      </c>
      <c r="O381" s="382" t="s">
        <v>2436</v>
      </c>
      <c r="P381" s="644">
        <v>10000</v>
      </c>
      <c r="Q381" s="644">
        <v>50000</v>
      </c>
      <c r="R381" s="758"/>
      <c r="S381" s="759">
        <v>4</v>
      </c>
      <c r="T381" s="61" t="s">
        <v>227</v>
      </c>
      <c r="V381" s="61" t="str">
        <f>VLOOKUP(T381,Sheet3!$C$3:$F$16,2,)</f>
        <v>Gestiwan Bazikho</v>
      </c>
      <c r="W381" s="61" t="str">
        <f>VLOOKUP(T381,Sheet3!$C$3:$F$16,4,)</f>
        <v>081375309828</v>
      </c>
      <c r="X381" s="61" t="str">
        <f>VLOOKUP(T381,Sheet3!$C$3:$F$16,3,)</f>
        <v>Jl. Diponegoro Kel. Pasar Telukdalam - Nias Selatan</v>
      </c>
    </row>
    <row r="382" spans="2:24" ht="37.5">
      <c r="B382" s="753">
        <v>72</v>
      </c>
      <c r="C382" s="754" t="s">
        <v>3789</v>
      </c>
      <c r="D382" s="754" t="s">
        <v>3790</v>
      </c>
      <c r="E382" s="297"/>
      <c r="G382" s="731">
        <v>376</v>
      </c>
      <c r="I382" s="729">
        <f t="shared" si="25"/>
        <v>376</v>
      </c>
      <c r="L382" s="754" t="s">
        <v>2242</v>
      </c>
      <c r="M382" s="754" t="str">
        <f t="shared" si="26"/>
        <v>Lakban Hitam--</v>
      </c>
      <c r="N382" s="755">
        <v>5</v>
      </c>
      <c r="O382" s="382" t="s">
        <v>2436</v>
      </c>
      <c r="P382" s="644">
        <v>15000</v>
      </c>
      <c r="Q382" s="644">
        <v>75000</v>
      </c>
      <c r="R382" s="758"/>
      <c r="S382" s="759">
        <v>4</v>
      </c>
      <c r="T382" s="61" t="s">
        <v>227</v>
      </c>
      <c r="V382" s="61" t="str">
        <f>VLOOKUP(T382,Sheet3!$C$3:$F$16,2,)</f>
        <v>Gestiwan Bazikho</v>
      </c>
      <c r="W382" s="61" t="str">
        <f>VLOOKUP(T382,Sheet3!$C$3:$F$16,4,)</f>
        <v>081375309828</v>
      </c>
      <c r="X382" s="61" t="str">
        <f>VLOOKUP(T382,Sheet3!$C$3:$F$16,3,)</f>
        <v>Jl. Diponegoro Kel. Pasar Telukdalam - Nias Selatan</v>
      </c>
    </row>
    <row r="383" spans="2:24" ht="37.5">
      <c r="B383" s="753">
        <v>73</v>
      </c>
      <c r="C383" s="754" t="s">
        <v>3789</v>
      </c>
      <c r="D383" s="754" t="s">
        <v>3790</v>
      </c>
      <c r="E383" s="297"/>
      <c r="G383" s="731">
        <v>377</v>
      </c>
      <c r="I383" s="729">
        <f t="shared" si="25"/>
        <v>377</v>
      </c>
      <c r="L383" s="754" t="s">
        <v>2257</v>
      </c>
      <c r="M383" s="754" t="str">
        <f t="shared" si="26"/>
        <v>lakban hitam-ukuran : lebar 2 inch, panjang 12m, bahan : kain</v>
      </c>
      <c r="N383" s="755">
        <v>4</v>
      </c>
      <c r="O383" s="382" t="s">
        <v>2436</v>
      </c>
      <c r="P383" s="644">
        <v>12500</v>
      </c>
      <c r="Q383" s="644">
        <v>50000</v>
      </c>
      <c r="R383" s="758"/>
      <c r="S383" s="759">
        <v>4</v>
      </c>
      <c r="T383" s="61" t="s">
        <v>227</v>
      </c>
      <c r="V383" s="61" t="str">
        <f>VLOOKUP(T383,Sheet3!$C$3:$F$16,2,)</f>
        <v>Gestiwan Bazikho</v>
      </c>
      <c r="W383" s="61" t="str">
        <f>VLOOKUP(T383,Sheet3!$C$3:$F$16,4,)</f>
        <v>081375309828</v>
      </c>
      <c r="X383" s="61" t="str">
        <f>VLOOKUP(T383,Sheet3!$C$3:$F$16,3,)</f>
        <v>Jl. Diponegoro Kel. Pasar Telukdalam - Nias Selatan</v>
      </c>
    </row>
    <row r="384" spans="2:24" ht="37.5">
      <c r="B384" s="753">
        <v>74</v>
      </c>
      <c r="C384" s="754" t="s">
        <v>3789</v>
      </c>
      <c r="D384" s="754" t="s">
        <v>3790</v>
      </c>
      <c r="E384" s="297"/>
      <c r="G384" s="731">
        <v>378</v>
      </c>
      <c r="I384" s="729">
        <f t="shared" si="25"/>
        <v>378</v>
      </c>
      <c r="L384" s="754" t="s">
        <v>2243</v>
      </c>
      <c r="M384" s="754" t="str">
        <f t="shared" si="26"/>
        <v>Lakban Hitam uk 2 " Warna hitam uk. 2 "</v>
      </c>
      <c r="N384" s="755">
        <v>5</v>
      </c>
      <c r="O384" s="382" t="s">
        <v>2436</v>
      </c>
      <c r="P384" s="644">
        <v>25000</v>
      </c>
      <c r="Q384" s="644">
        <v>125000</v>
      </c>
      <c r="R384" s="758"/>
      <c r="S384" s="759">
        <v>4</v>
      </c>
      <c r="T384" s="61" t="s">
        <v>227</v>
      </c>
      <c r="V384" s="61" t="str">
        <f>VLOOKUP(T384,Sheet3!$C$3:$F$16,2,)</f>
        <v>Gestiwan Bazikho</v>
      </c>
      <c r="W384" s="61" t="str">
        <f>VLOOKUP(T384,Sheet3!$C$3:$F$16,4,)</f>
        <v>081375309828</v>
      </c>
      <c r="X384" s="61" t="str">
        <f>VLOOKUP(T384,Sheet3!$C$3:$F$16,3,)</f>
        <v>Jl. Diponegoro Kel. Pasar Telukdalam - Nias Selatan</v>
      </c>
    </row>
    <row r="385" spans="2:24" ht="37.5">
      <c r="B385" s="753">
        <v>75</v>
      </c>
      <c r="C385" s="754" t="s">
        <v>3789</v>
      </c>
      <c r="D385" s="756" t="s">
        <v>3790</v>
      </c>
      <c r="E385" s="297"/>
      <c r="G385" s="731">
        <v>379</v>
      </c>
      <c r="I385" s="729">
        <f t="shared" si="25"/>
        <v>379</v>
      </c>
      <c r="L385" s="754" t="s">
        <v>253</v>
      </c>
      <c r="M385" s="754" t="str">
        <f t="shared" si="26"/>
        <v>Lakban warna Uk 2" Warna Coklat Cofiie</v>
      </c>
      <c r="N385" s="755">
        <v>3</v>
      </c>
      <c r="O385" s="382" t="s">
        <v>2436</v>
      </c>
      <c r="P385" s="644">
        <v>20000</v>
      </c>
      <c r="Q385" s="644">
        <v>60000</v>
      </c>
      <c r="R385" s="758"/>
      <c r="S385" s="759">
        <v>4</v>
      </c>
      <c r="T385" s="61" t="s">
        <v>227</v>
      </c>
      <c r="V385" s="61" t="str">
        <f>VLOOKUP(T385,Sheet3!$C$3:$F$16,2,)</f>
        <v>Gestiwan Bazikho</v>
      </c>
      <c r="W385" s="61" t="str">
        <f>VLOOKUP(T385,Sheet3!$C$3:$F$16,4,)</f>
        <v>081375309828</v>
      </c>
      <c r="X385" s="61" t="str">
        <f>VLOOKUP(T385,Sheet3!$C$3:$F$16,3,)</f>
        <v>Jl. Diponegoro Kel. Pasar Telukdalam - Nias Selatan</v>
      </c>
    </row>
    <row r="386" spans="2:24" ht="37.5">
      <c r="B386" s="753">
        <v>76</v>
      </c>
      <c r="C386" s="754" t="s">
        <v>3789</v>
      </c>
      <c r="D386" s="756" t="s">
        <v>3790</v>
      </c>
      <c r="E386" s="297"/>
      <c r="G386" s="731">
        <v>380</v>
      </c>
      <c r="I386" s="729">
        <f t="shared" si="25"/>
        <v>380</v>
      </c>
      <c r="L386" s="754" t="s">
        <v>261</v>
      </c>
      <c r="M386" s="754" t="str">
        <f t="shared" si="26"/>
        <v>Spidol Refil Spidol White Board Snowman</v>
      </c>
      <c r="N386" s="755">
        <v>10</v>
      </c>
      <c r="O386" s="382" t="s">
        <v>2436</v>
      </c>
      <c r="P386" s="644">
        <v>20900</v>
      </c>
      <c r="Q386" s="644">
        <v>209000</v>
      </c>
      <c r="R386" s="758"/>
      <c r="S386" s="759">
        <v>4</v>
      </c>
      <c r="T386" s="61" t="s">
        <v>227</v>
      </c>
      <c r="V386" s="61" t="str">
        <f>VLOOKUP(T386,Sheet3!$C$3:$F$16,2,)</f>
        <v>Gestiwan Bazikho</v>
      </c>
      <c r="W386" s="61" t="str">
        <f>VLOOKUP(T386,Sheet3!$C$3:$F$16,4,)</f>
        <v>081375309828</v>
      </c>
      <c r="X386" s="61" t="str">
        <f>VLOOKUP(T386,Sheet3!$C$3:$F$16,3,)</f>
        <v>Jl. Diponegoro Kel. Pasar Telukdalam - Nias Selatan</v>
      </c>
    </row>
    <row r="387" spans="2:24" ht="37.5">
      <c r="B387" s="753">
        <v>77</v>
      </c>
      <c r="C387" s="754" t="s">
        <v>3789</v>
      </c>
      <c r="D387" s="756" t="s">
        <v>3790</v>
      </c>
      <c r="E387" s="297"/>
      <c r="G387" s="731">
        <v>381</v>
      </c>
      <c r="I387" s="729">
        <f t="shared" si="25"/>
        <v>381</v>
      </c>
      <c r="L387" s="754" t="s">
        <v>262</v>
      </c>
      <c r="M387" s="754" t="str">
        <f t="shared" si="26"/>
        <v>Spidol White board</v>
      </c>
      <c r="N387" s="755">
        <v>2</v>
      </c>
      <c r="O387" s="382" t="s">
        <v>232</v>
      </c>
      <c r="P387" s="644">
        <v>120000</v>
      </c>
      <c r="Q387" s="644">
        <v>240000</v>
      </c>
      <c r="R387" s="758"/>
      <c r="S387" s="759">
        <v>4</v>
      </c>
      <c r="T387" s="61" t="s">
        <v>227</v>
      </c>
      <c r="V387" s="61" t="str">
        <f>VLOOKUP(T387,Sheet3!$C$3:$F$16,2,)</f>
        <v>Gestiwan Bazikho</v>
      </c>
      <c r="W387" s="61" t="str">
        <f>VLOOKUP(T387,Sheet3!$C$3:$F$16,4,)</f>
        <v>081375309828</v>
      </c>
      <c r="X387" s="61" t="str">
        <f>VLOOKUP(T387,Sheet3!$C$3:$F$16,3,)</f>
        <v>Jl. Diponegoro Kel. Pasar Telukdalam - Nias Selatan</v>
      </c>
    </row>
    <row r="388" spans="2:24" ht="37.5">
      <c r="B388" s="753">
        <v>78</v>
      </c>
      <c r="C388" s="754" t="s">
        <v>3789</v>
      </c>
      <c r="D388" s="756" t="s">
        <v>3790</v>
      </c>
      <c r="E388" s="297"/>
      <c r="G388" s="731">
        <v>382</v>
      </c>
      <c r="I388" s="729">
        <f t="shared" ref="I388:I425" si="27">G388</f>
        <v>382</v>
      </c>
      <c r="L388" s="754" t="s">
        <v>2236</v>
      </c>
      <c r="M388" s="754" t="str">
        <f t="shared" si="26"/>
        <v>Stapler HD-10--</v>
      </c>
      <c r="N388" s="755">
        <v>2</v>
      </c>
      <c r="O388" s="382" t="s">
        <v>2436</v>
      </c>
      <c r="P388" s="644">
        <v>20000</v>
      </c>
      <c r="Q388" s="644">
        <v>40000</v>
      </c>
      <c r="R388" s="758"/>
      <c r="S388" s="759">
        <v>4</v>
      </c>
      <c r="T388" s="61" t="s">
        <v>227</v>
      </c>
      <c r="V388" s="61" t="str">
        <f>VLOOKUP(T388,Sheet3!$C$3:$F$16,2,)</f>
        <v>Gestiwan Bazikho</v>
      </c>
      <c r="W388" s="61" t="str">
        <f>VLOOKUP(T388,Sheet3!$C$3:$F$16,4,)</f>
        <v>081375309828</v>
      </c>
      <c r="X388" s="61" t="str">
        <f>VLOOKUP(T388,Sheet3!$C$3:$F$16,3,)</f>
        <v>Jl. Diponegoro Kel. Pasar Telukdalam - Nias Selatan</v>
      </c>
    </row>
    <row r="389" spans="2:24" ht="37.5">
      <c r="B389" s="753">
        <v>79</v>
      </c>
      <c r="C389" s="754" t="s">
        <v>3789</v>
      </c>
      <c r="D389" s="756" t="s">
        <v>3790</v>
      </c>
      <c r="E389" s="297"/>
      <c r="G389" s="731">
        <v>383</v>
      </c>
      <c r="I389" s="729">
        <f t="shared" si="27"/>
        <v>383</v>
      </c>
      <c r="L389" s="754" t="s">
        <v>2241</v>
      </c>
      <c r="M389" s="754" t="str">
        <f t="shared" si="26"/>
        <v>Stapler Stapler No, 50 MAX</v>
      </c>
      <c r="N389" s="755">
        <v>2</v>
      </c>
      <c r="O389" s="382" t="s">
        <v>2436</v>
      </c>
      <c r="P389" s="644">
        <v>25000</v>
      </c>
      <c r="Q389" s="644">
        <v>50000</v>
      </c>
      <c r="R389" s="758"/>
      <c r="S389" s="759">
        <v>4</v>
      </c>
      <c r="T389" s="61" t="s">
        <v>227</v>
      </c>
      <c r="V389" s="61" t="str">
        <f>VLOOKUP(T389,Sheet3!$C$3:$F$16,2,)</f>
        <v>Gestiwan Bazikho</v>
      </c>
      <c r="W389" s="61" t="str">
        <f>VLOOKUP(T389,Sheet3!$C$3:$F$16,4,)</f>
        <v>081375309828</v>
      </c>
      <c r="X389" s="61" t="str">
        <f>VLOOKUP(T389,Sheet3!$C$3:$F$16,3,)</f>
        <v>Jl. Diponegoro Kel. Pasar Telukdalam - Nias Selatan</v>
      </c>
    </row>
    <row r="390" spans="2:24" ht="37.5">
      <c r="B390" s="753">
        <v>80</v>
      </c>
      <c r="C390" s="754" t="s">
        <v>3789</v>
      </c>
      <c r="D390" s="756" t="s">
        <v>3790</v>
      </c>
      <c r="E390" s="297"/>
      <c r="G390" s="731">
        <v>384</v>
      </c>
      <c r="I390" s="729">
        <f t="shared" si="27"/>
        <v>384</v>
      </c>
      <c r="L390" s="754" t="s">
        <v>2244</v>
      </c>
      <c r="M390" s="754" t="str">
        <f t="shared" si="26"/>
        <v>Lem Fox isi 500 gram--</v>
      </c>
      <c r="N390" s="755">
        <v>2</v>
      </c>
      <c r="O390" s="382" t="s">
        <v>2436</v>
      </c>
      <c r="P390" s="644">
        <v>37000</v>
      </c>
      <c r="Q390" s="644">
        <v>74000</v>
      </c>
      <c r="R390" s="758"/>
      <c r="S390" s="759">
        <v>4</v>
      </c>
      <c r="T390" s="61" t="s">
        <v>227</v>
      </c>
      <c r="V390" s="61" t="str">
        <f>VLOOKUP(T390,Sheet3!$C$3:$F$16,2,)</f>
        <v>Gestiwan Bazikho</v>
      </c>
      <c r="W390" s="61" t="str">
        <f>VLOOKUP(T390,Sheet3!$C$3:$F$16,4,)</f>
        <v>081375309828</v>
      </c>
      <c r="X390" s="61" t="str">
        <f>VLOOKUP(T390,Sheet3!$C$3:$F$16,3,)</f>
        <v>Jl. Diponegoro Kel. Pasar Telukdalam - Nias Selatan</v>
      </c>
    </row>
    <row r="391" spans="2:24" ht="37.5">
      <c r="B391" s="753">
        <v>81</v>
      </c>
      <c r="C391" s="754" t="s">
        <v>3789</v>
      </c>
      <c r="D391" s="756" t="s">
        <v>3790</v>
      </c>
      <c r="E391" s="297"/>
      <c r="G391" s="731">
        <v>385</v>
      </c>
      <c r="I391" s="729">
        <f t="shared" si="27"/>
        <v>385</v>
      </c>
      <c r="L391" s="754" t="s">
        <v>255</v>
      </c>
      <c r="M391" s="754" t="str">
        <f t="shared" si="26"/>
        <v>PAPER CLIP  Paper Clip No 1</v>
      </c>
      <c r="N391" s="755">
        <v>5</v>
      </c>
      <c r="O391" s="382" t="s">
        <v>231</v>
      </c>
      <c r="P391" s="644">
        <v>6000</v>
      </c>
      <c r="Q391" s="644">
        <v>30000</v>
      </c>
      <c r="R391" s="758"/>
      <c r="S391" s="759">
        <v>4</v>
      </c>
      <c r="T391" s="61" t="s">
        <v>227</v>
      </c>
      <c r="V391" s="61" t="str">
        <f>VLOOKUP(T391,Sheet3!$C$3:$F$16,2,)</f>
        <v>Gestiwan Bazikho</v>
      </c>
      <c r="W391" s="61" t="str">
        <f>VLOOKUP(T391,Sheet3!$C$3:$F$16,4,)</f>
        <v>081375309828</v>
      </c>
      <c r="X391" s="61" t="str">
        <f>VLOOKUP(T391,Sheet3!$C$3:$F$16,3,)</f>
        <v>Jl. Diponegoro Kel. Pasar Telukdalam - Nias Selatan</v>
      </c>
    </row>
    <row r="392" spans="2:24" ht="37.5">
      <c r="B392" s="753">
        <v>82</v>
      </c>
      <c r="C392" s="754" t="s">
        <v>3789</v>
      </c>
      <c r="D392" s="756" t="s">
        <v>3790</v>
      </c>
      <c r="E392" s="297"/>
      <c r="G392" s="731">
        <v>386</v>
      </c>
      <c r="I392" s="729">
        <f t="shared" si="27"/>
        <v>386</v>
      </c>
      <c r="L392" s="754" t="s">
        <v>256</v>
      </c>
      <c r="M392" s="754" t="str">
        <f t="shared" si="26"/>
        <v>Paper Clip No 1  Paper Clip No 3</v>
      </c>
      <c r="N392" s="755">
        <v>5</v>
      </c>
      <c r="O392" s="382" t="s">
        <v>231</v>
      </c>
      <c r="P392" s="644">
        <v>6000</v>
      </c>
      <c r="Q392" s="644">
        <v>30000</v>
      </c>
      <c r="R392" s="758"/>
      <c r="S392" s="759">
        <v>4</v>
      </c>
      <c r="T392" s="61" t="s">
        <v>227</v>
      </c>
      <c r="V392" s="61" t="str">
        <f>VLOOKUP(T392,Sheet3!$C$3:$F$16,2,)</f>
        <v>Gestiwan Bazikho</v>
      </c>
      <c r="W392" s="61" t="str">
        <f>VLOOKUP(T392,Sheet3!$C$3:$F$16,4,)</f>
        <v>081375309828</v>
      </c>
      <c r="X392" s="61" t="str">
        <f>VLOOKUP(T392,Sheet3!$C$3:$F$16,3,)</f>
        <v>Jl. Diponegoro Kel. Pasar Telukdalam - Nias Selatan</v>
      </c>
    </row>
    <row r="393" spans="2:24" ht="37.5">
      <c r="B393" s="753">
        <v>83</v>
      </c>
      <c r="C393" s="754" t="s">
        <v>3789</v>
      </c>
      <c r="D393" s="756" t="s">
        <v>3790</v>
      </c>
      <c r="E393" s="297"/>
      <c r="G393" s="731">
        <v>387</v>
      </c>
      <c r="I393" s="729">
        <f t="shared" si="27"/>
        <v>387</v>
      </c>
      <c r="L393" s="754" t="s">
        <v>2255</v>
      </c>
      <c r="M393" s="754" t="str">
        <f t="shared" si="26"/>
        <v>gunting kertas-ukuran : panjang 21cm x lebar 8cm, stainless steel</v>
      </c>
      <c r="N393" s="755">
        <v>2</v>
      </c>
      <c r="O393" s="382" t="s">
        <v>2436</v>
      </c>
      <c r="P393" s="644">
        <v>20000</v>
      </c>
      <c r="Q393" s="644">
        <v>40000</v>
      </c>
      <c r="R393" s="758"/>
      <c r="S393" s="759">
        <v>4</v>
      </c>
      <c r="T393" s="61" t="s">
        <v>227</v>
      </c>
      <c r="V393" s="61" t="str">
        <f>VLOOKUP(T393,Sheet3!$C$3:$F$16,2,)</f>
        <v>Gestiwan Bazikho</v>
      </c>
      <c r="W393" s="61" t="str">
        <f>VLOOKUP(T393,Sheet3!$C$3:$F$16,4,)</f>
        <v>081375309828</v>
      </c>
      <c r="X393" s="61" t="str">
        <f>VLOOKUP(T393,Sheet3!$C$3:$F$16,3,)</f>
        <v>Jl. Diponegoro Kel. Pasar Telukdalam - Nias Selatan</v>
      </c>
    </row>
    <row r="394" spans="2:24" ht="37.5">
      <c r="B394" s="753">
        <v>84</v>
      </c>
      <c r="C394" s="754" t="s">
        <v>3789</v>
      </c>
      <c r="D394" s="756" t="s">
        <v>3790</v>
      </c>
      <c r="E394" s="297"/>
      <c r="G394" s="731">
        <v>388</v>
      </c>
      <c r="I394" s="729">
        <f t="shared" si="27"/>
        <v>388</v>
      </c>
      <c r="L394" s="754" t="s">
        <v>258</v>
      </c>
      <c r="M394" s="754" t="str">
        <f t="shared" si="26"/>
        <v>Pisau Cutter Kenko L-500</v>
      </c>
      <c r="N394" s="755">
        <v>2</v>
      </c>
      <c r="O394" s="382" t="s">
        <v>2436</v>
      </c>
      <c r="P394" s="644">
        <v>15000</v>
      </c>
      <c r="Q394" s="644">
        <v>30000</v>
      </c>
      <c r="R394" s="758"/>
      <c r="S394" s="759">
        <v>4</v>
      </c>
      <c r="T394" s="61" t="s">
        <v>227</v>
      </c>
      <c r="V394" s="61" t="str">
        <f>VLOOKUP(T394,Sheet3!$C$3:$F$16,2,)</f>
        <v>Gestiwan Bazikho</v>
      </c>
      <c r="W394" s="61" t="str">
        <f>VLOOKUP(T394,Sheet3!$C$3:$F$16,4,)</f>
        <v>081375309828</v>
      </c>
      <c r="X394" s="61" t="str">
        <f>VLOOKUP(T394,Sheet3!$C$3:$F$16,3,)</f>
        <v>Jl. Diponegoro Kel. Pasar Telukdalam - Nias Selatan</v>
      </c>
    </row>
    <row r="395" spans="2:24" ht="37.5">
      <c r="B395" s="753">
        <v>85</v>
      </c>
      <c r="C395" s="754" t="s">
        <v>3789</v>
      </c>
      <c r="D395" s="756" t="s">
        <v>3790</v>
      </c>
      <c r="E395" s="297"/>
      <c r="G395" s="731">
        <v>389</v>
      </c>
      <c r="I395" s="729">
        <f t="shared" si="27"/>
        <v>389</v>
      </c>
      <c r="L395" s="754" t="s">
        <v>236</v>
      </c>
      <c r="M395" s="754" t="str">
        <f t="shared" si="26"/>
        <v>Baterey Kecil</v>
      </c>
      <c r="N395" s="755">
        <v>5</v>
      </c>
      <c r="O395" s="382" t="s">
        <v>3793</v>
      </c>
      <c r="P395" s="644">
        <v>20000</v>
      </c>
      <c r="Q395" s="644">
        <v>100000</v>
      </c>
      <c r="R395" s="758"/>
      <c r="S395" s="759">
        <v>4</v>
      </c>
      <c r="T395" s="61" t="s">
        <v>227</v>
      </c>
      <c r="V395" s="61" t="str">
        <f>VLOOKUP(T395,Sheet3!$C$3:$F$16,2,)</f>
        <v>Gestiwan Bazikho</v>
      </c>
      <c r="W395" s="61" t="str">
        <f>VLOOKUP(T395,Sheet3!$C$3:$F$16,4,)</f>
        <v>081375309828</v>
      </c>
      <c r="X395" s="61" t="str">
        <f>VLOOKUP(T395,Sheet3!$C$3:$F$16,3,)</f>
        <v>Jl. Diponegoro Kel. Pasar Telukdalam - Nias Selatan</v>
      </c>
    </row>
    <row r="396" spans="2:24" ht="37.5">
      <c r="B396" s="753">
        <v>86</v>
      </c>
      <c r="C396" s="754" t="s">
        <v>3794</v>
      </c>
      <c r="D396" s="756" t="s">
        <v>3790</v>
      </c>
      <c r="E396" s="297"/>
      <c r="G396" s="731">
        <v>390</v>
      </c>
      <c r="I396" s="729">
        <f t="shared" si="27"/>
        <v>390</v>
      </c>
      <c r="L396" s="754" t="s">
        <v>9</v>
      </c>
      <c r="M396" s="754" t="str">
        <f t="shared" si="26"/>
        <v>Foto Copy Filio dan Kuarto</v>
      </c>
      <c r="N396" s="755">
        <v>20880</v>
      </c>
      <c r="O396" s="382" t="s">
        <v>3788</v>
      </c>
      <c r="P396" s="757">
        <v>350</v>
      </c>
      <c r="Q396" s="644">
        <v>7308000</v>
      </c>
      <c r="R396" s="758"/>
      <c r="S396" s="759">
        <v>4</v>
      </c>
      <c r="T396" s="61" t="s">
        <v>227</v>
      </c>
      <c r="V396" s="61" t="str">
        <f>VLOOKUP(T396,Sheet3!$C$3:$F$16,2,)</f>
        <v>Gestiwan Bazikho</v>
      </c>
      <c r="W396" s="61" t="str">
        <f>VLOOKUP(T396,Sheet3!$C$3:$F$16,4,)</f>
        <v>081375309828</v>
      </c>
      <c r="X396" s="61" t="str">
        <f>VLOOKUP(T396,Sheet3!$C$3:$F$16,3,)</f>
        <v>Jl. Diponegoro Kel. Pasar Telukdalam - Nias Selatan</v>
      </c>
    </row>
    <row r="397" spans="2:24" ht="37.5">
      <c r="B397" s="753">
        <v>88</v>
      </c>
      <c r="C397" s="754" t="s">
        <v>3795</v>
      </c>
      <c r="D397" s="756" t="s">
        <v>3796</v>
      </c>
      <c r="E397" s="297"/>
      <c r="G397" s="731">
        <v>391</v>
      </c>
      <c r="I397" s="729">
        <f t="shared" si="27"/>
        <v>391</v>
      </c>
      <c r="L397" s="754" t="s">
        <v>2269</v>
      </c>
      <c r="M397" s="754" t="str">
        <f t="shared" si="26"/>
        <v>Tisu--</v>
      </c>
      <c r="N397" s="755">
        <v>12</v>
      </c>
      <c r="O397" s="382" t="s">
        <v>2436</v>
      </c>
      <c r="P397" s="644">
        <v>12500</v>
      </c>
      <c r="Q397" s="644">
        <v>150000</v>
      </c>
      <c r="R397" s="758"/>
      <c r="S397" s="759">
        <v>4</v>
      </c>
      <c r="T397" s="61" t="s">
        <v>227</v>
      </c>
      <c r="V397" s="61" t="str">
        <f>VLOOKUP(T397,Sheet3!$C$3:$F$16,2,)</f>
        <v>Gestiwan Bazikho</v>
      </c>
      <c r="W397" s="61" t="str">
        <f>VLOOKUP(T397,Sheet3!$C$3:$F$16,4,)</f>
        <v>081375309828</v>
      </c>
      <c r="X397" s="61" t="str">
        <f>VLOOKUP(T397,Sheet3!$C$3:$F$16,3,)</f>
        <v>Jl. Diponegoro Kel. Pasar Telukdalam - Nias Selatan</v>
      </c>
    </row>
    <row r="398" spans="2:24" ht="37.5">
      <c r="B398" s="753">
        <v>89</v>
      </c>
      <c r="C398" s="754" t="s">
        <v>3795</v>
      </c>
      <c r="D398" s="756" t="s">
        <v>3796</v>
      </c>
      <c r="E398" s="297"/>
      <c r="G398" s="731">
        <v>392</v>
      </c>
      <c r="I398" s="729">
        <f t="shared" si="27"/>
        <v>392</v>
      </c>
      <c r="L398" s="754" t="s">
        <v>276</v>
      </c>
      <c r="M398" s="754" t="str">
        <f t="shared" si="26"/>
        <v>vixal 500ml</v>
      </c>
      <c r="N398" s="755">
        <v>10</v>
      </c>
      <c r="O398" s="382" t="s">
        <v>244</v>
      </c>
      <c r="P398" s="644">
        <v>30000</v>
      </c>
      <c r="Q398" s="644">
        <v>300000</v>
      </c>
      <c r="R398" s="758"/>
      <c r="S398" s="759">
        <v>4</v>
      </c>
      <c r="T398" s="61" t="s">
        <v>227</v>
      </c>
      <c r="V398" s="61" t="str">
        <f>VLOOKUP(T398,Sheet3!$C$3:$F$16,2,)</f>
        <v>Gestiwan Bazikho</v>
      </c>
      <c r="W398" s="61" t="str">
        <f>VLOOKUP(T398,Sheet3!$C$3:$F$16,4,)</f>
        <v>081375309828</v>
      </c>
      <c r="X398" s="61" t="str">
        <f>VLOOKUP(T398,Sheet3!$C$3:$F$16,3,)</f>
        <v>Jl. Diponegoro Kel. Pasar Telukdalam - Nias Selatan</v>
      </c>
    </row>
    <row r="399" spans="2:24" ht="37.5">
      <c r="B399" s="753">
        <v>90</v>
      </c>
      <c r="C399" s="754" t="s">
        <v>3795</v>
      </c>
      <c r="D399" s="756" t="s">
        <v>3796</v>
      </c>
      <c r="E399" s="297"/>
      <c r="G399" s="731">
        <v>393</v>
      </c>
      <c r="I399" s="729">
        <f t="shared" si="27"/>
        <v>393</v>
      </c>
      <c r="L399" s="754" t="s">
        <v>2266</v>
      </c>
      <c r="M399" s="754" t="s">
        <v>3853</v>
      </c>
      <c r="N399" s="755">
        <v>15</v>
      </c>
      <c r="O399" s="382" t="s">
        <v>2436</v>
      </c>
      <c r="P399" s="644">
        <v>13500</v>
      </c>
      <c r="Q399" s="644">
        <v>202500</v>
      </c>
      <c r="R399" s="758"/>
      <c r="S399" s="759">
        <v>4</v>
      </c>
      <c r="T399" s="61" t="s">
        <v>227</v>
      </c>
      <c r="V399" s="61" t="str">
        <f>VLOOKUP(T399,Sheet3!$C$3:$F$16,2,)</f>
        <v>Gestiwan Bazikho</v>
      </c>
      <c r="W399" s="61" t="str">
        <f>VLOOKUP(T399,Sheet3!$C$3:$F$16,4,)</f>
        <v>081375309828</v>
      </c>
      <c r="X399" s="61" t="str">
        <f>VLOOKUP(T399,Sheet3!$C$3:$F$16,3,)</f>
        <v>Jl. Diponegoro Kel. Pasar Telukdalam - Nias Selatan</v>
      </c>
    </row>
    <row r="400" spans="2:24" ht="37.5">
      <c r="B400" s="753">
        <v>91</v>
      </c>
      <c r="C400" s="754" t="s">
        <v>3795</v>
      </c>
      <c r="D400" s="756" t="s">
        <v>3796</v>
      </c>
      <c r="E400" s="297"/>
      <c r="G400" s="731">
        <v>394</v>
      </c>
      <c r="I400" s="729">
        <f t="shared" si="27"/>
        <v>394</v>
      </c>
      <c r="L400" s="754" t="s">
        <v>2270</v>
      </c>
      <c r="M400" s="754" t="s">
        <v>3841</v>
      </c>
      <c r="N400" s="755">
        <v>5</v>
      </c>
      <c r="O400" s="382" t="s">
        <v>2436</v>
      </c>
      <c r="P400" s="644">
        <v>12000</v>
      </c>
      <c r="Q400" s="644">
        <v>60000</v>
      </c>
      <c r="R400" s="758"/>
      <c r="S400" s="759">
        <v>4</v>
      </c>
      <c r="T400" s="61" t="s">
        <v>227</v>
      </c>
      <c r="V400" s="61" t="str">
        <f>VLOOKUP(T400,Sheet3!$C$3:$F$16,2,)</f>
        <v>Gestiwan Bazikho</v>
      </c>
      <c r="W400" s="61" t="str">
        <f>VLOOKUP(T400,Sheet3!$C$3:$F$16,4,)</f>
        <v>081375309828</v>
      </c>
      <c r="X400" s="61" t="str">
        <f>VLOOKUP(T400,Sheet3!$C$3:$F$16,3,)</f>
        <v>Jl. Diponegoro Kel. Pasar Telukdalam - Nias Selatan</v>
      </c>
    </row>
    <row r="401" spans="2:24" ht="37.5">
      <c r="B401" s="753">
        <v>92</v>
      </c>
      <c r="C401" s="754" t="s">
        <v>3795</v>
      </c>
      <c r="D401" s="756" t="s">
        <v>3796</v>
      </c>
      <c r="E401" s="297"/>
      <c r="G401" s="731">
        <v>395</v>
      </c>
      <c r="I401" s="729">
        <f t="shared" si="27"/>
        <v>395</v>
      </c>
      <c r="L401" s="754" t="s">
        <v>2268</v>
      </c>
      <c r="M401" s="754" t="s">
        <v>3842</v>
      </c>
      <c r="N401" s="755">
        <v>3</v>
      </c>
      <c r="O401" s="382" t="s">
        <v>2436</v>
      </c>
      <c r="P401" s="644">
        <v>15000</v>
      </c>
      <c r="Q401" s="644">
        <v>45000</v>
      </c>
      <c r="R401" s="758"/>
      <c r="S401" s="759">
        <v>4</v>
      </c>
      <c r="T401" s="61" t="s">
        <v>227</v>
      </c>
      <c r="V401" s="61" t="str">
        <f>VLOOKUP(T401,Sheet3!$C$3:$F$16,2,)</f>
        <v>Gestiwan Bazikho</v>
      </c>
      <c r="W401" s="61" t="str">
        <f>VLOOKUP(T401,Sheet3!$C$3:$F$16,4,)</f>
        <v>081375309828</v>
      </c>
      <c r="X401" s="61" t="str">
        <f>VLOOKUP(T401,Sheet3!$C$3:$F$16,3,)</f>
        <v>Jl. Diponegoro Kel. Pasar Telukdalam - Nias Selatan</v>
      </c>
    </row>
    <row r="402" spans="2:24" ht="37.5">
      <c r="B402" s="753">
        <v>93</v>
      </c>
      <c r="C402" s="754" t="s">
        <v>3795</v>
      </c>
      <c r="D402" s="756" t="s">
        <v>3796</v>
      </c>
      <c r="E402" s="297"/>
      <c r="G402" s="731">
        <v>396</v>
      </c>
      <c r="I402" s="729">
        <f t="shared" si="27"/>
        <v>396</v>
      </c>
      <c r="L402" s="754" t="s">
        <v>274</v>
      </c>
      <c r="M402" s="754" t="s">
        <v>3397</v>
      </c>
      <c r="N402" s="755">
        <v>5</v>
      </c>
      <c r="O402" s="382" t="s">
        <v>2436</v>
      </c>
      <c r="P402" s="644">
        <v>12000</v>
      </c>
      <c r="Q402" s="644">
        <v>60000</v>
      </c>
      <c r="R402" s="758"/>
      <c r="S402" s="759">
        <v>4</v>
      </c>
      <c r="T402" s="61" t="s">
        <v>227</v>
      </c>
      <c r="V402" s="61" t="str">
        <f>VLOOKUP(T402,Sheet3!$C$3:$F$16,2,)</f>
        <v>Gestiwan Bazikho</v>
      </c>
      <c r="W402" s="61" t="str">
        <f>VLOOKUP(T402,Sheet3!$C$3:$F$16,4,)</f>
        <v>081375309828</v>
      </c>
      <c r="X402" s="61" t="str">
        <f>VLOOKUP(T402,Sheet3!$C$3:$F$16,3,)</f>
        <v>Jl. Diponegoro Kel. Pasar Telukdalam - Nias Selatan</v>
      </c>
    </row>
    <row r="403" spans="2:24" ht="37.5">
      <c r="B403" s="753">
        <v>94</v>
      </c>
      <c r="C403" s="754" t="s">
        <v>3795</v>
      </c>
      <c r="D403" s="756" t="s">
        <v>3796</v>
      </c>
      <c r="E403" s="297"/>
      <c r="G403" s="731">
        <v>397</v>
      </c>
      <c r="I403" s="729">
        <f t="shared" si="27"/>
        <v>397</v>
      </c>
      <c r="L403" s="754" t="s">
        <v>270</v>
      </c>
      <c r="M403" s="754" t="s">
        <v>3843</v>
      </c>
      <c r="N403" s="755">
        <v>5</v>
      </c>
      <c r="O403" s="382" t="s">
        <v>244</v>
      </c>
      <c r="P403" s="644">
        <v>67000</v>
      </c>
      <c r="Q403" s="644">
        <v>335000</v>
      </c>
      <c r="R403" s="758"/>
      <c r="S403" s="759">
        <v>4</v>
      </c>
      <c r="T403" s="61" t="s">
        <v>227</v>
      </c>
      <c r="V403" s="61" t="str">
        <f>VLOOKUP(T403,Sheet3!$C$3:$F$16,2,)</f>
        <v>Gestiwan Bazikho</v>
      </c>
      <c r="W403" s="61" t="str">
        <f>VLOOKUP(T403,Sheet3!$C$3:$F$16,4,)</f>
        <v>081375309828</v>
      </c>
      <c r="X403" s="61" t="str">
        <f>VLOOKUP(T403,Sheet3!$C$3:$F$16,3,)</f>
        <v>Jl. Diponegoro Kel. Pasar Telukdalam - Nias Selatan</v>
      </c>
    </row>
    <row r="404" spans="2:24" ht="37.5">
      <c r="B404" s="753">
        <v>95</v>
      </c>
      <c r="C404" s="754" t="s">
        <v>3795</v>
      </c>
      <c r="D404" s="756" t="s">
        <v>3796</v>
      </c>
      <c r="E404" s="297"/>
      <c r="G404" s="731">
        <v>398</v>
      </c>
      <c r="I404" s="729">
        <f t="shared" si="27"/>
        <v>398</v>
      </c>
      <c r="L404" s="754" t="s">
        <v>271</v>
      </c>
      <c r="M404" s="754" t="s">
        <v>666</v>
      </c>
      <c r="N404" s="755">
        <v>10</v>
      </c>
      <c r="O404" s="382" t="s">
        <v>2436</v>
      </c>
      <c r="P404" s="644">
        <v>12100</v>
      </c>
      <c r="Q404" s="644">
        <v>121000</v>
      </c>
      <c r="R404" s="758"/>
      <c r="S404" s="759">
        <v>4</v>
      </c>
      <c r="T404" s="61" t="s">
        <v>227</v>
      </c>
      <c r="V404" s="61" t="str">
        <f>VLOOKUP(T404,Sheet3!$C$3:$F$16,2,)</f>
        <v>Gestiwan Bazikho</v>
      </c>
      <c r="W404" s="61" t="str">
        <f>VLOOKUP(T404,Sheet3!$C$3:$F$16,4,)</f>
        <v>081375309828</v>
      </c>
      <c r="X404" s="61" t="str">
        <f>VLOOKUP(T404,Sheet3!$C$3:$F$16,3,)</f>
        <v>Jl. Diponegoro Kel. Pasar Telukdalam - Nias Selatan</v>
      </c>
    </row>
    <row r="405" spans="2:24" ht="37.5">
      <c r="B405" s="753">
        <v>96</v>
      </c>
      <c r="C405" s="754" t="s">
        <v>3795</v>
      </c>
      <c r="D405" s="756" t="s">
        <v>3796</v>
      </c>
      <c r="E405" s="297"/>
      <c r="G405" s="731">
        <v>399</v>
      </c>
      <c r="I405" s="729">
        <f t="shared" si="27"/>
        <v>399</v>
      </c>
      <c r="L405" s="754" t="s">
        <v>2272</v>
      </c>
      <c r="M405" s="754" t="s">
        <v>3844</v>
      </c>
      <c r="N405" s="755">
        <v>5</v>
      </c>
      <c r="O405" s="382" t="s">
        <v>269</v>
      </c>
      <c r="P405" s="644">
        <v>70000</v>
      </c>
      <c r="Q405" s="644">
        <v>350000</v>
      </c>
      <c r="R405" s="758"/>
      <c r="S405" s="759">
        <v>4</v>
      </c>
      <c r="T405" s="61" t="s">
        <v>227</v>
      </c>
      <c r="V405" s="61" t="str">
        <f>VLOOKUP(T405,Sheet3!$C$3:$F$16,2,)</f>
        <v>Gestiwan Bazikho</v>
      </c>
      <c r="W405" s="61" t="str">
        <f>VLOOKUP(T405,Sheet3!$C$3:$F$16,4,)</f>
        <v>081375309828</v>
      </c>
      <c r="X405" s="61" t="str">
        <f>VLOOKUP(T405,Sheet3!$C$3:$F$16,3,)</f>
        <v>Jl. Diponegoro Kel. Pasar Telukdalam - Nias Selatan</v>
      </c>
    </row>
    <row r="406" spans="2:24" ht="37.5">
      <c r="B406" s="753">
        <v>99</v>
      </c>
      <c r="C406" s="754" t="s">
        <v>3818</v>
      </c>
      <c r="D406" s="756" t="s">
        <v>3819</v>
      </c>
      <c r="E406" s="297"/>
      <c r="G406" s="731">
        <v>400</v>
      </c>
      <c r="I406" s="729">
        <f t="shared" si="27"/>
        <v>400</v>
      </c>
      <c r="L406" s="754" t="s">
        <v>2291</v>
      </c>
      <c r="M406" s="754" t="s">
        <v>3863</v>
      </c>
      <c r="N406" s="755">
        <v>1</v>
      </c>
      <c r="O406" s="382" t="s">
        <v>304</v>
      </c>
      <c r="P406" s="644">
        <v>2000000</v>
      </c>
      <c r="Q406" s="644">
        <v>2000000</v>
      </c>
      <c r="R406" s="758"/>
      <c r="S406" s="759">
        <v>4</v>
      </c>
      <c r="V406" s="61" t="e">
        <f>VLOOKUP(T406,Sheet3!$C$3:$F$16,2,)</f>
        <v>#N/A</v>
      </c>
      <c r="W406" s="61" t="e">
        <f>VLOOKUP(T406,Sheet3!$C$3:$F$16,4,)</f>
        <v>#N/A</v>
      </c>
      <c r="X406" s="61" t="e">
        <f>VLOOKUP(T406,Sheet3!$C$3:$F$16,3,)</f>
        <v>#N/A</v>
      </c>
    </row>
    <row r="407" spans="2:24" ht="37.5">
      <c r="B407" s="753">
        <v>101</v>
      </c>
      <c r="C407" s="754" t="s">
        <v>3820</v>
      </c>
      <c r="D407" s="756" t="s">
        <v>3821</v>
      </c>
      <c r="E407" s="297"/>
      <c r="G407" s="731">
        <v>401</v>
      </c>
      <c r="I407" s="729">
        <f t="shared" si="27"/>
        <v>401</v>
      </c>
      <c r="L407" s="754" t="s">
        <v>2292</v>
      </c>
      <c r="M407" s="754" t="s">
        <v>3864</v>
      </c>
      <c r="N407" s="755">
        <v>1</v>
      </c>
      <c r="O407" s="382" t="s">
        <v>304</v>
      </c>
      <c r="P407" s="644">
        <v>1500000</v>
      </c>
      <c r="Q407" s="644">
        <v>1500000</v>
      </c>
      <c r="R407" s="758"/>
      <c r="S407" s="759">
        <v>4</v>
      </c>
      <c r="V407" s="61" t="e">
        <f>VLOOKUP(T407,Sheet3!$C$3:$F$16,2,)</f>
        <v>#N/A</v>
      </c>
      <c r="W407" s="61" t="e">
        <f>VLOOKUP(T407,Sheet3!$C$3:$F$16,4,)</f>
        <v>#N/A</v>
      </c>
      <c r="X407" s="61" t="e">
        <f>VLOOKUP(T407,Sheet3!$C$3:$F$16,3,)</f>
        <v>#N/A</v>
      </c>
    </row>
    <row r="408" spans="2:24" ht="37.5">
      <c r="B408" s="753">
        <v>105</v>
      </c>
      <c r="C408" s="754" t="s">
        <v>3823</v>
      </c>
      <c r="D408" s="756" t="s">
        <v>3824</v>
      </c>
      <c r="E408" s="297"/>
      <c r="G408" s="731">
        <v>402</v>
      </c>
      <c r="I408" s="729">
        <f t="shared" si="27"/>
        <v>402</v>
      </c>
      <c r="L408" s="754" t="s">
        <v>2681</v>
      </c>
      <c r="M408" s="754" t="s">
        <v>3846</v>
      </c>
      <c r="N408" s="755">
        <v>41</v>
      </c>
      <c r="O408" s="382" t="s">
        <v>3825</v>
      </c>
      <c r="P408" s="644">
        <v>60000</v>
      </c>
      <c r="Q408" s="644">
        <v>2460000</v>
      </c>
      <c r="R408" s="758"/>
      <c r="S408" s="759">
        <v>4</v>
      </c>
      <c r="V408" s="61" t="e">
        <f>VLOOKUP(T408,Sheet3!$C$3:$F$16,2,)</f>
        <v>#N/A</v>
      </c>
      <c r="W408" s="61" t="e">
        <f>VLOOKUP(T408,Sheet3!$C$3:$F$16,4,)</f>
        <v>#N/A</v>
      </c>
      <c r="X408" s="61" t="e">
        <f>VLOOKUP(T408,Sheet3!$C$3:$F$16,3,)</f>
        <v>#N/A</v>
      </c>
    </row>
    <row r="409" spans="2:24" ht="37.5">
      <c r="B409" s="753">
        <v>106</v>
      </c>
      <c r="C409" s="754" t="s">
        <v>3823</v>
      </c>
      <c r="D409" s="756" t="s">
        <v>3824</v>
      </c>
      <c r="E409" s="297"/>
      <c r="G409" s="731">
        <v>403</v>
      </c>
      <c r="I409" s="729">
        <f t="shared" si="27"/>
        <v>403</v>
      </c>
      <c r="L409" s="754" t="s">
        <v>2686</v>
      </c>
      <c r="M409" s="754" t="s">
        <v>3846</v>
      </c>
      <c r="N409" s="755">
        <v>34</v>
      </c>
      <c r="O409" s="382" t="s">
        <v>3825</v>
      </c>
      <c r="P409" s="644">
        <v>60000</v>
      </c>
      <c r="Q409" s="644">
        <v>2040000</v>
      </c>
      <c r="R409" s="758"/>
      <c r="S409" s="759">
        <v>4</v>
      </c>
      <c r="V409" s="61" t="e">
        <f>VLOOKUP(T409,Sheet3!$C$3:$F$16,2,)</f>
        <v>#N/A</v>
      </c>
      <c r="W409" s="61" t="e">
        <f>VLOOKUP(T409,Sheet3!$C$3:$F$16,4,)</f>
        <v>#N/A</v>
      </c>
      <c r="X409" s="61" t="e">
        <f>VLOOKUP(T409,Sheet3!$C$3:$F$16,3,)</f>
        <v>#N/A</v>
      </c>
    </row>
    <row r="410" spans="2:24" ht="37.5">
      <c r="B410" s="753">
        <v>107</v>
      </c>
      <c r="C410" s="754" t="s">
        <v>3823</v>
      </c>
      <c r="D410" s="756" t="s">
        <v>3824</v>
      </c>
      <c r="E410" s="297"/>
      <c r="G410" s="731">
        <v>404</v>
      </c>
      <c r="I410" s="729">
        <f t="shared" si="27"/>
        <v>404</v>
      </c>
      <c r="L410" s="754" t="s">
        <v>2688</v>
      </c>
      <c r="M410" s="754" t="s">
        <v>3846</v>
      </c>
      <c r="N410" s="755">
        <v>34</v>
      </c>
      <c r="O410" s="382" t="s">
        <v>3825</v>
      </c>
      <c r="P410" s="644">
        <v>60000</v>
      </c>
      <c r="Q410" s="644">
        <v>2040000</v>
      </c>
      <c r="R410" s="758"/>
      <c r="S410" s="759">
        <v>4</v>
      </c>
      <c r="V410" s="61" t="e">
        <f>VLOOKUP(T410,Sheet3!$C$3:$F$16,2,)</f>
        <v>#N/A</v>
      </c>
      <c r="W410" s="61" t="e">
        <f>VLOOKUP(T410,Sheet3!$C$3:$F$16,4,)</f>
        <v>#N/A</v>
      </c>
      <c r="X410" s="61" t="e">
        <f>VLOOKUP(T410,Sheet3!$C$3:$F$16,3,)</f>
        <v>#N/A</v>
      </c>
    </row>
    <row r="411" spans="2:24" ht="37.5">
      <c r="B411" s="753">
        <v>108</v>
      </c>
      <c r="C411" s="754" t="s">
        <v>3823</v>
      </c>
      <c r="D411" s="756" t="s">
        <v>3824</v>
      </c>
      <c r="E411" s="297"/>
      <c r="G411" s="731">
        <v>405</v>
      </c>
      <c r="I411" s="729">
        <f t="shared" si="27"/>
        <v>405</v>
      </c>
      <c r="L411" s="754" t="s">
        <v>2690</v>
      </c>
      <c r="M411" s="754" t="s">
        <v>3846</v>
      </c>
      <c r="N411" s="755">
        <v>37</v>
      </c>
      <c r="O411" s="382" t="s">
        <v>3825</v>
      </c>
      <c r="P411" s="644">
        <v>60000</v>
      </c>
      <c r="Q411" s="644">
        <v>2220000</v>
      </c>
      <c r="R411" s="758"/>
      <c r="S411" s="759">
        <v>4</v>
      </c>
      <c r="V411" s="61" t="e">
        <f>VLOOKUP(T411,Sheet3!$C$3:$F$16,2,)</f>
        <v>#N/A</v>
      </c>
      <c r="W411" s="61" t="e">
        <f>VLOOKUP(T411,Sheet3!$C$3:$F$16,4,)</f>
        <v>#N/A</v>
      </c>
      <c r="X411" s="61" t="e">
        <f>VLOOKUP(T411,Sheet3!$C$3:$F$16,3,)</f>
        <v>#N/A</v>
      </c>
    </row>
    <row r="412" spans="2:24" ht="37.5">
      <c r="B412" s="753">
        <v>109</v>
      </c>
      <c r="C412" s="754" t="s">
        <v>3823</v>
      </c>
      <c r="D412" s="756" t="s">
        <v>3824</v>
      </c>
      <c r="E412" s="297"/>
      <c r="G412" s="731">
        <v>406</v>
      </c>
      <c r="I412" s="729">
        <f t="shared" si="27"/>
        <v>406</v>
      </c>
      <c r="L412" s="754" t="s">
        <v>2692</v>
      </c>
      <c r="M412" s="754" t="s">
        <v>3846</v>
      </c>
      <c r="N412" s="755">
        <v>35</v>
      </c>
      <c r="O412" s="382" t="s">
        <v>3825</v>
      </c>
      <c r="P412" s="644">
        <v>60000</v>
      </c>
      <c r="Q412" s="644">
        <v>2100000</v>
      </c>
      <c r="R412" s="758"/>
      <c r="S412" s="759">
        <v>4</v>
      </c>
      <c r="V412" s="61" t="e">
        <f>VLOOKUP(T412,Sheet3!$C$3:$F$16,2,)</f>
        <v>#N/A</v>
      </c>
      <c r="W412" s="61" t="e">
        <f>VLOOKUP(T412,Sheet3!$C$3:$F$16,4,)</f>
        <v>#N/A</v>
      </c>
      <c r="X412" s="61" t="e">
        <f>VLOOKUP(T412,Sheet3!$C$3:$F$16,3,)</f>
        <v>#N/A</v>
      </c>
    </row>
    <row r="413" spans="2:24" ht="37.5">
      <c r="B413" s="753">
        <v>110</v>
      </c>
      <c r="C413" s="754" t="s">
        <v>3823</v>
      </c>
      <c r="D413" s="756" t="s">
        <v>3824</v>
      </c>
      <c r="E413" s="297"/>
      <c r="G413" s="731">
        <v>407</v>
      </c>
      <c r="I413" s="729">
        <f t="shared" si="27"/>
        <v>407</v>
      </c>
      <c r="L413" s="756" t="s">
        <v>2694</v>
      </c>
      <c r="M413" s="754" t="s">
        <v>3846</v>
      </c>
      <c r="N413" s="642">
        <v>21</v>
      </c>
      <c r="O413" s="382" t="s">
        <v>3825</v>
      </c>
      <c r="P413" s="644">
        <v>60000</v>
      </c>
      <c r="Q413" s="644">
        <v>1260000</v>
      </c>
      <c r="R413" s="758"/>
      <c r="S413" s="759">
        <v>4</v>
      </c>
      <c r="V413" s="61" t="e">
        <f>VLOOKUP(T413,Sheet3!$C$3:$F$16,2,)</f>
        <v>#N/A</v>
      </c>
      <c r="W413" s="61" t="e">
        <f>VLOOKUP(T413,Sheet3!$C$3:$F$16,4,)</f>
        <v>#N/A</v>
      </c>
      <c r="X413" s="61" t="e">
        <f>VLOOKUP(T413,Sheet3!$C$3:$F$16,3,)</f>
        <v>#N/A</v>
      </c>
    </row>
    <row r="414" spans="2:24" ht="37.5">
      <c r="B414" s="753">
        <v>111</v>
      </c>
      <c r="C414" s="754" t="s">
        <v>3823</v>
      </c>
      <c r="D414" s="756" t="s">
        <v>3824</v>
      </c>
      <c r="E414" s="297"/>
      <c r="G414" s="731">
        <v>408</v>
      </c>
      <c r="I414" s="729">
        <f t="shared" si="27"/>
        <v>408</v>
      </c>
      <c r="L414" s="756" t="s">
        <v>3826</v>
      </c>
      <c r="M414" s="754" t="s">
        <v>3846</v>
      </c>
      <c r="N414" s="642">
        <v>24</v>
      </c>
      <c r="O414" s="382" t="s">
        <v>3827</v>
      </c>
      <c r="P414" s="644">
        <v>50000</v>
      </c>
      <c r="Q414" s="644">
        <v>1200000</v>
      </c>
      <c r="R414" s="758"/>
      <c r="S414" s="759">
        <v>4</v>
      </c>
      <c r="V414" s="61" t="e">
        <f>VLOOKUP(T414,Sheet3!$C$3:$F$16,2,)</f>
        <v>#N/A</v>
      </c>
      <c r="W414" s="61" t="e">
        <f>VLOOKUP(T414,Sheet3!$C$3:$F$16,4,)</f>
        <v>#N/A</v>
      </c>
      <c r="X414" s="61" t="e">
        <f>VLOOKUP(T414,Sheet3!$C$3:$F$16,3,)</f>
        <v>#N/A</v>
      </c>
    </row>
    <row r="415" spans="2:24" ht="37.5">
      <c r="B415" s="753">
        <v>112</v>
      </c>
      <c r="C415" s="754" t="s">
        <v>3823</v>
      </c>
      <c r="D415" s="756" t="s">
        <v>3824</v>
      </c>
      <c r="E415" s="297"/>
      <c r="G415" s="731">
        <v>409</v>
      </c>
      <c r="I415" s="729">
        <f t="shared" si="27"/>
        <v>409</v>
      </c>
      <c r="L415" s="756" t="s">
        <v>3828</v>
      </c>
      <c r="M415" s="754" t="s">
        <v>3846</v>
      </c>
      <c r="N415" s="642">
        <v>24</v>
      </c>
      <c r="O415" s="382" t="s">
        <v>3827</v>
      </c>
      <c r="P415" s="644">
        <v>50000</v>
      </c>
      <c r="Q415" s="644">
        <v>1200000</v>
      </c>
      <c r="R415" s="758"/>
      <c r="S415" s="759">
        <v>4</v>
      </c>
      <c r="V415" s="61" t="e">
        <f>VLOOKUP(T415,Sheet3!$C$3:$F$16,2,)</f>
        <v>#N/A</v>
      </c>
      <c r="W415" s="61" t="e">
        <f>VLOOKUP(T415,Sheet3!$C$3:$F$16,4,)</f>
        <v>#N/A</v>
      </c>
      <c r="X415" s="61" t="e">
        <f>VLOOKUP(T415,Sheet3!$C$3:$F$16,3,)</f>
        <v>#N/A</v>
      </c>
    </row>
    <row r="416" spans="2:24" ht="37.5">
      <c r="B416" s="753">
        <v>113</v>
      </c>
      <c r="C416" s="754" t="s">
        <v>3823</v>
      </c>
      <c r="D416" s="756" t="s">
        <v>3824</v>
      </c>
      <c r="E416" s="297"/>
      <c r="G416" s="731">
        <v>410</v>
      </c>
      <c r="I416" s="729">
        <f t="shared" si="27"/>
        <v>410</v>
      </c>
      <c r="L416" s="756" t="s">
        <v>3829</v>
      </c>
      <c r="M416" s="754" t="s">
        <v>3846</v>
      </c>
      <c r="N416" s="642">
        <v>35</v>
      </c>
      <c r="O416" s="382" t="s">
        <v>3827</v>
      </c>
      <c r="P416" s="644">
        <v>50000</v>
      </c>
      <c r="Q416" s="644">
        <v>1750000</v>
      </c>
      <c r="R416" s="758"/>
      <c r="S416" s="759">
        <v>4</v>
      </c>
      <c r="V416" s="61" t="e">
        <f>VLOOKUP(T416,Sheet3!$C$3:$F$16,2,)</f>
        <v>#N/A</v>
      </c>
      <c r="W416" s="61" t="e">
        <f>VLOOKUP(T416,Sheet3!$C$3:$F$16,4,)</f>
        <v>#N/A</v>
      </c>
      <c r="X416" s="61" t="e">
        <f>VLOOKUP(T416,Sheet3!$C$3:$F$16,3,)</f>
        <v>#N/A</v>
      </c>
    </row>
    <row r="417" spans="2:24" ht="37.5">
      <c r="B417" s="753">
        <v>115</v>
      </c>
      <c r="C417" s="754" t="s">
        <v>3830</v>
      </c>
      <c r="D417" s="756" t="s">
        <v>3831</v>
      </c>
      <c r="E417" s="297"/>
      <c r="G417" s="731">
        <v>411</v>
      </c>
      <c r="I417" s="729">
        <f t="shared" si="27"/>
        <v>411</v>
      </c>
      <c r="L417" s="756" t="s">
        <v>2698</v>
      </c>
      <c r="M417" s="756" t="s">
        <v>3847</v>
      </c>
      <c r="N417" s="642">
        <v>1</v>
      </c>
      <c r="O417" s="382" t="s">
        <v>304</v>
      </c>
      <c r="P417" s="644">
        <v>2000000</v>
      </c>
      <c r="Q417" s="644">
        <v>2000000</v>
      </c>
      <c r="R417" s="758"/>
      <c r="S417" s="759">
        <v>4</v>
      </c>
      <c r="V417" s="61" t="e">
        <f>VLOOKUP(T417,Sheet3!$C$3:$F$16,2,)</f>
        <v>#N/A</v>
      </c>
      <c r="W417" s="61" t="e">
        <f>VLOOKUP(T417,Sheet3!$C$3:$F$16,4,)</f>
        <v>#N/A</v>
      </c>
      <c r="X417" s="61" t="e">
        <f>VLOOKUP(T417,Sheet3!$C$3:$F$16,3,)</f>
        <v>#N/A</v>
      </c>
    </row>
    <row r="418" spans="2:24" ht="37.5">
      <c r="B418" s="753">
        <v>116</v>
      </c>
      <c r="C418" s="754" t="s">
        <v>3830</v>
      </c>
      <c r="D418" s="756" t="s">
        <v>3831</v>
      </c>
      <c r="E418" s="297"/>
      <c r="G418" s="731">
        <v>412</v>
      </c>
      <c r="I418" s="729">
        <f t="shared" si="27"/>
        <v>412</v>
      </c>
      <c r="L418" s="756" t="s">
        <v>2702</v>
      </c>
      <c r="M418" s="756" t="s">
        <v>3847</v>
      </c>
      <c r="N418" s="642">
        <v>1</v>
      </c>
      <c r="O418" s="382" t="s">
        <v>304</v>
      </c>
      <c r="P418" s="644">
        <v>2500000</v>
      </c>
      <c r="Q418" s="644">
        <v>2500000</v>
      </c>
      <c r="R418" s="758"/>
      <c r="S418" s="759">
        <v>4</v>
      </c>
      <c r="V418" s="61" t="e">
        <f>VLOOKUP(T418,Sheet3!$C$3:$F$16,2,)</f>
        <v>#N/A</v>
      </c>
      <c r="W418" s="61" t="e">
        <f>VLOOKUP(T418,Sheet3!$C$3:$F$16,4,)</f>
        <v>#N/A</v>
      </c>
      <c r="X418" s="61" t="e">
        <f>VLOOKUP(T418,Sheet3!$C$3:$F$16,3,)</f>
        <v>#N/A</v>
      </c>
    </row>
    <row r="419" spans="2:24" ht="37.5">
      <c r="B419" s="753">
        <v>117</v>
      </c>
      <c r="C419" s="754" t="s">
        <v>3830</v>
      </c>
      <c r="D419" s="756" t="s">
        <v>3831</v>
      </c>
      <c r="E419" s="297"/>
      <c r="G419" s="731">
        <v>413</v>
      </c>
      <c r="I419" s="729">
        <f t="shared" si="27"/>
        <v>413</v>
      </c>
      <c r="L419" s="756" t="s">
        <v>2704</v>
      </c>
      <c r="M419" s="756" t="s">
        <v>3847</v>
      </c>
      <c r="N419" s="642">
        <v>1</v>
      </c>
      <c r="O419" s="382" t="s">
        <v>304</v>
      </c>
      <c r="P419" s="644">
        <v>2500000</v>
      </c>
      <c r="Q419" s="644">
        <v>2500000</v>
      </c>
      <c r="R419" s="758"/>
      <c r="S419" s="759">
        <v>4</v>
      </c>
      <c r="V419" s="61" t="e">
        <f>VLOOKUP(T419,Sheet3!$C$3:$F$16,2,)</f>
        <v>#N/A</v>
      </c>
      <c r="W419" s="61" t="e">
        <f>VLOOKUP(T419,Sheet3!$C$3:$F$16,4,)</f>
        <v>#N/A</v>
      </c>
      <c r="X419" s="61" t="e">
        <f>VLOOKUP(T419,Sheet3!$C$3:$F$16,3,)</f>
        <v>#N/A</v>
      </c>
    </row>
    <row r="420" spans="2:24" ht="37.5">
      <c r="B420" s="753">
        <v>118</v>
      </c>
      <c r="C420" s="754" t="s">
        <v>3830</v>
      </c>
      <c r="D420" s="756" t="s">
        <v>3831</v>
      </c>
      <c r="E420" s="297"/>
      <c r="G420" s="731">
        <v>414</v>
      </c>
      <c r="I420" s="729">
        <f t="shared" si="27"/>
        <v>414</v>
      </c>
      <c r="L420" s="756" t="s">
        <v>2706</v>
      </c>
      <c r="M420" s="756" t="s">
        <v>3847</v>
      </c>
      <c r="N420" s="642">
        <v>1</v>
      </c>
      <c r="O420" s="382" t="s">
        <v>304</v>
      </c>
      <c r="P420" s="644">
        <v>2000000</v>
      </c>
      <c r="Q420" s="644">
        <v>2000000</v>
      </c>
      <c r="R420" s="758"/>
      <c r="S420" s="759">
        <v>4</v>
      </c>
      <c r="V420" s="61" t="e">
        <f>VLOOKUP(T420,Sheet3!$C$3:$F$16,2,)</f>
        <v>#N/A</v>
      </c>
      <c r="W420" s="61" t="e">
        <f>VLOOKUP(T420,Sheet3!$C$3:$F$16,4,)</f>
        <v>#N/A</v>
      </c>
      <c r="X420" s="61" t="e">
        <f>VLOOKUP(T420,Sheet3!$C$3:$F$16,3,)</f>
        <v>#N/A</v>
      </c>
    </row>
    <row r="421" spans="2:24" ht="37.5">
      <c r="B421" s="753">
        <v>119</v>
      </c>
      <c r="C421" s="754" t="s">
        <v>3830</v>
      </c>
      <c r="D421" s="756" t="s">
        <v>3831</v>
      </c>
      <c r="E421" s="297"/>
      <c r="G421" s="731">
        <v>415</v>
      </c>
      <c r="I421" s="729">
        <f t="shared" si="27"/>
        <v>415</v>
      </c>
      <c r="L421" s="756" t="s">
        <v>2708</v>
      </c>
      <c r="M421" s="756" t="s">
        <v>3847</v>
      </c>
      <c r="N421" s="642">
        <v>1</v>
      </c>
      <c r="O421" s="382" t="s">
        <v>304</v>
      </c>
      <c r="P421" s="644">
        <v>2500000</v>
      </c>
      <c r="Q421" s="644">
        <v>2500000</v>
      </c>
      <c r="R421" s="758"/>
      <c r="S421" s="759">
        <v>4</v>
      </c>
      <c r="V421" s="61" t="e">
        <f>VLOOKUP(T421,Sheet3!$C$3:$F$16,2,)</f>
        <v>#N/A</v>
      </c>
      <c r="W421" s="61" t="e">
        <f>VLOOKUP(T421,Sheet3!$C$3:$F$16,4,)</f>
        <v>#N/A</v>
      </c>
      <c r="X421" s="61" t="e">
        <f>VLOOKUP(T421,Sheet3!$C$3:$F$16,3,)</f>
        <v>#N/A</v>
      </c>
    </row>
    <row r="422" spans="2:24" ht="37.5">
      <c r="B422" s="753">
        <v>120</v>
      </c>
      <c r="C422" s="754" t="s">
        <v>3830</v>
      </c>
      <c r="D422" s="756" t="s">
        <v>3831</v>
      </c>
      <c r="E422" s="297"/>
      <c r="G422" s="731">
        <v>416</v>
      </c>
      <c r="I422" s="729">
        <f t="shared" si="27"/>
        <v>416</v>
      </c>
      <c r="L422" s="756" t="s">
        <v>3157</v>
      </c>
      <c r="M422" s="756" t="s">
        <v>3847</v>
      </c>
      <c r="N422" s="642">
        <v>1</v>
      </c>
      <c r="O422" s="382" t="s">
        <v>3832</v>
      </c>
      <c r="P422" s="644">
        <v>2000000</v>
      </c>
      <c r="Q422" s="644">
        <v>2000000</v>
      </c>
      <c r="R422" s="758"/>
      <c r="S422" s="759">
        <v>4</v>
      </c>
      <c r="V422" s="61" t="e">
        <f>VLOOKUP(T422,Sheet3!$C$3:$F$16,2,)</f>
        <v>#N/A</v>
      </c>
      <c r="W422" s="61" t="e">
        <f>VLOOKUP(T422,Sheet3!$C$3:$F$16,4,)</f>
        <v>#N/A</v>
      </c>
      <c r="X422" s="61" t="e">
        <f>VLOOKUP(T422,Sheet3!$C$3:$F$16,3,)</f>
        <v>#N/A</v>
      </c>
    </row>
    <row r="423" spans="2:24" ht="37.5">
      <c r="B423" s="753">
        <v>121</v>
      </c>
      <c r="C423" s="754" t="s">
        <v>3830</v>
      </c>
      <c r="D423" s="756" t="s">
        <v>3831</v>
      </c>
      <c r="E423" s="297"/>
      <c r="G423" s="731">
        <v>417</v>
      </c>
      <c r="I423" s="729">
        <f t="shared" si="27"/>
        <v>417</v>
      </c>
      <c r="L423" s="756" t="s">
        <v>3162</v>
      </c>
      <c r="M423" s="756" t="s">
        <v>3847</v>
      </c>
      <c r="N423" s="642">
        <v>1</v>
      </c>
      <c r="O423" s="382" t="s">
        <v>3832</v>
      </c>
      <c r="P423" s="644">
        <v>2000000</v>
      </c>
      <c r="Q423" s="644">
        <v>2000000</v>
      </c>
      <c r="R423" s="758"/>
      <c r="S423" s="759">
        <v>4</v>
      </c>
      <c r="V423" s="61" t="e">
        <f>VLOOKUP(T423,Sheet3!$C$3:$F$16,2,)</f>
        <v>#N/A</v>
      </c>
      <c r="W423" s="61" t="e">
        <f>VLOOKUP(T423,Sheet3!$C$3:$F$16,4,)</f>
        <v>#N/A</v>
      </c>
      <c r="X423" s="61" t="e">
        <f>VLOOKUP(T423,Sheet3!$C$3:$F$16,3,)</f>
        <v>#N/A</v>
      </c>
    </row>
    <row r="424" spans="2:24" ht="37.5">
      <c r="B424" s="753">
        <v>123</v>
      </c>
      <c r="C424" s="754" t="s">
        <v>3833</v>
      </c>
      <c r="D424" s="756" t="s">
        <v>3834</v>
      </c>
      <c r="E424" s="297"/>
      <c r="G424" s="731">
        <v>418</v>
      </c>
      <c r="I424" s="729">
        <f t="shared" si="27"/>
        <v>418</v>
      </c>
      <c r="L424" s="756" t="s">
        <v>3167</v>
      </c>
      <c r="M424" s="756" t="s">
        <v>3847</v>
      </c>
      <c r="N424" s="642">
        <v>1</v>
      </c>
      <c r="O424" s="382" t="s">
        <v>3832</v>
      </c>
      <c r="P424" s="644">
        <v>2000000</v>
      </c>
      <c r="Q424" s="644">
        <v>2000000</v>
      </c>
      <c r="R424" s="758"/>
      <c r="S424" s="759">
        <v>4</v>
      </c>
      <c r="V424" s="61" t="e">
        <f>VLOOKUP(T424,Sheet3!$C$3:$F$16,2,)</f>
        <v>#N/A</v>
      </c>
      <c r="W424" s="61" t="e">
        <f>VLOOKUP(T424,Sheet3!$C$3:$F$16,4,)</f>
        <v>#N/A</v>
      </c>
      <c r="X424" s="61" t="e">
        <f>VLOOKUP(T424,Sheet3!$C$3:$F$16,3,)</f>
        <v>#N/A</v>
      </c>
    </row>
    <row r="425" spans="2:24" ht="37.5">
      <c r="B425" s="753">
        <v>124</v>
      </c>
      <c r="C425" s="754" t="s">
        <v>3835</v>
      </c>
      <c r="D425" s="756" t="s">
        <v>3834</v>
      </c>
      <c r="E425" s="297"/>
      <c r="G425" s="731">
        <v>419</v>
      </c>
      <c r="I425" s="729">
        <f t="shared" si="27"/>
        <v>419</v>
      </c>
      <c r="L425" s="756" t="s">
        <v>3173</v>
      </c>
      <c r="M425" s="756" t="s">
        <v>3847</v>
      </c>
      <c r="N425" s="642">
        <v>1</v>
      </c>
      <c r="O425" s="382" t="s">
        <v>304</v>
      </c>
      <c r="P425" s="644">
        <v>1000000</v>
      </c>
      <c r="Q425" s="644">
        <v>1000000</v>
      </c>
      <c r="R425" s="758"/>
      <c r="S425" s="759">
        <v>4</v>
      </c>
      <c r="V425" s="61" t="e">
        <f>VLOOKUP(T425,Sheet3!$C$3:$F$16,2,)</f>
        <v>#N/A</v>
      </c>
      <c r="W425" s="61" t="e">
        <f>VLOOKUP(T425,Sheet3!$C$3:$F$16,4,)</f>
        <v>#N/A</v>
      </c>
      <c r="X425" s="61" t="e">
        <f>VLOOKUP(T425,Sheet3!$C$3:$F$16,3,)</f>
        <v>#N/A</v>
      </c>
    </row>
    <row r="426" spans="2:24">
      <c r="Q426" s="771">
        <f>SUM(Q3:Q425)</f>
        <v>552986800</v>
      </c>
      <c r="R426" s="771"/>
    </row>
  </sheetData>
  <mergeCells count="3">
    <mergeCell ref="N1:P1"/>
    <mergeCell ref="Q1:Q2"/>
    <mergeCell ref="S1:S2"/>
  </mergeCells>
  <phoneticPr fontId="19" type="noConversion"/>
  <conditionalFormatting sqref="B3:U3 K4:K329 L4:U131 L133:U329 B133:H425 J330:U425 J133:J329 I132:I425 B4:J131">
    <cfRule type="expression" dxfId="2" priority="1">
      <formula>$U3="BELUM"</formula>
    </cfRule>
    <cfRule type="expression" dxfId="1" priority="2">
      <formula>$U3="MASUK BKU"</formula>
    </cfRule>
  </conditionalFormatting>
  <dataValidations count="1">
    <dataValidation type="list" allowBlank="1" showInputMessage="1" showErrorMessage="1" sqref="U133:U425 U3:U131" xr:uid="{BA3B284C-8B47-42B9-854E-42E9F9ABBB2D}">
      <formula1>"MASUK BKU,BELUM"</formula1>
    </dataValidation>
  </dataValidations>
  <pageMargins left="0.7" right="0.7" top="0.75" bottom="0.75" header="0.3" footer="0.3"/>
  <pageSetup paperSize="9" orientation="portrait" horizontalDpi="360" verticalDpi="36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AL1200"/>
  <sheetViews>
    <sheetView zoomScale="70" zoomScaleNormal="70" workbookViewId="0">
      <pane ySplit="2" topLeftCell="A3" activePane="bottomLeft" state="frozen"/>
      <selection pane="bottomLeft" activeCell="W11" sqref="W11"/>
    </sheetView>
  </sheetViews>
  <sheetFormatPr defaultColWidth="8.7265625" defaultRowHeight="14.5"/>
  <cols>
    <col min="1" max="1" width="10.7265625" style="61" customWidth="1"/>
    <col min="2" max="2" width="11.26953125" style="290" customWidth="1"/>
    <col min="3" max="3" width="11.54296875" style="290" customWidth="1"/>
    <col min="4" max="4" width="19.81640625" style="61" customWidth="1"/>
    <col min="5" max="7" width="12.7265625" style="297" customWidth="1"/>
    <col min="8" max="8" width="13.54296875" style="297" customWidth="1"/>
    <col min="9" max="9" width="13.54296875" style="298" customWidth="1"/>
    <col min="10" max="10" width="48.81640625" style="61" customWidth="1"/>
    <col min="11" max="11" width="31" style="279" customWidth="1"/>
    <col min="12" max="13" width="8.54296875" style="290" customWidth="1"/>
    <col min="14" max="15" width="12.1796875" style="296" customWidth="1"/>
    <col min="16" max="16" width="6.7265625" style="290" customWidth="1"/>
    <col min="17" max="17" width="35.1796875" style="61" customWidth="1"/>
    <col min="18" max="19" width="14.7265625" style="61" customWidth="1"/>
    <col min="20" max="21" width="16.54296875" style="61" customWidth="1"/>
    <col min="22" max="22" width="14.81640625" style="61" customWidth="1"/>
    <col min="23" max="23" width="38.453125" style="61" customWidth="1"/>
    <col min="24" max="24" width="30.26953125" style="61" customWidth="1"/>
    <col min="25" max="25" width="32.81640625" style="61" customWidth="1"/>
    <col min="26" max="26" width="23.453125" style="293" customWidth="1"/>
    <col min="27" max="27" width="12.54296875" style="135" customWidth="1"/>
    <col min="28" max="28" width="14.81640625" style="220" customWidth="1"/>
    <col min="29" max="29" width="17" style="220" customWidth="1"/>
    <col min="30" max="30" width="16.54296875" style="294" customWidth="1"/>
    <col min="31" max="32" width="18.54296875" style="221" customWidth="1"/>
    <col min="33" max="33" width="12.1796875" style="296" customWidth="1"/>
    <col min="34" max="34" width="17.1796875" style="279" customWidth="1"/>
    <col min="35" max="35" width="15.1796875" style="61" customWidth="1"/>
    <col min="36" max="36" width="12.81640625" style="61" customWidth="1"/>
    <col min="37" max="37" width="11" style="61" bestFit="1" customWidth="1"/>
    <col min="38" max="16384" width="8.7265625" style="61"/>
  </cols>
  <sheetData>
    <row r="1" spans="1:38" s="260" customFormat="1" ht="57.65" customHeight="1" thickTop="1" thickBot="1">
      <c r="A1" s="328" t="s">
        <v>445</v>
      </c>
      <c r="B1" s="319" t="s">
        <v>446</v>
      </c>
      <c r="C1" s="320" t="s">
        <v>0</v>
      </c>
      <c r="D1" s="320" t="s">
        <v>1</v>
      </c>
      <c r="E1" s="321" t="s">
        <v>447</v>
      </c>
      <c r="F1" s="321" t="s">
        <v>2</v>
      </c>
      <c r="G1" s="321" t="s">
        <v>448</v>
      </c>
      <c r="H1" s="321" t="s">
        <v>449</v>
      </c>
      <c r="I1" s="321" t="s">
        <v>3</v>
      </c>
      <c r="J1" s="319" t="s">
        <v>450</v>
      </c>
      <c r="K1" s="322" t="s">
        <v>451</v>
      </c>
      <c r="L1" s="319" t="s">
        <v>452</v>
      </c>
      <c r="M1" s="319" t="s">
        <v>6</v>
      </c>
      <c r="N1" s="319" t="s">
        <v>14</v>
      </c>
      <c r="O1" s="319" t="s">
        <v>5</v>
      </c>
      <c r="P1" s="323"/>
      <c r="Q1" s="320" t="s">
        <v>453</v>
      </c>
      <c r="R1" s="320" t="s">
        <v>454</v>
      </c>
      <c r="S1" s="320" t="s">
        <v>455</v>
      </c>
      <c r="T1" s="320" t="s">
        <v>456</v>
      </c>
      <c r="U1" s="320" t="s">
        <v>457</v>
      </c>
      <c r="V1" s="320" t="s">
        <v>458</v>
      </c>
      <c r="W1" s="319" t="s">
        <v>459</v>
      </c>
      <c r="X1" s="319" t="s">
        <v>460</v>
      </c>
      <c r="Y1" s="320" t="s">
        <v>461</v>
      </c>
      <c r="Z1" s="324" t="s">
        <v>1535</v>
      </c>
      <c r="AA1" s="325" t="s">
        <v>6</v>
      </c>
      <c r="AB1" s="326" t="s">
        <v>1536</v>
      </c>
      <c r="AC1" s="326" t="s">
        <v>1537</v>
      </c>
      <c r="AD1" s="320" t="s">
        <v>1538</v>
      </c>
      <c r="AE1" s="327" t="s">
        <v>1539</v>
      </c>
      <c r="AF1" s="327" t="s">
        <v>1540</v>
      </c>
      <c r="AG1" s="319" t="s">
        <v>1541</v>
      </c>
      <c r="AH1" s="319" t="s">
        <v>2097</v>
      </c>
    </row>
    <row r="2" spans="1:38" s="261" customFormat="1" ht="13" customHeight="1" thickTop="1" thickBot="1">
      <c r="A2" s="329">
        <v>1</v>
      </c>
      <c r="B2" s="618">
        <v>2</v>
      </c>
      <c r="C2" s="329">
        <v>3</v>
      </c>
      <c r="D2" s="618">
        <v>4</v>
      </c>
      <c r="E2" s="329">
        <v>5</v>
      </c>
      <c r="F2" s="618">
        <v>6</v>
      </c>
      <c r="G2" s="329">
        <v>7</v>
      </c>
      <c r="H2" s="618">
        <v>8</v>
      </c>
      <c r="I2" s="329">
        <v>9</v>
      </c>
      <c r="J2" s="618">
        <v>10</v>
      </c>
      <c r="K2" s="329">
        <v>11</v>
      </c>
      <c r="L2" s="618">
        <v>12</v>
      </c>
      <c r="M2" s="329">
        <v>13</v>
      </c>
      <c r="N2" s="618">
        <v>14</v>
      </c>
      <c r="O2" s="329">
        <v>15</v>
      </c>
      <c r="P2" s="618">
        <v>16</v>
      </c>
      <c r="Q2" s="329">
        <v>17</v>
      </c>
      <c r="R2" s="618">
        <v>18</v>
      </c>
      <c r="S2" s="329">
        <v>19</v>
      </c>
      <c r="T2" s="618">
        <v>20</v>
      </c>
      <c r="U2" s="329">
        <v>21</v>
      </c>
      <c r="V2" s="618">
        <v>22</v>
      </c>
      <c r="W2" s="329">
        <v>23</v>
      </c>
      <c r="X2" s="618">
        <v>24</v>
      </c>
      <c r="Y2" s="329">
        <v>25</v>
      </c>
      <c r="Z2" s="618">
        <v>26</v>
      </c>
      <c r="AA2" s="329">
        <v>27</v>
      </c>
      <c r="AB2" s="618">
        <v>28</v>
      </c>
      <c r="AC2" s="329">
        <v>29</v>
      </c>
      <c r="AD2" s="618">
        <v>30</v>
      </c>
      <c r="AE2" s="329">
        <v>31</v>
      </c>
      <c r="AF2" s="618">
        <v>32</v>
      </c>
      <c r="AG2" s="329">
        <v>33</v>
      </c>
      <c r="AH2" s="619">
        <v>34</v>
      </c>
      <c r="AI2" s="301"/>
      <c r="AJ2" s="300"/>
      <c r="AK2" s="299"/>
      <c r="AL2" s="300"/>
    </row>
    <row r="3" spans="1:38" ht="25.5" thickTop="1">
      <c r="A3" s="349" t="s">
        <v>1542</v>
      </c>
      <c r="B3" s="352" t="s">
        <v>462</v>
      </c>
      <c r="C3" s="354" t="s">
        <v>463</v>
      </c>
      <c r="D3" s="355" t="s">
        <v>464</v>
      </c>
      <c r="E3" s="361">
        <v>44930</v>
      </c>
      <c r="F3" s="363" t="s">
        <v>465</v>
      </c>
      <c r="G3" s="361" t="str">
        <f t="shared" ref="G3:H16" si="0">F3</f>
        <v>05/01/2023</v>
      </c>
      <c r="H3" s="361" t="str">
        <f t="shared" si="0"/>
        <v>05/01/2023</v>
      </c>
      <c r="I3" s="366">
        <v>45034</v>
      </c>
      <c r="J3" s="354" t="s">
        <v>466</v>
      </c>
      <c r="K3" s="352" t="s">
        <v>467</v>
      </c>
      <c r="L3" s="402">
        <v>110</v>
      </c>
      <c r="M3" s="352" t="s">
        <v>231</v>
      </c>
      <c r="N3" s="403">
        <v>35000</v>
      </c>
      <c r="O3" s="404">
        <v>3850000</v>
      </c>
      <c r="P3" s="434">
        <v>4</v>
      </c>
      <c r="Q3" s="620" t="s">
        <v>81</v>
      </c>
      <c r="R3" s="621">
        <v>3850000</v>
      </c>
      <c r="S3" s="622">
        <f t="shared" ref="S3:S66" si="1">L3*(N3+2000)</f>
        <v>4070000</v>
      </c>
      <c r="T3" s="444" t="s">
        <v>282</v>
      </c>
      <c r="U3" s="444" t="str">
        <f t="shared" ref="U3:U66" si="2">IF(K3="Nasi Kotak","Resto JFC Esther",IF(K3="Aqua Botol 600 ml","UD. USAHA JAYA",""))</f>
        <v>Resto JFC Esther</v>
      </c>
      <c r="V3" s="444" t="s">
        <v>1258</v>
      </c>
      <c r="W3" s="444" t="s">
        <v>468</v>
      </c>
      <c r="X3" s="444" t="s">
        <v>468</v>
      </c>
      <c r="Y3" s="444" t="str">
        <f t="shared" ref="Y3:Y16" si="3">J3</f>
        <v>konsumsi pada kegiatan penyusunan program kurikulum semester genap TP. 2023/2024</v>
      </c>
      <c r="Z3" s="623" t="s">
        <v>8</v>
      </c>
      <c r="AA3" s="624" t="s">
        <v>1543</v>
      </c>
      <c r="AB3" s="625">
        <f t="shared" ref="AB3:AB66" si="4">100/111*N3</f>
        <v>31531.531531531531</v>
      </c>
      <c r="AC3" s="625">
        <f t="shared" ref="AC3:AC66" si="5">AB3*L3</f>
        <v>3468468.4684684686</v>
      </c>
      <c r="AD3" s="621">
        <v>3850000</v>
      </c>
      <c r="AE3" s="626">
        <v>3468468.4684684686</v>
      </c>
      <c r="AF3" s="626">
        <v>3850000</v>
      </c>
      <c r="AG3" s="621">
        <v>3850000</v>
      </c>
      <c r="AH3" s="443" t="s">
        <v>2091</v>
      </c>
    </row>
    <row r="4" spans="1:38" ht="25">
      <c r="A4" s="349" t="s">
        <v>1544</v>
      </c>
      <c r="B4" s="352" t="s">
        <v>469</v>
      </c>
      <c r="C4" s="354" t="s">
        <v>463</v>
      </c>
      <c r="D4" s="355" t="s">
        <v>464</v>
      </c>
      <c r="E4" s="361">
        <v>44930</v>
      </c>
      <c r="F4" s="361">
        <v>44931</v>
      </c>
      <c r="G4" s="361">
        <f t="shared" si="0"/>
        <v>44931</v>
      </c>
      <c r="H4" s="361">
        <f t="shared" si="0"/>
        <v>44931</v>
      </c>
      <c r="I4" s="366">
        <v>45034</v>
      </c>
      <c r="J4" s="354" t="s">
        <v>470</v>
      </c>
      <c r="K4" s="352" t="s">
        <v>471</v>
      </c>
      <c r="L4" s="402">
        <v>4</v>
      </c>
      <c r="M4" s="352" t="s">
        <v>472</v>
      </c>
      <c r="N4" s="403">
        <v>70000</v>
      </c>
      <c r="O4" s="404">
        <v>280000</v>
      </c>
      <c r="P4" s="421">
        <v>4</v>
      </c>
      <c r="Q4" s="491" t="s">
        <v>164</v>
      </c>
      <c r="R4" s="437">
        <v>280000</v>
      </c>
      <c r="S4" s="438">
        <f t="shared" si="1"/>
        <v>288000</v>
      </c>
      <c r="T4" s="439" t="s">
        <v>10</v>
      </c>
      <c r="U4" s="460" t="str">
        <f t="shared" si="2"/>
        <v>UD. USAHA JAYA</v>
      </c>
      <c r="V4" s="275" t="s">
        <v>11</v>
      </c>
      <c r="W4" s="275" t="s">
        <v>473</v>
      </c>
      <c r="X4" s="439" t="s">
        <v>474</v>
      </c>
      <c r="Y4" s="439" t="str">
        <f t="shared" si="3"/>
        <v>Air Mineral botol 600ml pada kegiatan penyusunan program kurikulum semester ganjil TP. 2023/2024</v>
      </c>
      <c r="Z4" s="616" t="s">
        <v>1545</v>
      </c>
      <c r="AA4" s="440" t="s">
        <v>472</v>
      </c>
      <c r="AB4" s="441">
        <f t="shared" si="4"/>
        <v>63063.063063063062</v>
      </c>
      <c r="AC4" s="442">
        <f t="shared" si="5"/>
        <v>252252.25225225225</v>
      </c>
      <c r="AD4" s="437">
        <v>280000</v>
      </c>
      <c r="AE4" s="447">
        <v>252252.25225225199</v>
      </c>
      <c r="AF4" s="447">
        <v>280000</v>
      </c>
      <c r="AG4" s="437">
        <v>280000</v>
      </c>
      <c r="AH4" s="271" t="s">
        <v>2092</v>
      </c>
    </row>
    <row r="5" spans="1:38" ht="25">
      <c r="A5" s="349" t="s">
        <v>1546</v>
      </c>
      <c r="B5" s="352" t="s">
        <v>475</v>
      </c>
      <c r="C5" s="354" t="s">
        <v>476</v>
      </c>
      <c r="D5" s="355" t="s">
        <v>464</v>
      </c>
      <c r="E5" s="374" t="s">
        <v>465</v>
      </c>
      <c r="F5" s="361">
        <v>44932</v>
      </c>
      <c r="G5" s="361">
        <f t="shared" si="0"/>
        <v>44932</v>
      </c>
      <c r="H5" s="361">
        <f t="shared" si="0"/>
        <v>44932</v>
      </c>
      <c r="I5" s="366">
        <v>45034</v>
      </c>
      <c r="J5" s="354" t="s">
        <v>477</v>
      </c>
      <c r="K5" s="352" t="s">
        <v>467</v>
      </c>
      <c r="L5" s="402">
        <v>40</v>
      </c>
      <c r="M5" s="352" t="s">
        <v>231</v>
      </c>
      <c r="N5" s="403">
        <v>35000</v>
      </c>
      <c r="O5" s="404">
        <v>1400000</v>
      </c>
      <c r="P5" s="421">
        <v>4</v>
      </c>
      <c r="Q5" s="493" t="s">
        <v>81</v>
      </c>
      <c r="R5" s="437">
        <v>1400000</v>
      </c>
      <c r="S5" s="438">
        <f t="shared" si="1"/>
        <v>1480000</v>
      </c>
      <c r="T5" s="439" t="s">
        <v>282</v>
      </c>
      <c r="U5" s="460" t="str">
        <f t="shared" si="2"/>
        <v>Resto JFC Esther</v>
      </c>
      <c r="V5" s="439" t="s">
        <v>1258</v>
      </c>
      <c r="W5" s="444" t="s">
        <v>468</v>
      </c>
      <c r="X5" s="439" t="s">
        <v>468</v>
      </c>
      <c r="Y5" s="439" t="str">
        <f t="shared" si="3"/>
        <v>Konsumsi pada kegiatan penyusunan program kesiswaan semester genap TP. 2023/2024</v>
      </c>
      <c r="Z5" s="449" t="s">
        <v>8</v>
      </c>
      <c r="AA5" s="440" t="s">
        <v>231</v>
      </c>
      <c r="AB5" s="441">
        <f t="shared" si="4"/>
        <v>31531.531531531531</v>
      </c>
      <c r="AC5" s="442">
        <f t="shared" si="5"/>
        <v>1261261.2612612613</v>
      </c>
      <c r="AD5" s="437">
        <v>1400000</v>
      </c>
      <c r="AE5" s="447">
        <v>1261261.2612612613</v>
      </c>
      <c r="AF5" s="447">
        <v>1400000</v>
      </c>
      <c r="AG5" s="437">
        <v>1400000</v>
      </c>
      <c r="AH5" s="443" t="s">
        <v>2091</v>
      </c>
    </row>
    <row r="6" spans="1:38" ht="25">
      <c r="A6" s="349" t="s">
        <v>1547</v>
      </c>
      <c r="B6" s="352" t="s">
        <v>478</v>
      </c>
      <c r="C6" s="354" t="s">
        <v>476</v>
      </c>
      <c r="D6" s="355" t="s">
        <v>464</v>
      </c>
      <c r="E6" s="374" t="s">
        <v>465</v>
      </c>
      <c r="F6" s="361">
        <v>44932</v>
      </c>
      <c r="G6" s="361">
        <f t="shared" si="0"/>
        <v>44932</v>
      </c>
      <c r="H6" s="361">
        <f t="shared" si="0"/>
        <v>44932</v>
      </c>
      <c r="I6" s="366">
        <v>45034</v>
      </c>
      <c r="J6" s="354" t="s">
        <v>479</v>
      </c>
      <c r="K6" s="352" t="s">
        <v>471</v>
      </c>
      <c r="L6" s="402">
        <v>2</v>
      </c>
      <c r="M6" s="352" t="s">
        <v>472</v>
      </c>
      <c r="N6" s="403">
        <v>70000</v>
      </c>
      <c r="O6" s="404">
        <v>140000</v>
      </c>
      <c r="P6" s="421">
        <v>4</v>
      </c>
      <c r="Q6" s="491" t="s">
        <v>164</v>
      </c>
      <c r="R6" s="437">
        <v>140000</v>
      </c>
      <c r="S6" s="438">
        <f t="shared" si="1"/>
        <v>144000</v>
      </c>
      <c r="T6" s="439" t="s">
        <v>10</v>
      </c>
      <c r="U6" s="460" t="str">
        <f t="shared" si="2"/>
        <v>UD. USAHA JAYA</v>
      </c>
      <c r="V6" s="439" t="s">
        <v>11</v>
      </c>
      <c r="W6" s="439" t="s">
        <v>473</v>
      </c>
      <c r="X6" s="439" t="s">
        <v>474</v>
      </c>
      <c r="Y6" s="439" t="str">
        <f t="shared" si="3"/>
        <v>Air mineral botol 600 ml pada kegiatan penyusunan program kesiswaan semester genap TP. 2023/2024</v>
      </c>
      <c r="Z6" s="449" t="s">
        <v>1545</v>
      </c>
      <c r="AA6" s="440" t="s">
        <v>472</v>
      </c>
      <c r="AB6" s="441">
        <f t="shared" si="4"/>
        <v>63063.063063063062</v>
      </c>
      <c r="AC6" s="442">
        <f t="shared" si="5"/>
        <v>126126.12612612612</v>
      </c>
      <c r="AD6" s="437">
        <v>140000</v>
      </c>
      <c r="AE6" s="447">
        <v>126126.12612612612</v>
      </c>
      <c r="AF6" s="447">
        <v>140000</v>
      </c>
      <c r="AG6" s="437">
        <v>140000</v>
      </c>
      <c r="AH6" s="443" t="s">
        <v>2092</v>
      </c>
      <c r="AI6" s="448">
        <f>SUM(AC7:AC8)</f>
        <v>6306306.3063063063</v>
      </c>
      <c r="AJ6" s="448">
        <f>SUM(AD7:AD8)</f>
        <v>7000000</v>
      </c>
    </row>
    <row r="7" spans="1:38" ht="25">
      <c r="A7" s="349" t="s">
        <v>1548</v>
      </c>
      <c r="B7" s="352" t="s">
        <v>480</v>
      </c>
      <c r="C7" s="354" t="s">
        <v>481</v>
      </c>
      <c r="D7" s="355" t="s">
        <v>464</v>
      </c>
      <c r="E7" s="374" t="s">
        <v>482</v>
      </c>
      <c r="F7" s="361">
        <v>44935</v>
      </c>
      <c r="G7" s="361">
        <f t="shared" si="0"/>
        <v>44935</v>
      </c>
      <c r="H7" s="361">
        <f t="shared" si="0"/>
        <v>44935</v>
      </c>
      <c r="I7" s="366">
        <v>45034</v>
      </c>
      <c r="J7" s="354" t="s">
        <v>483</v>
      </c>
      <c r="K7" s="352" t="s">
        <v>484</v>
      </c>
      <c r="L7" s="402">
        <v>20</v>
      </c>
      <c r="M7" s="352" t="s">
        <v>472</v>
      </c>
      <c r="N7" s="403">
        <v>50000</v>
      </c>
      <c r="O7" s="404">
        <v>1000000</v>
      </c>
      <c r="P7" s="421">
        <v>4</v>
      </c>
      <c r="Q7" s="494" t="s">
        <v>163</v>
      </c>
      <c r="R7" s="437">
        <v>1000000</v>
      </c>
      <c r="S7" s="438">
        <f t="shared" si="1"/>
        <v>1040000</v>
      </c>
      <c r="T7" s="439" t="s">
        <v>10</v>
      </c>
      <c r="U7" s="460" t="str">
        <f t="shared" si="2"/>
        <v/>
      </c>
      <c r="V7" s="439" t="s">
        <v>11</v>
      </c>
      <c r="W7" s="439" t="s">
        <v>473</v>
      </c>
      <c r="X7" s="439" t="s">
        <v>474</v>
      </c>
      <c r="Y7" s="439" t="str">
        <f t="shared" si="3"/>
        <v>Air Mineral wadah gelaspada kegiatan rubrik/ibadah bulanan</v>
      </c>
      <c r="Z7" s="449" t="s">
        <v>1545</v>
      </c>
      <c r="AA7" s="440" t="s">
        <v>472</v>
      </c>
      <c r="AB7" s="441">
        <f t="shared" si="4"/>
        <v>45045.045045045044</v>
      </c>
      <c r="AC7" s="442">
        <f t="shared" si="5"/>
        <v>900900.90090090083</v>
      </c>
      <c r="AD7" s="437">
        <v>1000000</v>
      </c>
      <c r="AE7" s="447">
        <v>6306306.3063063063</v>
      </c>
      <c r="AF7" s="447">
        <v>7000000</v>
      </c>
      <c r="AG7" s="437">
        <v>1000000</v>
      </c>
      <c r="AH7" s="443" t="s">
        <v>2092</v>
      </c>
    </row>
    <row r="8" spans="1:38">
      <c r="A8" s="349" t="s">
        <v>1548</v>
      </c>
      <c r="B8" s="352" t="s">
        <v>485</v>
      </c>
      <c r="C8" s="354" t="s">
        <v>481</v>
      </c>
      <c r="D8" s="355" t="s">
        <v>464</v>
      </c>
      <c r="E8" s="374" t="s">
        <v>482</v>
      </c>
      <c r="F8" s="361">
        <v>44935</v>
      </c>
      <c r="G8" s="361">
        <f t="shared" si="0"/>
        <v>44935</v>
      </c>
      <c r="H8" s="361">
        <f t="shared" si="0"/>
        <v>44935</v>
      </c>
      <c r="I8" s="366">
        <v>45034</v>
      </c>
      <c r="J8" s="354" t="s">
        <v>486</v>
      </c>
      <c r="K8" s="352" t="s">
        <v>487</v>
      </c>
      <c r="L8" s="402">
        <v>750</v>
      </c>
      <c r="M8" s="352" t="s">
        <v>488</v>
      </c>
      <c r="N8" s="403">
        <v>8000</v>
      </c>
      <c r="O8" s="404">
        <v>6000000</v>
      </c>
      <c r="P8" s="421">
        <v>4</v>
      </c>
      <c r="Q8" s="491" t="s">
        <v>165</v>
      </c>
      <c r="R8" s="437">
        <v>6000000</v>
      </c>
      <c r="S8" s="438">
        <f t="shared" si="1"/>
        <v>7500000</v>
      </c>
      <c r="T8" s="439" t="s">
        <v>10</v>
      </c>
      <c r="U8" s="460" t="str">
        <f t="shared" si="2"/>
        <v/>
      </c>
      <c r="V8" s="439" t="s">
        <v>11</v>
      </c>
      <c r="W8" s="439" t="s">
        <v>489</v>
      </c>
      <c r="X8" s="439" t="s">
        <v>490</v>
      </c>
      <c r="Y8" s="439" t="str">
        <f t="shared" si="3"/>
        <v>Snack Kegiatan rubrik/Ibadah Bulanan</v>
      </c>
      <c r="Z8" s="449" t="s">
        <v>280</v>
      </c>
      <c r="AA8" s="440" t="s">
        <v>488</v>
      </c>
      <c r="AB8" s="441">
        <f t="shared" si="4"/>
        <v>7207.2072072072069</v>
      </c>
      <c r="AC8" s="442">
        <f t="shared" si="5"/>
        <v>5405405.405405405</v>
      </c>
      <c r="AD8" s="437">
        <v>6000000</v>
      </c>
      <c r="AE8" s="447">
        <v>6306306.3063063063</v>
      </c>
      <c r="AF8" s="447">
        <v>7000000</v>
      </c>
      <c r="AG8" s="437">
        <v>6000000</v>
      </c>
      <c r="AH8" s="443" t="s">
        <v>2092</v>
      </c>
    </row>
    <row r="9" spans="1:38" ht="25">
      <c r="A9" s="349" t="s">
        <v>1549</v>
      </c>
      <c r="B9" s="352" t="s">
        <v>519</v>
      </c>
      <c r="C9" s="352" t="s">
        <v>520</v>
      </c>
      <c r="D9" s="355" t="s">
        <v>464</v>
      </c>
      <c r="E9" s="374" t="s">
        <v>521</v>
      </c>
      <c r="F9" s="361">
        <v>44940</v>
      </c>
      <c r="G9" s="361">
        <f t="shared" si="0"/>
        <v>44940</v>
      </c>
      <c r="H9" s="361">
        <f t="shared" si="0"/>
        <v>44940</v>
      </c>
      <c r="I9" s="365">
        <v>45034</v>
      </c>
      <c r="J9" s="387" t="s">
        <v>522</v>
      </c>
      <c r="K9" s="352" t="s">
        <v>467</v>
      </c>
      <c r="L9" s="402">
        <v>6</v>
      </c>
      <c r="M9" s="352" t="s">
        <v>231</v>
      </c>
      <c r="N9" s="403">
        <v>35000</v>
      </c>
      <c r="O9" s="404">
        <v>210000</v>
      </c>
      <c r="P9" s="421">
        <v>4</v>
      </c>
      <c r="Q9" s="493" t="s">
        <v>81</v>
      </c>
      <c r="R9" s="437">
        <v>210000</v>
      </c>
      <c r="S9" s="438">
        <f t="shared" si="1"/>
        <v>222000</v>
      </c>
      <c r="T9" s="439" t="s">
        <v>282</v>
      </c>
      <c r="U9" s="460" t="str">
        <f t="shared" si="2"/>
        <v>Resto JFC Esther</v>
      </c>
      <c r="V9" s="439" t="s">
        <v>1258</v>
      </c>
      <c r="W9" s="444" t="s">
        <v>468</v>
      </c>
      <c r="X9" s="439" t="s">
        <v>468</v>
      </c>
      <c r="Y9" s="439" t="str">
        <f t="shared" si="3"/>
        <v>Konsumsi pembina pada kegiatan Persiapan Lomba FLSSN</v>
      </c>
      <c r="Z9" s="449" t="s">
        <v>8</v>
      </c>
      <c r="AA9" s="440" t="s">
        <v>231</v>
      </c>
      <c r="AB9" s="441">
        <f t="shared" si="4"/>
        <v>31531.531531531531</v>
      </c>
      <c r="AC9" s="442">
        <f t="shared" si="5"/>
        <v>189189.18918918917</v>
      </c>
      <c r="AD9" s="437">
        <v>210000</v>
      </c>
      <c r="AE9" s="447">
        <v>189189.18918918917</v>
      </c>
      <c r="AF9" s="447">
        <v>210000</v>
      </c>
      <c r="AG9" s="437">
        <v>210000</v>
      </c>
      <c r="AH9" s="443" t="s">
        <v>2091</v>
      </c>
      <c r="AK9" s="278" t="s">
        <v>2091</v>
      </c>
    </row>
    <row r="10" spans="1:38">
      <c r="A10" s="349" t="s">
        <v>1550</v>
      </c>
      <c r="B10" s="352" t="s">
        <v>523</v>
      </c>
      <c r="C10" s="352" t="s">
        <v>520</v>
      </c>
      <c r="D10" s="355" t="s">
        <v>464</v>
      </c>
      <c r="E10" s="374" t="s">
        <v>521</v>
      </c>
      <c r="F10" s="361">
        <v>44940</v>
      </c>
      <c r="G10" s="361">
        <f t="shared" si="0"/>
        <v>44940</v>
      </c>
      <c r="H10" s="361">
        <f t="shared" si="0"/>
        <v>44940</v>
      </c>
      <c r="I10" s="365">
        <v>45034</v>
      </c>
      <c r="J10" s="387" t="s">
        <v>524</v>
      </c>
      <c r="K10" s="352" t="s">
        <v>471</v>
      </c>
      <c r="L10" s="402">
        <v>4</v>
      </c>
      <c r="M10" s="352" t="s">
        <v>472</v>
      </c>
      <c r="N10" s="403">
        <v>70000</v>
      </c>
      <c r="O10" s="404">
        <v>280000</v>
      </c>
      <c r="P10" s="421">
        <v>4</v>
      </c>
      <c r="Q10" s="491" t="s">
        <v>164</v>
      </c>
      <c r="R10" s="437">
        <v>280000</v>
      </c>
      <c r="S10" s="438">
        <f t="shared" si="1"/>
        <v>288000</v>
      </c>
      <c r="T10" s="439" t="s">
        <v>10</v>
      </c>
      <c r="U10" s="460" t="str">
        <f t="shared" si="2"/>
        <v>UD. USAHA JAYA</v>
      </c>
      <c r="V10" s="439" t="s">
        <v>11</v>
      </c>
      <c r="W10" s="439" t="s">
        <v>473</v>
      </c>
      <c r="X10" s="439" t="s">
        <v>474</v>
      </c>
      <c r="Y10" s="439" t="str">
        <f t="shared" si="3"/>
        <v>Air Mineral Pembina dan Peserta Lomba FLSSN</v>
      </c>
      <c r="Z10" s="449" t="s">
        <v>1545</v>
      </c>
      <c r="AA10" s="440" t="s">
        <v>472</v>
      </c>
      <c r="AB10" s="441">
        <f t="shared" si="4"/>
        <v>63063.063063063062</v>
      </c>
      <c r="AC10" s="442">
        <f t="shared" si="5"/>
        <v>252252.25225225225</v>
      </c>
      <c r="AD10" s="437">
        <v>280000</v>
      </c>
      <c r="AE10" s="447">
        <v>252252.25225225225</v>
      </c>
      <c r="AF10" s="447">
        <v>280000</v>
      </c>
      <c r="AG10" s="437">
        <v>280000</v>
      </c>
      <c r="AH10" s="443" t="s">
        <v>2092</v>
      </c>
      <c r="AK10" s="278" t="s">
        <v>2092</v>
      </c>
    </row>
    <row r="11" spans="1:38" ht="15.5">
      <c r="A11" s="349" t="s">
        <v>1551</v>
      </c>
      <c r="B11" s="352" t="s">
        <v>491</v>
      </c>
      <c r="C11" s="352" t="s">
        <v>492</v>
      </c>
      <c r="D11" s="355" t="s">
        <v>464</v>
      </c>
      <c r="E11" s="374" t="s">
        <v>493</v>
      </c>
      <c r="F11" s="361">
        <v>44937</v>
      </c>
      <c r="G11" s="361">
        <f t="shared" si="0"/>
        <v>44937</v>
      </c>
      <c r="H11" s="361">
        <f t="shared" si="0"/>
        <v>44937</v>
      </c>
      <c r="I11" s="365">
        <v>45034</v>
      </c>
      <c r="J11" s="387" t="s">
        <v>494</v>
      </c>
      <c r="K11" s="352" t="s">
        <v>467</v>
      </c>
      <c r="L11" s="402">
        <v>8</v>
      </c>
      <c r="M11" s="352" t="s">
        <v>231</v>
      </c>
      <c r="N11" s="403">
        <v>35000</v>
      </c>
      <c r="O11" s="404">
        <v>280000</v>
      </c>
      <c r="P11" s="421">
        <v>4</v>
      </c>
      <c r="Q11" s="493" t="s">
        <v>81</v>
      </c>
      <c r="R11" s="437">
        <v>280000</v>
      </c>
      <c r="S11" s="438">
        <f t="shared" si="1"/>
        <v>296000</v>
      </c>
      <c r="T11" s="439" t="s">
        <v>282</v>
      </c>
      <c r="U11" s="460" t="str">
        <f t="shared" si="2"/>
        <v>Resto JFC Esther</v>
      </c>
      <c r="V11" s="439" t="s">
        <v>1258</v>
      </c>
      <c r="W11" s="444" t="s">
        <v>468</v>
      </c>
      <c r="X11" s="439" t="s">
        <v>468</v>
      </c>
      <c r="Y11" s="439" t="str">
        <f t="shared" si="3"/>
        <v>Konsumsi Pembina pramuka Putera/Puteri</v>
      </c>
      <c r="Z11" s="449" t="s">
        <v>8</v>
      </c>
      <c r="AA11" s="440" t="s">
        <v>231</v>
      </c>
      <c r="AB11" s="441">
        <f t="shared" si="4"/>
        <v>31531.531531531531</v>
      </c>
      <c r="AC11" s="442">
        <f t="shared" si="5"/>
        <v>252252.25225225225</v>
      </c>
      <c r="AD11" s="437">
        <v>280000</v>
      </c>
      <c r="AE11" s="447">
        <v>252252.25225225225</v>
      </c>
      <c r="AF11" s="447">
        <v>280000</v>
      </c>
      <c r="AG11" s="437">
        <v>280000</v>
      </c>
      <c r="AH11" s="443" t="s">
        <v>2091</v>
      </c>
    </row>
    <row r="12" spans="1:38">
      <c r="A12" s="349" t="s">
        <v>1552</v>
      </c>
      <c r="B12" s="352" t="s">
        <v>495</v>
      </c>
      <c r="C12" s="352" t="s">
        <v>492</v>
      </c>
      <c r="D12" s="355" t="s">
        <v>464</v>
      </c>
      <c r="E12" s="374" t="s">
        <v>493</v>
      </c>
      <c r="F12" s="361">
        <v>44937</v>
      </c>
      <c r="G12" s="361">
        <f t="shared" si="0"/>
        <v>44937</v>
      </c>
      <c r="H12" s="361">
        <f t="shared" si="0"/>
        <v>44937</v>
      </c>
      <c r="I12" s="365">
        <v>45034</v>
      </c>
      <c r="J12" s="387" t="s">
        <v>496</v>
      </c>
      <c r="K12" s="352" t="s">
        <v>484</v>
      </c>
      <c r="L12" s="402">
        <v>8</v>
      </c>
      <c r="M12" s="352" t="s">
        <v>472</v>
      </c>
      <c r="N12" s="266">
        <v>50000</v>
      </c>
      <c r="O12" s="404">
        <v>400000</v>
      </c>
      <c r="P12" s="421">
        <v>4</v>
      </c>
      <c r="Q12" s="494" t="s">
        <v>163</v>
      </c>
      <c r="R12" s="437">
        <v>400000</v>
      </c>
      <c r="S12" s="438">
        <f t="shared" si="1"/>
        <v>416000</v>
      </c>
      <c r="T12" s="439" t="s">
        <v>10</v>
      </c>
      <c r="U12" s="460" t="str">
        <f t="shared" si="2"/>
        <v/>
      </c>
      <c r="V12" s="439" t="s">
        <v>11</v>
      </c>
      <c r="W12" s="439" t="s">
        <v>473</v>
      </c>
      <c r="X12" s="439" t="s">
        <v>474</v>
      </c>
      <c r="Y12" s="439" t="str">
        <f t="shared" si="3"/>
        <v>Aqua gelas siwa/i pada kegiatan ekstrakurikuler pramuka</v>
      </c>
      <c r="Z12" s="449" t="s">
        <v>1545</v>
      </c>
      <c r="AA12" s="440" t="s">
        <v>472</v>
      </c>
      <c r="AB12" s="441">
        <f t="shared" si="4"/>
        <v>45045.045045045044</v>
      </c>
      <c r="AC12" s="442">
        <f t="shared" si="5"/>
        <v>360360.36036036036</v>
      </c>
      <c r="AD12" s="437">
        <v>400000</v>
      </c>
      <c r="AE12" s="447">
        <v>360360.36036036036</v>
      </c>
      <c r="AF12" s="447">
        <v>400000</v>
      </c>
      <c r="AG12" s="437">
        <v>400000</v>
      </c>
      <c r="AH12" s="443" t="s">
        <v>2092</v>
      </c>
    </row>
    <row r="13" spans="1:38" ht="25">
      <c r="A13" s="350">
        <v>10</v>
      </c>
      <c r="B13" s="352" t="s">
        <v>497</v>
      </c>
      <c r="C13" s="352" t="s">
        <v>498</v>
      </c>
      <c r="D13" s="355" t="s">
        <v>464</v>
      </c>
      <c r="E13" s="374" t="s">
        <v>499</v>
      </c>
      <c r="F13" s="361">
        <v>44939</v>
      </c>
      <c r="G13" s="361">
        <f t="shared" si="0"/>
        <v>44939</v>
      </c>
      <c r="H13" s="361">
        <f t="shared" si="0"/>
        <v>44939</v>
      </c>
      <c r="I13" s="365">
        <v>45034</v>
      </c>
      <c r="J13" s="388" t="s">
        <v>2090</v>
      </c>
      <c r="K13" s="352" t="s">
        <v>467</v>
      </c>
      <c r="L13" s="402">
        <v>11</v>
      </c>
      <c r="M13" s="352" t="s">
        <v>231</v>
      </c>
      <c r="N13" s="403">
        <v>35000</v>
      </c>
      <c r="O13" s="404">
        <f>L13*N13</f>
        <v>385000</v>
      </c>
      <c r="P13" s="421">
        <v>4</v>
      </c>
      <c r="Q13" s="493" t="s">
        <v>81</v>
      </c>
      <c r="R13" s="437">
        <v>140000</v>
      </c>
      <c r="S13" s="438">
        <f t="shared" si="1"/>
        <v>407000</v>
      </c>
      <c r="T13" s="439" t="s">
        <v>282</v>
      </c>
      <c r="U13" s="460" t="str">
        <f t="shared" si="2"/>
        <v>Resto JFC Esther</v>
      </c>
      <c r="V13" s="439" t="s">
        <v>1258</v>
      </c>
      <c r="W13" s="444" t="s">
        <v>468</v>
      </c>
      <c r="X13" s="439" t="s">
        <v>468</v>
      </c>
      <c r="Y13" s="439" t="str">
        <f t="shared" si="3"/>
        <v>Konsumsi pembina pada kegiatan ekstrakurikuler seni dan budaya (paduan suara), paskibra, dan band musik</v>
      </c>
      <c r="Z13" s="449" t="s">
        <v>8</v>
      </c>
      <c r="AA13" s="440" t="s">
        <v>231</v>
      </c>
      <c r="AB13" s="441">
        <f t="shared" si="4"/>
        <v>31531.531531531531</v>
      </c>
      <c r="AC13" s="442">
        <f t="shared" si="5"/>
        <v>346846.84684684686</v>
      </c>
      <c r="AD13" s="437">
        <f>O13</f>
        <v>385000</v>
      </c>
      <c r="AE13" s="447">
        <v>346846.84684684686</v>
      </c>
      <c r="AF13" s="447">
        <v>385000</v>
      </c>
      <c r="AG13" s="437">
        <v>385000</v>
      </c>
      <c r="AH13" s="443" t="s">
        <v>2091</v>
      </c>
      <c r="AK13" s="278" t="s">
        <v>2091</v>
      </c>
    </row>
    <row r="14" spans="1:38">
      <c r="A14" s="350">
        <v>10</v>
      </c>
      <c r="B14" s="352" t="s">
        <v>506</v>
      </c>
      <c r="C14" s="352"/>
      <c r="D14" s="355"/>
      <c r="E14" s="374"/>
      <c r="F14" s="361"/>
      <c r="G14" s="361"/>
      <c r="H14" s="361"/>
      <c r="I14" s="365"/>
      <c r="J14" s="387"/>
      <c r="K14" s="352"/>
      <c r="L14" s="402"/>
      <c r="M14" s="352"/>
      <c r="N14" s="403"/>
      <c r="O14" s="404"/>
      <c r="P14" s="421"/>
      <c r="Q14" s="494"/>
      <c r="R14" s="437"/>
      <c r="S14" s="438"/>
      <c r="T14" s="439"/>
      <c r="U14" s="460"/>
      <c r="V14" s="439"/>
      <c r="W14" s="439"/>
      <c r="X14" s="439"/>
      <c r="Y14" s="439"/>
      <c r="Z14" s="449"/>
      <c r="AA14" s="440"/>
      <c r="AB14" s="441"/>
      <c r="AC14" s="442"/>
      <c r="AD14" s="437"/>
      <c r="AE14" s="447"/>
      <c r="AF14" s="447"/>
      <c r="AG14" s="437"/>
      <c r="AH14" s="446"/>
    </row>
    <row r="15" spans="1:38" ht="15.5">
      <c r="A15" s="350">
        <v>10</v>
      </c>
      <c r="B15" s="352" t="s">
        <v>514</v>
      </c>
      <c r="C15" s="352"/>
      <c r="D15" s="355"/>
      <c r="E15" s="374"/>
      <c r="F15" s="361"/>
      <c r="G15" s="361"/>
      <c r="H15" s="361"/>
      <c r="I15" s="365"/>
      <c r="J15" s="387"/>
      <c r="K15" s="352"/>
      <c r="L15" s="402"/>
      <c r="M15" s="352"/>
      <c r="N15" s="403"/>
      <c r="O15" s="404"/>
      <c r="P15" s="421"/>
      <c r="Q15" s="493"/>
      <c r="R15" s="437"/>
      <c r="S15" s="438"/>
      <c r="T15" s="439"/>
      <c r="U15" s="460"/>
      <c r="V15" s="439"/>
      <c r="W15" s="439"/>
      <c r="X15" s="439"/>
      <c r="Y15" s="439"/>
      <c r="Z15" s="449"/>
      <c r="AA15" s="440"/>
      <c r="AB15" s="441"/>
      <c r="AC15" s="442"/>
      <c r="AD15" s="437"/>
      <c r="AE15" s="447"/>
      <c r="AF15" s="447"/>
      <c r="AG15" s="437"/>
      <c r="AH15" s="446"/>
    </row>
    <row r="16" spans="1:38" ht="25">
      <c r="A16" s="350">
        <v>11</v>
      </c>
      <c r="B16" s="352" t="s">
        <v>501</v>
      </c>
      <c r="C16" s="352" t="s">
        <v>498</v>
      </c>
      <c r="D16" s="355" t="s">
        <v>464</v>
      </c>
      <c r="E16" s="374" t="s">
        <v>499</v>
      </c>
      <c r="F16" s="361">
        <v>44939</v>
      </c>
      <c r="G16" s="361">
        <f t="shared" si="0"/>
        <v>44939</v>
      </c>
      <c r="H16" s="361">
        <f t="shared" si="0"/>
        <v>44939</v>
      </c>
      <c r="I16" s="365">
        <v>45034</v>
      </c>
      <c r="J16" s="387" t="s">
        <v>502</v>
      </c>
      <c r="K16" s="352" t="s">
        <v>484</v>
      </c>
      <c r="L16" s="402">
        <v>45</v>
      </c>
      <c r="M16" s="352" t="s">
        <v>472</v>
      </c>
      <c r="N16" s="403">
        <v>50000</v>
      </c>
      <c r="O16" s="404">
        <f>L16*N16</f>
        <v>2250000</v>
      </c>
      <c r="P16" s="421">
        <v>4</v>
      </c>
      <c r="Q16" s="491" t="s">
        <v>164</v>
      </c>
      <c r="R16" s="437">
        <v>210000</v>
      </c>
      <c r="S16" s="438">
        <f t="shared" si="1"/>
        <v>2340000</v>
      </c>
      <c r="T16" s="439" t="s">
        <v>10</v>
      </c>
      <c r="U16" s="460" t="str">
        <f t="shared" si="2"/>
        <v/>
      </c>
      <c r="V16" s="439" t="s">
        <v>11</v>
      </c>
      <c r="W16" s="439" t="s">
        <v>473</v>
      </c>
      <c r="X16" s="439" t="s">
        <v>474</v>
      </c>
      <c r="Y16" s="439" t="str">
        <f t="shared" si="3"/>
        <v>Air mineral/Aqua gelas siswa/i peserta kegiatan ekstrakurikuler seni dan budaya (paduan suara)</v>
      </c>
      <c r="Z16" s="449" t="s">
        <v>1545</v>
      </c>
      <c r="AA16" s="440" t="s">
        <v>472</v>
      </c>
      <c r="AB16" s="441">
        <f t="shared" si="4"/>
        <v>45045.045045045044</v>
      </c>
      <c r="AC16" s="442">
        <f t="shared" si="5"/>
        <v>2027027.027027027</v>
      </c>
      <c r="AD16" s="437">
        <f>O16</f>
        <v>2250000</v>
      </c>
      <c r="AE16" s="447">
        <v>189189.18918918917</v>
      </c>
      <c r="AF16" s="447">
        <v>210000</v>
      </c>
      <c r="AG16" s="437">
        <v>210000</v>
      </c>
      <c r="AH16" s="443" t="s">
        <v>2092</v>
      </c>
      <c r="AK16" s="278" t="s">
        <v>2092</v>
      </c>
    </row>
    <row r="17" spans="1:36">
      <c r="A17" s="350">
        <v>11</v>
      </c>
      <c r="B17" s="352" t="s">
        <v>503</v>
      </c>
      <c r="C17" s="352" t="s">
        <v>504</v>
      </c>
      <c r="D17" s="355" t="s">
        <v>464</v>
      </c>
      <c r="E17" s="374"/>
      <c r="F17" s="361"/>
      <c r="G17" s="361"/>
      <c r="H17" s="361"/>
      <c r="I17" s="365"/>
      <c r="J17" s="387"/>
      <c r="K17" s="352"/>
      <c r="L17" s="402"/>
      <c r="M17" s="352"/>
      <c r="N17" s="403"/>
      <c r="O17" s="404"/>
      <c r="P17" s="421">
        <v>4</v>
      </c>
      <c r="Q17" s="627" t="s">
        <v>537</v>
      </c>
      <c r="R17" s="437">
        <v>240000</v>
      </c>
      <c r="S17" s="438">
        <f t="shared" si="1"/>
        <v>0</v>
      </c>
      <c r="T17" s="439" t="s">
        <v>10</v>
      </c>
      <c r="U17" s="460" t="str">
        <f t="shared" si="2"/>
        <v/>
      </c>
      <c r="V17" s="439" t="s">
        <v>11</v>
      </c>
      <c r="W17" s="439" t="s">
        <v>473</v>
      </c>
      <c r="X17" s="615" t="s">
        <v>541</v>
      </c>
      <c r="Y17" s="439" t="s">
        <v>542</v>
      </c>
      <c r="Z17" s="449" t="s">
        <v>542</v>
      </c>
      <c r="AA17" s="440" t="s">
        <v>488</v>
      </c>
      <c r="AB17" s="441">
        <f t="shared" si="4"/>
        <v>0</v>
      </c>
      <c r="AC17" s="442">
        <f t="shared" si="5"/>
        <v>0</v>
      </c>
      <c r="AD17" s="437">
        <v>240000</v>
      </c>
      <c r="AE17" s="447">
        <v>7747747.7477477482</v>
      </c>
      <c r="AF17" s="447">
        <v>8600000</v>
      </c>
      <c r="AG17" s="437">
        <v>240000</v>
      </c>
      <c r="AH17" s="443" t="s">
        <v>2092</v>
      </c>
      <c r="AI17" s="448">
        <f>SUM(AC17:AC25)</f>
        <v>1563063.0630630632</v>
      </c>
      <c r="AJ17" s="448">
        <f>SUM(AD17:AD25)</f>
        <v>8600000</v>
      </c>
    </row>
    <row r="18" spans="1:36">
      <c r="A18" s="350">
        <v>11</v>
      </c>
      <c r="B18" s="352" t="s">
        <v>509</v>
      </c>
      <c r="C18" s="352" t="s">
        <v>507</v>
      </c>
      <c r="D18" s="355" t="s">
        <v>464</v>
      </c>
      <c r="E18" s="374"/>
      <c r="F18" s="361"/>
      <c r="G18" s="361"/>
      <c r="H18" s="361"/>
      <c r="I18" s="365"/>
      <c r="J18" s="387"/>
      <c r="K18" s="352"/>
      <c r="L18" s="402"/>
      <c r="M18" s="352"/>
      <c r="N18" s="403"/>
      <c r="O18" s="404"/>
      <c r="P18" s="421">
        <v>4</v>
      </c>
      <c r="Q18" s="627" t="s">
        <v>545</v>
      </c>
      <c r="R18" s="437">
        <v>370000</v>
      </c>
      <c r="S18" s="438">
        <f t="shared" si="1"/>
        <v>0</v>
      </c>
      <c r="T18" s="439" t="s">
        <v>10</v>
      </c>
      <c r="U18" s="460" t="str">
        <f t="shared" si="2"/>
        <v/>
      </c>
      <c r="V18" s="439" t="s">
        <v>11</v>
      </c>
      <c r="W18" s="439" t="s">
        <v>473</v>
      </c>
      <c r="X18" s="615" t="s">
        <v>541</v>
      </c>
      <c r="Y18" s="439" t="s">
        <v>542</v>
      </c>
      <c r="Z18" s="449" t="s">
        <v>542</v>
      </c>
      <c r="AA18" s="440" t="s">
        <v>488</v>
      </c>
      <c r="AB18" s="441">
        <f t="shared" si="4"/>
        <v>0</v>
      </c>
      <c r="AC18" s="442">
        <f t="shared" si="5"/>
        <v>0</v>
      </c>
      <c r="AD18" s="437">
        <v>370000</v>
      </c>
      <c r="AE18" s="447">
        <v>7747747.7477477482</v>
      </c>
      <c r="AF18" s="447">
        <v>8600000</v>
      </c>
      <c r="AG18" s="437">
        <v>370000</v>
      </c>
      <c r="AH18" s="443" t="s">
        <v>2092</v>
      </c>
    </row>
    <row r="19" spans="1:36">
      <c r="A19" s="350">
        <v>11</v>
      </c>
      <c r="B19" s="352" t="s">
        <v>511</v>
      </c>
      <c r="C19" s="352" t="s">
        <v>512</v>
      </c>
      <c r="D19" s="355" t="s">
        <v>464</v>
      </c>
      <c r="E19" s="374"/>
      <c r="F19" s="361"/>
      <c r="G19" s="361"/>
      <c r="H19" s="361"/>
      <c r="I19" s="365"/>
      <c r="J19" s="387"/>
      <c r="K19" s="352"/>
      <c r="L19" s="402"/>
      <c r="M19" s="352"/>
      <c r="N19" s="403"/>
      <c r="O19" s="404"/>
      <c r="P19" s="421">
        <v>4</v>
      </c>
      <c r="Q19" s="627" t="s">
        <v>548</v>
      </c>
      <c r="R19" s="437">
        <v>705000</v>
      </c>
      <c r="S19" s="438">
        <f t="shared" si="1"/>
        <v>0</v>
      </c>
      <c r="T19" s="439" t="s">
        <v>10</v>
      </c>
      <c r="U19" s="460" t="str">
        <f t="shared" si="2"/>
        <v/>
      </c>
      <c r="V19" s="439" t="s">
        <v>11</v>
      </c>
      <c r="W19" s="439" t="s">
        <v>473</v>
      </c>
      <c r="X19" s="615" t="s">
        <v>541</v>
      </c>
      <c r="Y19" s="439" t="s">
        <v>542</v>
      </c>
      <c r="Z19" s="449" t="s">
        <v>542</v>
      </c>
      <c r="AA19" s="440" t="s">
        <v>244</v>
      </c>
      <c r="AB19" s="441">
        <f t="shared" si="4"/>
        <v>0</v>
      </c>
      <c r="AC19" s="442">
        <f t="shared" si="5"/>
        <v>0</v>
      </c>
      <c r="AD19" s="437">
        <v>705000</v>
      </c>
      <c r="AE19" s="447">
        <v>7747747.7477477482</v>
      </c>
      <c r="AF19" s="447">
        <v>8600000</v>
      </c>
      <c r="AG19" s="437">
        <v>705000</v>
      </c>
      <c r="AH19" s="443" t="s">
        <v>2092</v>
      </c>
    </row>
    <row r="20" spans="1:36">
      <c r="A20" s="350">
        <v>11</v>
      </c>
      <c r="B20" s="352" t="s">
        <v>516</v>
      </c>
      <c r="C20" s="352" t="s">
        <v>517</v>
      </c>
      <c r="D20" s="355" t="s">
        <v>464</v>
      </c>
      <c r="E20" s="374"/>
      <c r="F20" s="361"/>
      <c r="G20" s="361"/>
      <c r="H20" s="361"/>
      <c r="I20" s="365"/>
      <c r="J20" s="387"/>
      <c r="K20" s="352"/>
      <c r="L20" s="402"/>
      <c r="M20" s="352"/>
      <c r="N20" s="403"/>
      <c r="O20" s="404"/>
      <c r="P20" s="421">
        <v>4</v>
      </c>
      <c r="Q20" s="627" t="s">
        <v>550</v>
      </c>
      <c r="R20" s="437">
        <v>3900000</v>
      </c>
      <c r="S20" s="438">
        <f t="shared" si="1"/>
        <v>0</v>
      </c>
      <c r="T20" s="439" t="s">
        <v>10</v>
      </c>
      <c r="U20" s="460" t="str">
        <f t="shared" si="2"/>
        <v/>
      </c>
      <c r="V20" s="439" t="s">
        <v>11</v>
      </c>
      <c r="W20" s="439" t="s">
        <v>473</v>
      </c>
      <c r="X20" s="615" t="s">
        <v>541</v>
      </c>
      <c r="Y20" s="439" t="s">
        <v>542</v>
      </c>
      <c r="Z20" s="449" t="s">
        <v>542</v>
      </c>
      <c r="AA20" s="440" t="s">
        <v>488</v>
      </c>
      <c r="AB20" s="441">
        <f t="shared" si="4"/>
        <v>0</v>
      </c>
      <c r="AC20" s="442">
        <f t="shared" si="5"/>
        <v>0</v>
      </c>
      <c r="AD20" s="437">
        <v>3900000</v>
      </c>
      <c r="AE20" s="447">
        <v>7747747.7477477482</v>
      </c>
      <c r="AF20" s="447">
        <v>8600000</v>
      </c>
      <c r="AG20" s="437">
        <v>3900000</v>
      </c>
      <c r="AH20" s="443" t="s">
        <v>2092</v>
      </c>
    </row>
    <row r="21" spans="1:36" ht="25">
      <c r="A21" s="350">
        <v>20</v>
      </c>
      <c r="B21" s="352" t="s">
        <v>525</v>
      </c>
      <c r="C21" s="352" t="s">
        <v>526</v>
      </c>
      <c r="D21" s="355" t="s">
        <v>464</v>
      </c>
      <c r="E21" s="374" t="s">
        <v>521</v>
      </c>
      <c r="F21" s="361">
        <v>44940</v>
      </c>
      <c r="G21" s="361">
        <f t="shared" ref="G21:H36" si="6">F21</f>
        <v>44940</v>
      </c>
      <c r="H21" s="361">
        <f t="shared" si="6"/>
        <v>44940</v>
      </c>
      <c r="I21" s="365">
        <v>45034</v>
      </c>
      <c r="J21" s="387" t="s">
        <v>527</v>
      </c>
      <c r="K21" s="352" t="s">
        <v>467</v>
      </c>
      <c r="L21" s="402">
        <v>6</v>
      </c>
      <c r="M21" s="352" t="s">
        <v>528</v>
      </c>
      <c r="N21" s="403">
        <v>35000</v>
      </c>
      <c r="O21" s="404">
        <v>210000</v>
      </c>
      <c r="P21" s="421">
        <v>4</v>
      </c>
      <c r="Q21" s="628" t="s">
        <v>552</v>
      </c>
      <c r="R21" s="437">
        <v>90000</v>
      </c>
      <c r="S21" s="438">
        <f t="shared" si="1"/>
        <v>222000</v>
      </c>
      <c r="T21" s="444" t="s">
        <v>282</v>
      </c>
      <c r="U21" s="460" t="str">
        <f t="shared" si="2"/>
        <v>Resto JFC Esther</v>
      </c>
      <c r="V21" s="444" t="s">
        <v>1258</v>
      </c>
      <c r="W21" s="444" t="s">
        <v>468</v>
      </c>
      <c r="X21" s="615" t="s">
        <v>541</v>
      </c>
      <c r="Y21" s="439" t="s">
        <v>542</v>
      </c>
      <c r="Z21" s="449" t="s">
        <v>542</v>
      </c>
      <c r="AA21" s="440" t="s">
        <v>551</v>
      </c>
      <c r="AB21" s="441">
        <f t="shared" si="4"/>
        <v>31531.531531531531</v>
      </c>
      <c r="AC21" s="442">
        <f t="shared" si="5"/>
        <v>189189.18918918917</v>
      </c>
      <c r="AD21" s="437">
        <v>90000</v>
      </c>
      <c r="AE21" s="447">
        <v>7747747.7477477482</v>
      </c>
      <c r="AF21" s="447">
        <v>8600000</v>
      </c>
      <c r="AG21" s="437">
        <v>90000</v>
      </c>
      <c r="AH21" s="443" t="s">
        <v>2091</v>
      </c>
    </row>
    <row r="22" spans="1:36" ht="25">
      <c r="A22" s="350">
        <v>21</v>
      </c>
      <c r="B22" s="352" t="s">
        <v>529</v>
      </c>
      <c r="C22" s="352" t="s">
        <v>526</v>
      </c>
      <c r="D22" s="355" t="s">
        <v>464</v>
      </c>
      <c r="E22" s="374" t="s">
        <v>521</v>
      </c>
      <c r="F22" s="361">
        <v>44940</v>
      </c>
      <c r="G22" s="361">
        <f t="shared" si="6"/>
        <v>44940</v>
      </c>
      <c r="H22" s="361">
        <f t="shared" si="6"/>
        <v>44940</v>
      </c>
      <c r="I22" s="365">
        <v>45034</v>
      </c>
      <c r="J22" s="387" t="s">
        <v>530</v>
      </c>
      <c r="K22" s="352" t="s">
        <v>471</v>
      </c>
      <c r="L22" s="402">
        <v>3</v>
      </c>
      <c r="M22" s="352" t="s">
        <v>472</v>
      </c>
      <c r="N22" s="403">
        <v>70000</v>
      </c>
      <c r="O22" s="404">
        <v>210000</v>
      </c>
      <c r="P22" s="421">
        <v>4</v>
      </c>
      <c r="Q22" s="491" t="s">
        <v>164</v>
      </c>
      <c r="R22" s="437">
        <v>250000</v>
      </c>
      <c r="S22" s="438">
        <f t="shared" si="1"/>
        <v>216000</v>
      </c>
      <c r="T22" s="439" t="s">
        <v>10</v>
      </c>
      <c r="U22" s="460" t="str">
        <f t="shared" si="2"/>
        <v>UD. USAHA JAYA</v>
      </c>
      <c r="V22" s="439" t="s">
        <v>11</v>
      </c>
      <c r="W22" s="439" t="s">
        <v>473</v>
      </c>
      <c r="X22" s="615" t="s">
        <v>541</v>
      </c>
      <c r="Y22" s="439" t="s">
        <v>542</v>
      </c>
      <c r="Z22" s="449" t="s">
        <v>542</v>
      </c>
      <c r="AA22" s="440" t="s">
        <v>488</v>
      </c>
      <c r="AB22" s="441">
        <f t="shared" si="4"/>
        <v>63063.063063063062</v>
      </c>
      <c r="AC22" s="442">
        <f t="shared" si="5"/>
        <v>189189.18918918917</v>
      </c>
      <c r="AD22" s="437">
        <v>250000</v>
      </c>
      <c r="AE22" s="447">
        <v>7747747.7477477482</v>
      </c>
      <c r="AF22" s="447">
        <v>8600000</v>
      </c>
      <c r="AG22" s="437">
        <v>250000</v>
      </c>
      <c r="AH22" s="443" t="s">
        <v>2092</v>
      </c>
    </row>
    <row r="23" spans="1:36">
      <c r="A23" s="350">
        <v>22</v>
      </c>
      <c r="B23" s="352" t="s">
        <v>531</v>
      </c>
      <c r="C23" s="352" t="s">
        <v>532</v>
      </c>
      <c r="D23" s="355" t="s">
        <v>533</v>
      </c>
      <c r="E23" s="374" t="s">
        <v>534</v>
      </c>
      <c r="F23" s="361">
        <v>44942</v>
      </c>
      <c r="G23" s="361">
        <f t="shared" si="6"/>
        <v>44942</v>
      </c>
      <c r="H23" s="361">
        <f t="shared" si="6"/>
        <v>44942</v>
      </c>
      <c r="I23" s="365">
        <v>45034</v>
      </c>
      <c r="J23" s="388" t="s">
        <v>535</v>
      </c>
      <c r="K23" s="352" t="s">
        <v>536</v>
      </c>
      <c r="L23" s="402">
        <v>20</v>
      </c>
      <c r="M23" s="352" t="s">
        <v>488</v>
      </c>
      <c r="N23" s="403">
        <v>12000</v>
      </c>
      <c r="O23" s="404">
        <v>240000</v>
      </c>
      <c r="P23" s="421">
        <v>4</v>
      </c>
      <c r="Q23" s="627" t="s">
        <v>556</v>
      </c>
      <c r="R23" s="437">
        <v>200000</v>
      </c>
      <c r="S23" s="438">
        <f t="shared" si="1"/>
        <v>280000</v>
      </c>
      <c r="T23" s="439" t="s">
        <v>538</v>
      </c>
      <c r="U23" s="460" t="str">
        <f t="shared" si="2"/>
        <v/>
      </c>
      <c r="V23" s="439" t="s">
        <v>539</v>
      </c>
      <c r="W23" s="439" t="s">
        <v>540</v>
      </c>
      <c r="X23" s="615" t="s">
        <v>541</v>
      </c>
      <c r="Y23" s="439" t="s">
        <v>542</v>
      </c>
      <c r="Z23" s="449" t="s">
        <v>542</v>
      </c>
      <c r="AA23" s="440" t="s">
        <v>488</v>
      </c>
      <c r="AB23" s="441">
        <f t="shared" si="4"/>
        <v>10810.810810810812</v>
      </c>
      <c r="AC23" s="442">
        <f t="shared" si="5"/>
        <v>216216.21621621624</v>
      </c>
      <c r="AD23" s="437">
        <v>200000</v>
      </c>
      <c r="AE23" s="447">
        <v>7747747.7477477482</v>
      </c>
      <c r="AF23" s="447">
        <v>8600000</v>
      </c>
      <c r="AG23" s="437">
        <v>200000</v>
      </c>
      <c r="AH23" s="443" t="s">
        <v>2098</v>
      </c>
    </row>
    <row r="24" spans="1:36">
      <c r="A24" s="350">
        <v>22</v>
      </c>
      <c r="B24" s="352" t="s">
        <v>531</v>
      </c>
      <c r="C24" s="352" t="s">
        <v>532</v>
      </c>
      <c r="D24" s="355" t="s">
        <v>533</v>
      </c>
      <c r="E24" s="374" t="s">
        <v>534</v>
      </c>
      <c r="F24" s="361">
        <v>44942</v>
      </c>
      <c r="G24" s="361">
        <f t="shared" si="6"/>
        <v>44942</v>
      </c>
      <c r="H24" s="361">
        <f t="shared" si="6"/>
        <v>44942</v>
      </c>
      <c r="I24" s="365">
        <v>45034</v>
      </c>
      <c r="J24" s="388" t="s">
        <v>543</v>
      </c>
      <c r="K24" s="352" t="s">
        <v>544</v>
      </c>
      <c r="L24" s="791">
        <v>5</v>
      </c>
      <c r="M24" s="352" t="s">
        <v>488</v>
      </c>
      <c r="N24" s="403">
        <v>74000</v>
      </c>
      <c r="O24" s="404">
        <v>370000</v>
      </c>
      <c r="P24" s="421">
        <v>4</v>
      </c>
      <c r="Q24" s="627" t="s">
        <v>558</v>
      </c>
      <c r="R24" s="437">
        <v>1720000</v>
      </c>
      <c r="S24" s="438">
        <f t="shared" si="1"/>
        <v>380000</v>
      </c>
      <c r="T24" s="439" t="s">
        <v>538</v>
      </c>
      <c r="U24" s="460" t="str">
        <f t="shared" si="2"/>
        <v/>
      </c>
      <c r="V24" s="439" t="s">
        <v>539</v>
      </c>
      <c r="W24" s="439" t="s">
        <v>540</v>
      </c>
      <c r="X24" s="615" t="s">
        <v>541</v>
      </c>
      <c r="Y24" s="439" t="s">
        <v>542</v>
      </c>
      <c r="Z24" s="449" t="s">
        <v>542</v>
      </c>
      <c r="AA24" s="440" t="s">
        <v>488</v>
      </c>
      <c r="AB24" s="441">
        <f t="shared" si="4"/>
        <v>66666.666666666672</v>
      </c>
      <c r="AC24" s="442">
        <f t="shared" si="5"/>
        <v>333333.33333333337</v>
      </c>
      <c r="AD24" s="437">
        <v>1720000</v>
      </c>
      <c r="AE24" s="447">
        <v>7747747.7477477482</v>
      </c>
      <c r="AF24" s="447">
        <v>8600000</v>
      </c>
      <c r="AG24" s="437">
        <v>1720000</v>
      </c>
      <c r="AH24" s="443" t="s">
        <v>2098</v>
      </c>
    </row>
    <row r="25" spans="1:36">
      <c r="A25" s="350">
        <v>22</v>
      </c>
      <c r="B25" s="352" t="s">
        <v>531</v>
      </c>
      <c r="C25" s="352" t="s">
        <v>532</v>
      </c>
      <c r="D25" s="355" t="s">
        <v>533</v>
      </c>
      <c r="E25" s="374" t="s">
        <v>534</v>
      </c>
      <c r="F25" s="361">
        <v>44942</v>
      </c>
      <c r="G25" s="361">
        <f t="shared" si="6"/>
        <v>44942</v>
      </c>
      <c r="H25" s="361">
        <f t="shared" si="6"/>
        <v>44942</v>
      </c>
      <c r="I25" s="365">
        <v>45034</v>
      </c>
      <c r="J25" s="388" t="s">
        <v>546</v>
      </c>
      <c r="K25" s="352" t="s">
        <v>547</v>
      </c>
      <c r="L25" s="402">
        <v>15</v>
      </c>
      <c r="M25" s="352" t="s">
        <v>244</v>
      </c>
      <c r="N25" s="403">
        <v>47000</v>
      </c>
      <c r="O25" s="404">
        <v>705000</v>
      </c>
      <c r="P25" s="421">
        <v>4</v>
      </c>
      <c r="Q25" s="627" t="s">
        <v>560</v>
      </c>
      <c r="R25" s="437">
        <v>1125000</v>
      </c>
      <c r="S25" s="438">
        <f t="shared" si="1"/>
        <v>735000</v>
      </c>
      <c r="T25" s="439" t="s">
        <v>538</v>
      </c>
      <c r="U25" s="460" t="str">
        <f t="shared" si="2"/>
        <v/>
      </c>
      <c r="V25" s="439" t="s">
        <v>539</v>
      </c>
      <c r="W25" s="439" t="s">
        <v>540</v>
      </c>
      <c r="X25" s="439" t="s">
        <v>540</v>
      </c>
      <c r="Y25" s="439" t="s">
        <v>542</v>
      </c>
      <c r="Z25" s="449" t="s">
        <v>542</v>
      </c>
      <c r="AA25" s="440" t="s">
        <v>488</v>
      </c>
      <c r="AB25" s="441">
        <f t="shared" si="4"/>
        <v>42342.342342342345</v>
      </c>
      <c r="AC25" s="442">
        <f t="shared" si="5"/>
        <v>635135.13513513515</v>
      </c>
      <c r="AD25" s="437">
        <v>1125000</v>
      </c>
      <c r="AE25" s="447">
        <v>7747747.7477477482</v>
      </c>
      <c r="AF25" s="447">
        <v>8600000</v>
      </c>
      <c r="AG25" s="437">
        <v>1125000</v>
      </c>
      <c r="AH25" s="443" t="s">
        <v>2098</v>
      </c>
    </row>
    <row r="26" spans="1:36" ht="15.5">
      <c r="A26" s="350">
        <v>22</v>
      </c>
      <c r="B26" s="352" t="s">
        <v>531</v>
      </c>
      <c r="C26" s="352" t="s">
        <v>532</v>
      </c>
      <c r="D26" s="355" t="s">
        <v>533</v>
      </c>
      <c r="E26" s="374" t="s">
        <v>534</v>
      </c>
      <c r="F26" s="361">
        <v>44942</v>
      </c>
      <c r="G26" s="361">
        <f t="shared" si="6"/>
        <v>44942</v>
      </c>
      <c r="H26" s="361">
        <f t="shared" si="6"/>
        <v>44942</v>
      </c>
      <c r="I26" s="365">
        <v>45034</v>
      </c>
      <c r="J26" s="387" t="s">
        <v>272</v>
      </c>
      <c r="K26" s="352" t="s">
        <v>549</v>
      </c>
      <c r="L26" s="402">
        <v>60</v>
      </c>
      <c r="M26" s="352" t="s">
        <v>488</v>
      </c>
      <c r="N26" s="403">
        <v>65000</v>
      </c>
      <c r="O26" s="404">
        <v>3900000</v>
      </c>
      <c r="P26" s="421">
        <v>4</v>
      </c>
      <c r="Q26" s="493" t="s">
        <v>81</v>
      </c>
      <c r="R26" s="437">
        <v>1050000</v>
      </c>
      <c r="S26" s="438">
        <f t="shared" si="1"/>
        <v>4020000</v>
      </c>
      <c r="T26" s="439" t="s">
        <v>538</v>
      </c>
      <c r="U26" s="460" t="str">
        <f t="shared" si="2"/>
        <v/>
      </c>
      <c r="V26" s="439" t="s">
        <v>539</v>
      </c>
      <c r="W26" s="439" t="s">
        <v>540</v>
      </c>
      <c r="X26" s="439" t="s">
        <v>468</v>
      </c>
      <c r="Y26" s="439" t="str">
        <f t="shared" ref="Y26:Y48" si="7">J26</f>
        <v>Sapu</v>
      </c>
      <c r="Z26" s="449" t="s">
        <v>8</v>
      </c>
      <c r="AA26" s="440" t="s">
        <v>231</v>
      </c>
      <c r="AB26" s="441">
        <f t="shared" si="4"/>
        <v>58558.558558558558</v>
      </c>
      <c r="AC26" s="442">
        <f t="shared" si="5"/>
        <v>3513513.5135135134</v>
      </c>
      <c r="AD26" s="437">
        <v>1050000</v>
      </c>
      <c r="AE26" s="447">
        <v>945945.94594594592</v>
      </c>
      <c r="AF26" s="447">
        <v>1050000</v>
      </c>
      <c r="AG26" s="437">
        <v>1050000</v>
      </c>
      <c r="AH26" s="443" t="s">
        <v>2098</v>
      </c>
    </row>
    <row r="27" spans="1:36">
      <c r="A27" s="350">
        <v>22</v>
      </c>
      <c r="B27" s="352" t="s">
        <v>531</v>
      </c>
      <c r="C27" s="352" t="s">
        <v>532</v>
      </c>
      <c r="D27" s="355" t="s">
        <v>533</v>
      </c>
      <c r="E27" s="374" t="s">
        <v>534</v>
      </c>
      <c r="F27" s="361">
        <v>44942</v>
      </c>
      <c r="G27" s="361">
        <f t="shared" si="6"/>
        <v>44942</v>
      </c>
      <c r="H27" s="361">
        <f t="shared" si="6"/>
        <v>44942</v>
      </c>
      <c r="I27" s="365">
        <v>45034</v>
      </c>
      <c r="J27" s="387" t="s">
        <v>276</v>
      </c>
      <c r="K27" s="352" t="s">
        <v>276</v>
      </c>
      <c r="L27" s="402">
        <v>5</v>
      </c>
      <c r="M27" s="352" t="s">
        <v>551</v>
      </c>
      <c r="N27" s="403">
        <v>18000</v>
      </c>
      <c r="O27" s="404">
        <v>90000</v>
      </c>
      <c r="P27" s="421">
        <v>4</v>
      </c>
      <c r="Q27" s="491" t="s">
        <v>164</v>
      </c>
      <c r="R27" s="437">
        <v>140000</v>
      </c>
      <c r="S27" s="438">
        <f t="shared" si="1"/>
        <v>100000</v>
      </c>
      <c r="T27" s="439" t="s">
        <v>538</v>
      </c>
      <c r="U27" s="460" t="str">
        <f t="shared" si="2"/>
        <v/>
      </c>
      <c r="V27" s="439" t="s">
        <v>539</v>
      </c>
      <c r="W27" s="439" t="s">
        <v>540</v>
      </c>
      <c r="X27" s="439" t="s">
        <v>474</v>
      </c>
      <c r="Y27" s="439" t="str">
        <f t="shared" si="7"/>
        <v>vixal 500ml</v>
      </c>
      <c r="Z27" s="449" t="s">
        <v>1545</v>
      </c>
      <c r="AA27" s="440" t="s">
        <v>472</v>
      </c>
      <c r="AB27" s="441">
        <f t="shared" si="4"/>
        <v>16216.216216216217</v>
      </c>
      <c r="AC27" s="442">
        <f t="shared" si="5"/>
        <v>81081.08108108108</v>
      </c>
      <c r="AD27" s="437">
        <v>140000</v>
      </c>
      <c r="AE27" s="447">
        <v>126126.12612612612</v>
      </c>
      <c r="AF27" s="447">
        <v>140000</v>
      </c>
      <c r="AG27" s="437">
        <v>140000</v>
      </c>
      <c r="AH27" s="443" t="s">
        <v>2098</v>
      </c>
    </row>
    <row r="28" spans="1:36">
      <c r="A28" s="350">
        <v>22</v>
      </c>
      <c r="B28" s="352" t="s">
        <v>531</v>
      </c>
      <c r="C28" s="352" t="s">
        <v>532</v>
      </c>
      <c r="D28" s="355" t="s">
        <v>533</v>
      </c>
      <c r="E28" s="374" t="s">
        <v>534</v>
      </c>
      <c r="F28" s="361">
        <v>44942</v>
      </c>
      <c r="G28" s="361">
        <f t="shared" si="6"/>
        <v>44942</v>
      </c>
      <c r="H28" s="361">
        <f t="shared" si="6"/>
        <v>44942</v>
      </c>
      <c r="I28" s="365">
        <v>45034</v>
      </c>
      <c r="J28" s="387" t="s">
        <v>553</v>
      </c>
      <c r="K28" s="352" t="s">
        <v>554</v>
      </c>
      <c r="L28" s="402">
        <v>10</v>
      </c>
      <c r="M28" s="352" t="s">
        <v>488</v>
      </c>
      <c r="N28" s="403">
        <v>25000</v>
      </c>
      <c r="O28" s="404">
        <v>250000</v>
      </c>
      <c r="P28" s="421">
        <v>4</v>
      </c>
      <c r="Q28" s="491" t="s">
        <v>165</v>
      </c>
      <c r="R28" s="437">
        <v>240000</v>
      </c>
      <c r="S28" s="438">
        <f t="shared" si="1"/>
        <v>270000</v>
      </c>
      <c r="T28" s="439" t="s">
        <v>538</v>
      </c>
      <c r="U28" s="460" t="str">
        <f t="shared" si="2"/>
        <v/>
      </c>
      <c r="V28" s="439" t="s">
        <v>539</v>
      </c>
      <c r="W28" s="439" t="s">
        <v>540</v>
      </c>
      <c r="X28" s="439" t="s">
        <v>490</v>
      </c>
      <c r="Y28" s="439" t="str">
        <f t="shared" si="7"/>
        <v>Sapu Closet</v>
      </c>
      <c r="Z28" s="449" t="s">
        <v>280</v>
      </c>
      <c r="AA28" s="440" t="s">
        <v>488</v>
      </c>
      <c r="AB28" s="441">
        <f t="shared" si="4"/>
        <v>22522.522522522522</v>
      </c>
      <c r="AC28" s="442">
        <f t="shared" si="5"/>
        <v>225225.22522522521</v>
      </c>
      <c r="AD28" s="437">
        <v>240000</v>
      </c>
      <c r="AE28" s="447">
        <v>216216.21621621621</v>
      </c>
      <c r="AF28" s="447">
        <v>240000</v>
      </c>
      <c r="AG28" s="437">
        <v>240000</v>
      </c>
      <c r="AH28" s="443" t="s">
        <v>2098</v>
      </c>
    </row>
    <row r="29" spans="1:36">
      <c r="A29" s="350">
        <v>22</v>
      </c>
      <c r="B29" s="352" t="s">
        <v>531</v>
      </c>
      <c r="C29" s="352" t="s">
        <v>532</v>
      </c>
      <c r="D29" s="355" t="s">
        <v>533</v>
      </c>
      <c r="E29" s="374" t="s">
        <v>534</v>
      </c>
      <c r="F29" s="361">
        <v>44942</v>
      </c>
      <c r="G29" s="361">
        <f t="shared" si="6"/>
        <v>44942</v>
      </c>
      <c r="H29" s="361">
        <f t="shared" si="6"/>
        <v>44942</v>
      </c>
      <c r="I29" s="365">
        <v>45034</v>
      </c>
      <c r="J29" s="387" t="s">
        <v>273</v>
      </c>
      <c r="K29" s="352" t="s">
        <v>555</v>
      </c>
      <c r="L29" s="402">
        <v>10</v>
      </c>
      <c r="M29" s="352" t="s">
        <v>488</v>
      </c>
      <c r="N29" s="403">
        <v>20000</v>
      </c>
      <c r="O29" s="404">
        <v>200000</v>
      </c>
      <c r="P29" s="421">
        <v>4</v>
      </c>
      <c r="Q29" s="439" t="s">
        <v>575</v>
      </c>
      <c r="R29" s="437">
        <v>1050000</v>
      </c>
      <c r="S29" s="438">
        <f t="shared" si="1"/>
        <v>220000</v>
      </c>
      <c r="T29" s="439" t="s">
        <v>538</v>
      </c>
      <c r="U29" s="460" t="str">
        <f t="shared" si="2"/>
        <v/>
      </c>
      <c r="V29" s="439" t="s">
        <v>539</v>
      </c>
      <c r="W29" s="439" t="s">
        <v>540</v>
      </c>
      <c r="X29" s="615" t="s">
        <v>541</v>
      </c>
      <c r="Y29" s="439" t="str">
        <f t="shared" si="7"/>
        <v>Sapu Lidi</v>
      </c>
      <c r="Z29" s="449" t="str">
        <f>K29</f>
        <v>Sapu Lidi</v>
      </c>
      <c r="AA29" s="440" t="s">
        <v>574</v>
      </c>
      <c r="AB29" s="441">
        <f t="shared" si="4"/>
        <v>18018.018018018018</v>
      </c>
      <c r="AC29" s="442">
        <f t="shared" si="5"/>
        <v>180180.18018018018</v>
      </c>
      <c r="AD29" s="437">
        <v>1050000</v>
      </c>
      <c r="AE29" s="447">
        <v>945945.94594594592</v>
      </c>
      <c r="AF29" s="447">
        <v>1050000</v>
      </c>
      <c r="AG29" s="437">
        <v>1050000</v>
      </c>
      <c r="AH29" s="443" t="s">
        <v>2098</v>
      </c>
    </row>
    <row r="30" spans="1:36" ht="15.5">
      <c r="A30" s="350">
        <v>22</v>
      </c>
      <c r="B30" s="352" t="s">
        <v>531</v>
      </c>
      <c r="C30" s="352" t="s">
        <v>532</v>
      </c>
      <c r="D30" s="355" t="s">
        <v>533</v>
      </c>
      <c r="E30" s="374" t="s">
        <v>534</v>
      </c>
      <c r="F30" s="361">
        <v>44942</v>
      </c>
      <c r="G30" s="361">
        <f t="shared" si="6"/>
        <v>44942</v>
      </c>
      <c r="H30" s="361">
        <f t="shared" si="6"/>
        <v>44942</v>
      </c>
      <c r="I30" s="365">
        <v>45034</v>
      </c>
      <c r="J30" s="387" t="s">
        <v>268</v>
      </c>
      <c r="K30" s="352" t="s">
        <v>557</v>
      </c>
      <c r="L30" s="402">
        <v>5</v>
      </c>
      <c r="M30" s="352" t="s">
        <v>488</v>
      </c>
      <c r="N30" s="403">
        <v>344000</v>
      </c>
      <c r="O30" s="404">
        <v>1720000</v>
      </c>
      <c r="P30" s="421">
        <v>4</v>
      </c>
      <c r="Q30" s="493" t="s">
        <v>81</v>
      </c>
      <c r="R30" s="437">
        <v>840000</v>
      </c>
      <c r="S30" s="438">
        <f t="shared" si="1"/>
        <v>1730000</v>
      </c>
      <c r="T30" s="439" t="s">
        <v>538</v>
      </c>
      <c r="U30" s="460" t="str">
        <f t="shared" si="2"/>
        <v/>
      </c>
      <c r="V30" s="439" t="s">
        <v>539</v>
      </c>
      <c r="W30" s="439" t="s">
        <v>540</v>
      </c>
      <c r="X30" s="439" t="s">
        <v>468</v>
      </c>
      <c r="Y30" s="439" t="str">
        <f t="shared" si="7"/>
        <v>Alat Pel lantai besar</v>
      </c>
      <c r="Z30" s="449" t="s">
        <v>8</v>
      </c>
      <c r="AA30" s="440" t="s">
        <v>231</v>
      </c>
      <c r="AB30" s="441">
        <f t="shared" si="4"/>
        <v>309909.90990990994</v>
      </c>
      <c r="AC30" s="442">
        <f t="shared" si="5"/>
        <v>1549549.5495495498</v>
      </c>
      <c r="AD30" s="437">
        <v>840000</v>
      </c>
      <c r="AE30" s="447">
        <v>756756.75675675669</v>
      </c>
      <c r="AF30" s="447">
        <v>840000</v>
      </c>
      <c r="AG30" s="437">
        <v>840000</v>
      </c>
      <c r="AH30" s="443" t="s">
        <v>2098</v>
      </c>
    </row>
    <row r="31" spans="1:36">
      <c r="A31" s="350">
        <v>22</v>
      </c>
      <c r="B31" s="352" t="s">
        <v>531</v>
      </c>
      <c r="C31" s="352" t="s">
        <v>532</v>
      </c>
      <c r="D31" s="355" t="s">
        <v>533</v>
      </c>
      <c r="E31" s="374" t="s">
        <v>534</v>
      </c>
      <c r="F31" s="361">
        <v>44942</v>
      </c>
      <c r="G31" s="361">
        <f t="shared" si="6"/>
        <v>44942</v>
      </c>
      <c r="H31" s="361">
        <f t="shared" si="6"/>
        <v>44942</v>
      </c>
      <c r="I31" s="365">
        <v>45034</v>
      </c>
      <c r="J31" s="387" t="s">
        <v>275</v>
      </c>
      <c r="K31" s="352" t="s">
        <v>559</v>
      </c>
      <c r="L31" s="402">
        <v>25</v>
      </c>
      <c r="M31" s="352" t="s">
        <v>488</v>
      </c>
      <c r="N31" s="403">
        <v>45000</v>
      </c>
      <c r="O31" s="404">
        <v>1125000</v>
      </c>
      <c r="P31" s="421">
        <v>4</v>
      </c>
      <c r="Q31" s="491" t="s">
        <v>164</v>
      </c>
      <c r="R31" s="437">
        <v>140000</v>
      </c>
      <c r="S31" s="438">
        <f t="shared" si="1"/>
        <v>1175000</v>
      </c>
      <c r="T31" s="439" t="s">
        <v>538</v>
      </c>
      <c r="U31" s="460" t="str">
        <f t="shared" si="2"/>
        <v/>
      </c>
      <c r="V31" s="439" t="s">
        <v>539</v>
      </c>
      <c r="W31" s="439" t="s">
        <v>540</v>
      </c>
      <c r="X31" s="439" t="s">
        <v>474</v>
      </c>
      <c r="Y31" s="439" t="str">
        <f t="shared" si="7"/>
        <v>Tempat sampah</v>
      </c>
      <c r="Z31" s="449" t="s">
        <v>1545</v>
      </c>
      <c r="AA31" s="440" t="s">
        <v>472</v>
      </c>
      <c r="AB31" s="441">
        <f t="shared" si="4"/>
        <v>40540.54054054054</v>
      </c>
      <c r="AC31" s="442">
        <f t="shared" si="5"/>
        <v>1013513.5135135135</v>
      </c>
      <c r="AD31" s="437">
        <v>140000</v>
      </c>
      <c r="AE31" s="447">
        <v>126126.12612612612</v>
      </c>
      <c r="AF31" s="447">
        <v>140000</v>
      </c>
      <c r="AG31" s="437">
        <v>140000</v>
      </c>
      <c r="AH31" s="443" t="s">
        <v>2098</v>
      </c>
    </row>
    <row r="32" spans="1:36">
      <c r="A32" s="350">
        <v>23</v>
      </c>
      <c r="B32" s="352" t="s">
        <v>561</v>
      </c>
      <c r="C32" s="352" t="s">
        <v>562</v>
      </c>
      <c r="D32" s="355" t="s">
        <v>464</v>
      </c>
      <c r="E32" s="374" t="s">
        <v>563</v>
      </c>
      <c r="F32" s="361">
        <v>44943</v>
      </c>
      <c r="G32" s="361">
        <f t="shared" si="6"/>
        <v>44943</v>
      </c>
      <c r="H32" s="361">
        <f t="shared" si="6"/>
        <v>44943</v>
      </c>
      <c r="I32" s="365">
        <v>45034</v>
      </c>
      <c r="J32" s="387" t="s">
        <v>564</v>
      </c>
      <c r="K32" s="352" t="s">
        <v>467</v>
      </c>
      <c r="L32" s="402">
        <v>30</v>
      </c>
      <c r="M32" s="352" t="s">
        <v>231</v>
      </c>
      <c r="N32" s="403">
        <v>35000</v>
      </c>
      <c r="O32" s="404">
        <v>1050000</v>
      </c>
      <c r="P32" s="421">
        <v>4</v>
      </c>
      <c r="Q32" s="439" t="s">
        <v>575</v>
      </c>
      <c r="R32" s="437">
        <v>4537500</v>
      </c>
      <c r="S32" s="438">
        <f t="shared" si="1"/>
        <v>1110000</v>
      </c>
      <c r="T32" s="444" t="s">
        <v>282</v>
      </c>
      <c r="U32" s="460" t="str">
        <f t="shared" si="2"/>
        <v>Resto JFC Esther</v>
      </c>
      <c r="V32" s="444" t="s">
        <v>1258</v>
      </c>
      <c r="W32" s="444" t="s">
        <v>468</v>
      </c>
      <c r="X32" s="615" t="s">
        <v>541</v>
      </c>
      <c r="Y32" s="439" t="str">
        <f t="shared" si="7"/>
        <v>Konsumsi Penyusunan dan pelaporan RKAS</v>
      </c>
      <c r="Z32" s="449" t="str">
        <f>K32</f>
        <v>Nasi Kotak</v>
      </c>
      <c r="AA32" s="440" t="s">
        <v>587</v>
      </c>
      <c r="AB32" s="441">
        <f t="shared" si="4"/>
        <v>31531.531531531531</v>
      </c>
      <c r="AC32" s="442">
        <f t="shared" si="5"/>
        <v>945945.94594594592</v>
      </c>
      <c r="AD32" s="437">
        <v>4537500</v>
      </c>
      <c r="AE32" s="447">
        <v>4087837.8378378376</v>
      </c>
      <c r="AF32" s="447">
        <v>4537500</v>
      </c>
      <c r="AG32" s="437">
        <v>4537500</v>
      </c>
      <c r="AH32" s="443" t="s">
        <v>2091</v>
      </c>
    </row>
    <row r="33" spans="1:37" ht="25">
      <c r="A33" s="350">
        <v>24</v>
      </c>
      <c r="B33" s="352" t="s">
        <v>565</v>
      </c>
      <c r="C33" s="352" t="s">
        <v>562</v>
      </c>
      <c r="D33" s="355" t="s">
        <v>464</v>
      </c>
      <c r="E33" s="374" t="s">
        <v>563</v>
      </c>
      <c r="F33" s="361">
        <v>44943</v>
      </c>
      <c r="G33" s="361">
        <f t="shared" si="6"/>
        <v>44943</v>
      </c>
      <c r="H33" s="361">
        <f t="shared" si="6"/>
        <v>44943</v>
      </c>
      <c r="I33" s="365">
        <v>45034</v>
      </c>
      <c r="J33" s="387" t="s">
        <v>566</v>
      </c>
      <c r="K33" s="352" t="s">
        <v>471</v>
      </c>
      <c r="L33" s="402">
        <v>2</v>
      </c>
      <c r="M33" s="352" t="s">
        <v>472</v>
      </c>
      <c r="N33" s="403">
        <v>70000</v>
      </c>
      <c r="O33" s="404">
        <v>140000</v>
      </c>
      <c r="P33" s="421">
        <v>4</v>
      </c>
      <c r="Q33" s="439"/>
      <c r="R33" s="437">
        <v>1384700</v>
      </c>
      <c r="S33" s="438">
        <f t="shared" si="1"/>
        <v>144000</v>
      </c>
      <c r="T33" s="439" t="s">
        <v>10</v>
      </c>
      <c r="U33" s="460" t="str">
        <f t="shared" si="2"/>
        <v>UD. USAHA JAYA</v>
      </c>
      <c r="V33" s="444" t="s">
        <v>11</v>
      </c>
      <c r="W33" s="439" t="s">
        <v>473</v>
      </c>
      <c r="X33" s="439"/>
      <c r="Y33" s="439" t="str">
        <f t="shared" si="7"/>
        <v>Air Mineral pada kegiatan Penyusunan dan Pelaporan RKAS</v>
      </c>
      <c r="Z33" s="449"/>
      <c r="AA33" s="440" t="s">
        <v>587</v>
      </c>
      <c r="AB33" s="441">
        <f t="shared" si="4"/>
        <v>63063.063063063062</v>
      </c>
      <c r="AC33" s="442">
        <f t="shared" si="5"/>
        <v>126126.12612612612</v>
      </c>
      <c r="AD33" s="437">
        <v>1384700</v>
      </c>
      <c r="AE33" s="447">
        <v>1247477.4774774774</v>
      </c>
      <c r="AF33" s="447">
        <v>1384700</v>
      </c>
      <c r="AG33" s="437">
        <v>1384700</v>
      </c>
      <c r="AH33" s="443" t="s">
        <v>2092</v>
      </c>
    </row>
    <row r="34" spans="1:37" ht="15.5">
      <c r="A34" s="350">
        <v>24</v>
      </c>
      <c r="B34" s="352" t="s">
        <v>567</v>
      </c>
      <c r="C34" s="352" t="s">
        <v>562</v>
      </c>
      <c r="D34" s="355" t="s">
        <v>464</v>
      </c>
      <c r="E34" s="374" t="s">
        <v>563</v>
      </c>
      <c r="F34" s="361">
        <v>44943</v>
      </c>
      <c r="G34" s="361">
        <f t="shared" si="6"/>
        <v>44943</v>
      </c>
      <c r="H34" s="361">
        <f t="shared" si="6"/>
        <v>44943</v>
      </c>
      <c r="I34" s="365">
        <v>45034</v>
      </c>
      <c r="J34" s="387" t="s">
        <v>568</v>
      </c>
      <c r="K34" s="352" t="s">
        <v>487</v>
      </c>
      <c r="L34" s="402">
        <v>30</v>
      </c>
      <c r="M34" s="352" t="s">
        <v>488</v>
      </c>
      <c r="N34" s="403">
        <v>8000</v>
      </c>
      <c r="O34" s="404">
        <v>240000</v>
      </c>
      <c r="P34" s="421">
        <v>4</v>
      </c>
      <c r="Q34" s="493" t="s">
        <v>81</v>
      </c>
      <c r="R34" s="437">
        <v>2450000</v>
      </c>
      <c r="S34" s="438">
        <f t="shared" si="1"/>
        <v>300000</v>
      </c>
      <c r="T34" s="439" t="s">
        <v>10</v>
      </c>
      <c r="U34" s="460" t="str">
        <f t="shared" si="2"/>
        <v/>
      </c>
      <c r="V34" s="444" t="s">
        <v>11</v>
      </c>
      <c r="W34" s="439" t="s">
        <v>473</v>
      </c>
      <c r="X34" s="439" t="s">
        <v>468</v>
      </c>
      <c r="Y34" s="439" t="str">
        <f t="shared" si="7"/>
        <v>Snack pada kegiatan penyusunan dan pelaporan RKAS</v>
      </c>
      <c r="Z34" s="449" t="s">
        <v>8</v>
      </c>
      <c r="AA34" s="440" t="s">
        <v>597</v>
      </c>
      <c r="AB34" s="441">
        <f t="shared" si="4"/>
        <v>7207.2072072072069</v>
      </c>
      <c r="AC34" s="442">
        <f t="shared" si="5"/>
        <v>216216.21621621621</v>
      </c>
      <c r="AD34" s="437">
        <v>2450000</v>
      </c>
      <c r="AE34" s="447">
        <v>2207207.2072072071</v>
      </c>
      <c r="AF34" s="447">
        <v>2450000</v>
      </c>
      <c r="AG34" s="437">
        <v>2450000</v>
      </c>
      <c r="AH34" s="443" t="s">
        <v>2092</v>
      </c>
    </row>
    <row r="35" spans="1:37">
      <c r="A35" s="350">
        <v>26</v>
      </c>
      <c r="B35" s="352" t="s">
        <v>569</v>
      </c>
      <c r="C35" s="352" t="s">
        <v>570</v>
      </c>
      <c r="D35" s="355" t="s">
        <v>571</v>
      </c>
      <c r="E35" s="374" t="s">
        <v>572</v>
      </c>
      <c r="F35" s="361">
        <v>44945</v>
      </c>
      <c r="G35" s="361">
        <f t="shared" si="6"/>
        <v>44945</v>
      </c>
      <c r="H35" s="361">
        <f t="shared" si="6"/>
        <v>44945</v>
      </c>
      <c r="I35" s="365">
        <v>45034</v>
      </c>
      <c r="J35" s="387" t="s">
        <v>9</v>
      </c>
      <c r="K35" s="352" t="s">
        <v>573</v>
      </c>
      <c r="L35" s="402">
        <v>3500</v>
      </c>
      <c r="M35" s="352" t="s">
        <v>574</v>
      </c>
      <c r="N35" s="405">
        <v>300</v>
      </c>
      <c r="O35" s="404">
        <v>1050000</v>
      </c>
      <c r="P35" s="421">
        <v>4</v>
      </c>
      <c r="Q35" s="491" t="s">
        <v>164</v>
      </c>
      <c r="R35" s="437">
        <v>560000</v>
      </c>
      <c r="S35" s="438">
        <f t="shared" si="1"/>
        <v>8050000</v>
      </c>
      <c r="T35" s="439" t="s">
        <v>538</v>
      </c>
      <c r="U35" s="460" t="str">
        <f t="shared" si="2"/>
        <v/>
      </c>
      <c r="V35" s="439" t="s">
        <v>539</v>
      </c>
      <c r="W35" s="439" t="s">
        <v>473</v>
      </c>
      <c r="X35" s="439" t="s">
        <v>474</v>
      </c>
      <c r="Y35" s="439" t="str">
        <f t="shared" si="7"/>
        <v>Foto Copy Filio dan Kuarto</v>
      </c>
      <c r="Z35" s="449" t="s">
        <v>1545</v>
      </c>
      <c r="AA35" s="440" t="s">
        <v>472</v>
      </c>
      <c r="AB35" s="441">
        <f t="shared" si="4"/>
        <v>270.27027027027026</v>
      </c>
      <c r="AC35" s="442">
        <f t="shared" si="5"/>
        <v>945945.94594594592</v>
      </c>
      <c r="AD35" s="437">
        <v>560000</v>
      </c>
      <c r="AE35" s="447">
        <v>1513513.5135135134</v>
      </c>
      <c r="AF35" s="447">
        <v>1680000</v>
      </c>
      <c r="AG35" s="437">
        <v>560000</v>
      </c>
      <c r="AH35" s="443" t="s">
        <v>2098</v>
      </c>
      <c r="AI35" s="448">
        <f>SUM(AC35:AC36)</f>
        <v>1702702.7027027025</v>
      </c>
      <c r="AJ35" s="448">
        <f>SUM(AD35:AD36)</f>
        <v>1680000</v>
      </c>
      <c r="AK35" s="282"/>
    </row>
    <row r="36" spans="1:37">
      <c r="A36" s="350">
        <v>27</v>
      </c>
      <c r="B36" s="352" t="s">
        <v>576</v>
      </c>
      <c r="C36" s="352" t="s">
        <v>577</v>
      </c>
      <c r="D36" s="355" t="s">
        <v>464</v>
      </c>
      <c r="E36" s="374" t="s">
        <v>578</v>
      </c>
      <c r="F36" s="361">
        <v>44947</v>
      </c>
      <c r="G36" s="361">
        <f t="shared" si="6"/>
        <v>44947</v>
      </c>
      <c r="H36" s="361">
        <f t="shared" si="6"/>
        <v>44947</v>
      </c>
      <c r="I36" s="365">
        <v>45034</v>
      </c>
      <c r="J36" s="387" t="s">
        <v>579</v>
      </c>
      <c r="K36" s="352" t="s">
        <v>467</v>
      </c>
      <c r="L36" s="402">
        <v>24</v>
      </c>
      <c r="M36" s="352" t="s">
        <v>231</v>
      </c>
      <c r="N36" s="403">
        <v>35000</v>
      </c>
      <c r="O36" s="404">
        <v>840000</v>
      </c>
      <c r="P36" s="421">
        <v>4</v>
      </c>
      <c r="Q36" s="491" t="s">
        <v>165</v>
      </c>
      <c r="R36" s="437">
        <v>1120000</v>
      </c>
      <c r="S36" s="438">
        <f t="shared" si="1"/>
        <v>888000</v>
      </c>
      <c r="T36" s="444" t="s">
        <v>282</v>
      </c>
      <c r="U36" s="460" t="str">
        <f t="shared" si="2"/>
        <v>Resto JFC Esther</v>
      </c>
      <c r="V36" s="439" t="s">
        <v>1258</v>
      </c>
      <c r="W36" s="444" t="s">
        <v>468</v>
      </c>
      <c r="X36" s="439" t="s">
        <v>490</v>
      </c>
      <c r="Y36" s="439" t="str">
        <f t="shared" si="7"/>
        <v>Konsumsi kegiatan penyusunan program ketatausahaan</v>
      </c>
      <c r="Z36" s="449" t="s">
        <v>280</v>
      </c>
      <c r="AA36" s="440" t="s">
        <v>488</v>
      </c>
      <c r="AB36" s="441">
        <f t="shared" si="4"/>
        <v>31531.531531531531</v>
      </c>
      <c r="AC36" s="442">
        <f t="shared" si="5"/>
        <v>756756.75675675669</v>
      </c>
      <c r="AD36" s="437">
        <v>1120000</v>
      </c>
      <c r="AE36" s="447">
        <v>1513513.5135135134</v>
      </c>
      <c r="AF36" s="447">
        <v>1680000</v>
      </c>
      <c r="AG36" s="437">
        <v>1120000</v>
      </c>
      <c r="AH36" s="443" t="s">
        <v>2091</v>
      </c>
    </row>
    <row r="37" spans="1:37" ht="25">
      <c r="A37" s="350">
        <v>28</v>
      </c>
      <c r="B37" s="352" t="s">
        <v>580</v>
      </c>
      <c r="C37" s="352" t="s">
        <v>577</v>
      </c>
      <c r="D37" s="355" t="s">
        <v>464</v>
      </c>
      <c r="E37" s="374" t="s">
        <v>578</v>
      </c>
      <c r="F37" s="361">
        <v>44947</v>
      </c>
      <c r="G37" s="361">
        <f t="shared" ref="G37:H52" si="8">F37</f>
        <v>44947</v>
      </c>
      <c r="H37" s="361">
        <f t="shared" si="8"/>
        <v>44947</v>
      </c>
      <c r="I37" s="365">
        <v>45034</v>
      </c>
      <c r="J37" s="387" t="s">
        <v>581</v>
      </c>
      <c r="K37" s="352" t="s">
        <v>471</v>
      </c>
      <c r="L37" s="402">
        <v>2</v>
      </c>
      <c r="M37" s="352" t="s">
        <v>472</v>
      </c>
      <c r="N37" s="403">
        <v>70000</v>
      </c>
      <c r="O37" s="404">
        <v>140000</v>
      </c>
      <c r="P37" s="421">
        <v>4</v>
      </c>
      <c r="Q37" s="439"/>
      <c r="R37" s="437">
        <v>125000</v>
      </c>
      <c r="S37" s="438">
        <f t="shared" si="1"/>
        <v>144000</v>
      </c>
      <c r="T37" s="439" t="s">
        <v>10</v>
      </c>
      <c r="U37" s="460" t="str">
        <f t="shared" si="2"/>
        <v>UD. USAHA JAYA</v>
      </c>
      <c r="V37" s="439" t="s">
        <v>11</v>
      </c>
      <c r="W37" s="439" t="s">
        <v>473</v>
      </c>
      <c r="X37" s="439"/>
      <c r="Y37" s="439" t="str">
        <f t="shared" si="7"/>
        <v>Air Mineral pada kegiatan penyusunan program ketatausahaan</v>
      </c>
      <c r="Z37" s="449"/>
      <c r="AA37" s="440" t="s">
        <v>608</v>
      </c>
      <c r="AB37" s="441">
        <f t="shared" si="4"/>
        <v>63063.063063063062</v>
      </c>
      <c r="AC37" s="442">
        <f t="shared" si="5"/>
        <v>126126.12612612612</v>
      </c>
      <c r="AD37" s="437">
        <v>125000</v>
      </c>
      <c r="AE37" s="447">
        <v>112612.61261261262</v>
      </c>
      <c r="AF37" s="447">
        <v>125000</v>
      </c>
      <c r="AG37" s="437">
        <v>125000</v>
      </c>
      <c r="AH37" s="443" t="s">
        <v>2092</v>
      </c>
    </row>
    <row r="38" spans="1:37">
      <c r="A38" s="350">
        <v>29</v>
      </c>
      <c r="B38" s="352" t="s">
        <v>582</v>
      </c>
      <c r="C38" s="352" t="s">
        <v>583</v>
      </c>
      <c r="D38" s="355" t="s">
        <v>584</v>
      </c>
      <c r="E38" s="374" t="s">
        <v>578</v>
      </c>
      <c r="F38" s="361">
        <v>44947</v>
      </c>
      <c r="G38" s="361">
        <f t="shared" si="8"/>
        <v>44947</v>
      </c>
      <c r="H38" s="361">
        <f t="shared" si="8"/>
        <v>44947</v>
      </c>
      <c r="I38" s="365">
        <v>45034</v>
      </c>
      <c r="J38" s="387" t="s">
        <v>585</v>
      </c>
      <c r="K38" s="352" t="s">
        <v>586</v>
      </c>
      <c r="L38" s="402">
        <v>1</v>
      </c>
      <c r="M38" s="352" t="s">
        <v>587</v>
      </c>
      <c r="N38" s="403">
        <v>1475600</v>
      </c>
      <c r="O38" s="404">
        <v>1475600</v>
      </c>
      <c r="P38" s="421">
        <v>4</v>
      </c>
      <c r="Q38" s="439"/>
      <c r="R38" s="437">
        <v>1000000</v>
      </c>
      <c r="S38" s="438">
        <f t="shared" si="1"/>
        <v>1477600</v>
      </c>
      <c r="T38" s="439"/>
      <c r="U38" s="460" t="str">
        <f t="shared" si="2"/>
        <v/>
      </c>
      <c r="V38" s="439"/>
      <c r="W38" s="439"/>
      <c r="X38" s="439"/>
      <c r="Y38" s="439" t="str">
        <f t="shared" si="7"/>
        <v>Pembayaran Langganan Daya dan Jasa listrik Januari</v>
      </c>
      <c r="Z38" s="449" t="s">
        <v>1553</v>
      </c>
      <c r="AA38" s="440" t="s">
        <v>614</v>
      </c>
      <c r="AB38" s="441">
        <f t="shared" si="4"/>
        <v>1329369.3693693695</v>
      </c>
      <c r="AC38" s="442">
        <f t="shared" si="5"/>
        <v>1329369.3693693695</v>
      </c>
      <c r="AD38" s="437">
        <v>1000000</v>
      </c>
      <c r="AE38" s="447">
        <v>900900.90090090095</v>
      </c>
      <c r="AF38" s="447">
        <v>1000000</v>
      </c>
      <c r="AG38" s="437">
        <v>1000000</v>
      </c>
      <c r="AH38" s="446"/>
    </row>
    <row r="39" spans="1:37" ht="15.5">
      <c r="A39" s="350">
        <v>29</v>
      </c>
      <c r="B39" s="352" t="s">
        <v>837</v>
      </c>
      <c r="C39" s="352" t="s">
        <v>838</v>
      </c>
      <c r="D39" s="355" t="s">
        <v>571</v>
      </c>
      <c r="E39" s="363" t="s">
        <v>578</v>
      </c>
      <c r="F39" s="361">
        <v>44947</v>
      </c>
      <c r="G39" s="361">
        <f t="shared" si="8"/>
        <v>44947</v>
      </c>
      <c r="H39" s="361">
        <f t="shared" si="8"/>
        <v>44947</v>
      </c>
      <c r="I39" s="365">
        <v>45037</v>
      </c>
      <c r="J39" s="387" t="s">
        <v>9</v>
      </c>
      <c r="K39" s="352" t="s">
        <v>819</v>
      </c>
      <c r="L39" s="402">
        <v>15125</v>
      </c>
      <c r="M39" s="352" t="s">
        <v>574</v>
      </c>
      <c r="N39" s="405">
        <v>300</v>
      </c>
      <c r="O39" s="404">
        <v>4537500</v>
      </c>
      <c r="P39" s="421">
        <v>4</v>
      </c>
      <c r="Q39" s="493" t="s">
        <v>81</v>
      </c>
      <c r="R39" s="437">
        <v>1050000</v>
      </c>
      <c r="S39" s="438">
        <f t="shared" si="1"/>
        <v>34787500</v>
      </c>
      <c r="T39" s="439" t="s">
        <v>538</v>
      </c>
      <c r="U39" s="460" t="str">
        <f t="shared" si="2"/>
        <v/>
      </c>
      <c r="V39" s="439" t="s">
        <v>539</v>
      </c>
      <c r="W39" s="439" t="s">
        <v>540</v>
      </c>
      <c r="X39" s="439" t="s">
        <v>468</v>
      </c>
      <c r="Y39" s="439" t="str">
        <f t="shared" si="7"/>
        <v>Foto Copy Filio dan Kuarto</v>
      </c>
      <c r="Z39" s="449" t="s">
        <v>8</v>
      </c>
      <c r="AA39" s="440" t="s">
        <v>488</v>
      </c>
      <c r="AB39" s="441">
        <f t="shared" si="4"/>
        <v>270.27027027027026</v>
      </c>
      <c r="AC39" s="442">
        <f t="shared" si="5"/>
        <v>4087837.8378378376</v>
      </c>
      <c r="AD39" s="437">
        <v>1050000</v>
      </c>
      <c r="AE39" s="447">
        <v>945945.94594594592</v>
      </c>
      <c r="AF39" s="447">
        <v>1050000</v>
      </c>
      <c r="AG39" s="437">
        <v>1050000</v>
      </c>
      <c r="AH39" s="443" t="s">
        <v>2098</v>
      </c>
    </row>
    <row r="40" spans="1:37" ht="25">
      <c r="A40" s="350">
        <v>30</v>
      </c>
      <c r="B40" s="352" t="s">
        <v>588</v>
      </c>
      <c r="C40" s="352" t="s">
        <v>589</v>
      </c>
      <c r="D40" s="355" t="s">
        <v>590</v>
      </c>
      <c r="E40" s="374" t="s">
        <v>578</v>
      </c>
      <c r="F40" s="361">
        <v>44947</v>
      </c>
      <c r="G40" s="361">
        <f t="shared" si="8"/>
        <v>44947</v>
      </c>
      <c r="H40" s="361">
        <f t="shared" si="8"/>
        <v>44947</v>
      </c>
      <c r="I40" s="365">
        <v>45034</v>
      </c>
      <c r="J40" s="387" t="s">
        <v>591</v>
      </c>
      <c r="K40" s="352" t="s">
        <v>592</v>
      </c>
      <c r="L40" s="402">
        <v>1</v>
      </c>
      <c r="M40" s="352" t="s">
        <v>587</v>
      </c>
      <c r="N40" s="403">
        <v>1384700</v>
      </c>
      <c r="O40" s="404">
        <v>1384700</v>
      </c>
      <c r="P40" s="421">
        <v>4</v>
      </c>
      <c r="Q40" s="494" t="s">
        <v>163</v>
      </c>
      <c r="R40" s="437">
        <v>400000</v>
      </c>
      <c r="S40" s="438">
        <f t="shared" si="1"/>
        <v>1386700</v>
      </c>
      <c r="T40" s="439"/>
      <c r="U40" s="460" t="str">
        <f t="shared" si="2"/>
        <v/>
      </c>
      <c r="V40" s="439"/>
      <c r="W40" s="439"/>
      <c r="X40" s="439" t="s">
        <v>474</v>
      </c>
      <c r="Y40" s="439" t="str">
        <f t="shared" si="7"/>
        <v>Pembayaran Langganan Daya dan Jasa Internet Indihome Januari</v>
      </c>
      <c r="Z40" s="449" t="s">
        <v>1545</v>
      </c>
      <c r="AA40" s="440" t="s">
        <v>472</v>
      </c>
      <c r="AB40" s="441">
        <f t="shared" si="4"/>
        <v>1247477.4774774774</v>
      </c>
      <c r="AC40" s="442">
        <f t="shared" si="5"/>
        <v>1247477.4774774774</v>
      </c>
      <c r="AD40" s="437">
        <v>400000</v>
      </c>
      <c r="AE40" s="447">
        <v>360360.36036036036</v>
      </c>
      <c r="AF40" s="447">
        <v>400000</v>
      </c>
      <c r="AG40" s="437">
        <v>400000</v>
      </c>
      <c r="AH40" s="446"/>
    </row>
    <row r="41" spans="1:37">
      <c r="A41" s="350">
        <v>31</v>
      </c>
      <c r="B41" s="352" t="s">
        <v>593</v>
      </c>
      <c r="C41" s="352" t="s">
        <v>594</v>
      </c>
      <c r="D41" s="355" t="s">
        <v>464</v>
      </c>
      <c r="E41" s="374" t="s">
        <v>595</v>
      </c>
      <c r="F41" s="361">
        <v>44949</v>
      </c>
      <c r="G41" s="361">
        <f t="shared" si="8"/>
        <v>44949</v>
      </c>
      <c r="H41" s="361">
        <f t="shared" si="8"/>
        <v>44949</v>
      </c>
      <c r="I41" s="365">
        <v>45034</v>
      </c>
      <c r="J41" s="387" t="s">
        <v>596</v>
      </c>
      <c r="K41" s="352" t="s">
        <v>467</v>
      </c>
      <c r="L41" s="402">
        <v>70</v>
      </c>
      <c r="M41" s="352" t="s">
        <v>597</v>
      </c>
      <c r="N41" s="403">
        <v>35000</v>
      </c>
      <c r="O41" s="404">
        <v>2450000</v>
      </c>
      <c r="P41" s="421">
        <v>4</v>
      </c>
      <c r="Q41" s="491" t="s">
        <v>164</v>
      </c>
      <c r="R41" s="437">
        <v>140000</v>
      </c>
      <c r="S41" s="438">
        <f t="shared" si="1"/>
        <v>2590000</v>
      </c>
      <c r="T41" s="444" t="s">
        <v>282</v>
      </c>
      <c r="U41" s="460" t="str">
        <f t="shared" si="2"/>
        <v>Resto JFC Esther</v>
      </c>
      <c r="V41" s="444" t="s">
        <v>1258</v>
      </c>
      <c r="W41" s="444" t="s">
        <v>468</v>
      </c>
      <c r="X41" s="439" t="s">
        <v>474</v>
      </c>
      <c r="Y41" s="439" t="str">
        <f t="shared" si="7"/>
        <v>Konsumsi rapat rutin sekolah</v>
      </c>
      <c r="Z41" s="449" t="s">
        <v>1545</v>
      </c>
      <c r="AA41" s="440" t="s">
        <v>472</v>
      </c>
      <c r="AB41" s="441">
        <f t="shared" si="4"/>
        <v>31531.531531531531</v>
      </c>
      <c r="AC41" s="442">
        <f t="shared" si="5"/>
        <v>2207207.2072072071</v>
      </c>
      <c r="AD41" s="437">
        <v>140000</v>
      </c>
      <c r="AE41" s="447">
        <v>126126.12612612612</v>
      </c>
      <c r="AF41" s="447">
        <v>140000</v>
      </c>
      <c r="AG41" s="437">
        <v>140000</v>
      </c>
      <c r="AH41" s="443" t="s">
        <v>2091</v>
      </c>
    </row>
    <row r="42" spans="1:37" ht="15.5">
      <c r="A42" s="350">
        <v>32</v>
      </c>
      <c r="B42" s="352" t="s">
        <v>598</v>
      </c>
      <c r="C42" s="352" t="s">
        <v>594</v>
      </c>
      <c r="D42" s="355" t="s">
        <v>464</v>
      </c>
      <c r="E42" s="374" t="s">
        <v>595</v>
      </c>
      <c r="F42" s="361">
        <v>44949</v>
      </c>
      <c r="G42" s="361">
        <f t="shared" si="8"/>
        <v>44949</v>
      </c>
      <c r="H42" s="361">
        <f t="shared" si="8"/>
        <v>44949</v>
      </c>
      <c r="I42" s="365">
        <v>45034</v>
      </c>
      <c r="J42" s="387" t="s">
        <v>599</v>
      </c>
      <c r="K42" s="352" t="s">
        <v>471</v>
      </c>
      <c r="L42" s="402">
        <v>8</v>
      </c>
      <c r="M42" s="352" t="s">
        <v>472</v>
      </c>
      <c r="N42" s="403">
        <v>70000</v>
      </c>
      <c r="O42" s="404">
        <v>560000</v>
      </c>
      <c r="P42" s="421">
        <v>4</v>
      </c>
      <c r="Q42" s="493" t="s">
        <v>81</v>
      </c>
      <c r="R42" s="437">
        <v>1050000</v>
      </c>
      <c r="S42" s="438">
        <f t="shared" si="1"/>
        <v>576000</v>
      </c>
      <c r="T42" s="439" t="s">
        <v>10</v>
      </c>
      <c r="U42" s="460" t="str">
        <f t="shared" si="2"/>
        <v>UD. USAHA JAYA</v>
      </c>
      <c r="V42" s="444" t="s">
        <v>11</v>
      </c>
      <c r="W42" s="444" t="s">
        <v>468</v>
      </c>
      <c r="X42" s="439" t="s">
        <v>468</v>
      </c>
      <c r="Y42" s="439" t="str">
        <f t="shared" si="7"/>
        <v>Air mineral botol 600 ml rapat rutin sekolah</v>
      </c>
      <c r="Z42" s="449" t="s">
        <v>8</v>
      </c>
      <c r="AA42" s="440" t="s">
        <v>231</v>
      </c>
      <c r="AB42" s="441">
        <f t="shared" si="4"/>
        <v>63063.063063063062</v>
      </c>
      <c r="AC42" s="442">
        <f t="shared" si="5"/>
        <v>504504.5045045045</v>
      </c>
      <c r="AD42" s="437">
        <v>1050000</v>
      </c>
      <c r="AE42" s="447">
        <v>945945.94594594592</v>
      </c>
      <c r="AF42" s="447">
        <v>1050000</v>
      </c>
      <c r="AG42" s="437">
        <v>1050000</v>
      </c>
      <c r="AH42" s="443" t="s">
        <v>2092</v>
      </c>
    </row>
    <row r="43" spans="1:37">
      <c r="A43" s="350">
        <v>32</v>
      </c>
      <c r="B43" s="352" t="s">
        <v>600</v>
      </c>
      <c r="C43" s="352" t="s">
        <v>594</v>
      </c>
      <c r="D43" s="355" t="s">
        <v>464</v>
      </c>
      <c r="E43" s="374" t="s">
        <v>595</v>
      </c>
      <c r="F43" s="361">
        <v>44949</v>
      </c>
      <c r="G43" s="361">
        <f t="shared" si="8"/>
        <v>44949</v>
      </c>
      <c r="H43" s="361">
        <f t="shared" si="8"/>
        <v>44949</v>
      </c>
      <c r="I43" s="365">
        <v>45034</v>
      </c>
      <c r="J43" s="387" t="s">
        <v>601</v>
      </c>
      <c r="K43" s="352" t="s">
        <v>487</v>
      </c>
      <c r="L43" s="402">
        <v>140</v>
      </c>
      <c r="M43" s="352" t="s">
        <v>488</v>
      </c>
      <c r="N43" s="403">
        <v>8000</v>
      </c>
      <c r="O43" s="404">
        <v>1120000</v>
      </c>
      <c r="P43" s="421">
        <v>4</v>
      </c>
      <c r="Q43" s="439"/>
      <c r="R43" s="437">
        <v>100000</v>
      </c>
      <c r="S43" s="274">
        <f t="shared" si="1"/>
        <v>1400000</v>
      </c>
      <c r="T43" s="439" t="s">
        <v>10</v>
      </c>
      <c r="U43" s="460" t="str">
        <f t="shared" si="2"/>
        <v/>
      </c>
      <c r="V43" s="444" t="s">
        <v>11</v>
      </c>
      <c r="W43" s="444" t="s">
        <v>468</v>
      </c>
      <c r="X43" s="439"/>
      <c r="Y43" s="439" t="str">
        <f t="shared" si="7"/>
        <v>Snack rapat rutin sekolah</v>
      </c>
      <c r="Z43" s="449"/>
      <c r="AA43" s="440" t="s">
        <v>587</v>
      </c>
      <c r="AB43" s="441">
        <f t="shared" si="4"/>
        <v>7207.2072072072069</v>
      </c>
      <c r="AC43" s="442">
        <f t="shared" si="5"/>
        <v>1009009.009009009</v>
      </c>
      <c r="AD43" s="437">
        <v>100000</v>
      </c>
      <c r="AE43" s="447">
        <v>90090.090090090089</v>
      </c>
      <c r="AF43" s="447">
        <v>100000</v>
      </c>
      <c r="AG43" s="437">
        <v>100000</v>
      </c>
      <c r="AH43" s="443" t="s">
        <v>2092</v>
      </c>
    </row>
    <row r="44" spans="1:37">
      <c r="A44" s="350">
        <v>33</v>
      </c>
      <c r="B44" s="352" t="s">
        <v>602</v>
      </c>
      <c r="C44" s="352" t="s">
        <v>603</v>
      </c>
      <c r="D44" s="355" t="s">
        <v>604</v>
      </c>
      <c r="E44" s="374" t="s">
        <v>605</v>
      </c>
      <c r="F44" s="361">
        <v>44951</v>
      </c>
      <c r="G44" s="361">
        <f t="shared" si="8"/>
        <v>44951</v>
      </c>
      <c r="H44" s="361">
        <f t="shared" si="8"/>
        <v>44951</v>
      </c>
      <c r="I44" s="365">
        <v>45034</v>
      </c>
      <c r="J44" s="387" t="s">
        <v>606</v>
      </c>
      <c r="K44" s="352" t="s">
        <v>607</v>
      </c>
      <c r="L44" s="402">
        <v>1</v>
      </c>
      <c r="M44" s="352" t="s">
        <v>608</v>
      </c>
      <c r="N44" s="403">
        <v>125000</v>
      </c>
      <c r="O44" s="404">
        <v>125000</v>
      </c>
      <c r="P44" s="421">
        <v>4</v>
      </c>
      <c r="Q44" s="439"/>
      <c r="R44" s="437">
        <v>200000</v>
      </c>
      <c r="S44" s="438">
        <f t="shared" si="1"/>
        <v>127000</v>
      </c>
      <c r="T44" s="439"/>
      <c r="U44" s="460" t="str">
        <f t="shared" si="2"/>
        <v/>
      </c>
      <c r="V44" s="439"/>
      <c r="W44" s="439"/>
      <c r="X44" s="439"/>
      <c r="Y44" s="439" t="str">
        <f t="shared" si="7"/>
        <v>Jasa pada pemeliharaan Instalasi air</v>
      </c>
      <c r="Z44" s="449"/>
      <c r="AA44" s="440" t="s">
        <v>587</v>
      </c>
      <c r="AB44" s="441">
        <f t="shared" si="4"/>
        <v>112612.61261261262</v>
      </c>
      <c r="AC44" s="442">
        <f t="shared" si="5"/>
        <v>112612.61261261262</v>
      </c>
      <c r="AD44" s="437">
        <v>200000</v>
      </c>
      <c r="AE44" s="447">
        <v>180180.18018018018</v>
      </c>
      <c r="AF44" s="447">
        <v>200000</v>
      </c>
      <c r="AG44" s="437">
        <v>200000</v>
      </c>
      <c r="AH44" s="446"/>
    </row>
    <row r="45" spans="1:37">
      <c r="A45" s="350">
        <v>34</v>
      </c>
      <c r="B45" s="352" t="s">
        <v>609</v>
      </c>
      <c r="C45" s="352" t="s">
        <v>610</v>
      </c>
      <c r="D45" s="355" t="s">
        <v>611</v>
      </c>
      <c r="E45" s="374" t="s">
        <v>605</v>
      </c>
      <c r="F45" s="361">
        <v>44951</v>
      </c>
      <c r="G45" s="361">
        <f t="shared" si="8"/>
        <v>44951</v>
      </c>
      <c r="H45" s="361">
        <f t="shared" si="8"/>
        <v>44951</v>
      </c>
      <c r="I45" s="365">
        <v>45034</v>
      </c>
      <c r="J45" s="387" t="s">
        <v>612</v>
      </c>
      <c r="K45" s="352" t="s">
        <v>613</v>
      </c>
      <c r="L45" s="402">
        <v>1</v>
      </c>
      <c r="M45" s="352" t="s">
        <v>614</v>
      </c>
      <c r="N45" s="403">
        <v>1000000</v>
      </c>
      <c r="O45" s="404">
        <v>1000000</v>
      </c>
      <c r="P45" s="421">
        <v>4</v>
      </c>
      <c r="Q45" s="439"/>
      <c r="R45" s="437">
        <v>400000</v>
      </c>
      <c r="S45" s="438">
        <f t="shared" si="1"/>
        <v>1002000</v>
      </c>
      <c r="T45" s="439"/>
      <c r="U45" s="460" t="str">
        <f t="shared" si="2"/>
        <v/>
      </c>
      <c r="V45" s="439"/>
      <c r="W45" s="439"/>
      <c r="X45" s="439"/>
      <c r="Y45" s="439" t="str">
        <f t="shared" si="7"/>
        <v>Belanja jasa pendataan dapodik</v>
      </c>
      <c r="Z45" s="449" t="s">
        <v>1554</v>
      </c>
      <c r="AA45" s="440" t="s">
        <v>587</v>
      </c>
      <c r="AB45" s="441">
        <f t="shared" si="4"/>
        <v>900900.90090090095</v>
      </c>
      <c r="AC45" s="442">
        <f t="shared" si="5"/>
        <v>900900.90090090095</v>
      </c>
      <c r="AD45" s="437">
        <v>400000</v>
      </c>
      <c r="AE45" s="447"/>
      <c r="AF45" s="447"/>
      <c r="AG45" s="437">
        <v>400000</v>
      </c>
      <c r="AH45" s="446"/>
    </row>
    <row r="46" spans="1:37" ht="25">
      <c r="A46" s="350">
        <v>36</v>
      </c>
      <c r="B46" s="352" t="s">
        <v>615</v>
      </c>
      <c r="C46" s="352" t="s">
        <v>616</v>
      </c>
      <c r="D46" s="355" t="s">
        <v>464</v>
      </c>
      <c r="E46" s="374" t="s">
        <v>605</v>
      </c>
      <c r="F46" s="361">
        <v>44951</v>
      </c>
      <c r="G46" s="361">
        <f t="shared" si="8"/>
        <v>44951</v>
      </c>
      <c r="H46" s="361">
        <f t="shared" si="8"/>
        <v>44951</v>
      </c>
      <c r="I46" s="365">
        <v>45034</v>
      </c>
      <c r="J46" s="387" t="s">
        <v>617</v>
      </c>
      <c r="K46" s="352" t="s">
        <v>467</v>
      </c>
      <c r="L46" s="402">
        <v>30</v>
      </c>
      <c r="M46" s="352" t="s">
        <v>488</v>
      </c>
      <c r="N46" s="403">
        <v>35000</v>
      </c>
      <c r="O46" s="404">
        <v>1050000</v>
      </c>
      <c r="P46" s="421">
        <v>4</v>
      </c>
      <c r="Q46" s="439"/>
      <c r="R46" s="437">
        <v>180000</v>
      </c>
      <c r="S46" s="438">
        <f t="shared" si="1"/>
        <v>1110000</v>
      </c>
      <c r="T46" s="444" t="s">
        <v>282</v>
      </c>
      <c r="U46" s="460" t="str">
        <f t="shared" si="2"/>
        <v>Resto JFC Esther</v>
      </c>
      <c r="V46" s="444" t="s">
        <v>1258</v>
      </c>
      <c r="W46" s="444" t="s">
        <v>468</v>
      </c>
      <c r="X46" s="439"/>
      <c r="Y46" s="439" t="str">
        <f t="shared" si="7"/>
        <v>konsumsi selama proses kegiatan pengayaan dan pendampingan karir calon lulusan tahun 2023</v>
      </c>
      <c r="Z46" s="449" t="s">
        <v>1555</v>
      </c>
      <c r="AA46" s="440" t="s">
        <v>231</v>
      </c>
      <c r="AB46" s="441">
        <f t="shared" si="4"/>
        <v>31531.531531531531</v>
      </c>
      <c r="AC46" s="442">
        <f t="shared" si="5"/>
        <v>945945.94594594592</v>
      </c>
      <c r="AD46" s="437">
        <v>180000</v>
      </c>
      <c r="AE46" s="447"/>
      <c r="AF46" s="447"/>
      <c r="AG46" s="437">
        <v>180000</v>
      </c>
      <c r="AH46" s="443" t="s">
        <v>2091</v>
      </c>
    </row>
    <row r="47" spans="1:37" ht="25">
      <c r="A47" s="350">
        <v>37</v>
      </c>
      <c r="B47" s="352" t="s">
        <v>618</v>
      </c>
      <c r="C47" s="352" t="s">
        <v>616</v>
      </c>
      <c r="D47" s="355" t="s">
        <v>464</v>
      </c>
      <c r="E47" s="374" t="s">
        <v>605</v>
      </c>
      <c r="F47" s="361">
        <v>44951</v>
      </c>
      <c r="G47" s="361">
        <f t="shared" si="8"/>
        <v>44951</v>
      </c>
      <c r="H47" s="361">
        <f t="shared" si="8"/>
        <v>44951</v>
      </c>
      <c r="I47" s="365">
        <v>45034</v>
      </c>
      <c r="J47" s="387" t="s">
        <v>619</v>
      </c>
      <c r="K47" s="352" t="s">
        <v>484</v>
      </c>
      <c r="L47" s="402">
        <v>8</v>
      </c>
      <c r="M47" s="352" t="s">
        <v>472</v>
      </c>
      <c r="N47" s="403">
        <v>50000</v>
      </c>
      <c r="O47" s="404">
        <v>400000</v>
      </c>
      <c r="P47" s="421">
        <v>4</v>
      </c>
      <c r="Q47" s="493" t="s">
        <v>81</v>
      </c>
      <c r="R47" s="437">
        <v>490000</v>
      </c>
      <c r="S47" s="438">
        <f t="shared" si="1"/>
        <v>416000</v>
      </c>
      <c r="T47" s="439" t="s">
        <v>10</v>
      </c>
      <c r="U47" s="460" t="str">
        <f t="shared" si="2"/>
        <v/>
      </c>
      <c r="V47" s="444" t="s">
        <v>11</v>
      </c>
      <c r="W47" s="439" t="s">
        <v>473</v>
      </c>
      <c r="X47" s="439" t="s">
        <v>468</v>
      </c>
      <c r="Y47" s="439" t="str">
        <f t="shared" si="7"/>
        <v>Belanja aqua gelas selama proses kegiatan pengayaan dan pendampingan karir calon lulusan tahun 2023</v>
      </c>
      <c r="Z47" s="449" t="s">
        <v>8</v>
      </c>
      <c r="AA47" s="440" t="s">
        <v>472</v>
      </c>
      <c r="AB47" s="441">
        <f t="shared" si="4"/>
        <v>45045.045045045044</v>
      </c>
      <c r="AC47" s="442">
        <f t="shared" si="5"/>
        <v>360360.36036036036</v>
      </c>
      <c r="AD47" s="437">
        <v>1120000</v>
      </c>
      <c r="AE47" s="447">
        <v>1576576.5765765766</v>
      </c>
      <c r="AF47" s="447">
        <v>1120000</v>
      </c>
      <c r="AG47" s="437">
        <v>1120000</v>
      </c>
      <c r="AH47" s="443" t="s">
        <v>2092</v>
      </c>
    </row>
    <row r="48" spans="1:37" ht="25">
      <c r="A48" s="350">
        <v>38</v>
      </c>
      <c r="B48" s="352" t="s">
        <v>620</v>
      </c>
      <c r="C48" s="352" t="s">
        <v>621</v>
      </c>
      <c r="D48" s="355" t="s">
        <v>464</v>
      </c>
      <c r="E48" s="374" t="s">
        <v>622</v>
      </c>
      <c r="F48" s="361">
        <v>44954</v>
      </c>
      <c r="G48" s="361">
        <f t="shared" si="8"/>
        <v>44954</v>
      </c>
      <c r="H48" s="361">
        <f t="shared" si="8"/>
        <v>44954</v>
      </c>
      <c r="I48" s="365">
        <v>45034</v>
      </c>
      <c r="J48" s="387" t="s">
        <v>623</v>
      </c>
      <c r="K48" s="352" t="s">
        <v>471</v>
      </c>
      <c r="L48" s="402">
        <v>2</v>
      </c>
      <c r="M48" s="352" t="s">
        <v>472</v>
      </c>
      <c r="N48" s="403">
        <v>70000</v>
      </c>
      <c r="O48" s="404">
        <v>140000</v>
      </c>
      <c r="P48" s="421">
        <v>4</v>
      </c>
      <c r="Q48" s="494" t="s">
        <v>163</v>
      </c>
      <c r="R48" s="437">
        <v>700000</v>
      </c>
      <c r="S48" s="438">
        <f t="shared" si="1"/>
        <v>144000</v>
      </c>
      <c r="T48" s="439" t="s">
        <v>10</v>
      </c>
      <c r="U48" s="460" t="str">
        <f t="shared" si="2"/>
        <v>UD. USAHA JAYA</v>
      </c>
      <c r="V48" s="439" t="s">
        <v>11</v>
      </c>
      <c r="W48" s="439" t="s">
        <v>473</v>
      </c>
      <c r="X48" s="439" t="s">
        <v>474</v>
      </c>
      <c r="Y48" s="439" t="str">
        <f t="shared" si="7"/>
        <v>Air mineral botol 600 ml pada kegiatan penyusunan program ekstrakurikuler semester genap TP. 2022/2023</v>
      </c>
      <c r="Z48" s="449" t="s">
        <v>1545</v>
      </c>
      <c r="AA48" s="440" t="s">
        <v>472</v>
      </c>
      <c r="AB48" s="441">
        <f t="shared" si="4"/>
        <v>63063.063063063062</v>
      </c>
      <c r="AC48" s="442">
        <f t="shared" si="5"/>
        <v>126126.12612612612</v>
      </c>
      <c r="AD48" s="437">
        <v>2700000</v>
      </c>
      <c r="AE48" s="447">
        <v>2432432.4324324322</v>
      </c>
      <c r="AF48" s="447">
        <v>2700000</v>
      </c>
      <c r="AG48" s="437">
        <v>2700000</v>
      </c>
      <c r="AH48" s="443" t="s">
        <v>2092</v>
      </c>
    </row>
    <row r="49" spans="1:36" ht="25">
      <c r="A49" s="350">
        <v>39</v>
      </c>
      <c r="B49" s="352" t="s">
        <v>624</v>
      </c>
      <c r="C49" s="352" t="s">
        <v>621</v>
      </c>
      <c r="D49" s="355" t="s">
        <v>464</v>
      </c>
      <c r="E49" s="374" t="s">
        <v>622</v>
      </c>
      <c r="F49" s="361">
        <v>44954</v>
      </c>
      <c r="G49" s="361">
        <f t="shared" si="8"/>
        <v>44954</v>
      </c>
      <c r="H49" s="361">
        <f t="shared" si="8"/>
        <v>44954</v>
      </c>
      <c r="I49" s="365">
        <v>45034</v>
      </c>
      <c r="J49" s="387" t="s">
        <v>625</v>
      </c>
      <c r="K49" s="352" t="s">
        <v>467</v>
      </c>
      <c r="L49" s="402">
        <v>30</v>
      </c>
      <c r="M49" s="352" t="s">
        <v>231</v>
      </c>
      <c r="N49" s="403">
        <v>35000</v>
      </c>
      <c r="O49" s="404">
        <v>1050000</v>
      </c>
      <c r="P49" s="421">
        <v>4</v>
      </c>
      <c r="Q49" s="492" t="s">
        <v>151</v>
      </c>
      <c r="R49" s="437">
        <v>150000</v>
      </c>
      <c r="S49" s="438">
        <f t="shared" si="1"/>
        <v>1110000</v>
      </c>
      <c r="T49" s="444" t="s">
        <v>282</v>
      </c>
      <c r="U49" s="460" t="str">
        <f t="shared" si="2"/>
        <v>Resto JFC Esther</v>
      </c>
      <c r="V49" s="444" t="s">
        <v>1258</v>
      </c>
      <c r="W49" s="444" t="s">
        <v>468</v>
      </c>
      <c r="X49" s="439" t="s">
        <v>709</v>
      </c>
      <c r="Y49" s="275" t="s">
        <v>710</v>
      </c>
      <c r="Z49" s="616" t="s">
        <v>710</v>
      </c>
      <c r="AA49" s="440" t="s">
        <v>753</v>
      </c>
      <c r="AB49" s="441">
        <f t="shared" si="4"/>
        <v>31531.531531531531</v>
      </c>
      <c r="AC49" s="442">
        <f t="shared" si="5"/>
        <v>945945.94594594592</v>
      </c>
      <c r="AD49" s="437">
        <v>150000</v>
      </c>
      <c r="AE49" s="447">
        <v>4378378.3783783782</v>
      </c>
      <c r="AF49" s="447">
        <v>4860000</v>
      </c>
      <c r="AG49" s="437">
        <v>150000</v>
      </c>
      <c r="AH49" s="443" t="s">
        <v>2091</v>
      </c>
      <c r="AI49" s="448">
        <f>SUM(AC49:AC91)</f>
        <v>7120720.7207207205</v>
      </c>
      <c r="AJ49" s="448">
        <f>SUM(AD49:AD91)</f>
        <v>4860000</v>
      </c>
    </row>
    <row r="50" spans="1:36" ht="25">
      <c r="A50" s="350">
        <v>40</v>
      </c>
      <c r="B50" s="352" t="s">
        <v>626</v>
      </c>
      <c r="C50" s="352" t="s">
        <v>627</v>
      </c>
      <c r="D50" s="355" t="s">
        <v>628</v>
      </c>
      <c r="E50" s="374" t="s">
        <v>629</v>
      </c>
      <c r="F50" s="361">
        <v>44956</v>
      </c>
      <c r="G50" s="361">
        <f t="shared" si="8"/>
        <v>44956</v>
      </c>
      <c r="H50" s="361">
        <f t="shared" si="8"/>
        <v>44956</v>
      </c>
      <c r="I50" s="365">
        <v>45034</v>
      </c>
      <c r="J50" s="387" t="s">
        <v>630</v>
      </c>
      <c r="K50" s="352" t="s">
        <v>631</v>
      </c>
      <c r="L50" s="402">
        <v>1</v>
      </c>
      <c r="M50" s="352" t="s">
        <v>587</v>
      </c>
      <c r="N50" s="403">
        <v>100000</v>
      </c>
      <c r="O50" s="404">
        <v>100000</v>
      </c>
      <c r="P50" s="421">
        <v>4</v>
      </c>
      <c r="Q50" s="492" t="s">
        <v>157</v>
      </c>
      <c r="R50" s="437">
        <v>84000</v>
      </c>
      <c r="S50" s="438">
        <f t="shared" si="1"/>
        <v>102000</v>
      </c>
      <c r="T50" s="439"/>
      <c r="U50" s="460" t="str">
        <f t="shared" si="2"/>
        <v/>
      </c>
      <c r="V50" s="439"/>
      <c r="W50" s="445"/>
      <c r="X50" s="439" t="s">
        <v>709</v>
      </c>
      <c r="Y50" s="275" t="s">
        <v>710</v>
      </c>
      <c r="Z50" s="616" t="s">
        <v>710</v>
      </c>
      <c r="AA50" s="440" t="s">
        <v>756</v>
      </c>
      <c r="AB50" s="441">
        <f t="shared" si="4"/>
        <v>90090.090090090089</v>
      </c>
      <c r="AC50" s="442">
        <f t="shared" si="5"/>
        <v>90090.090090090089</v>
      </c>
      <c r="AD50" s="437">
        <v>84000</v>
      </c>
      <c r="AE50" s="447">
        <v>4378378.3783783782</v>
      </c>
      <c r="AF50" s="447">
        <v>4860000</v>
      </c>
      <c r="AG50" s="437">
        <v>84000</v>
      </c>
      <c r="AH50" s="446"/>
    </row>
    <row r="51" spans="1:36" ht="25">
      <c r="A51" s="350">
        <v>41</v>
      </c>
      <c r="B51" s="352" t="s">
        <v>632</v>
      </c>
      <c r="C51" s="352" t="s">
        <v>627</v>
      </c>
      <c r="D51" s="355" t="s">
        <v>628</v>
      </c>
      <c r="E51" s="374" t="s">
        <v>629</v>
      </c>
      <c r="F51" s="361">
        <v>44956</v>
      </c>
      <c r="G51" s="361">
        <f t="shared" si="8"/>
        <v>44956</v>
      </c>
      <c r="H51" s="361">
        <f t="shared" si="8"/>
        <v>44956</v>
      </c>
      <c r="I51" s="365">
        <v>45034</v>
      </c>
      <c r="J51" s="387" t="s">
        <v>633</v>
      </c>
      <c r="K51" s="352" t="s">
        <v>631</v>
      </c>
      <c r="L51" s="402">
        <v>1</v>
      </c>
      <c r="M51" s="352" t="s">
        <v>587</v>
      </c>
      <c r="N51" s="403">
        <v>200000</v>
      </c>
      <c r="O51" s="404">
        <v>200000</v>
      </c>
      <c r="P51" s="421">
        <v>4</v>
      </c>
      <c r="Q51" s="492" t="s">
        <v>100</v>
      </c>
      <c r="R51" s="437">
        <v>26000</v>
      </c>
      <c r="S51" s="438">
        <f t="shared" si="1"/>
        <v>202000</v>
      </c>
      <c r="T51" s="439"/>
      <c r="U51" s="460" t="str">
        <f t="shared" si="2"/>
        <v/>
      </c>
      <c r="V51" s="439"/>
      <c r="W51" s="445"/>
      <c r="X51" s="439" t="s">
        <v>709</v>
      </c>
      <c r="Y51" s="275" t="s">
        <v>710</v>
      </c>
      <c r="Z51" s="616" t="s">
        <v>710</v>
      </c>
      <c r="AA51" s="440" t="s">
        <v>488</v>
      </c>
      <c r="AB51" s="441">
        <f t="shared" si="4"/>
        <v>180180.18018018018</v>
      </c>
      <c r="AC51" s="442">
        <f t="shared" si="5"/>
        <v>180180.18018018018</v>
      </c>
      <c r="AD51" s="437">
        <v>26000</v>
      </c>
      <c r="AE51" s="447">
        <v>4378378.3783783782</v>
      </c>
      <c r="AF51" s="447">
        <v>4860000</v>
      </c>
      <c r="AG51" s="437">
        <v>26000</v>
      </c>
      <c r="AH51" s="446"/>
    </row>
    <row r="52" spans="1:36">
      <c r="A52" s="350">
        <v>42</v>
      </c>
      <c r="B52" s="352" t="s">
        <v>634</v>
      </c>
      <c r="C52" s="352" t="s">
        <v>635</v>
      </c>
      <c r="D52" s="355" t="s">
        <v>590</v>
      </c>
      <c r="E52" s="374" t="s">
        <v>629</v>
      </c>
      <c r="F52" s="361">
        <v>44956</v>
      </c>
      <c r="G52" s="361">
        <f t="shared" si="8"/>
        <v>44956</v>
      </c>
      <c r="H52" s="361">
        <f t="shared" si="8"/>
        <v>44956</v>
      </c>
      <c r="I52" s="365">
        <v>45034</v>
      </c>
      <c r="J52" s="387" t="s">
        <v>636</v>
      </c>
      <c r="K52" s="352" t="s">
        <v>637</v>
      </c>
      <c r="L52" s="402">
        <v>1</v>
      </c>
      <c r="M52" s="352" t="s">
        <v>587</v>
      </c>
      <c r="N52" s="403">
        <v>400000</v>
      </c>
      <c r="O52" s="404">
        <v>400000</v>
      </c>
      <c r="P52" s="421">
        <v>4</v>
      </c>
      <c r="Q52" s="492" t="s">
        <v>104</v>
      </c>
      <c r="R52" s="437">
        <v>17000</v>
      </c>
      <c r="S52" s="438">
        <f t="shared" si="1"/>
        <v>402000</v>
      </c>
      <c r="T52" s="439"/>
      <c r="U52" s="460" t="str">
        <f t="shared" si="2"/>
        <v/>
      </c>
      <c r="V52" s="439"/>
      <c r="W52" s="445"/>
      <c r="X52" s="439" t="s">
        <v>709</v>
      </c>
      <c r="Y52" s="275" t="s">
        <v>710</v>
      </c>
      <c r="Z52" s="616" t="s">
        <v>710</v>
      </c>
      <c r="AA52" s="440" t="s">
        <v>753</v>
      </c>
      <c r="AB52" s="441">
        <f t="shared" si="4"/>
        <v>360360.36036036036</v>
      </c>
      <c r="AC52" s="442">
        <f t="shared" si="5"/>
        <v>360360.36036036036</v>
      </c>
      <c r="AD52" s="437">
        <v>17000</v>
      </c>
      <c r="AE52" s="447">
        <v>4378378.3783783782</v>
      </c>
      <c r="AF52" s="447">
        <v>4860000</v>
      </c>
      <c r="AG52" s="437">
        <v>17000</v>
      </c>
      <c r="AH52" s="446"/>
    </row>
    <row r="53" spans="1:36">
      <c r="A53" s="350">
        <v>43</v>
      </c>
      <c r="B53" s="352" t="s">
        <v>638</v>
      </c>
      <c r="C53" s="352" t="s">
        <v>639</v>
      </c>
      <c r="D53" s="355" t="s">
        <v>464</v>
      </c>
      <c r="E53" s="374" t="s">
        <v>629</v>
      </c>
      <c r="F53" s="361">
        <v>44956</v>
      </c>
      <c r="G53" s="361">
        <f t="shared" ref="G53:H68" si="9">F53</f>
        <v>44956</v>
      </c>
      <c r="H53" s="361">
        <f t="shared" si="9"/>
        <v>44956</v>
      </c>
      <c r="I53" s="365">
        <v>45034</v>
      </c>
      <c r="J53" s="387" t="s">
        <v>640</v>
      </c>
      <c r="K53" s="352" t="s">
        <v>641</v>
      </c>
      <c r="L53" s="406"/>
      <c r="M53" s="406"/>
      <c r="N53" s="407"/>
      <c r="O53" s="404">
        <v>180000</v>
      </c>
      <c r="P53" s="421">
        <v>4</v>
      </c>
      <c r="Q53" s="492" t="s">
        <v>156</v>
      </c>
      <c r="R53" s="437">
        <v>60000</v>
      </c>
      <c r="S53" s="438">
        <f t="shared" si="1"/>
        <v>0</v>
      </c>
      <c r="T53" s="439"/>
      <c r="U53" s="460" t="str">
        <f t="shared" si="2"/>
        <v/>
      </c>
      <c r="V53" s="439"/>
      <c r="W53" s="445"/>
      <c r="X53" s="439" t="s">
        <v>709</v>
      </c>
      <c r="Y53" s="275" t="s">
        <v>710</v>
      </c>
      <c r="Z53" s="616" t="s">
        <v>710</v>
      </c>
      <c r="AA53" s="440" t="s">
        <v>488</v>
      </c>
      <c r="AB53" s="441">
        <f t="shared" si="4"/>
        <v>0</v>
      </c>
      <c r="AC53" s="442">
        <f t="shared" si="5"/>
        <v>0</v>
      </c>
      <c r="AD53" s="437">
        <v>60000</v>
      </c>
      <c r="AE53" s="447">
        <v>4378378.3783783782</v>
      </c>
      <c r="AF53" s="447">
        <v>4860000</v>
      </c>
      <c r="AG53" s="437">
        <v>60000</v>
      </c>
      <c r="AH53" s="446"/>
    </row>
    <row r="54" spans="1:36">
      <c r="A54" s="350">
        <v>45</v>
      </c>
      <c r="B54" s="352" t="s">
        <v>642</v>
      </c>
      <c r="C54" s="352" t="s">
        <v>492</v>
      </c>
      <c r="D54" s="355" t="s">
        <v>464</v>
      </c>
      <c r="E54" s="374" t="s">
        <v>643</v>
      </c>
      <c r="F54" s="361">
        <v>44959</v>
      </c>
      <c r="G54" s="361">
        <f t="shared" si="9"/>
        <v>44959</v>
      </c>
      <c r="H54" s="361">
        <f t="shared" si="9"/>
        <v>44959</v>
      </c>
      <c r="I54" s="365">
        <v>45034</v>
      </c>
      <c r="J54" s="387" t="s">
        <v>494</v>
      </c>
      <c r="K54" s="352" t="s">
        <v>467</v>
      </c>
      <c r="L54" s="402">
        <v>14</v>
      </c>
      <c r="M54" s="352" t="s">
        <v>231</v>
      </c>
      <c r="N54" s="403">
        <v>35000</v>
      </c>
      <c r="O54" s="404">
        <v>490000</v>
      </c>
      <c r="P54" s="421">
        <v>4</v>
      </c>
      <c r="Q54" s="492" t="s">
        <v>115</v>
      </c>
      <c r="R54" s="437">
        <v>5000</v>
      </c>
      <c r="S54" s="438">
        <f t="shared" si="1"/>
        <v>518000</v>
      </c>
      <c r="T54" s="444" t="s">
        <v>282</v>
      </c>
      <c r="U54" s="460" t="str">
        <f t="shared" si="2"/>
        <v>Resto JFC Esther</v>
      </c>
      <c r="V54" s="444" t="s">
        <v>1258</v>
      </c>
      <c r="W54" s="444" t="s">
        <v>468</v>
      </c>
      <c r="X54" s="439" t="s">
        <v>709</v>
      </c>
      <c r="Y54" s="275" t="s">
        <v>710</v>
      </c>
      <c r="Z54" s="616" t="s">
        <v>710</v>
      </c>
      <c r="AA54" s="440" t="s">
        <v>488</v>
      </c>
      <c r="AB54" s="441">
        <f t="shared" si="4"/>
        <v>31531.531531531531</v>
      </c>
      <c r="AC54" s="442">
        <f t="shared" si="5"/>
        <v>441441.44144144142</v>
      </c>
      <c r="AD54" s="437">
        <v>5000</v>
      </c>
      <c r="AE54" s="447">
        <v>4378378.3783783782</v>
      </c>
      <c r="AF54" s="447">
        <v>4860000</v>
      </c>
      <c r="AG54" s="437">
        <v>5000</v>
      </c>
      <c r="AH54" s="443" t="s">
        <v>2091</v>
      </c>
    </row>
    <row r="55" spans="1:36" ht="25">
      <c r="A55" s="350">
        <v>45</v>
      </c>
      <c r="B55" s="352" t="s">
        <v>645</v>
      </c>
      <c r="C55" s="352" t="s">
        <v>498</v>
      </c>
      <c r="D55" s="355" t="s">
        <v>464</v>
      </c>
      <c r="E55" s="374" t="s">
        <v>643</v>
      </c>
      <c r="F55" s="361">
        <v>44959</v>
      </c>
      <c r="G55" s="361">
        <f t="shared" si="9"/>
        <v>44959</v>
      </c>
      <c r="H55" s="361">
        <f t="shared" si="9"/>
        <v>44959</v>
      </c>
      <c r="I55" s="365">
        <v>45034</v>
      </c>
      <c r="J55" s="387" t="s">
        <v>500</v>
      </c>
      <c r="K55" s="352" t="s">
        <v>467</v>
      </c>
      <c r="L55" s="402">
        <v>7</v>
      </c>
      <c r="M55" s="262" t="s">
        <v>231</v>
      </c>
      <c r="N55" s="403">
        <v>35000</v>
      </c>
      <c r="O55" s="404">
        <v>245000</v>
      </c>
      <c r="P55" s="421">
        <v>4</v>
      </c>
      <c r="Q55" s="492" t="s">
        <v>137</v>
      </c>
      <c r="R55" s="437">
        <v>14000</v>
      </c>
      <c r="S55" s="438">
        <f t="shared" si="1"/>
        <v>259000</v>
      </c>
      <c r="T55" s="444" t="s">
        <v>282</v>
      </c>
      <c r="U55" s="460" t="str">
        <f t="shared" si="2"/>
        <v>Resto JFC Esther</v>
      </c>
      <c r="V55" s="444" t="s">
        <v>1258</v>
      </c>
      <c r="W55" s="444" t="s">
        <v>468</v>
      </c>
      <c r="X55" s="439" t="s">
        <v>709</v>
      </c>
      <c r="Y55" s="275" t="s">
        <v>710</v>
      </c>
      <c r="Z55" s="616" t="s">
        <v>710</v>
      </c>
      <c r="AA55" s="440" t="s">
        <v>720</v>
      </c>
      <c r="AB55" s="441">
        <f t="shared" si="4"/>
        <v>31531.531531531531</v>
      </c>
      <c r="AC55" s="442">
        <f t="shared" si="5"/>
        <v>220720.72072072071</v>
      </c>
      <c r="AD55" s="437">
        <v>14000</v>
      </c>
      <c r="AE55" s="447">
        <v>4378378.3783783782</v>
      </c>
      <c r="AF55" s="447">
        <v>4860000</v>
      </c>
      <c r="AG55" s="437">
        <v>14000</v>
      </c>
      <c r="AH55" s="443" t="s">
        <v>2091</v>
      </c>
    </row>
    <row r="56" spans="1:36" ht="25">
      <c r="A56" s="350">
        <v>45</v>
      </c>
      <c r="B56" s="352" t="s">
        <v>648</v>
      </c>
      <c r="C56" s="352" t="s">
        <v>507</v>
      </c>
      <c r="D56" s="355" t="s">
        <v>464</v>
      </c>
      <c r="E56" s="374" t="s">
        <v>643</v>
      </c>
      <c r="F56" s="361">
        <v>44959</v>
      </c>
      <c r="G56" s="361">
        <f t="shared" si="9"/>
        <v>44959</v>
      </c>
      <c r="H56" s="361">
        <f t="shared" si="9"/>
        <v>44959</v>
      </c>
      <c r="I56" s="365">
        <v>45034</v>
      </c>
      <c r="J56" s="387" t="s">
        <v>508</v>
      </c>
      <c r="K56" s="352" t="s">
        <v>467</v>
      </c>
      <c r="L56" s="402">
        <v>7</v>
      </c>
      <c r="M56" s="262" t="s">
        <v>231</v>
      </c>
      <c r="N56" s="403">
        <v>35000</v>
      </c>
      <c r="O56" s="404">
        <v>245000</v>
      </c>
      <c r="P56" s="421">
        <v>4</v>
      </c>
      <c r="Q56" s="492" t="s">
        <v>140</v>
      </c>
      <c r="R56" s="437">
        <v>20000</v>
      </c>
      <c r="S56" s="438">
        <f t="shared" si="1"/>
        <v>259000</v>
      </c>
      <c r="T56" s="444" t="s">
        <v>282</v>
      </c>
      <c r="U56" s="460" t="str">
        <f t="shared" si="2"/>
        <v>Resto JFC Esther</v>
      </c>
      <c r="V56" s="444" t="s">
        <v>1258</v>
      </c>
      <c r="W56" s="444" t="s">
        <v>468</v>
      </c>
      <c r="X56" s="439" t="s">
        <v>709</v>
      </c>
      <c r="Y56" s="275" t="s">
        <v>710</v>
      </c>
      <c r="Z56" s="616" t="s">
        <v>710</v>
      </c>
      <c r="AA56" s="440" t="s">
        <v>749</v>
      </c>
      <c r="AB56" s="441">
        <f t="shared" si="4"/>
        <v>31531.531531531531</v>
      </c>
      <c r="AC56" s="442">
        <f t="shared" si="5"/>
        <v>220720.72072072071</v>
      </c>
      <c r="AD56" s="437">
        <v>20000</v>
      </c>
      <c r="AE56" s="447">
        <v>4378378.3783783782</v>
      </c>
      <c r="AF56" s="447">
        <v>4860000</v>
      </c>
      <c r="AG56" s="437">
        <v>20000</v>
      </c>
      <c r="AH56" s="443" t="s">
        <v>2091</v>
      </c>
    </row>
    <row r="57" spans="1:36" ht="25">
      <c r="A57" s="350">
        <v>45</v>
      </c>
      <c r="B57" s="352" t="s">
        <v>651</v>
      </c>
      <c r="C57" s="352" t="s">
        <v>512</v>
      </c>
      <c r="D57" s="355" t="s">
        <v>464</v>
      </c>
      <c r="E57" s="374" t="s">
        <v>643</v>
      </c>
      <c r="F57" s="361">
        <v>44959</v>
      </c>
      <c r="G57" s="361">
        <f t="shared" si="9"/>
        <v>44959</v>
      </c>
      <c r="H57" s="361">
        <f t="shared" si="9"/>
        <v>44959</v>
      </c>
      <c r="I57" s="365">
        <v>45034</v>
      </c>
      <c r="J57" s="387" t="s">
        <v>515</v>
      </c>
      <c r="K57" s="352" t="s">
        <v>467</v>
      </c>
      <c r="L57" s="402">
        <v>4</v>
      </c>
      <c r="M57" s="352" t="s">
        <v>231</v>
      </c>
      <c r="N57" s="403">
        <v>35000</v>
      </c>
      <c r="O57" s="404">
        <v>140000</v>
      </c>
      <c r="P57" s="421">
        <v>4</v>
      </c>
      <c r="Q57" s="492" t="s">
        <v>131</v>
      </c>
      <c r="R57" s="437">
        <v>21000</v>
      </c>
      <c r="S57" s="438">
        <f t="shared" si="1"/>
        <v>148000</v>
      </c>
      <c r="T57" s="444" t="s">
        <v>282</v>
      </c>
      <c r="U57" s="460" t="str">
        <f t="shared" si="2"/>
        <v>Resto JFC Esther</v>
      </c>
      <c r="V57" s="444" t="s">
        <v>1258</v>
      </c>
      <c r="W57" s="444" t="s">
        <v>468</v>
      </c>
      <c r="X57" s="439" t="s">
        <v>709</v>
      </c>
      <c r="Y57" s="275" t="s">
        <v>710</v>
      </c>
      <c r="Z57" s="616" t="s">
        <v>710</v>
      </c>
      <c r="AA57" s="440" t="s">
        <v>667</v>
      </c>
      <c r="AB57" s="441">
        <f t="shared" si="4"/>
        <v>31531.531531531531</v>
      </c>
      <c r="AC57" s="442">
        <f t="shared" si="5"/>
        <v>126126.12612612612</v>
      </c>
      <c r="AD57" s="437">
        <v>21000</v>
      </c>
      <c r="AE57" s="447">
        <v>4378378.3783783782</v>
      </c>
      <c r="AF57" s="447">
        <v>4860000</v>
      </c>
      <c r="AG57" s="437">
        <v>21000</v>
      </c>
      <c r="AH57" s="443" t="s">
        <v>2091</v>
      </c>
    </row>
    <row r="58" spans="1:36">
      <c r="A58" s="350">
        <v>46</v>
      </c>
      <c r="B58" s="352" t="s">
        <v>644</v>
      </c>
      <c r="C58" s="352" t="s">
        <v>492</v>
      </c>
      <c r="D58" s="355" t="s">
        <v>464</v>
      </c>
      <c r="E58" s="374" t="s">
        <v>643</v>
      </c>
      <c r="F58" s="361">
        <v>44959</v>
      </c>
      <c r="G58" s="361">
        <f t="shared" si="9"/>
        <v>44959</v>
      </c>
      <c r="H58" s="361">
        <f t="shared" si="9"/>
        <v>44959</v>
      </c>
      <c r="I58" s="365">
        <v>45034</v>
      </c>
      <c r="J58" s="387" t="s">
        <v>496</v>
      </c>
      <c r="K58" s="352" t="s">
        <v>484</v>
      </c>
      <c r="L58" s="402">
        <v>14</v>
      </c>
      <c r="M58" s="352" t="s">
        <v>472</v>
      </c>
      <c r="N58" s="403">
        <v>50000</v>
      </c>
      <c r="O58" s="404">
        <v>700000</v>
      </c>
      <c r="P58" s="421">
        <v>4</v>
      </c>
      <c r="Q58" s="492" t="s">
        <v>150</v>
      </c>
      <c r="R58" s="437">
        <v>240000</v>
      </c>
      <c r="S58" s="438">
        <f t="shared" si="1"/>
        <v>728000</v>
      </c>
      <c r="T58" s="439" t="s">
        <v>10</v>
      </c>
      <c r="U58" s="460" t="str">
        <f t="shared" si="2"/>
        <v/>
      </c>
      <c r="V58" s="439" t="s">
        <v>11</v>
      </c>
      <c r="W58" s="439" t="s">
        <v>473</v>
      </c>
      <c r="X58" s="439" t="s">
        <v>709</v>
      </c>
      <c r="Y58" s="275" t="s">
        <v>710</v>
      </c>
      <c r="Z58" s="616" t="s">
        <v>710</v>
      </c>
      <c r="AA58" s="440" t="s">
        <v>728</v>
      </c>
      <c r="AB58" s="441">
        <f t="shared" si="4"/>
        <v>45045.045045045044</v>
      </c>
      <c r="AC58" s="442">
        <f t="shared" si="5"/>
        <v>630630.63063063065</v>
      </c>
      <c r="AD58" s="437">
        <v>240000</v>
      </c>
      <c r="AE58" s="447">
        <v>4378378.3783783782</v>
      </c>
      <c r="AF58" s="447">
        <v>4860000</v>
      </c>
      <c r="AG58" s="437">
        <v>240000</v>
      </c>
      <c r="AH58" s="443" t="s">
        <v>2092</v>
      </c>
    </row>
    <row r="59" spans="1:36" ht="25">
      <c r="A59" s="350">
        <v>48</v>
      </c>
      <c r="B59" s="352" t="s">
        <v>646</v>
      </c>
      <c r="C59" s="352" t="s">
        <v>498</v>
      </c>
      <c r="D59" s="355" t="s">
        <v>464</v>
      </c>
      <c r="E59" s="374" t="s">
        <v>643</v>
      </c>
      <c r="F59" s="361">
        <v>44959</v>
      </c>
      <c r="G59" s="361">
        <f t="shared" si="9"/>
        <v>44959</v>
      </c>
      <c r="H59" s="361">
        <f t="shared" si="9"/>
        <v>44959</v>
      </c>
      <c r="I59" s="365">
        <v>45034</v>
      </c>
      <c r="J59" s="387" t="s">
        <v>502</v>
      </c>
      <c r="K59" s="352" t="s">
        <v>484</v>
      </c>
      <c r="L59" s="402">
        <v>14</v>
      </c>
      <c r="M59" s="352" t="s">
        <v>472</v>
      </c>
      <c r="N59" s="403">
        <v>50000</v>
      </c>
      <c r="O59" s="404">
        <v>700000</v>
      </c>
      <c r="P59" s="421">
        <v>4</v>
      </c>
      <c r="Q59" s="492" t="s">
        <v>144</v>
      </c>
      <c r="R59" s="437">
        <v>25000</v>
      </c>
      <c r="S59" s="438">
        <f t="shared" si="1"/>
        <v>728000</v>
      </c>
      <c r="T59" s="439" t="s">
        <v>10</v>
      </c>
      <c r="U59" s="460" t="str">
        <f t="shared" si="2"/>
        <v/>
      </c>
      <c r="V59" s="439" t="s">
        <v>11</v>
      </c>
      <c r="W59" s="439" t="s">
        <v>473</v>
      </c>
      <c r="X59" s="439" t="s">
        <v>709</v>
      </c>
      <c r="Y59" s="275" t="s">
        <v>710</v>
      </c>
      <c r="Z59" s="616" t="s">
        <v>710</v>
      </c>
      <c r="AA59" s="440" t="s">
        <v>728</v>
      </c>
      <c r="AB59" s="441">
        <f t="shared" si="4"/>
        <v>45045.045045045044</v>
      </c>
      <c r="AC59" s="442">
        <f t="shared" si="5"/>
        <v>630630.63063063065</v>
      </c>
      <c r="AD59" s="437">
        <v>25000</v>
      </c>
      <c r="AE59" s="447">
        <v>4378378.3783783782</v>
      </c>
      <c r="AF59" s="447">
        <v>4860000</v>
      </c>
      <c r="AG59" s="437">
        <v>25000</v>
      </c>
      <c r="AH59" s="443" t="s">
        <v>2092</v>
      </c>
    </row>
    <row r="60" spans="1:36" ht="25">
      <c r="A60" s="350">
        <v>48</v>
      </c>
      <c r="B60" s="352" t="s">
        <v>647</v>
      </c>
      <c r="C60" s="352" t="s">
        <v>504</v>
      </c>
      <c r="D60" s="355" t="s">
        <v>464</v>
      </c>
      <c r="E60" s="374" t="s">
        <v>643</v>
      </c>
      <c r="F60" s="361">
        <v>44959</v>
      </c>
      <c r="G60" s="361">
        <f t="shared" si="9"/>
        <v>44959</v>
      </c>
      <c r="H60" s="361">
        <f t="shared" si="9"/>
        <v>44959</v>
      </c>
      <c r="I60" s="365">
        <v>45034</v>
      </c>
      <c r="J60" s="387" t="s">
        <v>505</v>
      </c>
      <c r="K60" s="352" t="s">
        <v>484</v>
      </c>
      <c r="L60" s="402">
        <v>8</v>
      </c>
      <c r="M60" s="352" t="s">
        <v>472</v>
      </c>
      <c r="N60" s="403">
        <v>50000</v>
      </c>
      <c r="O60" s="404">
        <v>400000</v>
      </c>
      <c r="P60" s="421">
        <v>4</v>
      </c>
      <c r="Q60" s="492" t="s">
        <v>96</v>
      </c>
      <c r="R60" s="437">
        <v>40000</v>
      </c>
      <c r="S60" s="438">
        <f t="shared" si="1"/>
        <v>416000</v>
      </c>
      <c r="T60" s="439" t="s">
        <v>10</v>
      </c>
      <c r="U60" s="460" t="str">
        <f t="shared" si="2"/>
        <v/>
      </c>
      <c r="V60" s="439" t="s">
        <v>11</v>
      </c>
      <c r="W60" s="439" t="s">
        <v>473</v>
      </c>
      <c r="X60" s="439" t="s">
        <v>709</v>
      </c>
      <c r="Y60" s="275" t="s">
        <v>710</v>
      </c>
      <c r="Z60" s="616" t="s">
        <v>710</v>
      </c>
      <c r="AA60" s="440" t="s">
        <v>551</v>
      </c>
      <c r="AB60" s="441">
        <f t="shared" si="4"/>
        <v>45045.045045045044</v>
      </c>
      <c r="AC60" s="442">
        <f t="shared" si="5"/>
        <v>360360.36036036036</v>
      </c>
      <c r="AD60" s="437">
        <v>40000</v>
      </c>
      <c r="AE60" s="447">
        <v>4378378.3783783782</v>
      </c>
      <c r="AF60" s="447">
        <v>4860000</v>
      </c>
      <c r="AG60" s="437">
        <v>40000</v>
      </c>
      <c r="AH60" s="443" t="s">
        <v>2092</v>
      </c>
    </row>
    <row r="61" spans="1:36">
      <c r="A61" s="350">
        <v>48</v>
      </c>
      <c r="B61" s="352" t="s">
        <v>649</v>
      </c>
      <c r="C61" s="352" t="s">
        <v>507</v>
      </c>
      <c r="D61" s="355" t="s">
        <v>464</v>
      </c>
      <c r="E61" s="374" t="s">
        <v>643</v>
      </c>
      <c r="F61" s="361">
        <v>44959</v>
      </c>
      <c r="G61" s="361">
        <f t="shared" si="9"/>
        <v>44959</v>
      </c>
      <c r="H61" s="361">
        <f t="shared" si="9"/>
        <v>44959</v>
      </c>
      <c r="I61" s="365">
        <v>45034</v>
      </c>
      <c r="J61" s="387" t="s">
        <v>510</v>
      </c>
      <c r="K61" s="352" t="s">
        <v>484</v>
      </c>
      <c r="L61" s="402">
        <v>14</v>
      </c>
      <c r="M61" s="352" t="s">
        <v>472</v>
      </c>
      <c r="N61" s="403">
        <v>50000</v>
      </c>
      <c r="O61" s="404">
        <v>700000</v>
      </c>
      <c r="P61" s="421">
        <v>4</v>
      </c>
      <c r="Q61" s="492" t="s">
        <v>161</v>
      </c>
      <c r="R61" s="437">
        <v>30000</v>
      </c>
      <c r="S61" s="438">
        <f t="shared" si="1"/>
        <v>728000</v>
      </c>
      <c r="T61" s="439" t="s">
        <v>10</v>
      </c>
      <c r="U61" s="460" t="str">
        <f t="shared" si="2"/>
        <v/>
      </c>
      <c r="V61" s="439" t="s">
        <v>11</v>
      </c>
      <c r="W61" s="439" t="s">
        <v>473</v>
      </c>
      <c r="X61" s="439" t="s">
        <v>709</v>
      </c>
      <c r="Y61" s="275" t="s">
        <v>710</v>
      </c>
      <c r="Z61" s="616" t="s">
        <v>710</v>
      </c>
      <c r="AA61" s="440" t="s">
        <v>488</v>
      </c>
      <c r="AB61" s="441">
        <f t="shared" si="4"/>
        <v>45045.045045045044</v>
      </c>
      <c r="AC61" s="442">
        <f t="shared" si="5"/>
        <v>630630.63063063065</v>
      </c>
      <c r="AD61" s="437">
        <v>30000</v>
      </c>
      <c r="AE61" s="447">
        <v>4378378.3783783782</v>
      </c>
      <c r="AF61" s="447">
        <v>4860000</v>
      </c>
      <c r="AG61" s="437">
        <v>30000</v>
      </c>
      <c r="AH61" s="443" t="s">
        <v>2092</v>
      </c>
    </row>
    <row r="62" spans="1:36">
      <c r="A62" s="350">
        <v>48</v>
      </c>
      <c r="B62" s="352" t="s">
        <v>650</v>
      </c>
      <c r="C62" s="352" t="s">
        <v>512</v>
      </c>
      <c r="D62" s="355" t="s">
        <v>464</v>
      </c>
      <c r="E62" s="374" t="s">
        <v>643</v>
      </c>
      <c r="F62" s="361">
        <v>44959</v>
      </c>
      <c r="G62" s="361">
        <f t="shared" si="9"/>
        <v>44959</v>
      </c>
      <c r="H62" s="361">
        <f t="shared" si="9"/>
        <v>44959</v>
      </c>
      <c r="I62" s="365">
        <v>45034</v>
      </c>
      <c r="J62" s="387" t="s">
        <v>513</v>
      </c>
      <c r="K62" s="352" t="s">
        <v>484</v>
      </c>
      <c r="L62" s="402">
        <v>4</v>
      </c>
      <c r="M62" s="352" t="s">
        <v>472</v>
      </c>
      <c r="N62" s="403">
        <v>50000</v>
      </c>
      <c r="O62" s="404">
        <v>200000</v>
      </c>
      <c r="P62" s="421">
        <v>4</v>
      </c>
      <c r="Q62" s="492" t="s">
        <v>116</v>
      </c>
      <c r="R62" s="437">
        <v>15000</v>
      </c>
      <c r="S62" s="438">
        <f t="shared" si="1"/>
        <v>208000</v>
      </c>
      <c r="T62" s="439" t="s">
        <v>10</v>
      </c>
      <c r="U62" s="460" t="str">
        <f t="shared" si="2"/>
        <v/>
      </c>
      <c r="V62" s="439" t="s">
        <v>11</v>
      </c>
      <c r="W62" s="439" t="s">
        <v>473</v>
      </c>
      <c r="X62" s="439" t="s">
        <v>709</v>
      </c>
      <c r="Y62" s="275" t="s">
        <v>710</v>
      </c>
      <c r="Z62" s="616" t="s">
        <v>710</v>
      </c>
      <c r="AA62" s="440" t="s">
        <v>753</v>
      </c>
      <c r="AB62" s="441">
        <f t="shared" si="4"/>
        <v>45045.045045045044</v>
      </c>
      <c r="AC62" s="442">
        <f t="shared" si="5"/>
        <v>180180.18018018018</v>
      </c>
      <c r="AD62" s="437">
        <v>15000</v>
      </c>
      <c r="AE62" s="447">
        <v>4378378.3783783782</v>
      </c>
      <c r="AF62" s="447">
        <v>4860000</v>
      </c>
      <c r="AG62" s="437">
        <v>15000</v>
      </c>
      <c r="AH62" s="443" t="s">
        <v>2092</v>
      </c>
    </row>
    <row r="63" spans="1:36">
      <c r="A63" s="350">
        <v>54</v>
      </c>
      <c r="B63" s="352" t="s">
        <v>880</v>
      </c>
      <c r="C63" s="352" t="s">
        <v>704</v>
      </c>
      <c r="D63" s="355" t="s">
        <v>705</v>
      </c>
      <c r="E63" s="361">
        <v>44958</v>
      </c>
      <c r="F63" s="361">
        <v>44959</v>
      </c>
      <c r="G63" s="361">
        <f t="shared" si="9"/>
        <v>44959</v>
      </c>
      <c r="H63" s="361">
        <f t="shared" si="9"/>
        <v>44959</v>
      </c>
      <c r="I63" s="365">
        <v>45037</v>
      </c>
      <c r="J63" s="387" t="s">
        <v>262</v>
      </c>
      <c r="K63" s="388" t="s">
        <v>744</v>
      </c>
      <c r="L63" s="402">
        <v>1</v>
      </c>
      <c r="M63" s="352" t="s">
        <v>714</v>
      </c>
      <c r="N63" s="403">
        <v>150000</v>
      </c>
      <c r="O63" s="404">
        <v>150000</v>
      </c>
      <c r="P63" s="421">
        <v>4</v>
      </c>
      <c r="Q63" s="492" t="s">
        <v>149</v>
      </c>
      <c r="R63" s="437">
        <v>325000</v>
      </c>
      <c r="S63" s="438">
        <f t="shared" si="1"/>
        <v>152000</v>
      </c>
      <c r="T63" s="439" t="s">
        <v>538</v>
      </c>
      <c r="U63" s="460" t="str">
        <f t="shared" si="2"/>
        <v/>
      </c>
      <c r="V63" s="439" t="s">
        <v>539</v>
      </c>
      <c r="W63" s="439" t="s">
        <v>540</v>
      </c>
      <c r="X63" s="439" t="s">
        <v>709</v>
      </c>
      <c r="Y63" s="275" t="s">
        <v>710</v>
      </c>
      <c r="Z63" s="616" t="s">
        <v>710</v>
      </c>
      <c r="AA63" s="440" t="s">
        <v>551</v>
      </c>
      <c r="AB63" s="441">
        <f t="shared" si="4"/>
        <v>135135.13513513515</v>
      </c>
      <c r="AC63" s="442">
        <f t="shared" si="5"/>
        <v>135135.13513513515</v>
      </c>
      <c r="AD63" s="437">
        <v>325000</v>
      </c>
      <c r="AE63" s="447">
        <v>4378378.3783783782</v>
      </c>
      <c r="AF63" s="447">
        <v>4860000</v>
      </c>
      <c r="AG63" s="437">
        <v>325000</v>
      </c>
      <c r="AH63" s="443" t="s">
        <v>2098</v>
      </c>
    </row>
    <row r="64" spans="1:36">
      <c r="A64" s="350">
        <v>54</v>
      </c>
      <c r="B64" s="352" t="s">
        <v>880</v>
      </c>
      <c r="C64" s="352" t="s">
        <v>704</v>
      </c>
      <c r="D64" s="355" t="s">
        <v>705</v>
      </c>
      <c r="E64" s="361">
        <v>44958</v>
      </c>
      <c r="F64" s="361">
        <v>44959</v>
      </c>
      <c r="G64" s="361">
        <f t="shared" si="9"/>
        <v>44959</v>
      </c>
      <c r="H64" s="361">
        <f t="shared" si="9"/>
        <v>44959</v>
      </c>
      <c r="I64" s="365">
        <v>45037</v>
      </c>
      <c r="J64" s="388" t="s">
        <v>881</v>
      </c>
      <c r="K64" s="352" t="s">
        <v>882</v>
      </c>
      <c r="L64" s="402">
        <v>2</v>
      </c>
      <c r="M64" s="352" t="s">
        <v>753</v>
      </c>
      <c r="N64" s="403">
        <v>42000</v>
      </c>
      <c r="O64" s="404">
        <v>84000</v>
      </c>
      <c r="P64" s="421">
        <v>4</v>
      </c>
      <c r="Q64" s="492" t="s">
        <v>120</v>
      </c>
      <c r="R64" s="437">
        <v>190000</v>
      </c>
      <c r="S64" s="438">
        <f t="shared" si="1"/>
        <v>88000</v>
      </c>
      <c r="T64" s="439" t="s">
        <v>538</v>
      </c>
      <c r="U64" s="460" t="str">
        <f t="shared" si="2"/>
        <v/>
      </c>
      <c r="V64" s="439" t="s">
        <v>539</v>
      </c>
      <c r="W64" s="439" t="s">
        <v>540</v>
      </c>
      <c r="X64" s="439" t="s">
        <v>709</v>
      </c>
      <c r="Y64" s="275" t="s">
        <v>710</v>
      </c>
      <c r="Z64" s="616" t="s">
        <v>710</v>
      </c>
      <c r="AA64" s="440" t="s">
        <v>772</v>
      </c>
      <c r="AB64" s="441">
        <f t="shared" si="4"/>
        <v>37837.83783783784</v>
      </c>
      <c r="AC64" s="442">
        <f t="shared" si="5"/>
        <v>75675.67567567568</v>
      </c>
      <c r="AD64" s="437">
        <v>190000</v>
      </c>
      <c r="AE64" s="447">
        <v>4378378.3783783782</v>
      </c>
      <c r="AF64" s="447">
        <v>4860000</v>
      </c>
      <c r="AG64" s="437">
        <v>190000</v>
      </c>
      <c r="AH64" s="443" t="s">
        <v>2098</v>
      </c>
    </row>
    <row r="65" spans="1:34">
      <c r="A65" s="350">
        <v>54</v>
      </c>
      <c r="B65" s="352" t="s">
        <v>880</v>
      </c>
      <c r="C65" s="352" t="s">
        <v>704</v>
      </c>
      <c r="D65" s="355" t="s">
        <v>705</v>
      </c>
      <c r="E65" s="361">
        <v>44958</v>
      </c>
      <c r="F65" s="361">
        <v>44959</v>
      </c>
      <c r="G65" s="361">
        <f t="shared" si="9"/>
        <v>44959</v>
      </c>
      <c r="H65" s="361">
        <f t="shared" si="9"/>
        <v>44959</v>
      </c>
      <c r="I65" s="365">
        <v>45037</v>
      </c>
      <c r="J65" s="389" t="s">
        <v>755</v>
      </c>
      <c r="K65" s="435" t="s">
        <v>755</v>
      </c>
      <c r="L65" s="402">
        <v>1</v>
      </c>
      <c r="M65" s="352" t="s">
        <v>756</v>
      </c>
      <c r="N65" s="403">
        <v>26000</v>
      </c>
      <c r="O65" s="404">
        <v>26000</v>
      </c>
      <c r="P65" s="421">
        <v>4</v>
      </c>
      <c r="Q65" s="492" t="s">
        <v>106</v>
      </c>
      <c r="R65" s="437">
        <v>260000</v>
      </c>
      <c r="S65" s="438">
        <f t="shared" si="1"/>
        <v>28000</v>
      </c>
      <c r="T65" s="439" t="s">
        <v>538</v>
      </c>
      <c r="U65" s="460" t="str">
        <f t="shared" si="2"/>
        <v/>
      </c>
      <c r="V65" s="439" t="s">
        <v>539</v>
      </c>
      <c r="W65" s="439" t="s">
        <v>540</v>
      </c>
      <c r="X65" s="439" t="s">
        <v>709</v>
      </c>
      <c r="Y65" s="275" t="s">
        <v>710</v>
      </c>
      <c r="Z65" s="616" t="s">
        <v>710</v>
      </c>
      <c r="AA65" s="440" t="s">
        <v>714</v>
      </c>
      <c r="AB65" s="441">
        <f t="shared" si="4"/>
        <v>23423.423423423425</v>
      </c>
      <c r="AC65" s="442">
        <f t="shared" si="5"/>
        <v>23423.423423423425</v>
      </c>
      <c r="AD65" s="437">
        <v>260000</v>
      </c>
      <c r="AE65" s="447">
        <v>4378378.3783783782</v>
      </c>
      <c r="AF65" s="447">
        <v>4860000</v>
      </c>
      <c r="AG65" s="437">
        <v>260000</v>
      </c>
      <c r="AH65" s="443" t="s">
        <v>2098</v>
      </c>
    </row>
    <row r="66" spans="1:34">
      <c r="A66" s="350">
        <v>54</v>
      </c>
      <c r="B66" s="352" t="s">
        <v>880</v>
      </c>
      <c r="C66" s="352" t="s">
        <v>704</v>
      </c>
      <c r="D66" s="355" t="s">
        <v>705</v>
      </c>
      <c r="E66" s="361">
        <v>44958</v>
      </c>
      <c r="F66" s="361">
        <v>44959</v>
      </c>
      <c r="G66" s="361">
        <f t="shared" si="9"/>
        <v>44959</v>
      </c>
      <c r="H66" s="361">
        <f t="shared" si="9"/>
        <v>44959</v>
      </c>
      <c r="I66" s="365">
        <v>45037</v>
      </c>
      <c r="J66" s="524" t="s">
        <v>883</v>
      </c>
      <c r="K66" s="388" t="s">
        <v>884</v>
      </c>
      <c r="L66" s="402">
        <v>1</v>
      </c>
      <c r="M66" s="352" t="s">
        <v>488</v>
      </c>
      <c r="N66" s="403">
        <v>17000</v>
      </c>
      <c r="O66" s="404">
        <v>17000</v>
      </c>
      <c r="P66" s="421">
        <v>4</v>
      </c>
      <c r="Q66" s="492" t="s">
        <v>102</v>
      </c>
      <c r="R66" s="437">
        <v>225000</v>
      </c>
      <c r="S66" s="438">
        <f t="shared" si="1"/>
        <v>19000</v>
      </c>
      <c r="T66" s="439" t="s">
        <v>538</v>
      </c>
      <c r="U66" s="460" t="str">
        <f t="shared" si="2"/>
        <v/>
      </c>
      <c r="V66" s="439" t="s">
        <v>539</v>
      </c>
      <c r="W66" s="439" t="s">
        <v>540</v>
      </c>
      <c r="X66" s="439" t="s">
        <v>709</v>
      </c>
      <c r="Y66" s="275" t="s">
        <v>710</v>
      </c>
      <c r="Z66" s="616" t="s">
        <v>710</v>
      </c>
      <c r="AA66" s="440" t="s">
        <v>488</v>
      </c>
      <c r="AB66" s="441">
        <f t="shared" si="4"/>
        <v>15315.315315315316</v>
      </c>
      <c r="AC66" s="442">
        <f t="shared" si="5"/>
        <v>15315.315315315316</v>
      </c>
      <c r="AD66" s="437">
        <v>225000</v>
      </c>
      <c r="AE66" s="447">
        <v>4378378.3783783782</v>
      </c>
      <c r="AF66" s="447">
        <v>4860000</v>
      </c>
      <c r="AG66" s="437">
        <v>225000</v>
      </c>
      <c r="AH66" s="443" t="s">
        <v>2098</v>
      </c>
    </row>
    <row r="67" spans="1:34">
      <c r="A67" s="350">
        <v>54</v>
      </c>
      <c r="B67" s="352" t="s">
        <v>880</v>
      </c>
      <c r="C67" s="352" t="s">
        <v>704</v>
      </c>
      <c r="D67" s="355" t="s">
        <v>705</v>
      </c>
      <c r="E67" s="361">
        <v>44958</v>
      </c>
      <c r="F67" s="361">
        <v>44959</v>
      </c>
      <c r="G67" s="361">
        <f t="shared" si="9"/>
        <v>44959</v>
      </c>
      <c r="H67" s="361">
        <f t="shared" si="9"/>
        <v>44959</v>
      </c>
      <c r="I67" s="365">
        <v>45037</v>
      </c>
      <c r="J67" s="387" t="s">
        <v>263</v>
      </c>
      <c r="K67" s="388" t="s">
        <v>885</v>
      </c>
      <c r="L67" s="791">
        <v>5</v>
      </c>
      <c r="M67" s="352" t="s">
        <v>753</v>
      </c>
      <c r="N67" s="403">
        <v>12000</v>
      </c>
      <c r="O67" s="404">
        <v>60000</v>
      </c>
      <c r="P67" s="421">
        <v>4</v>
      </c>
      <c r="Q67" s="492" t="s">
        <v>116</v>
      </c>
      <c r="R67" s="273">
        <v>240000</v>
      </c>
      <c r="S67" s="438">
        <f t="shared" ref="S67:S130" si="10">L67*(N67+2000)</f>
        <v>70000</v>
      </c>
      <c r="T67" s="439" t="s">
        <v>538</v>
      </c>
      <c r="U67" s="460" t="str">
        <f t="shared" ref="U67:U130" si="11">IF(K67="Nasi Kotak","Resto JFC Esther",IF(K67="Aqua Botol 600 ml","UD. USAHA JAYA",""))</f>
        <v/>
      </c>
      <c r="V67" s="439" t="s">
        <v>539</v>
      </c>
      <c r="W67" s="439" t="s">
        <v>540</v>
      </c>
      <c r="X67" s="439" t="s">
        <v>709</v>
      </c>
      <c r="Y67" s="275" t="s">
        <v>710</v>
      </c>
      <c r="Z67" s="616" t="s">
        <v>710</v>
      </c>
      <c r="AA67" s="440" t="s">
        <v>597</v>
      </c>
      <c r="AB67" s="441">
        <f t="shared" ref="AB67:AB130" si="12">100/111*N67</f>
        <v>10810.810810810812</v>
      </c>
      <c r="AC67" s="442">
        <f t="shared" ref="AC67:AC130" si="13">AB67*L67</f>
        <v>54054.054054054061</v>
      </c>
      <c r="AD67" s="273">
        <v>240000</v>
      </c>
      <c r="AE67" s="447">
        <v>4378378.3783783782</v>
      </c>
      <c r="AF67" s="447">
        <v>4860000</v>
      </c>
      <c r="AG67" s="437">
        <v>240000</v>
      </c>
      <c r="AH67" s="443" t="s">
        <v>2098</v>
      </c>
    </row>
    <row r="68" spans="1:34">
      <c r="A68" s="350">
        <v>54</v>
      </c>
      <c r="B68" s="352" t="s">
        <v>880</v>
      </c>
      <c r="C68" s="352" t="s">
        <v>704</v>
      </c>
      <c r="D68" s="355" t="s">
        <v>705</v>
      </c>
      <c r="E68" s="361">
        <v>44958</v>
      </c>
      <c r="F68" s="361">
        <v>44959</v>
      </c>
      <c r="G68" s="361">
        <f t="shared" si="9"/>
        <v>44959</v>
      </c>
      <c r="H68" s="361">
        <f t="shared" si="9"/>
        <v>44959</v>
      </c>
      <c r="I68" s="365">
        <v>45037</v>
      </c>
      <c r="J68" s="387" t="s">
        <v>747</v>
      </c>
      <c r="K68" s="388" t="s">
        <v>886</v>
      </c>
      <c r="L68" s="791">
        <v>1</v>
      </c>
      <c r="M68" s="352" t="s">
        <v>488</v>
      </c>
      <c r="N68" s="403">
        <v>5000</v>
      </c>
      <c r="O68" s="404">
        <v>5000</v>
      </c>
      <c r="P68" s="421">
        <v>4</v>
      </c>
      <c r="Q68" s="492" t="s">
        <v>895</v>
      </c>
      <c r="R68" s="437">
        <v>56000</v>
      </c>
      <c r="S68" s="438">
        <f t="shared" si="10"/>
        <v>7000</v>
      </c>
      <c r="T68" s="439" t="s">
        <v>538</v>
      </c>
      <c r="U68" s="460" t="str">
        <f t="shared" si="11"/>
        <v/>
      </c>
      <c r="V68" s="439" t="s">
        <v>539</v>
      </c>
      <c r="W68" s="439" t="s">
        <v>540</v>
      </c>
      <c r="X68" s="439" t="s">
        <v>709</v>
      </c>
      <c r="Y68" s="275" t="s">
        <v>710</v>
      </c>
      <c r="Z68" s="616" t="s">
        <v>710</v>
      </c>
      <c r="AA68" s="440" t="s">
        <v>714</v>
      </c>
      <c r="AB68" s="441">
        <f t="shared" si="12"/>
        <v>4504.5045045045044</v>
      </c>
      <c r="AC68" s="442">
        <f t="shared" si="13"/>
        <v>4504.5045045045044</v>
      </c>
      <c r="AD68" s="437">
        <v>56000</v>
      </c>
      <c r="AE68" s="447">
        <v>4378378.3783783782</v>
      </c>
      <c r="AF68" s="447">
        <v>4860000</v>
      </c>
      <c r="AG68" s="437">
        <v>56000</v>
      </c>
      <c r="AH68" s="443" t="s">
        <v>2098</v>
      </c>
    </row>
    <row r="69" spans="1:34">
      <c r="A69" s="350">
        <v>54</v>
      </c>
      <c r="B69" s="352" t="s">
        <v>880</v>
      </c>
      <c r="C69" s="352" t="s">
        <v>704</v>
      </c>
      <c r="D69" s="355" t="s">
        <v>705</v>
      </c>
      <c r="E69" s="361">
        <v>44958</v>
      </c>
      <c r="F69" s="361">
        <v>44959</v>
      </c>
      <c r="G69" s="361">
        <f t="shared" ref="G69:H84" si="14">F69</f>
        <v>44959</v>
      </c>
      <c r="H69" s="361">
        <f t="shared" si="14"/>
        <v>44959</v>
      </c>
      <c r="I69" s="365">
        <v>45037</v>
      </c>
      <c r="J69" s="387" t="s">
        <v>711</v>
      </c>
      <c r="K69" s="352" t="s">
        <v>712</v>
      </c>
      <c r="L69" s="402">
        <v>1</v>
      </c>
      <c r="M69" s="352" t="s">
        <v>488</v>
      </c>
      <c r="N69" s="403">
        <v>14000</v>
      </c>
      <c r="O69" s="404">
        <v>14000</v>
      </c>
      <c r="P69" s="421">
        <v>4</v>
      </c>
      <c r="Q69" s="492" t="s">
        <v>101</v>
      </c>
      <c r="R69" s="437">
        <v>97000</v>
      </c>
      <c r="S69" s="438">
        <f t="shared" si="10"/>
        <v>16000</v>
      </c>
      <c r="T69" s="439" t="s">
        <v>538</v>
      </c>
      <c r="U69" s="460" t="str">
        <f t="shared" si="11"/>
        <v/>
      </c>
      <c r="V69" s="439" t="s">
        <v>539</v>
      </c>
      <c r="W69" s="439" t="s">
        <v>540</v>
      </c>
      <c r="X69" s="439" t="s">
        <v>709</v>
      </c>
      <c r="Y69" s="275" t="s">
        <v>710</v>
      </c>
      <c r="Z69" s="616" t="s">
        <v>710</v>
      </c>
      <c r="AA69" s="440" t="s">
        <v>728</v>
      </c>
      <c r="AB69" s="441">
        <f t="shared" si="12"/>
        <v>12612.612612612613</v>
      </c>
      <c r="AC69" s="442">
        <f t="shared" si="13"/>
        <v>12612.612612612613</v>
      </c>
      <c r="AD69" s="437">
        <v>97000</v>
      </c>
      <c r="AE69" s="447">
        <v>4378378.3783783782</v>
      </c>
      <c r="AF69" s="447">
        <v>4860000</v>
      </c>
      <c r="AG69" s="437">
        <v>97000</v>
      </c>
      <c r="AH69" s="443" t="s">
        <v>2098</v>
      </c>
    </row>
    <row r="70" spans="1:34">
      <c r="A70" s="350">
        <v>54</v>
      </c>
      <c r="B70" s="352" t="s">
        <v>880</v>
      </c>
      <c r="C70" s="352" t="s">
        <v>704</v>
      </c>
      <c r="D70" s="355" t="s">
        <v>705</v>
      </c>
      <c r="E70" s="361">
        <v>44958</v>
      </c>
      <c r="F70" s="361">
        <v>44959</v>
      </c>
      <c r="G70" s="361">
        <f t="shared" si="14"/>
        <v>44959</v>
      </c>
      <c r="H70" s="361">
        <f t="shared" si="14"/>
        <v>44959</v>
      </c>
      <c r="I70" s="365">
        <v>45037</v>
      </c>
      <c r="J70" s="387" t="s">
        <v>253</v>
      </c>
      <c r="K70" s="352" t="s">
        <v>719</v>
      </c>
      <c r="L70" s="402">
        <v>1</v>
      </c>
      <c r="M70" s="352" t="s">
        <v>720</v>
      </c>
      <c r="N70" s="403">
        <v>20000</v>
      </c>
      <c r="O70" s="404">
        <v>20000</v>
      </c>
      <c r="P70" s="421">
        <v>4</v>
      </c>
      <c r="Q70" s="492" t="s">
        <v>98</v>
      </c>
      <c r="R70" s="437">
        <v>40000</v>
      </c>
      <c r="S70" s="438">
        <f t="shared" si="10"/>
        <v>22000</v>
      </c>
      <c r="T70" s="439" t="s">
        <v>538</v>
      </c>
      <c r="U70" s="460" t="str">
        <f t="shared" si="11"/>
        <v/>
      </c>
      <c r="V70" s="439" t="s">
        <v>539</v>
      </c>
      <c r="W70" s="439" t="s">
        <v>540</v>
      </c>
      <c r="X70" s="439" t="s">
        <v>709</v>
      </c>
      <c r="Y70" s="275" t="s">
        <v>710</v>
      </c>
      <c r="Z70" s="616" t="s">
        <v>710</v>
      </c>
      <c r="AA70" s="440" t="s">
        <v>597</v>
      </c>
      <c r="AB70" s="441">
        <f t="shared" si="12"/>
        <v>18018.018018018018</v>
      </c>
      <c r="AC70" s="442">
        <f t="shared" si="13"/>
        <v>18018.018018018018</v>
      </c>
      <c r="AD70" s="437">
        <v>40000</v>
      </c>
      <c r="AE70" s="447">
        <v>4378378.3783783782</v>
      </c>
      <c r="AF70" s="447">
        <v>4860000</v>
      </c>
      <c r="AG70" s="437">
        <v>40000</v>
      </c>
      <c r="AH70" s="443" t="s">
        <v>2098</v>
      </c>
    </row>
    <row r="71" spans="1:34">
      <c r="A71" s="350">
        <v>54</v>
      </c>
      <c r="B71" s="352" t="s">
        <v>880</v>
      </c>
      <c r="C71" s="352" t="s">
        <v>704</v>
      </c>
      <c r="D71" s="355" t="s">
        <v>705</v>
      </c>
      <c r="E71" s="361">
        <v>44958</v>
      </c>
      <c r="F71" s="361">
        <v>44959</v>
      </c>
      <c r="G71" s="361">
        <f t="shared" si="14"/>
        <v>44959</v>
      </c>
      <c r="H71" s="361">
        <f t="shared" si="14"/>
        <v>44959</v>
      </c>
      <c r="I71" s="365">
        <v>45037</v>
      </c>
      <c r="J71" s="388" t="s">
        <v>887</v>
      </c>
      <c r="K71" s="352" t="s">
        <v>888</v>
      </c>
      <c r="L71" s="402">
        <v>1</v>
      </c>
      <c r="M71" s="352" t="s">
        <v>749</v>
      </c>
      <c r="N71" s="403">
        <v>21000</v>
      </c>
      <c r="O71" s="404">
        <v>21000</v>
      </c>
      <c r="P71" s="421">
        <v>4</v>
      </c>
      <c r="Q71" s="492" t="s">
        <v>112</v>
      </c>
      <c r="R71" s="437">
        <v>11000</v>
      </c>
      <c r="S71" s="438">
        <f t="shared" si="10"/>
        <v>23000</v>
      </c>
      <c r="T71" s="439" t="s">
        <v>538</v>
      </c>
      <c r="U71" s="460" t="str">
        <f t="shared" si="11"/>
        <v/>
      </c>
      <c r="V71" s="439" t="s">
        <v>539</v>
      </c>
      <c r="W71" s="439" t="s">
        <v>540</v>
      </c>
      <c r="X71" s="439" t="s">
        <v>709</v>
      </c>
      <c r="Y71" s="275" t="s">
        <v>710</v>
      </c>
      <c r="Z71" s="616" t="s">
        <v>710</v>
      </c>
      <c r="AA71" s="440" t="s">
        <v>597</v>
      </c>
      <c r="AB71" s="441">
        <f t="shared" si="12"/>
        <v>18918.91891891892</v>
      </c>
      <c r="AC71" s="442">
        <f t="shared" si="13"/>
        <v>18918.91891891892</v>
      </c>
      <c r="AD71" s="437">
        <v>11000</v>
      </c>
      <c r="AE71" s="447">
        <v>4378378.3783783782</v>
      </c>
      <c r="AF71" s="447">
        <v>4860000</v>
      </c>
      <c r="AG71" s="437">
        <v>11000</v>
      </c>
      <c r="AH71" s="443" t="s">
        <v>2098</v>
      </c>
    </row>
    <row r="72" spans="1:34" ht="25">
      <c r="A72" s="350">
        <v>54</v>
      </c>
      <c r="B72" s="352" t="s">
        <v>880</v>
      </c>
      <c r="C72" s="352" t="s">
        <v>704</v>
      </c>
      <c r="D72" s="355" t="s">
        <v>705</v>
      </c>
      <c r="E72" s="361">
        <v>44958</v>
      </c>
      <c r="F72" s="361">
        <v>44959</v>
      </c>
      <c r="G72" s="361">
        <f t="shared" si="14"/>
        <v>44959</v>
      </c>
      <c r="H72" s="361">
        <f t="shared" si="14"/>
        <v>44959</v>
      </c>
      <c r="I72" s="365">
        <v>45037</v>
      </c>
      <c r="J72" s="387" t="s">
        <v>261</v>
      </c>
      <c r="K72" s="387" t="s">
        <v>261</v>
      </c>
      <c r="L72" s="402">
        <v>12</v>
      </c>
      <c r="M72" s="352" t="s">
        <v>667</v>
      </c>
      <c r="N72" s="403">
        <v>20000</v>
      </c>
      <c r="O72" s="404">
        <v>240000</v>
      </c>
      <c r="P72" s="421">
        <v>4</v>
      </c>
      <c r="Q72" s="492" t="s">
        <v>108</v>
      </c>
      <c r="R72" s="437">
        <v>15000</v>
      </c>
      <c r="S72" s="438">
        <f t="shared" si="10"/>
        <v>264000</v>
      </c>
      <c r="T72" s="439" t="s">
        <v>538</v>
      </c>
      <c r="U72" s="460" t="str">
        <f t="shared" si="11"/>
        <v/>
      </c>
      <c r="V72" s="439" t="s">
        <v>539</v>
      </c>
      <c r="W72" s="439" t="s">
        <v>540</v>
      </c>
      <c r="X72" s="439" t="s">
        <v>709</v>
      </c>
      <c r="Y72" s="275" t="s">
        <v>710</v>
      </c>
      <c r="Z72" s="616" t="s">
        <v>710</v>
      </c>
      <c r="AA72" s="440" t="s">
        <v>728</v>
      </c>
      <c r="AB72" s="441">
        <f t="shared" si="12"/>
        <v>18018.018018018018</v>
      </c>
      <c r="AC72" s="442">
        <f t="shared" si="13"/>
        <v>216216.21621621621</v>
      </c>
      <c r="AD72" s="437">
        <v>15000</v>
      </c>
      <c r="AE72" s="447">
        <v>4378378.3783783782</v>
      </c>
      <c r="AF72" s="447">
        <v>4860000</v>
      </c>
      <c r="AG72" s="437">
        <v>15000</v>
      </c>
      <c r="AH72" s="443" t="s">
        <v>2098</v>
      </c>
    </row>
    <row r="73" spans="1:34">
      <c r="A73" s="350">
        <v>54</v>
      </c>
      <c r="B73" s="352" t="s">
        <v>880</v>
      </c>
      <c r="C73" s="352" t="s">
        <v>704</v>
      </c>
      <c r="D73" s="355" t="s">
        <v>705</v>
      </c>
      <c r="E73" s="361">
        <v>44958</v>
      </c>
      <c r="F73" s="361">
        <v>44959</v>
      </c>
      <c r="G73" s="361">
        <f t="shared" si="14"/>
        <v>44959</v>
      </c>
      <c r="H73" s="361">
        <f t="shared" si="14"/>
        <v>44959</v>
      </c>
      <c r="I73" s="365">
        <v>45037</v>
      </c>
      <c r="J73" s="387" t="s">
        <v>255</v>
      </c>
      <c r="K73" s="388" t="s">
        <v>889</v>
      </c>
      <c r="L73" s="402">
        <v>1</v>
      </c>
      <c r="M73" s="352" t="s">
        <v>728</v>
      </c>
      <c r="N73" s="403">
        <v>25000</v>
      </c>
      <c r="O73" s="404">
        <v>25000</v>
      </c>
      <c r="P73" s="421">
        <v>4</v>
      </c>
      <c r="Q73" s="492" t="s">
        <v>145</v>
      </c>
      <c r="R73" s="437">
        <v>21000</v>
      </c>
      <c r="S73" s="438">
        <f t="shared" si="10"/>
        <v>27000</v>
      </c>
      <c r="T73" s="439" t="s">
        <v>538</v>
      </c>
      <c r="U73" s="460" t="str">
        <f t="shared" si="11"/>
        <v/>
      </c>
      <c r="V73" s="439" t="s">
        <v>539</v>
      </c>
      <c r="W73" s="439" t="s">
        <v>540</v>
      </c>
      <c r="X73" s="439" t="s">
        <v>709</v>
      </c>
      <c r="Y73" s="439" t="s">
        <v>710</v>
      </c>
      <c r="Z73" s="449" t="s">
        <v>710</v>
      </c>
      <c r="AA73" s="440" t="s">
        <v>488</v>
      </c>
      <c r="AB73" s="441">
        <f t="shared" si="12"/>
        <v>22522.522522522522</v>
      </c>
      <c r="AC73" s="442">
        <f t="shared" si="13"/>
        <v>22522.522522522522</v>
      </c>
      <c r="AD73" s="437">
        <v>21000</v>
      </c>
      <c r="AE73" s="447">
        <v>4378378.3783783782</v>
      </c>
      <c r="AF73" s="447">
        <v>4860000</v>
      </c>
      <c r="AG73" s="437">
        <v>21000</v>
      </c>
      <c r="AH73" s="443" t="s">
        <v>2098</v>
      </c>
    </row>
    <row r="74" spans="1:34" ht="25">
      <c r="A74" s="350">
        <v>54</v>
      </c>
      <c r="B74" s="352" t="s">
        <v>880</v>
      </c>
      <c r="C74" s="352" t="s">
        <v>704</v>
      </c>
      <c r="D74" s="355" t="s">
        <v>705</v>
      </c>
      <c r="E74" s="361">
        <v>44958</v>
      </c>
      <c r="F74" s="361">
        <v>44959</v>
      </c>
      <c r="G74" s="361">
        <f t="shared" si="14"/>
        <v>44959</v>
      </c>
      <c r="H74" s="361">
        <f t="shared" si="14"/>
        <v>44959</v>
      </c>
      <c r="I74" s="365">
        <v>45037</v>
      </c>
      <c r="J74" s="387" t="s">
        <v>230</v>
      </c>
      <c r="K74" s="387" t="s">
        <v>230</v>
      </c>
      <c r="L74" s="791">
        <v>1</v>
      </c>
      <c r="M74" s="352" t="s">
        <v>728</v>
      </c>
      <c r="N74" s="403">
        <v>40000</v>
      </c>
      <c r="O74" s="404">
        <v>40000</v>
      </c>
      <c r="P74" s="421">
        <v>4</v>
      </c>
      <c r="Q74" s="492" t="s">
        <v>141</v>
      </c>
      <c r="R74" s="437">
        <v>15000</v>
      </c>
      <c r="S74" s="438">
        <f t="shared" si="10"/>
        <v>42000</v>
      </c>
      <c r="T74" s="439" t="s">
        <v>538</v>
      </c>
      <c r="U74" s="460" t="str">
        <f t="shared" si="11"/>
        <v/>
      </c>
      <c r="V74" s="439" t="s">
        <v>539</v>
      </c>
      <c r="W74" s="439" t="s">
        <v>540</v>
      </c>
      <c r="X74" s="439" t="s">
        <v>709</v>
      </c>
      <c r="Y74" s="439" t="s">
        <v>710</v>
      </c>
      <c r="Z74" s="449" t="s">
        <v>710</v>
      </c>
      <c r="AA74" s="440" t="s">
        <v>597</v>
      </c>
      <c r="AB74" s="441">
        <f t="shared" si="12"/>
        <v>36036.036036036036</v>
      </c>
      <c r="AC74" s="442">
        <f t="shared" si="13"/>
        <v>36036.036036036036</v>
      </c>
      <c r="AD74" s="437">
        <v>15000</v>
      </c>
      <c r="AE74" s="447">
        <v>4378378.3783783782</v>
      </c>
      <c r="AF74" s="447">
        <v>4860000</v>
      </c>
      <c r="AG74" s="437">
        <v>15000</v>
      </c>
      <c r="AH74" s="443" t="s">
        <v>2098</v>
      </c>
    </row>
    <row r="75" spans="1:34">
      <c r="A75" s="350">
        <v>54</v>
      </c>
      <c r="B75" s="352" t="s">
        <v>880</v>
      </c>
      <c r="C75" s="352" t="s">
        <v>704</v>
      </c>
      <c r="D75" s="355" t="s">
        <v>705</v>
      </c>
      <c r="E75" s="361">
        <v>44958</v>
      </c>
      <c r="F75" s="361">
        <v>44959</v>
      </c>
      <c r="G75" s="361">
        <f t="shared" si="14"/>
        <v>44959</v>
      </c>
      <c r="H75" s="361">
        <f t="shared" si="14"/>
        <v>44959</v>
      </c>
      <c r="I75" s="365">
        <v>45037</v>
      </c>
      <c r="J75" s="387" t="s">
        <v>265</v>
      </c>
      <c r="K75" s="388" t="s">
        <v>890</v>
      </c>
      <c r="L75" s="402">
        <v>1</v>
      </c>
      <c r="M75" s="352" t="s">
        <v>551</v>
      </c>
      <c r="N75" s="403">
        <v>30000</v>
      </c>
      <c r="O75" s="404">
        <v>30000</v>
      </c>
      <c r="P75" s="421">
        <v>4</v>
      </c>
      <c r="Q75" s="492" t="s">
        <v>109</v>
      </c>
      <c r="R75" s="437">
        <v>22000</v>
      </c>
      <c r="S75" s="438">
        <f t="shared" si="10"/>
        <v>32000</v>
      </c>
      <c r="T75" s="439" t="s">
        <v>538</v>
      </c>
      <c r="U75" s="460" t="str">
        <f t="shared" si="11"/>
        <v/>
      </c>
      <c r="V75" s="439" t="s">
        <v>539</v>
      </c>
      <c r="W75" s="439" t="s">
        <v>540</v>
      </c>
      <c r="X75" s="439" t="s">
        <v>709</v>
      </c>
      <c r="Y75" s="439" t="s">
        <v>710</v>
      </c>
      <c r="Z75" s="449" t="s">
        <v>710</v>
      </c>
      <c r="AA75" s="440" t="s">
        <v>753</v>
      </c>
      <c r="AB75" s="441">
        <f t="shared" si="12"/>
        <v>27027.027027027027</v>
      </c>
      <c r="AC75" s="442">
        <f t="shared" si="13"/>
        <v>27027.027027027027</v>
      </c>
      <c r="AD75" s="437">
        <v>22000</v>
      </c>
      <c r="AE75" s="447">
        <v>4378378.3783783782</v>
      </c>
      <c r="AF75" s="447">
        <v>4860000</v>
      </c>
      <c r="AG75" s="437">
        <v>22000</v>
      </c>
      <c r="AH75" s="443" t="s">
        <v>2098</v>
      </c>
    </row>
    <row r="76" spans="1:34">
      <c r="A76" s="350">
        <v>54</v>
      </c>
      <c r="B76" s="352" t="s">
        <v>880</v>
      </c>
      <c r="C76" s="352" t="s">
        <v>704</v>
      </c>
      <c r="D76" s="355" t="s">
        <v>705</v>
      </c>
      <c r="E76" s="361">
        <v>44958</v>
      </c>
      <c r="F76" s="361">
        <v>44959</v>
      </c>
      <c r="G76" s="361">
        <f t="shared" si="14"/>
        <v>44959</v>
      </c>
      <c r="H76" s="361">
        <f t="shared" si="14"/>
        <v>44959</v>
      </c>
      <c r="I76" s="365">
        <v>45037</v>
      </c>
      <c r="J76" s="387" t="s">
        <v>758</v>
      </c>
      <c r="K76" s="387" t="s">
        <v>758</v>
      </c>
      <c r="L76" s="402">
        <v>3</v>
      </c>
      <c r="M76" s="352" t="s">
        <v>488</v>
      </c>
      <c r="N76" s="403">
        <v>5000</v>
      </c>
      <c r="O76" s="404">
        <v>15000</v>
      </c>
      <c r="P76" s="421">
        <v>4</v>
      </c>
      <c r="Q76" s="492" t="s">
        <v>136</v>
      </c>
      <c r="R76" s="437">
        <v>25000</v>
      </c>
      <c r="S76" s="438">
        <f t="shared" si="10"/>
        <v>21000</v>
      </c>
      <c r="T76" s="439" t="s">
        <v>538</v>
      </c>
      <c r="U76" s="460" t="str">
        <f t="shared" si="11"/>
        <v/>
      </c>
      <c r="V76" s="439" t="s">
        <v>539</v>
      </c>
      <c r="W76" s="439" t="s">
        <v>540</v>
      </c>
      <c r="X76" s="439" t="s">
        <v>709</v>
      </c>
      <c r="Y76" s="439" t="s">
        <v>710</v>
      </c>
      <c r="Z76" s="449" t="s">
        <v>710</v>
      </c>
      <c r="AA76" s="440" t="s">
        <v>724</v>
      </c>
      <c r="AB76" s="441">
        <f t="shared" si="12"/>
        <v>4504.5045045045044</v>
      </c>
      <c r="AC76" s="442">
        <f t="shared" si="13"/>
        <v>13513.513513513513</v>
      </c>
      <c r="AD76" s="437">
        <v>25000</v>
      </c>
      <c r="AE76" s="447">
        <v>4378378.3783783782</v>
      </c>
      <c r="AF76" s="447">
        <v>4860000</v>
      </c>
      <c r="AG76" s="437">
        <v>25000</v>
      </c>
      <c r="AH76" s="443" t="s">
        <v>2098</v>
      </c>
    </row>
    <row r="77" spans="1:34">
      <c r="A77" s="350">
        <v>54</v>
      </c>
      <c r="B77" s="352" t="s">
        <v>880</v>
      </c>
      <c r="C77" s="352" t="s">
        <v>704</v>
      </c>
      <c r="D77" s="355" t="s">
        <v>705</v>
      </c>
      <c r="E77" s="361">
        <v>44958</v>
      </c>
      <c r="F77" s="361">
        <v>44959</v>
      </c>
      <c r="G77" s="361">
        <f t="shared" si="14"/>
        <v>44959</v>
      </c>
      <c r="H77" s="361">
        <f t="shared" si="14"/>
        <v>44959</v>
      </c>
      <c r="I77" s="365">
        <v>45037</v>
      </c>
      <c r="J77" s="387" t="s">
        <v>260</v>
      </c>
      <c r="K77" s="388" t="s">
        <v>891</v>
      </c>
      <c r="L77" s="402">
        <v>5</v>
      </c>
      <c r="M77" s="352" t="s">
        <v>753</v>
      </c>
      <c r="N77" s="403">
        <v>65000</v>
      </c>
      <c r="O77" s="404">
        <v>325000</v>
      </c>
      <c r="P77" s="421">
        <v>4</v>
      </c>
      <c r="Q77" s="492" t="s">
        <v>126</v>
      </c>
      <c r="R77" s="437">
        <v>45000</v>
      </c>
      <c r="S77" s="438">
        <f t="shared" si="10"/>
        <v>335000</v>
      </c>
      <c r="T77" s="439" t="s">
        <v>538</v>
      </c>
      <c r="U77" s="460" t="str">
        <f t="shared" si="11"/>
        <v/>
      </c>
      <c r="V77" s="439" t="s">
        <v>539</v>
      </c>
      <c r="W77" s="439" t="s">
        <v>540</v>
      </c>
      <c r="X77" s="439" t="s">
        <v>709</v>
      </c>
      <c r="Y77" s="439" t="s">
        <v>710</v>
      </c>
      <c r="Z77" s="449" t="s">
        <v>710</v>
      </c>
      <c r="AA77" s="440" t="s">
        <v>597</v>
      </c>
      <c r="AB77" s="441">
        <f t="shared" si="12"/>
        <v>58558.558558558558</v>
      </c>
      <c r="AC77" s="442">
        <f t="shared" si="13"/>
        <v>292792.79279279278</v>
      </c>
      <c r="AD77" s="437">
        <v>45000</v>
      </c>
      <c r="AE77" s="447">
        <v>4378378.3783783782</v>
      </c>
      <c r="AF77" s="447">
        <v>4860000</v>
      </c>
      <c r="AG77" s="437">
        <v>45000</v>
      </c>
      <c r="AH77" s="443" t="s">
        <v>2098</v>
      </c>
    </row>
    <row r="78" spans="1:34" ht="25">
      <c r="A78" s="350">
        <v>54</v>
      </c>
      <c r="B78" s="352" t="s">
        <v>880</v>
      </c>
      <c r="C78" s="352" t="s">
        <v>704</v>
      </c>
      <c r="D78" s="355" t="s">
        <v>705</v>
      </c>
      <c r="E78" s="361">
        <v>44958</v>
      </c>
      <c r="F78" s="361">
        <v>44959</v>
      </c>
      <c r="G78" s="361">
        <f t="shared" si="14"/>
        <v>44959</v>
      </c>
      <c r="H78" s="361">
        <f t="shared" si="14"/>
        <v>44959</v>
      </c>
      <c r="I78" s="365">
        <v>45037</v>
      </c>
      <c r="J78" s="387" t="s">
        <v>781</v>
      </c>
      <c r="K78" s="387" t="s">
        <v>781</v>
      </c>
      <c r="L78" s="402">
        <v>2</v>
      </c>
      <c r="M78" s="352" t="s">
        <v>551</v>
      </c>
      <c r="N78" s="403">
        <v>95000</v>
      </c>
      <c r="O78" s="404">
        <v>190000</v>
      </c>
      <c r="P78" s="421">
        <v>4</v>
      </c>
      <c r="Q78" s="492" t="s">
        <v>111</v>
      </c>
      <c r="R78" s="437">
        <v>20000</v>
      </c>
      <c r="S78" s="438">
        <f t="shared" si="10"/>
        <v>194000</v>
      </c>
      <c r="T78" s="439" t="s">
        <v>538</v>
      </c>
      <c r="U78" s="460" t="str">
        <f t="shared" si="11"/>
        <v/>
      </c>
      <c r="V78" s="439" t="s">
        <v>539</v>
      </c>
      <c r="W78" s="439" t="s">
        <v>540</v>
      </c>
      <c r="X78" s="439" t="s">
        <v>709</v>
      </c>
      <c r="Y78" s="439" t="s">
        <v>710</v>
      </c>
      <c r="Z78" s="449" t="s">
        <v>710</v>
      </c>
      <c r="AA78" s="440" t="s">
        <v>488</v>
      </c>
      <c r="AB78" s="441">
        <f t="shared" si="12"/>
        <v>85585.585585585592</v>
      </c>
      <c r="AC78" s="442">
        <f t="shared" si="13"/>
        <v>171171.17117117118</v>
      </c>
      <c r="AD78" s="437">
        <v>20000</v>
      </c>
      <c r="AE78" s="447">
        <v>4378378.3783783782</v>
      </c>
      <c r="AF78" s="447">
        <v>4860000</v>
      </c>
      <c r="AG78" s="437">
        <v>20000</v>
      </c>
      <c r="AH78" s="443" t="s">
        <v>2098</v>
      </c>
    </row>
    <row r="79" spans="1:34">
      <c r="A79" s="350">
        <v>54</v>
      </c>
      <c r="B79" s="352" t="s">
        <v>880</v>
      </c>
      <c r="C79" s="352" t="s">
        <v>704</v>
      </c>
      <c r="D79" s="355" t="s">
        <v>705</v>
      </c>
      <c r="E79" s="361">
        <v>44958</v>
      </c>
      <c r="F79" s="361">
        <v>44959</v>
      </c>
      <c r="G79" s="361">
        <f t="shared" si="14"/>
        <v>44959</v>
      </c>
      <c r="H79" s="361">
        <f t="shared" si="14"/>
        <v>44959</v>
      </c>
      <c r="I79" s="365">
        <v>45037</v>
      </c>
      <c r="J79" s="387" t="s">
        <v>236</v>
      </c>
      <c r="K79" s="435" t="s">
        <v>771</v>
      </c>
      <c r="L79" s="402">
        <v>4</v>
      </c>
      <c r="M79" s="352" t="s">
        <v>772</v>
      </c>
      <c r="N79" s="403">
        <v>65000</v>
      </c>
      <c r="O79" s="404">
        <v>260000</v>
      </c>
      <c r="P79" s="421">
        <v>4</v>
      </c>
      <c r="Q79" s="492" t="s">
        <v>900</v>
      </c>
      <c r="R79" s="437">
        <v>200000</v>
      </c>
      <c r="S79" s="438">
        <f t="shared" si="10"/>
        <v>268000</v>
      </c>
      <c r="T79" s="439" t="s">
        <v>538</v>
      </c>
      <c r="U79" s="460" t="str">
        <f t="shared" si="11"/>
        <v/>
      </c>
      <c r="V79" s="439" t="s">
        <v>539</v>
      </c>
      <c r="W79" s="439" t="s">
        <v>540</v>
      </c>
      <c r="X79" s="439" t="s">
        <v>709</v>
      </c>
      <c r="Y79" s="439" t="s">
        <v>710</v>
      </c>
      <c r="Z79" s="449" t="s">
        <v>710</v>
      </c>
      <c r="AA79" s="440" t="s">
        <v>488</v>
      </c>
      <c r="AB79" s="441">
        <f t="shared" si="12"/>
        <v>58558.558558558558</v>
      </c>
      <c r="AC79" s="442">
        <f t="shared" si="13"/>
        <v>234234.23423423423</v>
      </c>
      <c r="AD79" s="437">
        <v>200000</v>
      </c>
      <c r="AE79" s="447">
        <v>4378378.3783783782</v>
      </c>
      <c r="AF79" s="447">
        <v>4860000</v>
      </c>
      <c r="AG79" s="437">
        <v>200000</v>
      </c>
      <c r="AH79" s="443" t="s">
        <v>2098</v>
      </c>
    </row>
    <row r="80" spans="1:34">
      <c r="A80" s="350">
        <v>54</v>
      </c>
      <c r="B80" s="352" t="s">
        <v>880</v>
      </c>
      <c r="C80" s="352" t="s">
        <v>704</v>
      </c>
      <c r="D80" s="355" t="s">
        <v>705</v>
      </c>
      <c r="E80" s="361">
        <v>44958</v>
      </c>
      <c r="F80" s="361">
        <v>44959</v>
      </c>
      <c r="G80" s="361">
        <f t="shared" si="14"/>
        <v>44959</v>
      </c>
      <c r="H80" s="361">
        <f t="shared" si="14"/>
        <v>44959</v>
      </c>
      <c r="I80" s="365">
        <v>45037</v>
      </c>
      <c r="J80" s="389" t="s">
        <v>234</v>
      </c>
      <c r="K80" s="435" t="s">
        <v>234</v>
      </c>
      <c r="L80" s="402">
        <v>1</v>
      </c>
      <c r="M80" s="352" t="s">
        <v>714</v>
      </c>
      <c r="N80" s="403">
        <v>225000</v>
      </c>
      <c r="O80" s="404">
        <v>225000</v>
      </c>
      <c r="P80" s="421">
        <v>4</v>
      </c>
      <c r="Q80" s="492" t="s">
        <v>113</v>
      </c>
      <c r="R80" s="437">
        <v>26000</v>
      </c>
      <c r="S80" s="438">
        <f t="shared" si="10"/>
        <v>227000</v>
      </c>
      <c r="T80" s="439" t="s">
        <v>538</v>
      </c>
      <c r="U80" s="460" t="str">
        <f t="shared" si="11"/>
        <v/>
      </c>
      <c r="V80" s="439" t="s">
        <v>539</v>
      </c>
      <c r="W80" s="439" t="s">
        <v>540</v>
      </c>
      <c r="X80" s="439" t="s">
        <v>709</v>
      </c>
      <c r="Y80" s="439" t="s">
        <v>710</v>
      </c>
      <c r="Z80" s="449" t="s">
        <v>710</v>
      </c>
      <c r="AA80" s="440" t="s">
        <v>488</v>
      </c>
      <c r="AB80" s="441">
        <f t="shared" si="12"/>
        <v>202702.70270270269</v>
      </c>
      <c r="AC80" s="442">
        <f t="shared" si="13"/>
        <v>202702.70270270269</v>
      </c>
      <c r="AD80" s="437">
        <v>26000</v>
      </c>
      <c r="AE80" s="447">
        <v>4378378.3783783782</v>
      </c>
      <c r="AF80" s="447">
        <v>4860000</v>
      </c>
      <c r="AG80" s="437">
        <v>26000</v>
      </c>
      <c r="AH80" s="443" t="s">
        <v>2098</v>
      </c>
    </row>
    <row r="81" spans="1:36">
      <c r="A81" s="350">
        <v>54</v>
      </c>
      <c r="B81" s="352" t="s">
        <v>880</v>
      </c>
      <c r="C81" s="352" t="s">
        <v>704</v>
      </c>
      <c r="D81" s="355" t="s">
        <v>705</v>
      </c>
      <c r="E81" s="361">
        <v>44958</v>
      </c>
      <c r="F81" s="361">
        <v>44959</v>
      </c>
      <c r="G81" s="361">
        <f t="shared" si="14"/>
        <v>44959</v>
      </c>
      <c r="H81" s="361">
        <f t="shared" si="14"/>
        <v>44959</v>
      </c>
      <c r="I81" s="365">
        <v>45037</v>
      </c>
      <c r="J81" s="387" t="s">
        <v>892</v>
      </c>
      <c r="K81" s="387" t="s">
        <v>892</v>
      </c>
      <c r="L81" s="402">
        <v>24</v>
      </c>
      <c r="M81" s="352" t="s">
        <v>488</v>
      </c>
      <c r="N81" s="403">
        <v>10000</v>
      </c>
      <c r="O81" s="404">
        <v>240000</v>
      </c>
      <c r="P81" s="421">
        <v>4</v>
      </c>
      <c r="Q81" s="492" t="s">
        <v>162</v>
      </c>
      <c r="R81" s="437">
        <v>990000</v>
      </c>
      <c r="S81" s="438">
        <f t="shared" si="10"/>
        <v>288000</v>
      </c>
      <c r="T81" s="439" t="s">
        <v>538</v>
      </c>
      <c r="U81" s="460" t="str">
        <f t="shared" si="11"/>
        <v/>
      </c>
      <c r="V81" s="439" t="s">
        <v>539</v>
      </c>
      <c r="W81" s="439" t="s">
        <v>540</v>
      </c>
      <c r="X81" s="439" t="s">
        <v>709</v>
      </c>
      <c r="Y81" s="439" t="s">
        <v>710</v>
      </c>
      <c r="Z81" s="449" t="s">
        <v>710</v>
      </c>
      <c r="AA81" s="440" t="s">
        <v>753</v>
      </c>
      <c r="AB81" s="441">
        <f t="shared" si="12"/>
        <v>9009.0090090090089</v>
      </c>
      <c r="AC81" s="442">
        <f t="shared" si="13"/>
        <v>216216.21621621621</v>
      </c>
      <c r="AD81" s="437">
        <v>990000</v>
      </c>
      <c r="AE81" s="447">
        <v>4378378.3783783782</v>
      </c>
      <c r="AF81" s="447">
        <v>4860000</v>
      </c>
      <c r="AG81" s="437">
        <v>990000</v>
      </c>
      <c r="AH81" s="443" t="s">
        <v>2098</v>
      </c>
    </row>
    <row r="82" spans="1:36" ht="25">
      <c r="A82" s="350">
        <v>54</v>
      </c>
      <c r="B82" s="352" t="s">
        <v>880</v>
      </c>
      <c r="C82" s="352" t="s">
        <v>704</v>
      </c>
      <c r="D82" s="355" t="s">
        <v>705</v>
      </c>
      <c r="E82" s="361">
        <v>44958</v>
      </c>
      <c r="F82" s="361">
        <v>44959</v>
      </c>
      <c r="G82" s="361">
        <f t="shared" si="14"/>
        <v>44959</v>
      </c>
      <c r="H82" s="361">
        <f t="shared" si="14"/>
        <v>44959</v>
      </c>
      <c r="I82" s="365">
        <v>45037</v>
      </c>
      <c r="J82" s="388" t="s">
        <v>893</v>
      </c>
      <c r="K82" s="352" t="s">
        <v>894</v>
      </c>
      <c r="L82" s="402">
        <v>2</v>
      </c>
      <c r="M82" s="352" t="s">
        <v>597</v>
      </c>
      <c r="N82" s="403">
        <v>28000</v>
      </c>
      <c r="O82" s="404">
        <v>56000</v>
      </c>
      <c r="P82" s="421">
        <v>4</v>
      </c>
      <c r="Q82" s="492" t="s">
        <v>148</v>
      </c>
      <c r="R82" s="437">
        <v>35000</v>
      </c>
      <c r="S82" s="438">
        <f t="shared" si="10"/>
        <v>60000</v>
      </c>
      <c r="T82" s="439" t="s">
        <v>538</v>
      </c>
      <c r="U82" s="460" t="str">
        <f t="shared" si="11"/>
        <v/>
      </c>
      <c r="V82" s="439" t="s">
        <v>539</v>
      </c>
      <c r="W82" s="439" t="s">
        <v>540</v>
      </c>
      <c r="X82" s="439" t="s">
        <v>709</v>
      </c>
      <c r="Y82" s="439" t="s">
        <v>710</v>
      </c>
      <c r="Z82" s="449" t="s">
        <v>710</v>
      </c>
      <c r="AA82" s="440" t="s">
        <v>488</v>
      </c>
      <c r="AB82" s="441">
        <f t="shared" si="12"/>
        <v>25225.225225225226</v>
      </c>
      <c r="AC82" s="442">
        <f t="shared" si="13"/>
        <v>50450.450450450451</v>
      </c>
      <c r="AD82" s="437">
        <v>35000</v>
      </c>
      <c r="AE82" s="447">
        <v>4378378.3783783782</v>
      </c>
      <c r="AF82" s="447">
        <v>4860000</v>
      </c>
      <c r="AG82" s="437">
        <v>35000</v>
      </c>
      <c r="AH82" s="443" t="s">
        <v>2098</v>
      </c>
    </row>
    <row r="83" spans="1:36">
      <c r="A83" s="350">
        <v>54</v>
      </c>
      <c r="B83" s="352" t="s">
        <v>880</v>
      </c>
      <c r="C83" s="352" t="s">
        <v>704</v>
      </c>
      <c r="D83" s="355" t="s">
        <v>705</v>
      </c>
      <c r="E83" s="361">
        <v>44958</v>
      </c>
      <c r="F83" s="361">
        <v>44959</v>
      </c>
      <c r="G83" s="361">
        <f t="shared" si="14"/>
        <v>44959</v>
      </c>
      <c r="H83" s="361">
        <f t="shared" si="14"/>
        <v>44959</v>
      </c>
      <c r="I83" s="365">
        <v>45037</v>
      </c>
      <c r="J83" s="389" t="s">
        <v>233</v>
      </c>
      <c r="K83" s="435" t="s">
        <v>233</v>
      </c>
      <c r="L83" s="402">
        <v>1</v>
      </c>
      <c r="M83" s="352" t="s">
        <v>714</v>
      </c>
      <c r="N83" s="403">
        <v>97000</v>
      </c>
      <c r="O83" s="404">
        <v>97000</v>
      </c>
      <c r="P83" s="421">
        <v>4</v>
      </c>
      <c r="Q83" s="492" t="s">
        <v>903</v>
      </c>
      <c r="R83" s="437">
        <v>11000</v>
      </c>
      <c r="S83" s="438">
        <f t="shared" si="10"/>
        <v>99000</v>
      </c>
      <c r="T83" s="439" t="s">
        <v>538</v>
      </c>
      <c r="U83" s="460" t="str">
        <f t="shared" si="11"/>
        <v/>
      </c>
      <c r="V83" s="439" t="s">
        <v>539</v>
      </c>
      <c r="W83" s="439" t="s">
        <v>540</v>
      </c>
      <c r="X83" s="439" t="s">
        <v>709</v>
      </c>
      <c r="Y83" s="439" t="s">
        <v>710</v>
      </c>
      <c r="Z83" s="449" t="s">
        <v>710</v>
      </c>
      <c r="AA83" s="440" t="s">
        <v>735</v>
      </c>
      <c r="AB83" s="441">
        <f t="shared" si="12"/>
        <v>87387.387387387382</v>
      </c>
      <c r="AC83" s="442">
        <f t="shared" si="13"/>
        <v>87387.387387387382</v>
      </c>
      <c r="AD83" s="437">
        <v>11000</v>
      </c>
      <c r="AE83" s="447">
        <v>4378378.3783783782</v>
      </c>
      <c r="AF83" s="447">
        <v>4860000</v>
      </c>
      <c r="AG83" s="437">
        <v>11000</v>
      </c>
      <c r="AH83" s="443" t="s">
        <v>2098</v>
      </c>
    </row>
    <row r="84" spans="1:36">
      <c r="A84" s="350">
        <v>54</v>
      </c>
      <c r="B84" s="352" t="s">
        <v>880</v>
      </c>
      <c r="C84" s="352" t="s">
        <v>704</v>
      </c>
      <c r="D84" s="355" t="s">
        <v>705</v>
      </c>
      <c r="E84" s="361">
        <v>44958</v>
      </c>
      <c r="F84" s="361">
        <v>44959</v>
      </c>
      <c r="G84" s="361">
        <f t="shared" si="14"/>
        <v>44959</v>
      </c>
      <c r="H84" s="361">
        <f t="shared" si="14"/>
        <v>44959</v>
      </c>
      <c r="I84" s="365">
        <v>45037</v>
      </c>
      <c r="J84" s="387" t="s">
        <v>228</v>
      </c>
      <c r="K84" s="352" t="s">
        <v>896</v>
      </c>
      <c r="L84" s="402">
        <v>2</v>
      </c>
      <c r="M84" s="352" t="s">
        <v>728</v>
      </c>
      <c r="N84" s="266">
        <v>20000</v>
      </c>
      <c r="O84" s="404">
        <v>40000</v>
      </c>
      <c r="P84" s="421">
        <v>4</v>
      </c>
      <c r="Q84" s="492" t="s">
        <v>127</v>
      </c>
      <c r="R84" s="437">
        <v>270000</v>
      </c>
      <c r="S84" s="438">
        <f t="shared" si="10"/>
        <v>44000</v>
      </c>
      <c r="T84" s="439" t="s">
        <v>538</v>
      </c>
      <c r="U84" s="460" t="str">
        <f t="shared" si="11"/>
        <v/>
      </c>
      <c r="V84" s="439" t="s">
        <v>539</v>
      </c>
      <c r="W84" s="439" t="s">
        <v>540</v>
      </c>
      <c r="X84" s="439" t="s">
        <v>709</v>
      </c>
      <c r="Y84" s="439" t="s">
        <v>710</v>
      </c>
      <c r="Z84" s="449" t="s">
        <v>710</v>
      </c>
      <c r="AA84" s="440" t="s">
        <v>488</v>
      </c>
      <c r="AB84" s="441">
        <f t="shared" si="12"/>
        <v>18018.018018018018</v>
      </c>
      <c r="AC84" s="442">
        <f t="shared" si="13"/>
        <v>36036.036036036036</v>
      </c>
      <c r="AD84" s="437">
        <v>270000</v>
      </c>
      <c r="AE84" s="447">
        <v>4378378.3783783782</v>
      </c>
      <c r="AF84" s="447">
        <v>4860000</v>
      </c>
      <c r="AG84" s="437">
        <v>270000</v>
      </c>
      <c r="AH84" s="443" t="s">
        <v>2098</v>
      </c>
    </row>
    <row r="85" spans="1:36">
      <c r="A85" s="350">
        <v>54</v>
      </c>
      <c r="B85" s="352" t="s">
        <v>880</v>
      </c>
      <c r="C85" s="352" t="s">
        <v>704</v>
      </c>
      <c r="D85" s="355" t="s">
        <v>705</v>
      </c>
      <c r="E85" s="361">
        <v>44958</v>
      </c>
      <c r="F85" s="361">
        <v>44959</v>
      </c>
      <c r="G85" s="361">
        <f t="shared" ref="G85:H100" si="15">F85</f>
        <v>44959</v>
      </c>
      <c r="H85" s="361">
        <f t="shared" si="15"/>
        <v>44959</v>
      </c>
      <c r="I85" s="365">
        <v>45037</v>
      </c>
      <c r="J85" s="387" t="s">
        <v>241</v>
      </c>
      <c r="K85" s="352" t="s">
        <v>767</v>
      </c>
      <c r="L85" s="402">
        <v>2</v>
      </c>
      <c r="M85" s="352" t="s">
        <v>597</v>
      </c>
      <c r="N85" s="403">
        <v>5500</v>
      </c>
      <c r="O85" s="404">
        <v>11000</v>
      </c>
      <c r="P85" s="421">
        <v>4</v>
      </c>
      <c r="Q85" s="492" t="s">
        <v>123</v>
      </c>
      <c r="R85" s="437">
        <v>31000</v>
      </c>
      <c r="S85" s="438">
        <f t="shared" si="10"/>
        <v>15000</v>
      </c>
      <c r="T85" s="439" t="s">
        <v>538</v>
      </c>
      <c r="U85" s="460" t="str">
        <f t="shared" si="11"/>
        <v/>
      </c>
      <c r="V85" s="439" t="s">
        <v>539</v>
      </c>
      <c r="W85" s="439" t="s">
        <v>540</v>
      </c>
      <c r="X85" s="439" t="s">
        <v>709</v>
      </c>
      <c r="Y85" s="439" t="s">
        <v>710</v>
      </c>
      <c r="Z85" s="449" t="s">
        <v>710</v>
      </c>
      <c r="AA85" s="440" t="s">
        <v>597</v>
      </c>
      <c r="AB85" s="441">
        <f t="shared" si="12"/>
        <v>4954.9549549549547</v>
      </c>
      <c r="AC85" s="442">
        <f t="shared" si="13"/>
        <v>9909.9099099099094</v>
      </c>
      <c r="AD85" s="437">
        <v>31000</v>
      </c>
      <c r="AE85" s="447">
        <v>4378378.3783783782</v>
      </c>
      <c r="AF85" s="447">
        <v>4860000</v>
      </c>
      <c r="AG85" s="437">
        <v>31000</v>
      </c>
      <c r="AH85" s="443" t="s">
        <v>2098</v>
      </c>
    </row>
    <row r="86" spans="1:36">
      <c r="A86" s="350">
        <v>54</v>
      </c>
      <c r="B86" s="352" t="s">
        <v>880</v>
      </c>
      <c r="C86" s="352" t="s">
        <v>704</v>
      </c>
      <c r="D86" s="355" t="s">
        <v>705</v>
      </c>
      <c r="E86" s="361">
        <v>44958</v>
      </c>
      <c r="F86" s="361">
        <v>44959</v>
      </c>
      <c r="G86" s="361">
        <f t="shared" si="15"/>
        <v>44959</v>
      </c>
      <c r="H86" s="361">
        <f t="shared" si="15"/>
        <v>44959</v>
      </c>
      <c r="I86" s="365">
        <v>45037</v>
      </c>
      <c r="J86" s="387" t="s">
        <v>237</v>
      </c>
      <c r="K86" s="436" t="s">
        <v>717</v>
      </c>
      <c r="L86" s="402">
        <v>2</v>
      </c>
      <c r="M86" s="352" t="s">
        <v>597</v>
      </c>
      <c r="N86" s="403">
        <v>7500</v>
      </c>
      <c r="O86" s="404">
        <v>15000</v>
      </c>
      <c r="P86" s="421">
        <v>4</v>
      </c>
      <c r="Q86" s="492" t="s">
        <v>110</v>
      </c>
      <c r="R86" s="437">
        <v>16500</v>
      </c>
      <c r="S86" s="438">
        <f t="shared" si="10"/>
        <v>19000</v>
      </c>
      <c r="T86" s="439" t="s">
        <v>538</v>
      </c>
      <c r="U86" s="460" t="str">
        <f t="shared" si="11"/>
        <v/>
      </c>
      <c r="V86" s="439" t="s">
        <v>539</v>
      </c>
      <c r="W86" s="439" t="s">
        <v>540</v>
      </c>
      <c r="X86" s="439" t="s">
        <v>709</v>
      </c>
      <c r="Y86" s="439" t="s">
        <v>710</v>
      </c>
      <c r="Z86" s="449" t="s">
        <v>710</v>
      </c>
      <c r="AA86" s="440" t="s">
        <v>735</v>
      </c>
      <c r="AB86" s="441">
        <f t="shared" si="12"/>
        <v>6756.7567567567567</v>
      </c>
      <c r="AC86" s="442">
        <f t="shared" si="13"/>
        <v>13513.513513513513</v>
      </c>
      <c r="AD86" s="437">
        <v>16500</v>
      </c>
      <c r="AE86" s="447">
        <v>4378378.3783783782</v>
      </c>
      <c r="AF86" s="447">
        <v>4860000</v>
      </c>
      <c r="AG86" s="437">
        <v>16500</v>
      </c>
      <c r="AH86" s="443" t="s">
        <v>2098</v>
      </c>
    </row>
    <row r="87" spans="1:36">
      <c r="A87" s="350">
        <v>54</v>
      </c>
      <c r="B87" s="352" t="s">
        <v>880</v>
      </c>
      <c r="C87" s="352" t="s">
        <v>704</v>
      </c>
      <c r="D87" s="355" t="s">
        <v>705</v>
      </c>
      <c r="E87" s="361">
        <v>44958</v>
      </c>
      <c r="F87" s="361">
        <v>44959</v>
      </c>
      <c r="G87" s="361">
        <f t="shared" si="15"/>
        <v>44959</v>
      </c>
      <c r="H87" s="361">
        <f t="shared" si="15"/>
        <v>44959</v>
      </c>
      <c r="I87" s="365">
        <v>45037</v>
      </c>
      <c r="J87" s="387" t="s">
        <v>256</v>
      </c>
      <c r="K87" s="436" t="s">
        <v>727</v>
      </c>
      <c r="L87" s="402">
        <v>1</v>
      </c>
      <c r="M87" s="352" t="s">
        <v>728</v>
      </c>
      <c r="N87" s="403">
        <v>21000</v>
      </c>
      <c r="O87" s="404">
        <v>21000</v>
      </c>
      <c r="P87" s="421">
        <v>4</v>
      </c>
      <c r="Q87" s="492" t="s">
        <v>128</v>
      </c>
      <c r="R87" s="437">
        <v>750000</v>
      </c>
      <c r="S87" s="438">
        <f t="shared" si="10"/>
        <v>23000</v>
      </c>
      <c r="T87" s="439" t="s">
        <v>538</v>
      </c>
      <c r="U87" s="460" t="str">
        <f t="shared" si="11"/>
        <v/>
      </c>
      <c r="V87" s="439" t="s">
        <v>539</v>
      </c>
      <c r="W87" s="439" t="s">
        <v>540</v>
      </c>
      <c r="X87" s="439" t="s">
        <v>709</v>
      </c>
      <c r="Y87" s="439" t="s">
        <v>710</v>
      </c>
      <c r="Z87" s="449" t="s">
        <v>710</v>
      </c>
      <c r="AA87" s="440" t="s">
        <v>753</v>
      </c>
      <c r="AB87" s="441">
        <f t="shared" si="12"/>
        <v>18918.91891891892</v>
      </c>
      <c r="AC87" s="442">
        <f t="shared" si="13"/>
        <v>18918.91891891892</v>
      </c>
      <c r="AD87" s="437">
        <v>750000</v>
      </c>
      <c r="AE87" s="447">
        <v>4378378.3783783782</v>
      </c>
      <c r="AF87" s="447">
        <v>4860000</v>
      </c>
      <c r="AG87" s="437">
        <v>750000</v>
      </c>
      <c r="AH87" s="443" t="s">
        <v>2098</v>
      </c>
    </row>
    <row r="88" spans="1:36">
      <c r="A88" s="350">
        <v>54</v>
      </c>
      <c r="B88" s="352" t="s">
        <v>880</v>
      </c>
      <c r="C88" s="352" t="s">
        <v>704</v>
      </c>
      <c r="D88" s="355" t="s">
        <v>705</v>
      </c>
      <c r="E88" s="361">
        <v>44958</v>
      </c>
      <c r="F88" s="361">
        <v>44959</v>
      </c>
      <c r="G88" s="361">
        <f t="shared" si="15"/>
        <v>44959</v>
      </c>
      <c r="H88" s="361">
        <f t="shared" si="15"/>
        <v>44959</v>
      </c>
      <c r="I88" s="365">
        <v>45037</v>
      </c>
      <c r="J88" s="387" t="s">
        <v>762</v>
      </c>
      <c r="K88" s="387" t="s">
        <v>762</v>
      </c>
      <c r="L88" s="402">
        <v>1</v>
      </c>
      <c r="M88" s="352" t="s">
        <v>488</v>
      </c>
      <c r="N88" s="403">
        <v>15000</v>
      </c>
      <c r="O88" s="404">
        <v>15000</v>
      </c>
      <c r="P88" s="421">
        <v>4</v>
      </c>
      <c r="Q88" s="492" t="s">
        <v>130</v>
      </c>
      <c r="R88" s="437">
        <v>75000</v>
      </c>
      <c r="S88" s="438">
        <f t="shared" si="10"/>
        <v>17000</v>
      </c>
      <c r="T88" s="439" t="s">
        <v>538</v>
      </c>
      <c r="U88" s="460" t="str">
        <f t="shared" si="11"/>
        <v/>
      </c>
      <c r="V88" s="439" t="s">
        <v>539</v>
      </c>
      <c r="W88" s="439" t="s">
        <v>540</v>
      </c>
      <c r="X88" s="439" t="s">
        <v>709</v>
      </c>
      <c r="Y88" s="439" t="s">
        <v>710</v>
      </c>
      <c r="Z88" s="449" t="s">
        <v>710</v>
      </c>
      <c r="AA88" s="440" t="s">
        <v>488</v>
      </c>
      <c r="AB88" s="441">
        <f t="shared" si="12"/>
        <v>13513.513513513513</v>
      </c>
      <c r="AC88" s="442">
        <f t="shared" si="13"/>
        <v>13513.513513513513</v>
      </c>
      <c r="AD88" s="437">
        <v>75000</v>
      </c>
      <c r="AE88" s="447">
        <v>4378378.3783783782</v>
      </c>
      <c r="AF88" s="447">
        <v>4860000</v>
      </c>
      <c r="AG88" s="437">
        <v>75000</v>
      </c>
      <c r="AH88" s="443" t="s">
        <v>2098</v>
      </c>
    </row>
    <row r="89" spans="1:36">
      <c r="A89" s="350">
        <v>54</v>
      </c>
      <c r="B89" s="352" t="s">
        <v>880</v>
      </c>
      <c r="C89" s="352" t="s">
        <v>704</v>
      </c>
      <c r="D89" s="355" t="s">
        <v>705</v>
      </c>
      <c r="E89" s="361">
        <v>44958</v>
      </c>
      <c r="F89" s="361">
        <v>44959</v>
      </c>
      <c r="G89" s="361">
        <f t="shared" si="15"/>
        <v>44959</v>
      </c>
      <c r="H89" s="361">
        <f t="shared" si="15"/>
        <v>44959</v>
      </c>
      <c r="I89" s="365">
        <v>45037</v>
      </c>
      <c r="J89" s="387" t="s">
        <v>238</v>
      </c>
      <c r="K89" s="352" t="s">
        <v>238</v>
      </c>
      <c r="L89" s="402">
        <v>2</v>
      </c>
      <c r="M89" s="352" t="s">
        <v>597</v>
      </c>
      <c r="N89" s="403">
        <v>11000</v>
      </c>
      <c r="O89" s="404">
        <v>22000</v>
      </c>
      <c r="P89" s="421">
        <v>4</v>
      </c>
      <c r="Q89" s="492" t="s">
        <v>137</v>
      </c>
      <c r="R89" s="437">
        <v>20000</v>
      </c>
      <c r="S89" s="438">
        <f t="shared" si="10"/>
        <v>26000</v>
      </c>
      <c r="T89" s="439" t="s">
        <v>538</v>
      </c>
      <c r="U89" s="460" t="str">
        <f t="shared" si="11"/>
        <v/>
      </c>
      <c r="V89" s="439" t="s">
        <v>539</v>
      </c>
      <c r="W89" s="439" t="s">
        <v>540</v>
      </c>
      <c r="X89" s="439" t="s">
        <v>709</v>
      </c>
      <c r="Y89" s="439" t="s">
        <v>710</v>
      </c>
      <c r="Z89" s="449" t="s">
        <v>710</v>
      </c>
      <c r="AA89" s="440" t="s">
        <v>735</v>
      </c>
      <c r="AB89" s="441">
        <f t="shared" si="12"/>
        <v>9909.9099099099094</v>
      </c>
      <c r="AC89" s="442">
        <f t="shared" si="13"/>
        <v>19819.819819819819</v>
      </c>
      <c r="AD89" s="437">
        <v>20000</v>
      </c>
      <c r="AE89" s="447">
        <v>4378378.3783783782</v>
      </c>
      <c r="AF89" s="447">
        <v>4860000</v>
      </c>
      <c r="AG89" s="437">
        <v>20000</v>
      </c>
      <c r="AH89" s="443" t="s">
        <v>2098</v>
      </c>
    </row>
    <row r="90" spans="1:36">
      <c r="A90" s="350">
        <v>54</v>
      </c>
      <c r="B90" s="352" t="s">
        <v>880</v>
      </c>
      <c r="C90" s="352" t="s">
        <v>704</v>
      </c>
      <c r="D90" s="355" t="s">
        <v>705</v>
      </c>
      <c r="E90" s="361">
        <v>44958</v>
      </c>
      <c r="F90" s="361">
        <v>44959</v>
      </c>
      <c r="G90" s="361">
        <f t="shared" si="15"/>
        <v>44959</v>
      </c>
      <c r="H90" s="361">
        <f t="shared" si="15"/>
        <v>44959</v>
      </c>
      <c r="I90" s="365">
        <v>45037</v>
      </c>
      <c r="J90" s="387" t="s">
        <v>252</v>
      </c>
      <c r="K90" s="352" t="s">
        <v>786</v>
      </c>
      <c r="L90" s="402">
        <v>1</v>
      </c>
      <c r="M90" s="352" t="s">
        <v>753</v>
      </c>
      <c r="N90" s="403">
        <v>25000</v>
      </c>
      <c r="O90" s="404">
        <v>25000</v>
      </c>
      <c r="P90" s="421">
        <v>4</v>
      </c>
      <c r="Q90" s="492" t="s">
        <v>133</v>
      </c>
      <c r="R90" s="437">
        <v>70000</v>
      </c>
      <c r="S90" s="438">
        <f t="shared" si="10"/>
        <v>27000</v>
      </c>
      <c r="T90" s="439" t="s">
        <v>538</v>
      </c>
      <c r="U90" s="460" t="str">
        <f t="shared" si="11"/>
        <v/>
      </c>
      <c r="V90" s="439" t="s">
        <v>539</v>
      </c>
      <c r="W90" s="439" t="s">
        <v>540</v>
      </c>
      <c r="X90" s="439" t="s">
        <v>709</v>
      </c>
      <c r="Y90" s="439" t="s">
        <v>710</v>
      </c>
      <c r="Z90" s="449" t="s">
        <v>710</v>
      </c>
      <c r="AA90" s="440" t="s">
        <v>488</v>
      </c>
      <c r="AB90" s="441">
        <f t="shared" si="12"/>
        <v>22522.522522522522</v>
      </c>
      <c r="AC90" s="442">
        <f t="shared" si="13"/>
        <v>22522.522522522522</v>
      </c>
      <c r="AD90" s="437">
        <v>70000</v>
      </c>
      <c r="AE90" s="447">
        <v>4378378.3783783782</v>
      </c>
      <c r="AF90" s="447">
        <v>4860000</v>
      </c>
      <c r="AG90" s="437">
        <v>70000</v>
      </c>
      <c r="AH90" s="443" t="s">
        <v>2098</v>
      </c>
    </row>
    <row r="91" spans="1:36">
      <c r="A91" s="350">
        <v>54</v>
      </c>
      <c r="B91" s="352" t="s">
        <v>880</v>
      </c>
      <c r="C91" s="352" t="s">
        <v>704</v>
      </c>
      <c r="D91" s="355" t="s">
        <v>705</v>
      </c>
      <c r="E91" s="361">
        <v>44958</v>
      </c>
      <c r="F91" s="361">
        <v>44959</v>
      </c>
      <c r="G91" s="361">
        <f t="shared" si="15"/>
        <v>44959</v>
      </c>
      <c r="H91" s="361">
        <f t="shared" si="15"/>
        <v>44959</v>
      </c>
      <c r="I91" s="365">
        <v>45037</v>
      </c>
      <c r="J91" s="387" t="s">
        <v>897</v>
      </c>
      <c r="K91" s="436" t="s">
        <v>723</v>
      </c>
      <c r="L91" s="402">
        <v>1</v>
      </c>
      <c r="M91" s="352" t="s">
        <v>724</v>
      </c>
      <c r="N91" s="403">
        <v>45000</v>
      </c>
      <c r="O91" s="404">
        <v>45000</v>
      </c>
      <c r="P91" s="421">
        <v>4</v>
      </c>
      <c r="Q91" s="492" t="s">
        <v>137</v>
      </c>
      <c r="R91" s="437">
        <v>11500</v>
      </c>
      <c r="S91" s="438">
        <f t="shared" si="10"/>
        <v>47000</v>
      </c>
      <c r="T91" s="439" t="s">
        <v>538</v>
      </c>
      <c r="U91" s="460" t="str">
        <f t="shared" si="11"/>
        <v/>
      </c>
      <c r="V91" s="428" t="s">
        <v>539</v>
      </c>
      <c r="W91" s="439" t="s">
        <v>540</v>
      </c>
      <c r="X91" s="439" t="s">
        <v>709</v>
      </c>
      <c r="Y91" s="439" t="s">
        <v>710</v>
      </c>
      <c r="Z91" s="449" t="s">
        <v>710</v>
      </c>
      <c r="AA91" s="440" t="s">
        <v>735</v>
      </c>
      <c r="AB91" s="441">
        <f t="shared" si="12"/>
        <v>40540.54054054054</v>
      </c>
      <c r="AC91" s="442">
        <f t="shared" si="13"/>
        <v>40540.54054054054</v>
      </c>
      <c r="AD91" s="437">
        <v>11500</v>
      </c>
      <c r="AE91" s="447">
        <v>4378378.3783783782</v>
      </c>
      <c r="AF91" s="447">
        <v>4860000</v>
      </c>
      <c r="AG91" s="437">
        <v>11500</v>
      </c>
      <c r="AH91" s="443" t="s">
        <v>2098</v>
      </c>
    </row>
    <row r="92" spans="1:36">
      <c r="A92" s="350">
        <v>54</v>
      </c>
      <c r="B92" s="352" t="s">
        <v>880</v>
      </c>
      <c r="C92" s="352" t="s">
        <v>704</v>
      </c>
      <c r="D92" s="355" t="s">
        <v>705</v>
      </c>
      <c r="E92" s="361">
        <v>44958</v>
      </c>
      <c r="F92" s="361">
        <v>44959</v>
      </c>
      <c r="G92" s="361">
        <f t="shared" si="15"/>
        <v>44959</v>
      </c>
      <c r="H92" s="361">
        <f t="shared" si="15"/>
        <v>44959</v>
      </c>
      <c r="I92" s="365">
        <v>45037</v>
      </c>
      <c r="J92" s="387" t="s">
        <v>240</v>
      </c>
      <c r="K92" s="436" t="s">
        <v>731</v>
      </c>
      <c r="L92" s="402">
        <v>1</v>
      </c>
      <c r="M92" s="352" t="s">
        <v>597</v>
      </c>
      <c r="N92" s="403">
        <v>20000</v>
      </c>
      <c r="O92" s="404">
        <v>20000</v>
      </c>
      <c r="P92" s="421">
        <v>4</v>
      </c>
      <c r="Q92" s="494" t="s">
        <v>163</v>
      </c>
      <c r="R92" s="437">
        <v>1000000</v>
      </c>
      <c r="S92" s="438">
        <f t="shared" si="10"/>
        <v>22000</v>
      </c>
      <c r="T92" s="439" t="s">
        <v>538</v>
      </c>
      <c r="U92" s="460" t="str">
        <f t="shared" si="11"/>
        <v/>
      </c>
      <c r="V92" s="428" t="s">
        <v>539</v>
      </c>
      <c r="W92" s="439" t="s">
        <v>540</v>
      </c>
      <c r="X92" s="439" t="s">
        <v>474</v>
      </c>
      <c r="Y92" s="439" t="str">
        <f>J92</f>
        <v>Binder Klip  nomor 260</v>
      </c>
      <c r="Z92" s="449" t="s">
        <v>1545</v>
      </c>
      <c r="AA92" s="440" t="s">
        <v>597</v>
      </c>
      <c r="AB92" s="441">
        <f t="shared" si="12"/>
        <v>18018.018018018018</v>
      </c>
      <c r="AC92" s="442">
        <f t="shared" si="13"/>
        <v>18018.018018018018</v>
      </c>
      <c r="AD92" s="437">
        <v>1000000</v>
      </c>
      <c r="AE92" s="447">
        <v>900900.90090090083</v>
      </c>
      <c r="AF92" s="447">
        <v>1000000</v>
      </c>
      <c r="AG92" s="437">
        <v>1000000</v>
      </c>
      <c r="AH92" s="443" t="s">
        <v>2098</v>
      </c>
    </row>
    <row r="93" spans="1:36" ht="25">
      <c r="A93" s="350">
        <v>54</v>
      </c>
      <c r="B93" s="352" t="s">
        <v>880</v>
      </c>
      <c r="C93" s="352" t="s">
        <v>704</v>
      </c>
      <c r="D93" s="355" t="s">
        <v>705</v>
      </c>
      <c r="E93" s="361">
        <v>44958</v>
      </c>
      <c r="F93" s="361">
        <v>44959</v>
      </c>
      <c r="G93" s="361">
        <f t="shared" si="15"/>
        <v>44959</v>
      </c>
      <c r="H93" s="361">
        <f t="shared" si="15"/>
        <v>44959</v>
      </c>
      <c r="I93" s="365">
        <v>45037</v>
      </c>
      <c r="J93" s="387" t="s">
        <v>898</v>
      </c>
      <c r="K93" s="388" t="s">
        <v>899</v>
      </c>
      <c r="L93" s="402">
        <v>20</v>
      </c>
      <c r="M93" s="352" t="s">
        <v>488</v>
      </c>
      <c r="N93" s="403">
        <v>10000</v>
      </c>
      <c r="O93" s="404">
        <v>200000</v>
      </c>
      <c r="P93" s="421">
        <v>4</v>
      </c>
      <c r="Q93" s="493" t="s">
        <v>81</v>
      </c>
      <c r="R93" s="437">
        <v>2450000</v>
      </c>
      <c r="S93" s="438">
        <f t="shared" si="10"/>
        <v>240000</v>
      </c>
      <c r="T93" s="439" t="s">
        <v>538</v>
      </c>
      <c r="U93" s="460" t="str">
        <f t="shared" si="11"/>
        <v/>
      </c>
      <c r="V93" s="428" t="s">
        <v>539</v>
      </c>
      <c r="W93" s="439" t="s">
        <v>540</v>
      </c>
      <c r="X93" s="439" t="s">
        <v>468</v>
      </c>
      <c r="Y93" s="439" t="str">
        <f>J93</f>
        <v>Buku Register folio 50</v>
      </c>
      <c r="Z93" s="449" t="s">
        <v>8</v>
      </c>
      <c r="AA93" s="440" t="s">
        <v>472</v>
      </c>
      <c r="AB93" s="441">
        <f t="shared" si="12"/>
        <v>9009.0090090090089</v>
      </c>
      <c r="AC93" s="442">
        <f t="shared" si="13"/>
        <v>180180.18018018018</v>
      </c>
      <c r="AD93" s="437">
        <v>2450000</v>
      </c>
      <c r="AE93" s="447">
        <v>2207207.2072072071</v>
      </c>
      <c r="AF93" s="447">
        <v>2450000</v>
      </c>
      <c r="AG93" s="437">
        <v>2450000</v>
      </c>
      <c r="AH93" s="443" t="s">
        <v>2098</v>
      </c>
    </row>
    <row r="94" spans="1:36">
      <c r="A94" s="350">
        <v>54</v>
      </c>
      <c r="B94" s="352" t="s">
        <v>880</v>
      </c>
      <c r="C94" s="352" t="s">
        <v>704</v>
      </c>
      <c r="D94" s="355" t="s">
        <v>705</v>
      </c>
      <c r="E94" s="361">
        <v>44958</v>
      </c>
      <c r="F94" s="361">
        <v>44959</v>
      </c>
      <c r="G94" s="361">
        <f t="shared" si="15"/>
        <v>44959</v>
      </c>
      <c r="H94" s="361">
        <f t="shared" si="15"/>
        <v>44959</v>
      </c>
      <c r="I94" s="365">
        <v>45037</v>
      </c>
      <c r="J94" s="387" t="s">
        <v>242</v>
      </c>
      <c r="K94" s="436" t="s">
        <v>760</v>
      </c>
      <c r="L94" s="402">
        <v>1</v>
      </c>
      <c r="M94" s="352" t="s">
        <v>488</v>
      </c>
      <c r="N94" s="403">
        <v>26000</v>
      </c>
      <c r="O94" s="404">
        <v>26000</v>
      </c>
      <c r="P94" s="421">
        <v>4</v>
      </c>
      <c r="Q94" s="491" t="s">
        <v>164</v>
      </c>
      <c r="R94" s="437">
        <v>560000</v>
      </c>
      <c r="S94" s="438">
        <f t="shared" si="10"/>
        <v>28000</v>
      </c>
      <c r="T94" s="439" t="s">
        <v>538</v>
      </c>
      <c r="U94" s="460" t="str">
        <f t="shared" si="11"/>
        <v/>
      </c>
      <c r="V94" s="428" t="s">
        <v>539</v>
      </c>
      <c r="W94" s="439" t="s">
        <v>540</v>
      </c>
      <c r="X94" s="439" t="s">
        <v>474</v>
      </c>
      <c r="Y94" s="439" t="str">
        <f>J94</f>
        <v>Binder Klip Ordner</v>
      </c>
      <c r="Z94" s="449" t="s">
        <v>1545</v>
      </c>
      <c r="AA94" s="440" t="s">
        <v>488</v>
      </c>
      <c r="AB94" s="441">
        <f t="shared" si="12"/>
        <v>23423.423423423425</v>
      </c>
      <c r="AC94" s="442">
        <f t="shared" si="13"/>
        <v>23423.423423423425</v>
      </c>
      <c r="AD94" s="437">
        <v>560000</v>
      </c>
      <c r="AE94" s="447">
        <v>1513513.5135135134</v>
      </c>
      <c r="AF94" s="447">
        <v>1680000</v>
      </c>
      <c r="AG94" s="437">
        <v>560000</v>
      </c>
      <c r="AH94" s="443" t="s">
        <v>2098</v>
      </c>
      <c r="AI94" s="448">
        <f>SUM(AC94:AC95)</f>
        <v>915315.31531531527</v>
      </c>
      <c r="AJ94" s="448">
        <f>SUM(AD94:AD95)</f>
        <v>1680000</v>
      </c>
    </row>
    <row r="95" spans="1:36">
      <c r="A95" s="350">
        <v>54</v>
      </c>
      <c r="B95" s="352" t="s">
        <v>880</v>
      </c>
      <c r="C95" s="352" t="s">
        <v>704</v>
      </c>
      <c r="D95" s="355" t="s">
        <v>705</v>
      </c>
      <c r="E95" s="361">
        <v>44958</v>
      </c>
      <c r="F95" s="361">
        <v>44959</v>
      </c>
      <c r="G95" s="361">
        <f t="shared" si="15"/>
        <v>44959</v>
      </c>
      <c r="H95" s="361">
        <f t="shared" si="15"/>
        <v>44959</v>
      </c>
      <c r="I95" s="365">
        <v>45037</v>
      </c>
      <c r="J95" s="387" t="s">
        <v>901</v>
      </c>
      <c r="K95" s="352" t="s">
        <v>902</v>
      </c>
      <c r="L95" s="402">
        <v>22</v>
      </c>
      <c r="M95" s="352" t="s">
        <v>488</v>
      </c>
      <c r="N95" s="403">
        <v>45000</v>
      </c>
      <c r="O95" s="404">
        <v>990000</v>
      </c>
      <c r="P95" s="421">
        <v>4</v>
      </c>
      <c r="Q95" s="491" t="s">
        <v>165</v>
      </c>
      <c r="R95" s="437">
        <v>1120000</v>
      </c>
      <c r="S95" s="438">
        <f t="shared" si="10"/>
        <v>1034000</v>
      </c>
      <c r="T95" s="439" t="s">
        <v>538</v>
      </c>
      <c r="U95" s="460" t="str">
        <f t="shared" si="11"/>
        <v/>
      </c>
      <c r="V95" s="428" t="s">
        <v>539</v>
      </c>
      <c r="W95" s="439" t="s">
        <v>540</v>
      </c>
      <c r="X95" s="439" t="s">
        <v>490</v>
      </c>
      <c r="Y95" s="439" t="str">
        <f>J95</f>
        <v>Flash Disk</v>
      </c>
      <c r="Z95" s="616" t="s">
        <v>280</v>
      </c>
      <c r="AA95" s="440" t="s">
        <v>587</v>
      </c>
      <c r="AB95" s="441">
        <f t="shared" si="12"/>
        <v>40540.54054054054</v>
      </c>
      <c r="AC95" s="442">
        <f t="shared" si="13"/>
        <v>891891.89189189184</v>
      </c>
      <c r="AD95" s="437">
        <v>1120000</v>
      </c>
      <c r="AE95" s="447">
        <v>1513513.5135135134</v>
      </c>
      <c r="AF95" s="447">
        <v>1680000</v>
      </c>
      <c r="AG95" s="437">
        <v>1120000</v>
      </c>
      <c r="AH95" s="443" t="s">
        <v>2098</v>
      </c>
    </row>
    <row r="96" spans="1:36">
      <c r="A96" s="350">
        <v>54</v>
      </c>
      <c r="B96" s="352" t="s">
        <v>880</v>
      </c>
      <c r="C96" s="352" t="s">
        <v>704</v>
      </c>
      <c r="D96" s="355" t="s">
        <v>705</v>
      </c>
      <c r="E96" s="361">
        <v>44958</v>
      </c>
      <c r="F96" s="361">
        <v>44959</v>
      </c>
      <c r="G96" s="361">
        <f t="shared" si="15"/>
        <v>44959</v>
      </c>
      <c r="H96" s="361">
        <f t="shared" si="15"/>
        <v>44959</v>
      </c>
      <c r="I96" s="365">
        <v>45037</v>
      </c>
      <c r="J96" s="387" t="s">
        <v>259</v>
      </c>
      <c r="K96" s="436" t="s">
        <v>752</v>
      </c>
      <c r="L96" s="402">
        <v>1</v>
      </c>
      <c r="M96" s="352" t="s">
        <v>753</v>
      </c>
      <c r="N96" s="403">
        <v>35000</v>
      </c>
      <c r="O96" s="404">
        <v>35000</v>
      </c>
      <c r="P96" s="421">
        <v>4</v>
      </c>
      <c r="Q96" s="439"/>
      <c r="R96" s="437">
        <v>100000</v>
      </c>
      <c r="S96" s="438">
        <f t="shared" si="10"/>
        <v>37000</v>
      </c>
      <c r="T96" s="439" t="s">
        <v>538</v>
      </c>
      <c r="U96" s="460" t="str">
        <f t="shared" si="11"/>
        <v/>
      </c>
      <c r="V96" s="428" t="s">
        <v>539</v>
      </c>
      <c r="W96" s="439" t="s">
        <v>540</v>
      </c>
      <c r="X96" s="439"/>
      <c r="Y96" s="439" t="s">
        <v>542</v>
      </c>
      <c r="Z96" s="449" t="s">
        <v>542</v>
      </c>
      <c r="AA96" s="440" t="s">
        <v>667</v>
      </c>
      <c r="AB96" s="441">
        <f t="shared" si="12"/>
        <v>31531.531531531531</v>
      </c>
      <c r="AC96" s="442">
        <f t="shared" si="13"/>
        <v>31531.531531531531</v>
      </c>
      <c r="AD96" s="437">
        <v>100000</v>
      </c>
      <c r="AE96" s="447">
        <v>1333333.3333333333</v>
      </c>
      <c r="AF96" s="447">
        <v>1480000</v>
      </c>
      <c r="AG96" s="437">
        <v>100000</v>
      </c>
      <c r="AH96" s="443" t="s">
        <v>2098</v>
      </c>
      <c r="AI96" s="448">
        <f>SUM(AC96:AC101)</f>
        <v>1003153.1531531531</v>
      </c>
      <c r="AJ96" s="448">
        <f>SUM(AD96:AD101)</f>
        <v>1480000</v>
      </c>
    </row>
    <row r="97" spans="1:36">
      <c r="A97" s="350">
        <v>54</v>
      </c>
      <c r="B97" s="352" t="s">
        <v>880</v>
      </c>
      <c r="C97" s="352" t="s">
        <v>704</v>
      </c>
      <c r="D97" s="355" t="s">
        <v>705</v>
      </c>
      <c r="E97" s="361">
        <v>44958</v>
      </c>
      <c r="F97" s="361">
        <v>44959</v>
      </c>
      <c r="G97" s="361">
        <f t="shared" si="15"/>
        <v>44959</v>
      </c>
      <c r="H97" s="361">
        <f t="shared" si="15"/>
        <v>44959</v>
      </c>
      <c r="I97" s="365">
        <v>45037</v>
      </c>
      <c r="J97" s="387" t="s">
        <v>740</v>
      </c>
      <c r="K97" s="388" t="s">
        <v>741</v>
      </c>
      <c r="L97" s="791">
        <v>2</v>
      </c>
      <c r="M97" s="352" t="s">
        <v>488</v>
      </c>
      <c r="N97" s="403">
        <v>5500</v>
      </c>
      <c r="O97" s="404">
        <v>11000</v>
      </c>
      <c r="P97" s="459">
        <v>4</v>
      </c>
      <c r="Q97" s="439"/>
      <c r="R97" s="437">
        <v>330000</v>
      </c>
      <c r="S97" s="438">
        <f t="shared" si="10"/>
        <v>15000</v>
      </c>
      <c r="T97" s="439" t="s">
        <v>538</v>
      </c>
      <c r="U97" s="460" t="str">
        <f t="shared" si="11"/>
        <v/>
      </c>
      <c r="V97" s="439" t="s">
        <v>539</v>
      </c>
      <c r="W97" s="439" t="s">
        <v>540</v>
      </c>
      <c r="X97" s="439"/>
      <c r="Y97" s="439" t="s">
        <v>542</v>
      </c>
      <c r="Z97" s="449" t="s">
        <v>542</v>
      </c>
      <c r="AA97" s="440" t="s">
        <v>551</v>
      </c>
      <c r="AB97" s="441">
        <f t="shared" si="12"/>
        <v>4954.9549549549547</v>
      </c>
      <c r="AC97" s="442">
        <f t="shared" si="13"/>
        <v>9909.9099099099094</v>
      </c>
      <c r="AD97" s="437">
        <v>330000</v>
      </c>
      <c r="AE97" s="447">
        <v>1333333.3333333333</v>
      </c>
      <c r="AF97" s="447">
        <v>1480000</v>
      </c>
      <c r="AG97" s="437">
        <v>330000</v>
      </c>
      <c r="AH97" s="443" t="s">
        <v>2098</v>
      </c>
    </row>
    <row r="98" spans="1:36" ht="25">
      <c r="A98" s="350">
        <v>54</v>
      </c>
      <c r="B98" s="352" t="s">
        <v>880</v>
      </c>
      <c r="C98" s="352" t="s">
        <v>704</v>
      </c>
      <c r="D98" s="355" t="s">
        <v>705</v>
      </c>
      <c r="E98" s="361">
        <v>44958</v>
      </c>
      <c r="F98" s="361">
        <v>44959</v>
      </c>
      <c r="G98" s="361">
        <f t="shared" si="15"/>
        <v>44959</v>
      </c>
      <c r="H98" s="361">
        <f t="shared" si="15"/>
        <v>44959</v>
      </c>
      <c r="I98" s="365">
        <v>45037</v>
      </c>
      <c r="J98" s="387" t="s">
        <v>733</v>
      </c>
      <c r="K98" s="388" t="s">
        <v>734</v>
      </c>
      <c r="L98" s="402">
        <v>5</v>
      </c>
      <c r="M98" s="352" t="s">
        <v>735</v>
      </c>
      <c r="N98" s="403">
        <v>54000</v>
      </c>
      <c r="O98" s="404">
        <v>270000</v>
      </c>
      <c r="P98" s="459">
        <v>4</v>
      </c>
      <c r="Q98" s="629" t="s">
        <v>668</v>
      </c>
      <c r="R98" s="437">
        <v>90000</v>
      </c>
      <c r="S98" s="438">
        <f t="shared" si="10"/>
        <v>280000</v>
      </c>
      <c r="T98" s="439" t="s">
        <v>538</v>
      </c>
      <c r="U98" s="460" t="str">
        <f t="shared" si="11"/>
        <v/>
      </c>
      <c r="V98" s="439" t="s">
        <v>539</v>
      </c>
      <c r="W98" s="439" t="s">
        <v>540</v>
      </c>
      <c r="X98" s="445" t="s">
        <v>541</v>
      </c>
      <c r="Y98" s="439" t="s">
        <v>542</v>
      </c>
      <c r="Z98" s="449" t="s">
        <v>542</v>
      </c>
      <c r="AA98" s="440" t="s">
        <v>488</v>
      </c>
      <c r="AB98" s="441">
        <f t="shared" si="12"/>
        <v>48648.648648648646</v>
      </c>
      <c r="AC98" s="442">
        <f t="shared" si="13"/>
        <v>243243.24324324323</v>
      </c>
      <c r="AD98" s="437">
        <v>90000</v>
      </c>
      <c r="AE98" s="447">
        <v>1333333.3333333333</v>
      </c>
      <c r="AF98" s="447">
        <v>1480000</v>
      </c>
      <c r="AG98" s="437">
        <v>90000</v>
      </c>
      <c r="AH98" s="443" t="s">
        <v>2098</v>
      </c>
    </row>
    <row r="99" spans="1:36">
      <c r="A99" s="350">
        <v>54</v>
      </c>
      <c r="B99" s="352" t="s">
        <v>880</v>
      </c>
      <c r="C99" s="352" t="s">
        <v>704</v>
      </c>
      <c r="D99" s="355" t="s">
        <v>705</v>
      </c>
      <c r="E99" s="361">
        <v>44958</v>
      </c>
      <c r="F99" s="361">
        <v>44959</v>
      </c>
      <c r="G99" s="361">
        <f t="shared" si="15"/>
        <v>44959</v>
      </c>
      <c r="H99" s="361">
        <f t="shared" si="15"/>
        <v>44959</v>
      </c>
      <c r="I99" s="365">
        <v>45037</v>
      </c>
      <c r="J99" s="387" t="s">
        <v>904</v>
      </c>
      <c r="K99" s="388" t="s">
        <v>905</v>
      </c>
      <c r="L99" s="791">
        <v>2</v>
      </c>
      <c r="M99" s="352" t="s">
        <v>488</v>
      </c>
      <c r="N99" s="403">
        <v>15500</v>
      </c>
      <c r="O99" s="404">
        <v>31000</v>
      </c>
      <c r="P99" s="459">
        <v>4</v>
      </c>
      <c r="Q99" s="630" t="s">
        <v>537</v>
      </c>
      <c r="R99" s="437">
        <v>240000</v>
      </c>
      <c r="S99" s="438">
        <f t="shared" si="10"/>
        <v>35000</v>
      </c>
      <c r="T99" s="439" t="s">
        <v>538</v>
      </c>
      <c r="U99" s="460" t="str">
        <f t="shared" si="11"/>
        <v/>
      </c>
      <c r="V99" s="439" t="s">
        <v>539</v>
      </c>
      <c r="W99" s="439" t="s">
        <v>540</v>
      </c>
      <c r="X99" s="445" t="s">
        <v>541</v>
      </c>
      <c r="Y99" s="439" t="s">
        <v>542</v>
      </c>
      <c r="Z99" s="449" t="s">
        <v>542</v>
      </c>
      <c r="AA99" s="440" t="s">
        <v>488</v>
      </c>
      <c r="AB99" s="441">
        <f t="shared" si="12"/>
        <v>13963.963963963964</v>
      </c>
      <c r="AC99" s="442">
        <f t="shared" si="13"/>
        <v>27927.927927927929</v>
      </c>
      <c r="AD99" s="437">
        <v>240000</v>
      </c>
      <c r="AE99" s="447">
        <v>1333333.3333333333</v>
      </c>
      <c r="AF99" s="447">
        <v>1480000</v>
      </c>
      <c r="AG99" s="437">
        <v>240000</v>
      </c>
      <c r="AH99" s="443" t="s">
        <v>2098</v>
      </c>
    </row>
    <row r="100" spans="1:36">
      <c r="A100" s="350">
        <v>54</v>
      </c>
      <c r="B100" s="352" t="s">
        <v>880</v>
      </c>
      <c r="C100" s="352" t="s">
        <v>704</v>
      </c>
      <c r="D100" s="355" t="s">
        <v>705</v>
      </c>
      <c r="E100" s="361">
        <v>44958</v>
      </c>
      <c r="F100" s="361">
        <v>44959</v>
      </c>
      <c r="G100" s="361">
        <f t="shared" si="15"/>
        <v>44959</v>
      </c>
      <c r="H100" s="361">
        <f t="shared" si="15"/>
        <v>44959</v>
      </c>
      <c r="I100" s="365">
        <v>45037</v>
      </c>
      <c r="J100" s="387" t="s">
        <v>239</v>
      </c>
      <c r="K100" s="352" t="s">
        <v>239</v>
      </c>
      <c r="L100" s="791">
        <v>1</v>
      </c>
      <c r="M100" s="352" t="s">
        <v>597</v>
      </c>
      <c r="N100" s="403">
        <v>16500</v>
      </c>
      <c r="O100" s="404">
        <v>16500</v>
      </c>
      <c r="P100" s="459">
        <v>4</v>
      </c>
      <c r="Q100" s="439"/>
      <c r="R100" s="437">
        <v>600000</v>
      </c>
      <c r="S100" s="438">
        <f t="shared" si="10"/>
        <v>18500</v>
      </c>
      <c r="T100" s="439" t="s">
        <v>538</v>
      </c>
      <c r="U100" s="460" t="str">
        <f t="shared" si="11"/>
        <v/>
      </c>
      <c r="V100" s="439" t="s">
        <v>539</v>
      </c>
      <c r="W100" s="439" t="s">
        <v>540</v>
      </c>
      <c r="X100" s="439"/>
      <c r="Y100" s="439" t="s">
        <v>542</v>
      </c>
      <c r="Z100" s="449" t="s">
        <v>542</v>
      </c>
      <c r="AA100" s="440" t="s">
        <v>488</v>
      </c>
      <c r="AB100" s="441">
        <f t="shared" si="12"/>
        <v>14864.864864864865</v>
      </c>
      <c r="AC100" s="442">
        <f t="shared" si="13"/>
        <v>14864.864864864865</v>
      </c>
      <c r="AD100" s="437">
        <v>600000</v>
      </c>
      <c r="AE100" s="447">
        <v>1333333.3333333333</v>
      </c>
      <c r="AF100" s="447">
        <v>1480000</v>
      </c>
      <c r="AG100" s="437">
        <v>600000</v>
      </c>
      <c r="AH100" s="443" t="s">
        <v>2098</v>
      </c>
    </row>
    <row r="101" spans="1:36" ht="37.5">
      <c r="A101" s="350">
        <v>54</v>
      </c>
      <c r="B101" s="352" t="s">
        <v>880</v>
      </c>
      <c r="C101" s="352" t="s">
        <v>704</v>
      </c>
      <c r="D101" s="355" t="s">
        <v>705</v>
      </c>
      <c r="E101" s="361">
        <v>44958</v>
      </c>
      <c r="F101" s="361">
        <v>44959</v>
      </c>
      <c r="G101" s="361">
        <f t="shared" ref="G101:H107" si="16">F101</f>
        <v>44959</v>
      </c>
      <c r="H101" s="361">
        <f t="shared" si="16"/>
        <v>44959</v>
      </c>
      <c r="I101" s="365">
        <v>45037</v>
      </c>
      <c r="J101" s="387" t="s">
        <v>247</v>
      </c>
      <c r="K101" s="387" t="s">
        <v>247</v>
      </c>
      <c r="L101" s="402">
        <v>15</v>
      </c>
      <c r="M101" s="352" t="s">
        <v>735</v>
      </c>
      <c r="N101" s="403">
        <v>50000</v>
      </c>
      <c r="O101" s="404">
        <v>750000</v>
      </c>
      <c r="P101" s="421">
        <v>4</v>
      </c>
      <c r="Q101" s="439"/>
      <c r="R101" s="437">
        <v>120000</v>
      </c>
      <c r="S101" s="438">
        <f t="shared" si="10"/>
        <v>780000</v>
      </c>
      <c r="T101" s="439" t="s">
        <v>538</v>
      </c>
      <c r="U101" s="460" t="str">
        <f t="shared" si="11"/>
        <v/>
      </c>
      <c r="V101" s="439" t="s">
        <v>539</v>
      </c>
      <c r="W101" s="439" t="s">
        <v>540</v>
      </c>
      <c r="X101" s="439"/>
      <c r="Y101" s="439" t="s">
        <v>542</v>
      </c>
      <c r="Z101" s="449" t="s">
        <v>542</v>
      </c>
      <c r="AA101" s="440" t="s">
        <v>574</v>
      </c>
      <c r="AB101" s="441">
        <f t="shared" si="12"/>
        <v>45045.045045045044</v>
      </c>
      <c r="AC101" s="442">
        <f t="shared" si="13"/>
        <v>675675.67567567562</v>
      </c>
      <c r="AD101" s="437">
        <v>120000</v>
      </c>
      <c r="AE101" s="447">
        <v>1333333.3333333333</v>
      </c>
      <c r="AF101" s="447">
        <v>1480000</v>
      </c>
      <c r="AG101" s="437">
        <v>120000</v>
      </c>
      <c r="AH101" s="443" t="s">
        <v>2098</v>
      </c>
    </row>
    <row r="102" spans="1:36">
      <c r="A102" s="350">
        <v>54</v>
      </c>
      <c r="B102" s="352" t="s">
        <v>880</v>
      </c>
      <c r="C102" s="352" t="s">
        <v>704</v>
      </c>
      <c r="D102" s="355" t="s">
        <v>705</v>
      </c>
      <c r="E102" s="361">
        <v>44958</v>
      </c>
      <c r="F102" s="361">
        <v>44959</v>
      </c>
      <c r="G102" s="361">
        <f t="shared" si="16"/>
        <v>44959</v>
      </c>
      <c r="H102" s="361">
        <f t="shared" si="16"/>
        <v>44959</v>
      </c>
      <c r="I102" s="365">
        <v>45037</v>
      </c>
      <c r="J102" s="387" t="s">
        <v>779</v>
      </c>
      <c r="K102" s="388" t="s">
        <v>906</v>
      </c>
      <c r="L102" s="402">
        <v>1</v>
      </c>
      <c r="M102" s="352" t="s">
        <v>753</v>
      </c>
      <c r="N102" s="403">
        <v>75000</v>
      </c>
      <c r="O102" s="404">
        <v>75000</v>
      </c>
      <c r="P102" s="421">
        <v>4</v>
      </c>
      <c r="Q102" s="439" t="s">
        <v>575</v>
      </c>
      <c r="R102" s="437">
        <v>1050000</v>
      </c>
      <c r="S102" s="438">
        <f t="shared" si="10"/>
        <v>77000</v>
      </c>
      <c r="T102" s="439" t="s">
        <v>538</v>
      </c>
      <c r="U102" s="460" t="str">
        <f t="shared" si="11"/>
        <v/>
      </c>
      <c r="V102" s="439" t="s">
        <v>539</v>
      </c>
      <c r="W102" s="439" t="s">
        <v>540</v>
      </c>
      <c r="X102" s="445" t="s">
        <v>541</v>
      </c>
      <c r="Y102" s="439" t="str">
        <f>J102</f>
        <v>Kertas Buffalo</v>
      </c>
      <c r="Z102" s="449" t="str">
        <f>K102</f>
        <v>Kertas Buffalo Sinar Dunia</v>
      </c>
      <c r="AA102" s="440" t="s">
        <v>488</v>
      </c>
      <c r="AB102" s="441">
        <f t="shared" si="12"/>
        <v>67567.567567567574</v>
      </c>
      <c r="AC102" s="442">
        <f t="shared" si="13"/>
        <v>67567.567567567574</v>
      </c>
      <c r="AD102" s="437">
        <v>1050000</v>
      </c>
      <c r="AE102" s="447">
        <v>945945.94594594592</v>
      </c>
      <c r="AF102" s="447">
        <v>1050000</v>
      </c>
      <c r="AG102" s="437">
        <v>1050000</v>
      </c>
      <c r="AH102" s="443" t="s">
        <v>2098</v>
      </c>
    </row>
    <row r="103" spans="1:36" ht="15.5">
      <c r="A103" s="350">
        <v>54</v>
      </c>
      <c r="B103" s="352" t="s">
        <v>880</v>
      </c>
      <c r="C103" s="352" t="s">
        <v>704</v>
      </c>
      <c r="D103" s="355" t="s">
        <v>705</v>
      </c>
      <c r="E103" s="361">
        <v>44958</v>
      </c>
      <c r="F103" s="361">
        <v>44959</v>
      </c>
      <c r="G103" s="361">
        <f t="shared" si="16"/>
        <v>44959</v>
      </c>
      <c r="H103" s="361">
        <f t="shared" si="16"/>
        <v>44959</v>
      </c>
      <c r="I103" s="365">
        <v>45037</v>
      </c>
      <c r="J103" s="387" t="s">
        <v>711</v>
      </c>
      <c r="K103" s="352" t="s">
        <v>738</v>
      </c>
      <c r="L103" s="402">
        <v>1</v>
      </c>
      <c r="M103" s="352" t="s">
        <v>488</v>
      </c>
      <c r="N103" s="403">
        <v>20000</v>
      </c>
      <c r="O103" s="404">
        <v>20000</v>
      </c>
      <c r="P103" s="421">
        <v>4</v>
      </c>
      <c r="Q103" s="493" t="s">
        <v>81</v>
      </c>
      <c r="R103" s="437">
        <v>1050000</v>
      </c>
      <c r="S103" s="438">
        <f t="shared" si="10"/>
        <v>22000</v>
      </c>
      <c r="T103" s="439" t="s">
        <v>538</v>
      </c>
      <c r="U103" s="460" t="str">
        <f t="shared" si="11"/>
        <v/>
      </c>
      <c r="V103" s="439" t="s">
        <v>539</v>
      </c>
      <c r="W103" s="439" t="s">
        <v>540</v>
      </c>
      <c r="X103" s="439" t="s">
        <v>468</v>
      </c>
      <c r="Y103" s="439" t="str">
        <f>J103</f>
        <v>Lakban Kain Warna Hitam</v>
      </c>
      <c r="Z103" s="449" t="s">
        <v>8</v>
      </c>
      <c r="AA103" s="440" t="s">
        <v>472</v>
      </c>
      <c r="AB103" s="441">
        <f t="shared" si="12"/>
        <v>18018.018018018018</v>
      </c>
      <c r="AC103" s="442">
        <f t="shared" si="13"/>
        <v>18018.018018018018</v>
      </c>
      <c r="AD103" s="437">
        <v>1050000</v>
      </c>
      <c r="AE103" s="447">
        <v>945945.94594594592</v>
      </c>
      <c r="AF103" s="447">
        <v>1050000</v>
      </c>
      <c r="AG103" s="437">
        <v>1050000</v>
      </c>
      <c r="AH103" s="443" t="s">
        <v>2098</v>
      </c>
    </row>
    <row r="104" spans="1:36" ht="25">
      <c r="A104" s="350">
        <v>54</v>
      </c>
      <c r="B104" s="352" t="s">
        <v>880</v>
      </c>
      <c r="C104" s="352" t="s">
        <v>704</v>
      </c>
      <c r="D104" s="355" t="s">
        <v>705</v>
      </c>
      <c r="E104" s="361">
        <v>44958</v>
      </c>
      <c r="F104" s="361">
        <v>44959</v>
      </c>
      <c r="G104" s="361">
        <f t="shared" si="16"/>
        <v>44959</v>
      </c>
      <c r="H104" s="361">
        <f t="shared" si="16"/>
        <v>44959</v>
      </c>
      <c r="I104" s="365">
        <v>45037</v>
      </c>
      <c r="J104" s="387" t="s">
        <v>251</v>
      </c>
      <c r="K104" s="388" t="s">
        <v>907</v>
      </c>
      <c r="L104" s="402">
        <v>1</v>
      </c>
      <c r="M104" s="352" t="s">
        <v>735</v>
      </c>
      <c r="N104" s="403">
        <v>70000</v>
      </c>
      <c r="O104" s="404">
        <v>70000</v>
      </c>
      <c r="P104" s="421">
        <v>4</v>
      </c>
      <c r="Q104" s="494" t="s">
        <v>163</v>
      </c>
      <c r="R104" s="437">
        <v>400000</v>
      </c>
      <c r="S104" s="438">
        <f t="shared" si="10"/>
        <v>72000</v>
      </c>
      <c r="T104" s="439" t="s">
        <v>538</v>
      </c>
      <c r="U104" s="460" t="str">
        <f t="shared" si="11"/>
        <v/>
      </c>
      <c r="V104" s="439" t="s">
        <v>539</v>
      </c>
      <c r="W104" s="439" t="s">
        <v>540</v>
      </c>
      <c r="X104" s="439" t="s">
        <v>474</v>
      </c>
      <c r="Y104" s="439" t="str">
        <f>J104</f>
        <v>Kertas Warna Blank Folio, Ukuran : 8,5 x 14",  70 gram</v>
      </c>
      <c r="Z104" s="449" t="s">
        <v>1545</v>
      </c>
      <c r="AA104" s="440" t="s">
        <v>614</v>
      </c>
      <c r="AB104" s="441">
        <f t="shared" si="12"/>
        <v>63063.063063063062</v>
      </c>
      <c r="AC104" s="442">
        <f t="shared" si="13"/>
        <v>63063.063063063062</v>
      </c>
      <c r="AD104" s="437">
        <v>400000</v>
      </c>
      <c r="AE104" s="447">
        <v>360360.36036036036</v>
      </c>
      <c r="AF104" s="447">
        <v>400000</v>
      </c>
      <c r="AG104" s="437">
        <v>400000</v>
      </c>
      <c r="AH104" s="443" t="s">
        <v>2098</v>
      </c>
    </row>
    <row r="105" spans="1:36" ht="15.5">
      <c r="A105" s="350">
        <v>54</v>
      </c>
      <c r="B105" s="352" t="s">
        <v>880</v>
      </c>
      <c r="C105" s="352" t="s">
        <v>704</v>
      </c>
      <c r="D105" s="355" t="s">
        <v>705</v>
      </c>
      <c r="E105" s="361">
        <v>44958</v>
      </c>
      <c r="F105" s="361">
        <v>44959</v>
      </c>
      <c r="G105" s="361">
        <f t="shared" si="16"/>
        <v>44959</v>
      </c>
      <c r="H105" s="361">
        <f t="shared" si="16"/>
        <v>44959</v>
      </c>
      <c r="I105" s="365">
        <v>45037</v>
      </c>
      <c r="J105" s="387" t="s">
        <v>711</v>
      </c>
      <c r="K105" s="352" t="s">
        <v>746</v>
      </c>
      <c r="L105" s="402">
        <v>1</v>
      </c>
      <c r="M105" s="352" t="s">
        <v>488</v>
      </c>
      <c r="N105" s="403">
        <v>11500</v>
      </c>
      <c r="O105" s="404">
        <v>11500</v>
      </c>
      <c r="P105" s="421">
        <v>4</v>
      </c>
      <c r="Q105" s="493" t="s">
        <v>81</v>
      </c>
      <c r="R105" s="437">
        <v>1260000</v>
      </c>
      <c r="S105" s="438">
        <f t="shared" si="10"/>
        <v>13500</v>
      </c>
      <c r="T105" s="439" t="s">
        <v>538</v>
      </c>
      <c r="U105" s="460" t="str">
        <f t="shared" si="11"/>
        <v/>
      </c>
      <c r="V105" s="439" t="s">
        <v>539</v>
      </c>
      <c r="W105" s="439" t="s">
        <v>540</v>
      </c>
      <c r="X105" s="439" t="s">
        <v>468</v>
      </c>
      <c r="Y105" s="439" t="str">
        <f t="shared" ref="Y105:Y106" si="17">J105</f>
        <v>Lakban Kain Warna Hitam</v>
      </c>
      <c r="Z105" s="449" t="s">
        <v>8</v>
      </c>
      <c r="AA105" s="440" t="s">
        <v>472</v>
      </c>
      <c r="AB105" s="441">
        <f t="shared" si="12"/>
        <v>10360.360360360361</v>
      </c>
      <c r="AC105" s="442">
        <f t="shared" si="13"/>
        <v>10360.360360360361</v>
      </c>
      <c r="AD105" s="437">
        <v>1540000</v>
      </c>
      <c r="AE105" s="447">
        <v>1387387.3873873875</v>
      </c>
      <c r="AF105" s="447">
        <v>1540000</v>
      </c>
      <c r="AG105" s="437">
        <f>AD105*AF105</f>
        <v>2371600000000</v>
      </c>
      <c r="AH105" s="443" t="s">
        <v>2098</v>
      </c>
    </row>
    <row r="106" spans="1:36" ht="25">
      <c r="A106" s="350">
        <v>56</v>
      </c>
      <c r="B106" s="352" t="s">
        <v>652</v>
      </c>
      <c r="C106" s="352" t="s">
        <v>517</v>
      </c>
      <c r="D106" s="355" t="s">
        <v>464</v>
      </c>
      <c r="E106" s="374" t="s">
        <v>653</v>
      </c>
      <c r="F106" s="361">
        <v>44964</v>
      </c>
      <c r="G106" s="361">
        <f t="shared" si="16"/>
        <v>44964</v>
      </c>
      <c r="H106" s="361">
        <f t="shared" si="16"/>
        <v>44964</v>
      </c>
      <c r="I106" s="365">
        <v>45034</v>
      </c>
      <c r="J106" s="387" t="s">
        <v>518</v>
      </c>
      <c r="K106" s="352" t="s">
        <v>484</v>
      </c>
      <c r="L106" s="402">
        <v>20</v>
      </c>
      <c r="M106" s="352" t="s">
        <v>472</v>
      </c>
      <c r="N106" s="403">
        <v>50000</v>
      </c>
      <c r="O106" s="404">
        <v>1000000</v>
      </c>
      <c r="P106" s="421">
        <v>4</v>
      </c>
      <c r="Q106" s="491" t="s">
        <v>164</v>
      </c>
      <c r="R106" s="437">
        <v>280000</v>
      </c>
      <c r="S106" s="438">
        <f t="shared" si="10"/>
        <v>1040000</v>
      </c>
      <c r="T106" s="439" t="s">
        <v>10</v>
      </c>
      <c r="U106" s="460" t="str">
        <f t="shared" si="11"/>
        <v/>
      </c>
      <c r="V106" s="439" t="s">
        <v>11</v>
      </c>
      <c r="W106" s="439" t="s">
        <v>473</v>
      </c>
      <c r="X106" s="439" t="s">
        <v>474</v>
      </c>
      <c r="Y106" s="439" t="str">
        <f t="shared" si="17"/>
        <v>Aqua gelas pelaksanaan kegiatan bulanan Gerakan Bersih Lingkungan Sekolah</v>
      </c>
      <c r="Z106" s="449" t="s">
        <v>1545</v>
      </c>
      <c r="AA106" s="440" t="s">
        <v>472</v>
      </c>
      <c r="AB106" s="441">
        <f t="shared" si="12"/>
        <v>45045.045045045044</v>
      </c>
      <c r="AC106" s="442">
        <f t="shared" si="13"/>
        <v>900900.90090090083</v>
      </c>
      <c r="AD106" s="437">
        <v>560000</v>
      </c>
      <c r="AE106" s="447">
        <v>504504.5045045045</v>
      </c>
      <c r="AF106" s="447">
        <v>560000</v>
      </c>
      <c r="AG106" s="437">
        <v>560000</v>
      </c>
      <c r="AH106" s="443" t="s">
        <v>2092</v>
      </c>
    </row>
    <row r="107" spans="1:36" ht="15.5">
      <c r="A107" s="350">
        <v>57</v>
      </c>
      <c r="B107" s="352" t="s">
        <v>654</v>
      </c>
      <c r="C107" s="352" t="s">
        <v>594</v>
      </c>
      <c r="D107" s="355" t="s">
        <v>464</v>
      </c>
      <c r="E107" s="374" t="s">
        <v>655</v>
      </c>
      <c r="F107" s="361">
        <v>45335</v>
      </c>
      <c r="G107" s="361">
        <f t="shared" si="16"/>
        <v>45335</v>
      </c>
      <c r="H107" s="361">
        <f t="shared" si="16"/>
        <v>45335</v>
      </c>
      <c r="I107" s="365">
        <v>45034</v>
      </c>
      <c r="J107" s="387" t="s">
        <v>596</v>
      </c>
      <c r="K107" s="262" t="s">
        <v>467</v>
      </c>
      <c r="L107" s="402">
        <v>70</v>
      </c>
      <c r="M107" s="352" t="s">
        <v>597</v>
      </c>
      <c r="N107" s="403">
        <v>35000</v>
      </c>
      <c r="O107" s="404">
        <v>2450000</v>
      </c>
      <c r="P107" s="421">
        <v>4</v>
      </c>
      <c r="Q107" s="493" t="s">
        <v>81</v>
      </c>
      <c r="R107" s="437">
        <v>420000</v>
      </c>
      <c r="S107" s="438">
        <f t="shared" si="10"/>
        <v>2590000</v>
      </c>
      <c r="T107" s="439" t="s">
        <v>282</v>
      </c>
      <c r="U107" s="460" t="str">
        <f t="shared" si="11"/>
        <v>Resto JFC Esther</v>
      </c>
      <c r="V107" s="439" t="s">
        <v>1258</v>
      </c>
      <c r="W107" s="444" t="s">
        <v>468</v>
      </c>
      <c r="X107" s="439" t="s">
        <v>468</v>
      </c>
      <c r="Y107" s="439" t="str">
        <f>J107</f>
        <v>Konsumsi rapat rutin sekolah</v>
      </c>
      <c r="Z107" s="616" t="s">
        <v>8</v>
      </c>
      <c r="AA107" s="485" t="s">
        <v>1556</v>
      </c>
      <c r="AB107" s="441">
        <f t="shared" si="12"/>
        <v>31531.531531531531</v>
      </c>
      <c r="AC107" s="442">
        <f t="shared" si="13"/>
        <v>2207207.2072072071</v>
      </c>
      <c r="AD107" s="437">
        <v>420000</v>
      </c>
      <c r="AE107" s="447">
        <v>378378.37837837834</v>
      </c>
      <c r="AF107" s="447">
        <v>420000</v>
      </c>
      <c r="AG107" s="437">
        <v>420000</v>
      </c>
      <c r="AH107" s="443" t="s">
        <v>2091</v>
      </c>
    </row>
    <row r="108" spans="1:36" ht="25">
      <c r="A108" s="350">
        <v>57</v>
      </c>
      <c r="B108" s="352" t="s">
        <v>1357</v>
      </c>
      <c r="C108" s="352" t="s">
        <v>498</v>
      </c>
      <c r="D108" s="355" t="s">
        <v>464</v>
      </c>
      <c r="E108" s="368">
        <v>45179</v>
      </c>
      <c r="F108" s="362">
        <v>45180</v>
      </c>
      <c r="G108" s="362">
        <v>45180</v>
      </c>
      <c r="H108" s="362">
        <v>45180</v>
      </c>
      <c r="I108" s="394">
        <v>45180</v>
      </c>
      <c r="J108" s="387" t="s">
        <v>500</v>
      </c>
      <c r="K108" s="387" t="s">
        <v>467</v>
      </c>
      <c r="L108" s="402">
        <v>8</v>
      </c>
      <c r="M108" s="262" t="s">
        <v>231</v>
      </c>
      <c r="N108" s="403">
        <v>35000</v>
      </c>
      <c r="O108" s="404">
        <v>280000</v>
      </c>
      <c r="P108" s="421">
        <v>4</v>
      </c>
      <c r="Q108" s="491" t="s">
        <v>164</v>
      </c>
      <c r="R108" s="437">
        <v>420000</v>
      </c>
      <c r="S108" s="438">
        <f t="shared" si="10"/>
        <v>296000</v>
      </c>
      <c r="T108" s="444" t="s">
        <v>282</v>
      </c>
      <c r="U108" s="460" t="str">
        <f t="shared" si="11"/>
        <v>Resto JFC Esther</v>
      </c>
      <c r="V108" s="444" t="s">
        <v>1258</v>
      </c>
      <c r="W108" s="444" t="s">
        <v>468</v>
      </c>
      <c r="X108" s="439" t="s">
        <v>474</v>
      </c>
      <c r="Y108" s="439" t="str">
        <f>J108</f>
        <v>Konsumsi pembina pada kegiatan ekstrakurikuler seni dan budaya (paduan suara)</v>
      </c>
      <c r="Z108" s="449" t="s">
        <v>1545</v>
      </c>
      <c r="AA108" s="440" t="s">
        <v>587</v>
      </c>
      <c r="AB108" s="441">
        <f t="shared" si="12"/>
        <v>31531.531531531531</v>
      </c>
      <c r="AC108" s="442">
        <f t="shared" si="13"/>
        <v>252252.25225225225</v>
      </c>
      <c r="AD108" s="437">
        <v>420000</v>
      </c>
      <c r="AE108" s="447">
        <v>378378.37837837834</v>
      </c>
      <c r="AF108" s="447">
        <v>420000</v>
      </c>
      <c r="AG108" s="437">
        <v>420000</v>
      </c>
      <c r="AH108" s="443" t="s">
        <v>2091</v>
      </c>
    </row>
    <row r="109" spans="1:36">
      <c r="A109" s="350">
        <v>58</v>
      </c>
      <c r="B109" s="352" t="s">
        <v>656</v>
      </c>
      <c r="C109" s="352" t="s">
        <v>594</v>
      </c>
      <c r="D109" s="355" t="s">
        <v>464</v>
      </c>
      <c r="E109" s="374" t="s">
        <v>655</v>
      </c>
      <c r="F109" s="361">
        <v>45335</v>
      </c>
      <c r="G109" s="361">
        <f t="shared" ref="G109:H124" si="18">F109</f>
        <v>45335</v>
      </c>
      <c r="H109" s="361">
        <f t="shared" si="18"/>
        <v>45335</v>
      </c>
      <c r="I109" s="365">
        <v>45034</v>
      </c>
      <c r="J109" s="387" t="s">
        <v>599</v>
      </c>
      <c r="K109" s="352" t="s">
        <v>471</v>
      </c>
      <c r="L109" s="402">
        <v>8</v>
      </c>
      <c r="M109" s="352" t="s">
        <v>472</v>
      </c>
      <c r="N109" s="403">
        <v>70000</v>
      </c>
      <c r="O109" s="404">
        <v>560000</v>
      </c>
      <c r="P109" s="421">
        <v>4</v>
      </c>
      <c r="Q109" s="439"/>
      <c r="R109" s="437">
        <v>360000</v>
      </c>
      <c r="S109" s="438">
        <f t="shared" si="10"/>
        <v>576000</v>
      </c>
      <c r="T109" s="275" t="s">
        <v>10</v>
      </c>
      <c r="U109" s="460" t="str">
        <f t="shared" si="11"/>
        <v>UD. USAHA JAYA</v>
      </c>
      <c r="V109" s="439" t="s">
        <v>11</v>
      </c>
      <c r="W109" s="439" t="s">
        <v>473</v>
      </c>
      <c r="X109" s="439"/>
      <c r="Y109" s="439" t="str">
        <f>J109</f>
        <v>Air mineral botol 600 ml rapat rutin sekolah</v>
      </c>
      <c r="Z109" s="449" t="s">
        <v>1555</v>
      </c>
      <c r="AA109" s="440" t="s">
        <v>488</v>
      </c>
      <c r="AB109" s="441">
        <f t="shared" si="12"/>
        <v>63063.063063063062</v>
      </c>
      <c r="AC109" s="442">
        <f t="shared" si="13"/>
        <v>504504.5045045045</v>
      </c>
      <c r="AD109" s="437">
        <v>360000</v>
      </c>
      <c r="AE109" s="447">
        <v>324324.32432432432</v>
      </c>
      <c r="AF109" s="447">
        <v>360000</v>
      </c>
      <c r="AG109" s="437">
        <v>360000</v>
      </c>
      <c r="AH109" s="443" t="s">
        <v>2092</v>
      </c>
    </row>
    <row r="110" spans="1:36">
      <c r="A110" s="350">
        <v>58</v>
      </c>
      <c r="B110" s="352" t="s">
        <v>657</v>
      </c>
      <c r="C110" s="352" t="s">
        <v>594</v>
      </c>
      <c r="D110" s="355" t="s">
        <v>464</v>
      </c>
      <c r="E110" s="374" t="s">
        <v>655</v>
      </c>
      <c r="F110" s="361">
        <v>45335</v>
      </c>
      <c r="G110" s="361">
        <f t="shared" si="18"/>
        <v>45335</v>
      </c>
      <c r="H110" s="361">
        <f t="shared" si="18"/>
        <v>45335</v>
      </c>
      <c r="I110" s="365">
        <v>45034</v>
      </c>
      <c r="J110" s="387" t="s">
        <v>601</v>
      </c>
      <c r="K110" s="352" t="s">
        <v>487</v>
      </c>
      <c r="L110" s="402">
        <v>140</v>
      </c>
      <c r="M110" s="352" t="s">
        <v>488</v>
      </c>
      <c r="N110" s="403">
        <v>8000</v>
      </c>
      <c r="O110" s="404">
        <v>1120000</v>
      </c>
      <c r="P110" s="421">
        <v>4</v>
      </c>
      <c r="Q110" s="439"/>
      <c r="R110" s="437">
        <v>80000</v>
      </c>
      <c r="S110" s="438">
        <f t="shared" si="10"/>
        <v>1400000</v>
      </c>
      <c r="T110" s="439" t="s">
        <v>10</v>
      </c>
      <c r="U110" s="460" t="str">
        <f t="shared" si="11"/>
        <v/>
      </c>
      <c r="V110" s="439" t="s">
        <v>11</v>
      </c>
      <c r="W110" s="439" t="s">
        <v>473</v>
      </c>
      <c r="X110" s="439"/>
      <c r="Y110" s="439" t="s">
        <v>698</v>
      </c>
      <c r="Z110" s="449" t="s">
        <v>698</v>
      </c>
      <c r="AA110" s="440" t="s">
        <v>488</v>
      </c>
      <c r="AB110" s="441">
        <f t="shared" si="12"/>
        <v>7207.2072072072069</v>
      </c>
      <c r="AC110" s="442">
        <f t="shared" si="13"/>
        <v>1009009.009009009</v>
      </c>
      <c r="AD110" s="437">
        <v>80000</v>
      </c>
      <c r="AE110" s="447">
        <v>1032432.4324324325</v>
      </c>
      <c r="AF110" s="447">
        <v>1146000</v>
      </c>
      <c r="AG110" s="437">
        <v>80000</v>
      </c>
      <c r="AH110" s="443" t="s">
        <v>2092</v>
      </c>
      <c r="AI110" s="448">
        <f>SUM(AC110:AC113)</f>
        <v>3344954.9549549548</v>
      </c>
      <c r="AJ110" s="448">
        <f>SUM(AD110:AD113)</f>
        <v>1146000</v>
      </c>
    </row>
    <row r="111" spans="1:36">
      <c r="A111" s="350">
        <v>59</v>
      </c>
      <c r="B111" s="352" t="s">
        <v>658</v>
      </c>
      <c r="C111" s="352" t="s">
        <v>583</v>
      </c>
      <c r="D111" s="355" t="s">
        <v>584</v>
      </c>
      <c r="E111" s="375" t="s">
        <v>659</v>
      </c>
      <c r="F111" s="361">
        <v>44977</v>
      </c>
      <c r="G111" s="361">
        <f t="shared" si="18"/>
        <v>44977</v>
      </c>
      <c r="H111" s="361">
        <f t="shared" si="18"/>
        <v>44977</v>
      </c>
      <c r="I111" s="365">
        <v>45034</v>
      </c>
      <c r="J111" s="387" t="s">
        <v>660</v>
      </c>
      <c r="K111" s="352" t="s">
        <v>586</v>
      </c>
      <c r="L111" s="791">
        <v>1</v>
      </c>
      <c r="M111" s="352" t="s">
        <v>587</v>
      </c>
      <c r="N111" s="403">
        <v>1313800</v>
      </c>
      <c r="O111" s="404">
        <v>1313800</v>
      </c>
      <c r="P111" s="421">
        <v>4</v>
      </c>
      <c r="Q111" s="439"/>
      <c r="R111" s="437">
        <v>166000</v>
      </c>
      <c r="S111" s="438">
        <f t="shared" si="10"/>
        <v>1315800</v>
      </c>
      <c r="T111" s="275"/>
      <c r="U111" s="460" t="str">
        <f t="shared" si="11"/>
        <v/>
      </c>
      <c r="V111" s="439"/>
      <c r="W111" s="439"/>
      <c r="X111" s="275"/>
      <c r="Y111" s="439" t="s">
        <v>698</v>
      </c>
      <c r="Z111" s="449" t="s">
        <v>698</v>
      </c>
      <c r="AA111" s="440" t="s">
        <v>488</v>
      </c>
      <c r="AB111" s="441">
        <f t="shared" si="12"/>
        <v>1183603.6036036036</v>
      </c>
      <c r="AC111" s="442">
        <f t="shared" si="13"/>
        <v>1183603.6036036036</v>
      </c>
      <c r="AD111" s="437">
        <v>166000</v>
      </c>
      <c r="AE111" s="447">
        <v>1032432.4324324325</v>
      </c>
      <c r="AF111" s="447">
        <v>1146000</v>
      </c>
      <c r="AG111" s="437">
        <v>166000</v>
      </c>
      <c r="AH111" s="446"/>
    </row>
    <row r="112" spans="1:36" ht="25">
      <c r="A112" s="350">
        <v>60</v>
      </c>
      <c r="B112" s="352" t="s">
        <v>661</v>
      </c>
      <c r="C112" s="352" t="s">
        <v>589</v>
      </c>
      <c r="D112" s="355" t="s">
        <v>590</v>
      </c>
      <c r="E112" s="375" t="s">
        <v>659</v>
      </c>
      <c r="F112" s="361">
        <v>44977</v>
      </c>
      <c r="G112" s="361">
        <f t="shared" si="18"/>
        <v>44977</v>
      </c>
      <c r="H112" s="361">
        <f t="shared" si="18"/>
        <v>44977</v>
      </c>
      <c r="I112" s="365">
        <v>45034</v>
      </c>
      <c r="J112" s="387" t="s">
        <v>662</v>
      </c>
      <c r="K112" s="352" t="s">
        <v>592</v>
      </c>
      <c r="L112" s="791">
        <v>1</v>
      </c>
      <c r="M112" s="352" t="s">
        <v>587</v>
      </c>
      <c r="N112" s="403">
        <v>1179100</v>
      </c>
      <c r="O112" s="404">
        <v>1179100</v>
      </c>
      <c r="P112" s="421">
        <v>4</v>
      </c>
      <c r="Q112" s="439"/>
      <c r="R112" s="437">
        <v>300000</v>
      </c>
      <c r="S112" s="438">
        <f t="shared" si="10"/>
        <v>1181100</v>
      </c>
      <c r="T112" s="275"/>
      <c r="U112" s="460" t="str">
        <f t="shared" si="11"/>
        <v/>
      </c>
      <c r="V112" s="439"/>
      <c r="W112" s="439"/>
      <c r="X112" s="275"/>
      <c r="Y112" s="439" t="s">
        <v>698</v>
      </c>
      <c r="Z112" s="449" t="s">
        <v>698</v>
      </c>
      <c r="AA112" s="440" t="s">
        <v>488</v>
      </c>
      <c r="AB112" s="441">
        <f t="shared" si="12"/>
        <v>1062252.2522522523</v>
      </c>
      <c r="AC112" s="442">
        <f t="shared" si="13"/>
        <v>1062252.2522522523</v>
      </c>
      <c r="AD112" s="437">
        <v>300000</v>
      </c>
      <c r="AE112" s="447">
        <v>1032432.4324324325</v>
      </c>
      <c r="AF112" s="447">
        <v>1146000</v>
      </c>
      <c r="AG112" s="437">
        <v>300000</v>
      </c>
      <c r="AH112" s="446"/>
    </row>
    <row r="113" spans="1:36">
      <c r="A113" s="350">
        <v>62</v>
      </c>
      <c r="B113" s="352" t="s">
        <v>663</v>
      </c>
      <c r="C113" s="352" t="s">
        <v>532</v>
      </c>
      <c r="D113" s="355" t="s">
        <v>533</v>
      </c>
      <c r="E113" s="375" t="s">
        <v>664</v>
      </c>
      <c r="F113" s="361">
        <v>44979</v>
      </c>
      <c r="G113" s="361">
        <f t="shared" si="18"/>
        <v>44979</v>
      </c>
      <c r="H113" s="361">
        <f t="shared" si="18"/>
        <v>44979</v>
      </c>
      <c r="I113" s="365">
        <v>45034</v>
      </c>
      <c r="J113" s="387" t="s">
        <v>665</v>
      </c>
      <c r="K113" s="352" t="s">
        <v>559</v>
      </c>
      <c r="L113" s="402">
        <v>5</v>
      </c>
      <c r="M113" s="352" t="s">
        <v>488</v>
      </c>
      <c r="N113" s="403">
        <v>20000</v>
      </c>
      <c r="O113" s="404">
        <v>100000</v>
      </c>
      <c r="P113" s="421">
        <v>4</v>
      </c>
      <c r="Q113" s="439"/>
      <c r="R113" s="437">
        <v>600000</v>
      </c>
      <c r="S113" s="438">
        <f t="shared" si="10"/>
        <v>110000</v>
      </c>
      <c r="T113" s="439" t="s">
        <v>538</v>
      </c>
      <c r="U113" s="460" t="str">
        <f t="shared" si="11"/>
        <v/>
      </c>
      <c r="V113" s="439" t="s">
        <v>539</v>
      </c>
      <c r="W113" s="439" t="s">
        <v>540</v>
      </c>
      <c r="X113" s="439"/>
      <c r="Y113" s="439" t="s">
        <v>793</v>
      </c>
      <c r="Z113" s="449" t="s">
        <v>698</v>
      </c>
      <c r="AA113" s="440" t="s">
        <v>488</v>
      </c>
      <c r="AB113" s="441">
        <f t="shared" si="12"/>
        <v>18018.018018018018</v>
      </c>
      <c r="AC113" s="442">
        <f t="shared" si="13"/>
        <v>90090.090090090089</v>
      </c>
      <c r="AD113" s="437">
        <v>600000</v>
      </c>
      <c r="AE113" s="447">
        <v>1032432.4324324325</v>
      </c>
      <c r="AF113" s="447">
        <v>1146000</v>
      </c>
      <c r="AG113" s="437">
        <v>600000</v>
      </c>
      <c r="AH113" s="443" t="s">
        <v>2098</v>
      </c>
    </row>
    <row r="114" spans="1:36">
      <c r="A114" s="350">
        <v>62</v>
      </c>
      <c r="B114" s="352" t="s">
        <v>663</v>
      </c>
      <c r="C114" s="352" t="s">
        <v>532</v>
      </c>
      <c r="D114" s="355" t="s">
        <v>533</v>
      </c>
      <c r="E114" s="375" t="s">
        <v>664</v>
      </c>
      <c r="F114" s="361">
        <v>44979</v>
      </c>
      <c r="G114" s="361">
        <f t="shared" si="18"/>
        <v>44979</v>
      </c>
      <c r="H114" s="361">
        <f t="shared" si="18"/>
        <v>44979</v>
      </c>
      <c r="I114" s="365">
        <v>45034</v>
      </c>
      <c r="J114" s="387" t="s">
        <v>271</v>
      </c>
      <c r="K114" s="352" t="s">
        <v>666</v>
      </c>
      <c r="L114" s="402">
        <v>30</v>
      </c>
      <c r="M114" s="352" t="s">
        <v>667</v>
      </c>
      <c r="N114" s="403">
        <v>11000</v>
      </c>
      <c r="O114" s="404">
        <v>330000</v>
      </c>
      <c r="P114" s="421">
        <v>4</v>
      </c>
      <c r="Q114" s="440" t="s">
        <v>708</v>
      </c>
      <c r="R114" s="437">
        <v>170000</v>
      </c>
      <c r="S114" s="438">
        <f t="shared" si="10"/>
        <v>390000</v>
      </c>
      <c r="T114" s="439" t="s">
        <v>538</v>
      </c>
      <c r="U114" s="460" t="str">
        <f t="shared" si="11"/>
        <v/>
      </c>
      <c r="V114" s="439" t="s">
        <v>539</v>
      </c>
      <c r="W114" s="439" t="s">
        <v>540</v>
      </c>
      <c r="X114" s="439" t="s">
        <v>709</v>
      </c>
      <c r="Y114" s="439" t="s">
        <v>710</v>
      </c>
      <c r="Z114" s="449" t="s">
        <v>710</v>
      </c>
      <c r="AA114" s="440" t="s">
        <v>488</v>
      </c>
      <c r="AB114" s="441">
        <f t="shared" si="12"/>
        <v>9909.9099099099094</v>
      </c>
      <c r="AC114" s="442">
        <f t="shared" si="13"/>
        <v>297297.29729729728</v>
      </c>
      <c r="AD114" s="437">
        <v>170000</v>
      </c>
      <c r="AE114" s="447">
        <v>7925225.225225227</v>
      </c>
      <c r="AF114" s="447">
        <v>8797000</v>
      </c>
      <c r="AG114" s="437">
        <v>170000</v>
      </c>
      <c r="AH114" s="443" t="s">
        <v>2098</v>
      </c>
      <c r="AI114" s="448">
        <f>SUM(AC114:AC189)</f>
        <v>13415765.76576576</v>
      </c>
      <c r="AJ114" s="448">
        <f>SUM(AD114:AD189)</f>
        <v>8797000</v>
      </c>
    </row>
    <row r="115" spans="1:36">
      <c r="A115" s="350">
        <v>62</v>
      </c>
      <c r="B115" s="352" t="s">
        <v>663</v>
      </c>
      <c r="C115" s="352" t="s">
        <v>532</v>
      </c>
      <c r="D115" s="355" t="s">
        <v>533</v>
      </c>
      <c r="E115" s="375" t="s">
        <v>664</v>
      </c>
      <c r="F115" s="361">
        <v>44979</v>
      </c>
      <c r="G115" s="361">
        <f t="shared" si="18"/>
        <v>44979</v>
      </c>
      <c r="H115" s="361">
        <f t="shared" si="18"/>
        <v>44979</v>
      </c>
      <c r="I115" s="365">
        <v>45034</v>
      </c>
      <c r="J115" s="387" t="s">
        <v>276</v>
      </c>
      <c r="K115" s="352" t="s">
        <v>276</v>
      </c>
      <c r="L115" s="402">
        <v>5</v>
      </c>
      <c r="M115" s="352" t="s">
        <v>551</v>
      </c>
      <c r="N115" s="403">
        <v>18000</v>
      </c>
      <c r="O115" s="404">
        <v>90000</v>
      </c>
      <c r="P115" s="421">
        <v>4</v>
      </c>
      <c r="Q115" s="492" t="s">
        <v>713</v>
      </c>
      <c r="R115" s="437">
        <v>14000</v>
      </c>
      <c r="S115" s="438">
        <f t="shared" si="10"/>
        <v>100000</v>
      </c>
      <c r="T115" s="439" t="s">
        <v>538</v>
      </c>
      <c r="U115" s="460" t="str">
        <f t="shared" si="11"/>
        <v/>
      </c>
      <c r="V115" s="439" t="s">
        <v>539</v>
      </c>
      <c r="W115" s="439" t="s">
        <v>540</v>
      </c>
      <c r="X115" s="439" t="s">
        <v>709</v>
      </c>
      <c r="Y115" s="439" t="s">
        <v>710</v>
      </c>
      <c r="Z115" s="449" t="s">
        <v>710</v>
      </c>
      <c r="AA115" s="440" t="s">
        <v>714</v>
      </c>
      <c r="AB115" s="441">
        <f t="shared" si="12"/>
        <v>16216.216216216217</v>
      </c>
      <c r="AC115" s="442">
        <f t="shared" si="13"/>
        <v>81081.08108108108</v>
      </c>
      <c r="AD115" s="437">
        <v>14000</v>
      </c>
      <c r="AE115" s="447">
        <v>7925225.225225227</v>
      </c>
      <c r="AF115" s="447">
        <v>8797000</v>
      </c>
      <c r="AG115" s="437">
        <v>14000</v>
      </c>
      <c r="AH115" s="443" t="s">
        <v>2098</v>
      </c>
    </row>
    <row r="116" spans="1:36">
      <c r="A116" s="350">
        <v>62</v>
      </c>
      <c r="B116" s="352" t="s">
        <v>663</v>
      </c>
      <c r="C116" s="352" t="s">
        <v>532</v>
      </c>
      <c r="D116" s="355" t="s">
        <v>533</v>
      </c>
      <c r="E116" s="375" t="s">
        <v>664</v>
      </c>
      <c r="F116" s="361">
        <v>44979</v>
      </c>
      <c r="G116" s="361">
        <f t="shared" si="18"/>
        <v>44979</v>
      </c>
      <c r="H116" s="361">
        <f t="shared" si="18"/>
        <v>44979</v>
      </c>
      <c r="I116" s="365">
        <v>45034</v>
      </c>
      <c r="J116" s="387" t="s">
        <v>669</v>
      </c>
      <c r="K116" s="352" t="s">
        <v>536</v>
      </c>
      <c r="L116" s="402">
        <v>20</v>
      </c>
      <c r="M116" s="352" t="s">
        <v>488</v>
      </c>
      <c r="N116" s="403">
        <v>12000</v>
      </c>
      <c r="O116" s="404">
        <v>240000</v>
      </c>
      <c r="P116" s="421">
        <v>4</v>
      </c>
      <c r="Q116" s="492" t="s">
        <v>715</v>
      </c>
      <c r="R116" s="437">
        <v>97000</v>
      </c>
      <c r="S116" s="438">
        <f t="shared" si="10"/>
        <v>280000</v>
      </c>
      <c r="T116" s="439" t="s">
        <v>538</v>
      </c>
      <c r="U116" s="460" t="str">
        <f t="shared" si="11"/>
        <v/>
      </c>
      <c r="V116" s="439" t="s">
        <v>539</v>
      </c>
      <c r="W116" s="439" t="s">
        <v>540</v>
      </c>
      <c r="X116" s="439" t="s">
        <v>709</v>
      </c>
      <c r="Y116" s="439" t="s">
        <v>710</v>
      </c>
      <c r="Z116" s="449" t="s">
        <v>710</v>
      </c>
      <c r="AA116" s="440" t="s">
        <v>597</v>
      </c>
      <c r="AB116" s="441">
        <f t="shared" si="12"/>
        <v>10810.810810810812</v>
      </c>
      <c r="AC116" s="442">
        <f t="shared" si="13"/>
        <v>216216.21621621624</v>
      </c>
      <c r="AD116" s="437">
        <v>97000</v>
      </c>
      <c r="AE116" s="447">
        <v>7925225.225225227</v>
      </c>
      <c r="AF116" s="447">
        <v>8797000</v>
      </c>
      <c r="AG116" s="437">
        <v>97000</v>
      </c>
      <c r="AH116" s="443" t="s">
        <v>2098</v>
      </c>
    </row>
    <row r="117" spans="1:36">
      <c r="A117" s="350">
        <v>62</v>
      </c>
      <c r="B117" s="352" t="s">
        <v>663</v>
      </c>
      <c r="C117" s="352" t="s">
        <v>532</v>
      </c>
      <c r="D117" s="355" t="s">
        <v>533</v>
      </c>
      <c r="E117" s="375" t="s">
        <v>664</v>
      </c>
      <c r="F117" s="361">
        <v>44979</v>
      </c>
      <c r="G117" s="361">
        <f t="shared" si="18"/>
        <v>44979</v>
      </c>
      <c r="H117" s="361">
        <f t="shared" si="18"/>
        <v>44979</v>
      </c>
      <c r="I117" s="365">
        <v>45034</v>
      </c>
      <c r="J117" s="388" t="s">
        <v>670</v>
      </c>
      <c r="K117" s="352" t="s">
        <v>671</v>
      </c>
      <c r="L117" s="402">
        <v>3</v>
      </c>
      <c r="M117" s="352" t="s">
        <v>488</v>
      </c>
      <c r="N117" s="403">
        <v>200000</v>
      </c>
      <c r="O117" s="404">
        <v>600000</v>
      </c>
      <c r="P117" s="421">
        <v>4</v>
      </c>
      <c r="Q117" s="492" t="s">
        <v>718</v>
      </c>
      <c r="R117" s="437">
        <v>15000</v>
      </c>
      <c r="S117" s="438">
        <f t="shared" si="10"/>
        <v>606000</v>
      </c>
      <c r="T117" s="439" t="s">
        <v>538</v>
      </c>
      <c r="U117" s="460" t="str">
        <f t="shared" si="11"/>
        <v/>
      </c>
      <c r="V117" s="439" t="s">
        <v>539</v>
      </c>
      <c r="W117" s="439" t="s">
        <v>540</v>
      </c>
      <c r="X117" s="439" t="s">
        <v>709</v>
      </c>
      <c r="Y117" s="439" t="s">
        <v>710</v>
      </c>
      <c r="Z117" s="449" t="s">
        <v>710</v>
      </c>
      <c r="AA117" s="440" t="s">
        <v>720</v>
      </c>
      <c r="AB117" s="441">
        <f t="shared" si="12"/>
        <v>180180.18018018018</v>
      </c>
      <c r="AC117" s="442">
        <f t="shared" si="13"/>
        <v>540540.54054054059</v>
      </c>
      <c r="AD117" s="437">
        <v>15000</v>
      </c>
      <c r="AE117" s="447">
        <v>7925225.225225227</v>
      </c>
      <c r="AF117" s="447">
        <v>8797000</v>
      </c>
      <c r="AG117" s="437">
        <v>15000</v>
      </c>
      <c r="AH117" s="443" t="s">
        <v>2098</v>
      </c>
    </row>
    <row r="118" spans="1:36">
      <c r="A118" s="350">
        <v>62</v>
      </c>
      <c r="B118" s="352" t="s">
        <v>663</v>
      </c>
      <c r="C118" s="352" t="s">
        <v>532</v>
      </c>
      <c r="D118" s="355" t="s">
        <v>533</v>
      </c>
      <c r="E118" s="375" t="s">
        <v>664</v>
      </c>
      <c r="F118" s="361">
        <v>44979</v>
      </c>
      <c r="G118" s="361">
        <f t="shared" si="18"/>
        <v>44979</v>
      </c>
      <c r="H118" s="361">
        <f t="shared" si="18"/>
        <v>44979</v>
      </c>
      <c r="I118" s="365">
        <v>45034</v>
      </c>
      <c r="J118" s="387" t="s">
        <v>274</v>
      </c>
      <c r="K118" s="352" t="s">
        <v>672</v>
      </c>
      <c r="L118" s="402">
        <v>10</v>
      </c>
      <c r="M118" s="352" t="s">
        <v>488</v>
      </c>
      <c r="N118" s="403">
        <v>12000</v>
      </c>
      <c r="O118" s="404">
        <v>120000</v>
      </c>
      <c r="P118" s="421">
        <v>4</v>
      </c>
      <c r="Q118" s="492" t="s">
        <v>721</v>
      </c>
      <c r="R118" s="437">
        <v>20000</v>
      </c>
      <c r="S118" s="438">
        <f t="shared" si="10"/>
        <v>140000</v>
      </c>
      <c r="T118" s="439" t="s">
        <v>538</v>
      </c>
      <c r="U118" s="460" t="str">
        <f t="shared" si="11"/>
        <v/>
      </c>
      <c r="V118" s="439" t="s">
        <v>539</v>
      </c>
      <c r="W118" s="439" t="s">
        <v>540</v>
      </c>
      <c r="X118" s="439" t="s">
        <v>709</v>
      </c>
      <c r="Y118" s="439" t="s">
        <v>710</v>
      </c>
      <c r="Z118" s="449" t="s">
        <v>710</v>
      </c>
      <c r="AA118" s="440" t="s">
        <v>724</v>
      </c>
      <c r="AB118" s="441">
        <f t="shared" si="12"/>
        <v>10810.810810810812</v>
      </c>
      <c r="AC118" s="442">
        <f t="shared" si="13"/>
        <v>108108.10810810812</v>
      </c>
      <c r="AD118" s="437">
        <v>20000</v>
      </c>
      <c r="AE118" s="447">
        <v>7925225.225225227</v>
      </c>
      <c r="AF118" s="447">
        <v>8797000</v>
      </c>
      <c r="AG118" s="437">
        <v>20000</v>
      </c>
      <c r="AH118" s="443" t="s">
        <v>2098</v>
      </c>
    </row>
    <row r="119" spans="1:36">
      <c r="A119" s="350">
        <v>63</v>
      </c>
      <c r="B119" s="352" t="s">
        <v>673</v>
      </c>
      <c r="C119" s="352" t="s">
        <v>570</v>
      </c>
      <c r="D119" s="355" t="s">
        <v>571</v>
      </c>
      <c r="E119" s="375" t="s">
        <v>664</v>
      </c>
      <c r="F119" s="361">
        <v>44979</v>
      </c>
      <c r="G119" s="361">
        <f t="shared" si="18"/>
        <v>44979</v>
      </c>
      <c r="H119" s="361">
        <f t="shared" si="18"/>
        <v>44979</v>
      </c>
      <c r="I119" s="365">
        <v>45034</v>
      </c>
      <c r="J119" s="387" t="s">
        <v>9</v>
      </c>
      <c r="K119" s="352" t="s">
        <v>573</v>
      </c>
      <c r="L119" s="402">
        <v>3500</v>
      </c>
      <c r="M119" s="352" t="s">
        <v>574</v>
      </c>
      <c r="N119" s="405">
        <v>300</v>
      </c>
      <c r="O119" s="404">
        <v>1050000</v>
      </c>
      <c r="P119" s="421">
        <v>4</v>
      </c>
      <c r="Q119" s="492" t="s">
        <v>725</v>
      </c>
      <c r="R119" s="437">
        <v>45000</v>
      </c>
      <c r="S119" s="438">
        <f t="shared" si="10"/>
        <v>8050000</v>
      </c>
      <c r="T119" s="439" t="s">
        <v>538</v>
      </c>
      <c r="U119" s="460" t="str">
        <f t="shared" si="11"/>
        <v/>
      </c>
      <c r="V119" s="439" t="s">
        <v>539</v>
      </c>
      <c r="W119" s="439" t="s">
        <v>540</v>
      </c>
      <c r="X119" s="439" t="s">
        <v>709</v>
      </c>
      <c r="Y119" s="439" t="s">
        <v>710</v>
      </c>
      <c r="Z119" s="449" t="s">
        <v>710</v>
      </c>
      <c r="AA119" s="440" t="s">
        <v>728</v>
      </c>
      <c r="AB119" s="441">
        <f t="shared" si="12"/>
        <v>270.27027027027026</v>
      </c>
      <c r="AC119" s="442">
        <f t="shared" si="13"/>
        <v>945945.94594594592</v>
      </c>
      <c r="AD119" s="437">
        <v>45000</v>
      </c>
      <c r="AE119" s="447">
        <v>7925225.225225227</v>
      </c>
      <c r="AF119" s="447">
        <v>8797000</v>
      </c>
      <c r="AG119" s="437">
        <v>45000</v>
      </c>
      <c r="AH119" s="443" t="s">
        <v>2098</v>
      </c>
    </row>
    <row r="120" spans="1:36" ht="25">
      <c r="A120" s="350">
        <v>64</v>
      </c>
      <c r="B120" s="352" t="s">
        <v>674</v>
      </c>
      <c r="C120" s="352" t="s">
        <v>616</v>
      </c>
      <c r="D120" s="355" t="s">
        <v>464</v>
      </c>
      <c r="E120" s="375" t="s">
        <v>664</v>
      </c>
      <c r="F120" s="361">
        <v>44979</v>
      </c>
      <c r="G120" s="361">
        <f t="shared" si="18"/>
        <v>44979</v>
      </c>
      <c r="H120" s="361">
        <f t="shared" si="18"/>
        <v>44979</v>
      </c>
      <c r="I120" s="365">
        <v>45034</v>
      </c>
      <c r="J120" s="387" t="s">
        <v>617</v>
      </c>
      <c r="K120" s="352" t="s">
        <v>467</v>
      </c>
      <c r="L120" s="402">
        <v>30</v>
      </c>
      <c r="M120" s="352" t="s">
        <v>488</v>
      </c>
      <c r="N120" s="403">
        <v>35000</v>
      </c>
      <c r="O120" s="404">
        <v>1050000</v>
      </c>
      <c r="P120" s="421">
        <v>4</v>
      </c>
      <c r="Q120" s="492" t="s">
        <v>729</v>
      </c>
      <c r="R120" s="437">
        <v>21000</v>
      </c>
      <c r="S120" s="438">
        <f t="shared" si="10"/>
        <v>1110000</v>
      </c>
      <c r="T120" s="444" t="s">
        <v>282</v>
      </c>
      <c r="U120" s="460" t="str">
        <f t="shared" si="11"/>
        <v>Resto JFC Esther</v>
      </c>
      <c r="V120" s="444" t="s">
        <v>1258</v>
      </c>
      <c r="W120" s="444" t="s">
        <v>468</v>
      </c>
      <c r="X120" s="439" t="s">
        <v>709</v>
      </c>
      <c r="Y120" s="439" t="s">
        <v>710</v>
      </c>
      <c r="Z120" s="449" t="s">
        <v>710</v>
      </c>
      <c r="AA120" s="440" t="s">
        <v>597</v>
      </c>
      <c r="AB120" s="441">
        <f t="shared" si="12"/>
        <v>31531.531531531531</v>
      </c>
      <c r="AC120" s="442">
        <f t="shared" si="13"/>
        <v>945945.94594594592</v>
      </c>
      <c r="AD120" s="437">
        <v>21000</v>
      </c>
      <c r="AE120" s="447">
        <v>7925225.225225227</v>
      </c>
      <c r="AF120" s="447">
        <v>8797000</v>
      </c>
      <c r="AG120" s="437">
        <v>21000</v>
      </c>
      <c r="AH120" s="443" t="s">
        <v>2091</v>
      </c>
    </row>
    <row r="121" spans="1:36" ht="25">
      <c r="A121" s="350">
        <v>65</v>
      </c>
      <c r="B121" s="352" t="s">
        <v>675</v>
      </c>
      <c r="C121" s="352" t="s">
        <v>616</v>
      </c>
      <c r="D121" s="355" t="s">
        <v>464</v>
      </c>
      <c r="E121" s="375" t="s">
        <v>664</v>
      </c>
      <c r="F121" s="361">
        <v>44979</v>
      </c>
      <c r="G121" s="361">
        <f t="shared" si="18"/>
        <v>44979</v>
      </c>
      <c r="H121" s="361">
        <f t="shared" si="18"/>
        <v>44979</v>
      </c>
      <c r="I121" s="365">
        <v>45034</v>
      </c>
      <c r="J121" s="387" t="s">
        <v>619</v>
      </c>
      <c r="K121" s="352" t="s">
        <v>484</v>
      </c>
      <c r="L121" s="402">
        <v>8</v>
      </c>
      <c r="M121" s="352" t="s">
        <v>472</v>
      </c>
      <c r="N121" s="266">
        <v>50000</v>
      </c>
      <c r="O121" s="404">
        <v>400000</v>
      </c>
      <c r="P121" s="421">
        <v>4</v>
      </c>
      <c r="Q121" s="492" t="s">
        <v>732</v>
      </c>
      <c r="R121" s="437">
        <v>20000</v>
      </c>
      <c r="S121" s="438">
        <f t="shared" si="10"/>
        <v>416000</v>
      </c>
      <c r="T121" s="439" t="s">
        <v>10</v>
      </c>
      <c r="U121" s="460" t="str">
        <f t="shared" si="11"/>
        <v/>
      </c>
      <c r="V121" s="439" t="s">
        <v>11</v>
      </c>
      <c r="W121" s="439" t="s">
        <v>473</v>
      </c>
      <c r="X121" s="439" t="s">
        <v>709</v>
      </c>
      <c r="Y121" s="439" t="s">
        <v>710</v>
      </c>
      <c r="Z121" s="449" t="s">
        <v>710</v>
      </c>
      <c r="AA121" s="440" t="s">
        <v>735</v>
      </c>
      <c r="AB121" s="441">
        <f t="shared" si="12"/>
        <v>45045.045045045044</v>
      </c>
      <c r="AC121" s="442">
        <f t="shared" si="13"/>
        <v>360360.36036036036</v>
      </c>
      <c r="AD121" s="437">
        <v>20000</v>
      </c>
      <c r="AE121" s="447">
        <v>7925225.225225227</v>
      </c>
      <c r="AF121" s="447">
        <v>8797000</v>
      </c>
      <c r="AG121" s="437">
        <v>20000</v>
      </c>
      <c r="AH121" s="443" t="s">
        <v>2092</v>
      </c>
    </row>
    <row r="122" spans="1:36">
      <c r="A122" s="350">
        <v>66</v>
      </c>
      <c r="B122" s="352" t="s">
        <v>678</v>
      </c>
      <c r="C122" s="352" t="s">
        <v>679</v>
      </c>
      <c r="D122" s="355" t="s">
        <v>464</v>
      </c>
      <c r="E122" s="374" t="s">
        <v>677</v>
      </c>
      <c r="F122" s="361">
        <v>44982</v>
      </c>
      <c r="G122" s="361">
        <f t="shared" si="18"/>
        <v>44982</v>
      </c>
      <c r="H122" s="361">
        <f t="shared" si="18"/>
        <v>44982</v>
      </c>
      <c r="I122" s="365">
        <v>45034</v>
      </c>
      <c r="J122" s="387" t="s">
        <v>680</v>
      </c>
      <c r="K122" s="352" t="s">
        <v>467</v>
      </c>
      <c r="L122" s="402">
        <v>36</v>
      </c>
      <c r="M122" s="352" t="s">
        <v>231</v>
      </c>
      <c r="N122" s="403">
        <v>35000</v>
      </c>
      <c r="O122" s="404">
        <v>1260000</v>
      </c>
      <c r="P122" s="421">
        <v>4</v>
      </c>
      <c r="Q122" s="492" t="s">
        <v>736</v>
      </c>
      <c r="R122" s="437">
        <v>432000</v>
      </c>
      <c r="S122" s="438">
        <f t="shared" si="10"/>
        <v>1332000</v>
      </c>
      <c r="T122" s="444" t="s">
        <v>282</v>
      </c>
      <c r="U122" s="460" t="str">
        <f t="shared" si="11"/>
        <v>Resto JFC Esther</v>
      </c>
      <c r="V122" s="444" t="s">
        <v>1258</v>
      </c>
      <c r="W122" s="444" t="s">
        <v>468</v>
      </c>
      <c r="X122" s="439" t="s">
        <v>709</v>
      </c>
      <c r="Y122" s="439" t="s">
        <v>710</v>
      </c>
      <c r="Z122" s="449" t="s">
        <v>710</v>
      </c>
      <c r="AA122" s="440" t="s">
        <v>735</v>
      </c>
      <c r="AB122" s="441">
        <f t="shared" si="12"/>
        <v>31531.531531531531</v>
      </c>
      <c r="AC122" s="442">
        <f t="shared" si="13"/>
        <v>1135135.1351351351</v>
      </c>
      <c r="AD122" s="437">
        <v>432000</v>
      </c>
      <c r="AE122" s="447">
        <v>7925225.225225227</v>
      </c>
      <c r="AF122" s="447">
        <v>8797000</v>
      </c>
      <c r="AG122" s="437">
        <v>432000</v>
      </c>
      <c r="AH122" s="443" t="s">
        <v>2091</v>
      </c>
    </row>
    <row r="123" spans="1:36" ht="25">
      <c r="A123" s="350">
        <v>66</v>
      </c>
      <c r="B123" s="352" t="s">
        <v>683</v>
      </c>
      <c r="C123" s="352" t="s">
        <v>520</v>
      </c>
      <c r="D123" s="355" t="s">
        <v>464</v>
      </c>
      <c r="E123" s="374" t="s">
        <v>677</v>
      </c>
      <c r="F123" s="361">
        <v>44982</v>
      </c>
      <c r="G123" s="361">
        <f t="shared" si="18"/>
        <v>44982</v>
      </c>
      <c r="H123" s="361">
        <f t="shared" si="18"/>
        <v>44982</v>
      </c>
      <c r="I123" s="365">
        <v>45034</v>
      </c>
      <c r="J123" s="387" t="s">
        <v>522</v>
      </c>
      <c r="K123" s="352" t="s">
        <v>467</v>
      </c>
      <c r="L123" s="402">
        <v>8</v>
      </c>
      <c r="M123" s="352" t="s">
        <v>231</v>
      </c>
      <c r="N123" s="403">
        <v>35000</v>
      </c>
      <c r="O123" s="404">
        <v>280000</v>
      </c>
      <c r="P123" s="421">
        <v>4</v>
      </c>
      <c r="Q123" s="492" t="s">
        <v>737</v>
      </c>
      <c r="R123" s="437">
        <v>70000</v>
      </c>
      <c r="S123" s="438">
        <f t="shared" si="10"/>
        <v>296000</v>
      </c>
      <c r="T123" s="444" t="s">
        <v>282</v>
      </c>
      <c r="U123" s="460" t="str">
        <f t="shared" si="11"/>
        <v>Resto JFC Esther</v>
      </c>
      <c r="V123" s="444" t="s">
        <v>1258</v>
      </c>
      <c r="W123" s="444" t="s">
        <v>468</v>
      </c>
      <c r="X123" s="439" t="s">
        <v>709</v>
      </c>
      <c r="Y123" s="439" t="s">
        <v>710</v>
      </c>
      <c r="Z123" s="449" t="s">
        <v>710</v>
      </c>
      <c r="AA123" s="440" t="s">
        <v>488</v>
      </c>
      <c r="AB123" s="441">
        <f t="shared" si="12"/>
        <v>31531.531531531531</v>
      </c>
      <c r="AC123" s="442">
        <f t="shared" si="13"/>
        <v>252252.25225225225</v>
      </c>
      <c r="AD123" s="437">
        <v>70000</v>
      </c>
      <c r="AE123" s="447">
        <v>7925225.225225227</v>
      </c>
      <c r="AF123" s="447">
        <v>8797000</v>
      </c>
      <c r="AG123" s="437">
        <v>70000</v>
      </c>
      <c r="AH123" s="443" t="s">
        <v>2091</v>
      </c>
    </row>
    <row r="124" spans="1:36" ht="25">
      <c r="A124" s="350">
        <v>66</v>
      </c>
      <c r="B124" s="352" t="s">
        <v>685</v>
      </c>
      <c r="C124" s="352" t="s">
        <v>526</v>
      </c>
      <c r="D124" s="355" t="s">
        <v>464</v>
      </c>
      <c r="E124" s="374" t="s">
        <v>677</v>
      </c>
      <c r="F124" s="361">
        <v>44982</v>
      </c>
      <c r="G124" s="361">
        <f t="shared" si="18"/>
        <v>44982</v>
      </c>
      <c r="H124" s="361">
        <f t="shared" si="18"/>
        <v>44982</v>
      </c>
      <c r="I124" s="365">
        <v>45034</v>
      </c>
      <c r="J124" s="387" t="s">
        <v>527</v>
      </c>
      <c r="K124" s="352" t="s">
        <v>467</v>
      </c>
      <c r="L124" s="402">
        <v>12</v>
      </c>
      <c r="M124" s="352" t="s">
        <v>528</v>
      </c>
      <c r="N124" s="403">
        <v>35000</v>
      </c>
      <c r="O124" s="404">
        <v>420000</v>
      </c>
      <c r="P124" s="421">
        <v>4</v>
      </c>
      <c r="Q124" s="492" t="s">
        <v>739</v>
      </c>
      <c r="R124" s="437">
        <v>20000</v>
      </c>
      <c r="S124" s="438">
        <f t="shared" si="10"/>
        <v>444000</v>
      </c>
      <c r="T124" s="444" t="s">
        <v>282</v>
      </c>
      <c r="U124" s="460" t="str">
        <f t="shared" si="11"/>
        <v>Resto JFC Esther</v>
      </c>
      <c r="V124" s="444" t="s">
        <v>1258</v>
      </c>
      <c r="W124" s="444" t="s">
        <v>468</v>
      </c>
      <c r="X124" s="439" t="s">
        <v>709</v>
      </c>
      <c r="Y124" s="439" t="s">
        <v>710</v>
      </c>
      <c r="Z124" s="449" t="s">
        <v>710</v>
      </c>
      <c r="AA124" s="440" t="s">
        <v>488</v>
      </c>
      <c r="AB124" s="441">
        <f t="shared" si="12"/>
        <v>31531.531531531531</v>
      </c>
      <c r="AC124" s="442">
        <f t="shared" si="13"/>
        <v>378378.37837837834</v>
      </c>
      <c r="AD124" s="437">
        <v>20000</v>
      </c>
      <c r="AE124" s="447">
        <v>7925225.225225227</v>
      </c>
      <c r="AF124" s="447">
        <v>8797000</v>
      </c>
      <c r="AG124" s="437">
        <v>20000</v>
      </c>
      <c r="AH124" s="443" t="s">
        <v>2091</v>
      </c>
    </row>
    <row r="125" spans="1:36">
      <c r="A125" s="350">
        <v>67</v>
      </c>
      <c r="B125" s="352" t="s">
        <v>681</v>
      </c>
      <c r="C125" s="352" t="s">
        <v>679</v>
      </c>
      <c r="D125" s="355" t="s">
        <v>464</v>
      </c>
      <c r="E125" s="374" t="s">
        <v>677</v>
      </c>
      <c r="F125" s="361">
        <v>44982</v>
      </c>
      <c r="G125" s="361">
        <f t="shared" ref="G125:H140" si="19">F125</f>
        <v>44982</v>
      </c>
      <c r="H125" s="361">
        <f t="shared" si="19"/>
        <v>44982</v>
      </c>
      <c r="I125" s="365">
        <v>45034</v>
      </c>
      <c r="J125" s="387" t="s">
        <v>682</v>
      </c>
      <c r="K125" s="352" t="s">
        <v>471</v>
      </c>
      <c r="L125" s="402">
        <v>4</v>
      </c>
      <c r="M125" s="352" t="s">
        <v>472</v>
      </c>
      <c r="N125" s="403">
        <v>70000</v>
      </c>
      <c r="O125" s="404">
        <v>280000</v>
      </c>
      <c r="P125" s="421">
        <v>4</v>
      </c>
      <c r="Q125" s="492" t="s">
        <v>742</v>
      </c>
      <c r="R125" s="437">
        <v>11000</v>
      </c>
      <c r="S125" s="438">
        <f t="shared" si="10"/>
        <v>288000</v>
      </c>
      <c r="T125" s="439" t="s">
        <v>10</v>
      </c>
      <c r="U125" s="460" t="str">
        <f t="shared" si="11"/>
        <v>UD. USAHA JAYA</v>
      </c>
      <c r="V125" s="439" t="s">
        <v>11</v>
      </c>
      <c r="W125" s="439" t="s">
        <v>473</v>
      </c>
      <c r="X125" s="439" t="s">
        <v>709</v>
      </c>
      <c r="Y125" s="439" t="s">
        <v>710</v>
      </c>
      <c r="Z125" s="449" t="s">
        <v>710</v>
      </c>
      <c r="AA125" s="440" t="s">
        <v>714</v>
      </c>
      <c r="AB125" s="441">
        <f t="shared" si="12"/>
        <v>63063.063063063062</v>
      </c>
      <c r="AC125" s="442">
        <f t="shared" si="13"/>
        <v>252252.25225225225</v>
      </c>
      <c r="AD125" s="437">
        <v>11000</v>
      </c>
      <c r="AE125" s="447">
        <v>7925225.225225227</v>
      </c>
      <c r="AF125" s="447">
        <v>8797000</v>
      </c>
      <c r="AG125" s="437">
        <v>11000</v>
      </c>
      <c r="AH125" s="443" t="s">
        <v>2092</v>
      </c>
    </row>
    <row r="126" spans="1:36">
      <c r="A126" s="350">
        <v>67</v>
      </c>
      <c r="B126" s="352" t="s">
        <v>684</v>
      </c>
      <c r="C126" s="352" t="s">
        <v>520</v>
      </c>
      <c r="D126" s="355" t="s">
        <v>464</v>
      </c>
      <c r="E126" s="374" t="s">
        <v>677</v>
      </c>
      <c r="F126" s="361">
        <v>44982</v>
      </c>
      <c r="G126" s="361">
        <f t="shared" si="19"/>
        <v>44982</v>
      </c>
      <c r="H126" s="361">
        <f t="shared" si="19"/>
        <v>44982</v>
      </c>
      <c r="I126" s="365">
        <v>45034</v>
      </c>
      <c r="J126" s="387" t="s">
        <v>524</v>
      </c>
      <c r="K126" s="352" t="s">
        <v>471</v>
      </c>
      <c r="L126" s="402">
        <v>4</v>
      </c>
      <c r="M126" s="352" t="s">
        <v>472</v>
      </c>
      <c r="N126" s="403">
        <v>70000</v>
      </c>
      <c r="O126" s="404">
        <v>280000</v>
      </c>
      <c r="P126" s="421">
        <v>4</v>
      </c>
      <c r="Q126" s="492" t="s">
        <v>745</v>
      </c>
      <c r="R126" s="437">
        <v>150000</v>
      </c>
      <c r="S126" s="438">
        <f t="shared" si="10"/>
        <v>288000</v>
      </c>
      <c r="T126" s="439" t="s">
        <v>10</v>
      </c>
      <c r="U126" s="460" t="str">
        <f t="shared" si="11"/>
        <v>UD. USAHA JAYA</v>
      </c>
      <c r="V126" s="439" t="s">
        <v>11</v>
      </c>
      <c r="W126" s="439" t="s">
        <v>473</v>
      </c>
      <c r="X126" s="439" t="s">
        <v>709</v>
      </c>
      <c r="Y126" s="439" t="s">
        <v>710</v>
      </c>
      <c r="Z126" s="449" t="s">
        <v>710</v>
      </c>
      <c r="AA126" s="440" t="s">
        <v>488</v>
      </c>
      <c r="AB126" s="441">
        <f t="shared" si="12"/>
        <v>63063.063063063062</v>
      </c>
      <c r="AC126" s="442">
        <f t="shared" si="13"/>
        <v>252252.25225225225</v>
      </c>
      <c r="AD126" s="437">
        <v>150000</v>
      </c>
      <c r="AE126" s="447">
        <v>7925225.225225227</v>
      </c>
      <c r="AF126" s="447">
        <v>8797000</v>
      </c>
      <c r="AG126" s="437">
        <v>150000</v>
      </c>
      <c r="AH126" s="443" t="s">
        <v>2092</v>
      </c>
    </row>
    <row r="127" spans="1:36" ht="25">
      <c r="A127" s="350">
        <v>67</v>
      </c>
      <c r="B127" s="352" t="s">
        <v>686</v>
      </c>
      <c r="C127" s="352" t="s">
        <v>526</v>
      </c>
      <c r="D127" s="355" t="s">
        <v>464</v>
      </c>
      <c r="E127" s="374" t="s">
        <v>677</v>
      </c>
      <c r="F127" s="361">
        <v>44982</v>
      </c>
      <c r="G127" s="361">
        <f t="shared" si="19"/>
        <v>44982</v>
      </c>
      <c r="H127" s="361">
        <f t="shared" si="19"/>
        <v>44982</v>
      </c>
      <c r="I127" s="365">
        <v>45034</v>
      </c>
      <c r="J127" s="387" t="s">
        <v>530</v>
      </c>
      <c r="K127" s="352" t="s">
        <v>471</v>
      </c>
      <c r="L127" s="402">
        <v>6</v>
      </c>
      <c r="M127" s="352" t="s">
        <v>472</v>
      </c>
      <c r="N127" s="403">
        <v>70000</v>
      </c>
      <c r="O127" s="404">
        <v>420000</v>
      </c>
      <c r="P127" s="421">
        <v>4</v>
      </c>
      <c r="Q127" s="492" t="s">
        <v>739</v>
      </c>
      <c r="R127" s="437">
        <v>11500</v>
      </c>
      <c r="S127" s="438">
        <f t="shared" si="10"/>
        <v>432000</v>
      </c>
      <c r="T127" s="439" t="s">
        <v>10</v>
      </c>
      <c r="U127" s="460" t="str">
        <f t="shared" si="11"/>
        <v>UD. USAHA JAYA</v>
      </c>
      <c r="V127" s="439" t="s">
        <v>11</v>
      </c>
      <c r="W127" s="439" t="s">
        <v>473</v>
      </c>
      <c r="X127" s="439" t="s">
        <v>709</v>
      </c>
      <c r="Y127" s="439" t="s">
        <v>710</v>
      </c>
      <c r="Z127" s="449" t="s">
        <v>710</v>
      </c>
      <c r="AA127" s="440" t="s">
        <v>488</v>
      </c>
      <c r="AB127" s="441">
        <f t="shared" si="12"/>
        <v>63063.063063063062</v>
      </c>
      <c r="AC127" s="442">
        <f t="shared" si="13"/>
        <v>378378.37837837834</v>
      </c>
      <c r="AD127" s="437">
        <v>11500</v>
      </c>
      <c r="AE127" s="447">
        <v>7925225.225225227</v>
      </c>
      <c r="AF127" s="447">
        <v>8797000</v>
      </c>
      <c r="AG127" s="437">
        <v>11500</v>
      </c>
      <c r="AH127" s="443" t="s">
        <v>2092</v>
      </c>
    </row>
    <row r="128" spans="1:36" ht="25">
      <c r="A128" s="350">
        <v>68</v>
      </c>
      <c r="B128" s="352" t="s">
        <v>687</v>
      </c>
      <c r="C128" s="352" t="s">
        <v>627</v>
      </c>
      <c r="D128" s="355" t="s">
        <v>628</v>
      </c>
      <c r="E128" s="374" t="s">
        <v>688</v>
      </c>
      <c r="F128" s="361">
        <v>44985</v>
      </c>
      <c r="G128" s="361">
        <f t="shared" si="19"/>
        <v>44985</v>
      </c>
      <c r="H128" s="361">
        <f t="shared" si="19"/>
        <v>44985</v>
      </c>
      <c r="I128" s="365">
        <v>45034</v>
      </c>
      <c r="J128" s="387" t="s">
        <v>630</v>
      </c>
      <c r="K128" s="352" t="s">
        <v>631</v>
      </c>
      <c r="L128" s="791">
        <v>1</v>
      </c>
      <c r="M128" s="352" t="s">
        <v>587</v>
      </c>
      <c r="N128" s="403">
        <v>100000</v>
      </c>
      <c r="O128" s="404">
        <v>100000</v>
      </c>
      <c r="P128" s="421">
        <v>4</v>
      </c>
      <c r="Q128" s="492" t="s">
        <v>748</v>
      </c>
      <c r="R128" s="437">
        <v>5000</v>
      </c>
      <c r="S128" s="438">
        <f t="shared" si="10"/>
        <v>102000</v>
      </c>
      <c r="T128" s="275"/>
      <c r="U128" s="460" t="str">
        <f t="shared" si="11"/>
        <v/>
      </c>
      <c r="V128" s="439"/>
      <c r="W128" s="445"/>
      <c r="X128" s="439" t="s">
        <v>709</v>
      </c>
      <c r="Y128" s="439" t="s">
        <v>710</v>
      </c>
      <c r="Z128" s="449" t="s">
        <v>710</v>
      </c>
      <c r="AA128" s="440" t="s">
        <v>749</v>
      </c>
      <c r="AB128" s="441">
        <f t="shared" si="12"/>
        <v>90090.090090090089</v>
      </c>
      <c r="AC128" s="442">
        <f t="shared" si="13"/>
        <v>90090.090090090089</v>
      </c>
      <c r="AD128" s="437">
        <v>5000</v>
      </c>
      <c r="AE128" s="447">
        <v>7925225.225225227</v>
      </c>
      <c r="AF128" s="447">
        <v>8797000</v>
      </c>
      <c r="AG128" s="437">
        <v>5000</v>
      </c>
      <c r="AH128" s="446"/>
    </row>
    <row r="129" spans="1:34" ht="25">
      <c r="A129" s="350">
        <v>68</v>
      </c>
      <c r="B129" s="352" t="s">
        <v>689</v>
      </c>
      <c r="C129" s="352" t="s">
        <v>627</v>
      </c>
      <c r="D129" s="355" t="s">
        <v>628</v>
      </c>
      <c r="E129" s="374" t="s">
        <v>688</v>
      </c>
      <c r="F129" s="361">
        <v>44985</v>
      </c>
      <c r="G129" s="361">
        <f t="shared" si="19"/>
        <v>44985</v>
      </c>
      <c r="H129" s="361">
        <f t="shared" si="19"/>
        <v>44985</v>
      </c>
      <c r="I129" s="365">
        <v>45034</v>
      </c>
      <c r="J129" s="387" t="s">
        <v>633</v>
      </c>
      <c r="K129" s="352" t="s">
        <v>631</v>
      </c>
      <c r="L129" s="791">
        <v>1</v>
      </c>
      <c r="M129" s="352" t="s">
        <v>587</v>
      </c>
      <c r="N129" s="403">
        <v>200000</v>
      </c>
      <c r="O129" s="404">
        <v>200000</v>
      </c>
      <c r="P129" s="421">
        <v>4</v>
      </c>
      <c r="Q129" s="492" t="s">
        <v>750</v>
      </c>
      <c r="R129" s="437">
        <v>21000</v>
      </c>
      <c r="S129" s="438">
        <f t="shared" si="10"/>
        <v>202000</v>
      </c>
      <c r="T129" s="275"/>
      <c r="U129" s="460" t="str">
        <f t="shared" si="11"/>
        <v/>
      </c>
      <c r="V129" s="439"/>
      <c r="W129" s="445"/>
      <c r="X129" s="439" t="s">
        <v>709</v>
      </c>
      <c r="Y129" s="439" t="s">
        <v>710</v>
      </c>
      <c r="Z129" s="449" t="s">
        <v>710</v>
      </c>
      <c r="AA129" s="440" t="s">
        <v>735</v>
      </c>
      <c r="AB129" s="441">
        <f t="shared" si="12"/>
        <v>180180.18018018018</v>
      </c>
      <c r="AC129" s="442">
        <f t="shared" si="13"/>
        <v>180180.18018018018</v>
      </c>
      <c r="AD129" s="437">
        <v>21000</v>
      </c>
      <c r="AE129" s="447">
        <v>7925225.225225227</v>
      </c>
      <c r="AF129" s="447">
        <v>8797000</v>
      </c>
      <c r="AG129" s="437">
        <v>21000</v>
      </c>
      <c r="AH129" s="446"/>
    </row>
    <row r="130" spans="1:34">
      <c r="A130" s="350">
        <v>69</v>
      </c>
      <c r="B130" s="352" t="s">
        <v>690</v>
      </c>
      <c r="C130" s="352" t="s">
        <v>635</v>
      </c>
      <c r="D130" s="355" t="s">
        <v>590</v>
      </c>
      <c r="E130" s="374" t="s">
        <v>688</v>
      </c>
      <c r="F130" s="361">
        <v>44985</v>
      </c>
      <c r="G130" s="361">
        <f t="shared" si="19"/>
        <v>44985</v>
      </c>
      <c r="H130" s="361">
        <f t="shared" si="19"/>
        <v>44985</v>
      </c>
      <c r="I130" s="365">
        <v>45034</v>
      </c>
      <c r="J130" s="387" t="s">
        <v>636</v>
      </c>
      <c r="K130" s="352" t="s">
        <v>637</v>
      </c>
      <c r="L130" s="791">
        <v>1</v>
      </c>
      <c r="M130" s="352" t="s">
        <v>587</v>
      </c>
      <c r="N130" s="403">
        <v>400000</v>
      </c>
      <c r="O130" s="404">
        <v>400000</v>
      </c>
      <c r="P130" s="421">
        <v>4</v>
      </c>
      <c r="Q130" s="492" t="s">
        <v>751</v>
      </c>
      <c r="R130" s="437">
        <v>1000000</v>
      </c>
      <c r="S130" s="438">
        <f t="shared" si="10"/>
        <v>402000</v>
      </c>
      <c r="T130" s="275"/>
      <c r="U130" s="460" t="str">
        <f t="shared" si="11"/>
        <v/>
      </c>
      <c r="V130" s="439"/>
      <c r="W130" s="445"/>
      <c r="X130" s="439" t="s">
        <v>709</v>
      </c>
      <c r="Y130" s="439" t="s">
        <v>710</v>
      </c>
      <c r="Z130" s="449" t="s">
        <v>710</v>
      </c>
      <c r="AA130" s="440" t="s">
        <v>753</v>
      </c>
      <c r="AB130" s="441">
        <f t="shared" si="12"/>
        <v>360360.36036036036</v>
      </c>
      <c r="AC130" s="442">
        <f t="shared" si="13"/>
        <v>360360.36036036036</v>
      </c>
      <c r="AD130" s="437">
        <v>1000000</v>
      </c>
      <c r="AE130" s="447">
        <v>7925225.225225227</v>
      </c>
      <c r="AF130" s="447">
        <v>8797000</v>
      </c>
      <c r="AG130" s="437">
        <v>1000000</v>
      </c>
      <c r="AH130" s="446"/>
    </row>
    <row r="131" spans="1:34">
      <c r="A131" s="350">
        <v>70</v>
      </c>
      <c r="B131" s="352" t="s">
        <v>691</v>
      </c>
      <c r="C131" s="352" t="s">
        <v>639</v>
      </c>
      <c r="D131" s="355" t="s">
        <v>464</v>
      </c>
      <c r="E131" s="374" t="s">
        <v>688</v>
      </c>
      <c r="F131" s="361">
        <v>44985</v>
      </c>
      <c r="G131" s="361">
        <f t="shared" si="19"/>
        <v>44985</v>
      </c>
      <c r="H131" s="361">
        <f t="shared" si="19"/>
        <v>44985</v>
      </c>
      <c r="I131" s="365">
        <v>45034</v>
      </c>
      <c r="J131" s="387" t="s">
        <v>640</v>
      </c>
      <c r="K131" s="352" t="s">
        <v>641</v>
      </c>
      <c r="L131" s="402">
        <v>72</v>
      </c>
      <c r="M131" s="352" t="s">
        <v>488</v>
      </c>
      <c r="N131" s="403">
        <v>5000</v>
      </c>
      <c r="O131" s="404">
        <v>360000</v>
      </c>
      <c r="P131" s="421">
        <v>4</v>
      </c>
      <c r="Q131" s="492" t="s">
        <v>754</v>
      </c>
      <c r="R131" s="437">
        <v>35000</v>
      </c>
      <c r="S131" s="438">
        <f t="shared" ref="S131:S194" si="20">L131*(N131+2000)</f>
        <v>504000</v>
      </c>
      <c r="T131" s="275"/>
      <c r="U131" s="460" t="str">
        <f t="shared" ref="U131:U194" si="21">IF(K131="Nasi Kotak","Resto JFC Esther",IF(K131="Aqua Botol 600 ml","UD. USAHA JAYA",""))</f>
        <v/>
      </c>
      <c r="V131" s="439"/>
      <c r="W131" s="445"/>
      <c r="X131" s="439" t="s">
        <v>709</v>
      </c>
      <c r="Y131" s="439" t="s">
        <v>710</v>
      </c>
      <c r="Z131" s="449" t="s">
        <v>710</v>
      </c>
      <c r="AA131" s="440" t="s">
        <v>728</v>
      </c>
      <c r="AB131" s="441">
        <f t="shared" ref="AB131:AB194" si="22">100/111*N131</f>
        <v>4504.5045045045044</v>
      </c>
      <c r="AC131" s="442">
        <f t="shared" ref="AC131:AC194" si="23">AB131*L131</f>
        <v>324324.32432432432</v>
      </c>
      <c r="AD131" s="437">
        <v>35000</v>
      </c>
      <c r="AE131" s="447">
        <v>7925225.225225227</v>
      </c>
      <c r="AF131" s="447">
        <v>8797000</v>
      </c>
      <c r="AG131" s="437">
        <v>35000</v>
      </c>
      <c r="AH131" s="446"/>
    </row>
    <row r="132" spans="1:34">
      <c r="A132" s="350">
        <v>78</v>
      </c>
      <c r="B132" s="352" t="s">
        <v>692</v>
      </c>
      <c r="C132" s="352" t="s">
        <v>693</v>
      </c>
      <c r="D132" s="355" t="s">
        <v>694</v>
      </c>
      <c r="E132" s="363" t="s">
        <v>695</v>
      </c>
      <c r="F132" s="361">
        <v>44987</v>
      </c>
      <c r="G132" s="361">
        <f t="shared" si="19"/>
        <v>44987</v>
      </c>
      <c r="H132" s="361">
        <f t="shared" si="19"/>
        <v>44987</v>
      </c>
      <c r="I132" s="365">
        <v>45037</v>
      </c>
      <c r="J132" s="387" t="s">
        <v>696</v>
      </c>
      <c r="K132" s="352" t="s">
        <v>697</v>
      </c>
      <c r="L132" s="791">
        <v>1</v>
      </c>
      <c r="M132" s="352" t="s">
        <v>488</v>
      </c>
      <c r="N132" s="403">
        <v>80000</v>
      </c>
      <c r="O132" s="404">
        <v>80000</v>
      </c>
      <c r="P132" s="421">
        <v>4</v>
      </c>
      <c r="Q132" s="492" t="s">
        <v>541</v>
      </c>
      <c r="R132" s="437">
        <v>40000</v>
      </c>
      <c r="S132" s="438">
        <f t="shared" si="20"/>
        <v>82000</v>
      </c>
      <c r="T132" s="439" t="s">
        <v>12</v>
      </c>
      <c r="U132" s="460" t="str">
        <f t="shared" si="21"/>
        <v/>
      </c>
      <c r="V132" s="439" t="s">
        <v>13</v>
      </c>
      <c r="W132" s="439" t="s">
        <v>804</v>
      </c>
      <c r="X132" s="439" t="s">
        <v>709</v>
      </c>
      <c r="Y132" s="439" t="s">
        <v>710</v>
      </c>
      <c r="Z132" s="449" t="s">
        <v>710</v>
      </c>
      <c r="AA132" s="440" t="s">
        <v>756</v>
      </c>
      <c r="AB132" s="441">
        <f t="shared" si="22"/>
        <v>72072.072072072071</v>
      </c>
      <c r="AC132" s="442">
        <f t="shared" si="23"/>
        <v>72072.072072072071</v>
      </c>
      <c r="AD132" s="437">
        <v>40000</v>
      </c>
      <c r="AE132" s="447">
        <v>7925225.225225227</v>
      </c>
      <c r="AF132" s="447">
        <v>8797000</v>
      </c>
      <c r="AG132" s="437">
        <v>40000</v>
      </c>
      <c r="AH132" s="443" t="s">
        <v>2099</v>
      </c>
    </row>
    <row r="133" spans="1:34">
      <c r="A133" s="350">
        <v>78</v>
      </c>
      <c r="B133" s="352" t="s">
        <v>692</v>
      </c>
      <c r="C133" s="352" t="s">
        <v>693</v>
      </c>
      <c r="D133" s="355" t="s">
        <v>694</v>
      </c>
      <c r="E133" s="363" t="s">
        <v>695</v>
      </c>
      <c r="F133" s="361">
        <v>44987</v>
      </c>
      <c r="G133" s="361">
        <f t="shared" si="19"/>
        <v>44987</v>
      </c>
      <c r="H133" s="361">
        <f t="shared" si="19"/>
        <v>44987</v>
      </c>
      <c r="I133" s="365">
        <v>45037</v>
      </c>
      <c r="J133" s="387" t="s">
        <v>699</v>
      </c>
      <c r="K133" s="352" t="s">
        <v>700</v>
      </c>
      <c r="L133" s="402">
        <v>1</v>
      </c>
      <c r="M133" s="352" t="s">
        <v>488</v>
      </c>
      <c r="N133" s="403">
        <v>166000</v>
      </c>
      <c r="O133" s="404">
        <v>166000</v>
      </c>
      <c r="P133" s="459">
        <v>4</v>
      </c>
      <c r="Q133" s="492" t="s">
        <v>757</v>
      </c>
      <c r="R133" s="437">
        <v>26000</v>
      </c>
      <c r="S133" s="438">
        <f t="shared" si="20"/>
        <v>168000</v>
      </c>
      <c r="T133" s="439" t="s">
        <v>12</v>
      </c>
      <c r="U133" s="460" t="str">
        <f t="shared" si="21"/>
        <v/>
      </c>
      <c r="V133" s="439" t="s">
        <v>13</v>
      </c>
      <c r="W133" s="439" t="s">
        <v>804</v>
      </c>
      <c r="X133" s="439" t="s">
        <v>709</v>
      </c>
      <c r="Y133" s="439" t="s">
        <v>710</v>
      </c>
      <c r="Z133" s="449" t="s">
        <v>710</v>
      </c>
      <c r="AA133" s="440" t="s">
        <v>488</v>
      </c>
      <c r="AB133" s="441">
        <f t="shared" si="22"/>
        <v>149549.54954954956</v>
      </c>
      <c r="AC133" s="442">
        <f t="shared" si="23"/>
        <v>149549.54954954956</v>
      </c>
      <c r="AD133" s="437">
        <v>26000</v>
      </c>
      <c r="AE133" s="447">
        <v>7925225.225225227</v>
      </c>
      <c r="AF133" s="447">
        <v>8797000</v>
      </c>
      <c r="AG133" s="437">
        <v>26000</v>
      </c>
      <c r="AH133" s="443" t="s">
        <v>2099</v>
      </c>
    </row>
    <row r="134" spans="1:34">
      <c r="A134" s="350">
        <v>78</v>
      </c>
      <c r="B134" s="352" t="s">
        <v>692</v>
      </c>
      <c r="C134" s="352" t="s">
        <v>693</v>
      </c>
      <c r="D134" s="355" t="s">
        <v>694</v>
      </c>
      <c r="E134" s="363" t="s">
        <v>695</v>
      </c>
      <c r="F134" s="361">
        <v>44987</v>
      </c>
      <c r="G134" s="361">
        <f t="shared" si="19"/>
        <v>44987</v>
      </c>
      <c r="H134" s="361">
        <f t="shared" si="19"/>
        <v>44987</v>
      </c>
      <c r="I134" s="365">
        <v>45037</v>
      </c>
      <c r="J134" s="387" t="s">
        <v>701</v>
      </c>
      <c r="K134" s="352" t="s">
        <v>702</v>
      </c>
      <c r="L134" s="402">
        <v>2</v>
      </c>
      <c r="M134" s="352" t="s">
        <v>488</v>
      </c>
      <c r="N134" s="403">
        <v>150000</v>
      </c>
      <c r="O134" s="404">
        <v>300000</v>
      </c>
      <c r="P134" s="421">
        <v>4</v>
      </c>
      <c r="Q134" s="492" t="s">
        <v>759</v>
      </c>
      <c r="R134" s="437">
        <v>15000</v>
      </c>
      <c r="S134" s="438">
        <f t="shared" si="20"/>
        <v>304000</v>
      </c>
      <c r="T134" s="439" t="s">
        <v>12</v>
      </c>
      <c r="U134" s="460" t="str">
        <f t="shared" si="21"/>
        <v/>
      </c>
      <c r="V134" s="439" t="s">
        <v>13</v>
      </c>
      <c r="W134" s="439" t="s">
        <v>804</v>
      </c>
      <c r="X134" s="439" t="s">
        <v>709</v>
      </c>
      <c r="Y134" s="439" t="s">
        <v>710</v>
      </c>
      <c r="Z134" s="449" t="s">
        <v>710</v>
      </c>
      <c r="AA134" s="440" t="s">
        <v>488</v>
      </c>
      <c r="AB134" s="441">
        <f t="shared" si="22"/>
        <v>135135.13513513515</v>
      </c>
      <c r="AC134" s="442">
        <f t="shared" si="23"/>
        <v>270270.2702702703</v>
      </c>
      <c r="AD134" s="437">
        <v>15000</v>
      </c>
      <c r="AE134" s="447">
        <v>7925225.225225227</v>
      </c>
      <c r="AF134" s="447">
        <v>8797000</v>
      </c>
      <c r="AG134" s="437">
        <v>15000</v>
      </c>
      <c r="AH134" s="443" t="s">
        <v>2099</v>
      </c>
    </row>
    <row r="135" spans="1:34" ht="25">
      <c r="A135" s="350">
        <v>78</v>
      </c>
      <c r="B135" s="352" t="s">
        <v>789</v>
      </c>
      <c r="C135" s="352" t="s">
        <v>693</v>
      </c>
      <c r="D135" s="355" t="s">
        <v>533</v>
      </c>
      <c r="E135" s="363" t="s">
        <v>706</v>
      </c>
      <c r="F135" s="361">
        <v>44992</v>
      </c>
      <c r="G135" s="361">
        <f t="shared" si="19"/>
        <v>44992</v>
      </c>
      <c r="H135" s="361">
        <f t="shared" si="19"/>
        <v>44992</v>
      </c>
      <c r="I135" s="365">
        <v>45037</v>
      </c>
      <c r="J135" s="387" t="s">
        <v>790</v>
      </c>
      <c r="K135" s="352" t="s">
        <v>791</v>
      </c>
      <c r="L135" s="402">
        <v>1</v>
      </c>
      <c r="M135" s="352" t="s">
        <v>792</v>
      </c>
      <c r="N135" s="403">
        <v>600000</v>
      </c>
      <c r="O135" s="404">
        <v>600000</v>
      </c>
      <c r="P135" s="421">
        <v>4</v>
      </c>
      <c r="Q135" s="492" t="s">
        <v>761</v>
      </c>
      <c r="R135" s="437">
        <v>26000</v>
      </c>
      <c r="S135" s="438">
        <f t="shared" si="20"/>
        <v>602000</v>
      </c>
      <c r="T135" s="439" t="s">
        <v>12</v>
      </c>
      <c r="U135" s="460" t="str">
        <f t="shared" si="21"/>
        <v/>
      </c>
      <c r="V135" s="439" t="s">
        <v>13</v>
      </c>
      <c r="W135" s="439" t="s">
        <v>804</v>
      </c>
      <c r="X135" s="439" t="s">
        <v>709</v>
      </c>
      <c r="Y135" s="439" t="s">
        <v>710</v>
      </c>
      <c r="Z135" s="449" t="s">
        <v>710</v>
      </c>
      <c r="AA135" s="440" t="s">
        <v>488</v>
      </c>
      <c r="AB135" s="441">
        <f t="shared" si="22"/>
        <v>540540.54054054059</v>
      </c>
      <c r="AC135" s="442">
        <f t="shared" si="23"/>
        <v>540540.54054054059</v>
      </c>
      <c r="AD135" s="437">
        <v>26000</v>
      </c>
      <c r="AE135" s="447">
        <v>7925225.225225227</v>
      </c>
      <c r="AF135" s="447">
        <v>8797000</v>
      </c>
      <c r="AG135" s="437">
        <v>26000</v>
      </c>
      <c r="AH135" s="443" t="s">
        <v>2099</v>
      </c>
    </row>
    <row r="136" spans="1:34">
      <c r="A136" s="350">
        <v>80</v>
      </c>
      <c r="B136" s="352" t="s">
        <v>703</v>
      </c>
      <c r="C136" s="352" t="s">
        <v>704</v>
      </c>
      <c r="D136" s="355" t="s">
        <v>705</v>
      </c>
      <c r="E136" s="363" t="s">
        <v>706</v>
      </c>
      <c r="F136" s="361">
        <v>44992</v>
      </c>
      <c r="G136" s="361">
        <f t="shared" si="19"/>
        <v>44992</v>
      </c>
      <c r="H136" s="361">
        <f t="shared" si="19"/>
        <v>44992</v>
      </c>
      <c r="I136" s="365">
        <v>45037</v>
      </c>
      <c r="J136" s="387" t="s">
        <v>707</v>
      </c>
      <c r="K136" s="352" t="s">
        <v>708</v>
      </c>
      <c r="L136" s="402">
        <v>2</v>
      </c>
      <c r="M136" s="352" t="s">
        <v>488</v>
      </c>
      <c r="N136" s="403">
        <v>85000</v>
      </c>
      <c r="O136" s="404">
        <v>170000</v>
      </c>
      <c r="P136" s="421">
        <v>4</v>
      </c>
      <c r="Q136" s="492" t="s">
        <v>763</v>
      </c>
      <c r="R136" s="437">
        <v>15000</v>
      </c>
      <c r="S136" s="438">
        <f t="shared" si="20"/>
        <v>174000</v>
      </c>
      <c r="T136" s="439" t="s">
        <v>538</v>
      </c>
      <c r="U136" s="460" t="str">
        <f t="shared" si="21"/>
        <v/>
      </c>
      <c r="V136" s="439" t="s">
        <v>539</v>
      </c>
      <c r="W136" s="439" t="s">
        <v>540</v>
      </c>
      <c r="X136" s="439" t="s">
        <v>709</v>
      </c>
      <c r="Y136" s="439" t="s">
        <v>710</v>
      </c>
      <c r="Z136" s="449" t="s">
        <v>710</v>
      </c>
      <c r="AA136" s="440" t="s">
        <v>728</v>
      </c>
      <c r="AB136" s="441">
        <f t="shared" si="22"/>
        <v>76576.576576576583</v>
      </c>
      <c r="AC136" s="442">
        <f t="shared" si="23"/>
        <v>153153.15315315317</v>
      </c>
      <c r="AD136" s="437">
        <v>15000</v>
      </c>
      <c r="AE136" s="447">
        <v>7925225.225225227</v>
      </c>
      <c r="AF136" s="447">
        <v>8797000</v>
      </c>
      <c r="AG136" s="437">
        <v>15000</v>
      </c>
      <c r="AH136" s="443" t="s">
        <v>2098</v>
      </c>
    </row>
    <row r="137" spans="1:34">
      <c r="A137" s="350">
        <v>80</v>
      </c>
      <c r="B137" s="352" t="s">
        <v>703</v>
      </c>
      <c r="C137" s="352" t="s">
        <v>704</v>
      </c>
      <c r="D137" s="355" t="s">
        <v>705</v>
      </c>
      <c r="E137" s="363" t="s">
        <v>706</v>
      </c>
      <c r="F137" s="361">
        <v>44992</v>
      </c>
      <c r="G137" s="361">
        <f t="shared" si="19"/>
        <v>44992</v>
      </c>
      <c r="H137" s="361">
        <f t="shared" si="19"/>
        <v>44992</v>
      </c>
      <c r="I137" s="365">
        <v>45037</v>
      </c>
      <c r="J137" s="387" t="s">
        <v>711</v>
      </c>
      <c r="K137" s="352" t="s">
        <v>712</v>
      </c>
      <c r="L137" s="402">
        <v>1</v>
      </c>
      <c r="M137" s="352" t="s">
        <v>488</v>
      </c>
      <c r="N137" s="403">
        <v>14000</v>
      </c>
      <c r="O137" s="404">
        <v>14000</v>
      </c>
      <c r="P137" s="421">
        <v>4</v>
      </c>
      <c r="Q137" s="492" t="s">
        <v>764</v>
      </c>
      <c r="R137" s="437">
        <v>25000</v>
      </c>
      <c r="S137" s="438">
        <f t="shared" si="20"/>
        <v>16000</v>
      </c>
      <c r="T137" s="439" t="s">
        <v>538</v>
      </c>
      <c r="U137" s="460" t="str">
        <f t="shared" si="21"/>
        <v/>
      </c>
      <c r="V137" s="439" t="s">
        <v>539</v>
      </c>
      <c r="W137" s="439" t="s">
        <v>540</v>
      </c>
      <c r="X137" s="439" t="s">
        <v>709</v>
      </c>
      <c r="Y137" s="439" t="s">
        <v>710</v>
      </c>
      <c r="Z137" s="449" t="s">
        <v>710</v>
      </c>
      <c r="AA137" s="440" t="s">
        <v>753</v>
      </c>
      <c r="AB137" s="441">
        <f t="shared" si="22"/>
        <v>12612.612612612613</v>
      </c>
      <c r="AC137" s="442">
        <f t="shared" si="23"/>
        <v>12612.612612612613</v>
      </c>
      <c r="AD137" s="437">
        <v>25000</v>
      </c>
      <c r="AE137" s="447">
        <v>7925225.225225227</v>
      </c>
      <c r="AF137" s="447">
        <v>8797000</v>
      </c>
      <c r="AG137" s="437">
        <v>25000</v>
      </c>
      <c r="AH137" s="443" t="s">
        <v>2098</v>
      </c>
    </row>
    <row r="138" spans="1:34">
      <c r="A138" s="350">
        <v>80</v>
      </c>
      <c r="B138" s="352" t="s">
        <v>703</v>
      </c>
      <c r="C138" s="352" t="s">
        <v>704</v>
      </c>
      <c r="D138" s="355" t="s">
        <v>705</v>
      </c>
      <c r="E138" s="363" t="s">
        <v>706</v>
      </c>
      <c r="F138" s="361">
        <v>44992</v>
      </c>
      <c r="G138" s="361">
        <f t="shared" si="19"/>
        <v>44992</v>
      </c>
      <c r="H138" s="361">
        <f t="shared" si="19"/>
        <v>44992</v>
      </c>
      <c r="I138" s="365">
        <v>45037</v>
      </c>
      <c r="J138" s="389" t="s">
        <v>233</v>
      </c>
      <c r="K138" s="435" t="s">
        <v>233</v>
      </c>
      <c r="L138" s="402">
        <v>1</v>
      </c>
      <c r="M138" s="352" t="s">
        <v>714</v>
      </c>
      <c r="N138" s="403">
        <v>97000</v>
      </c>
      <c r="O138" s="404">
        <v>97000</v>
      </c>
      <c r="P138" s="421">
        <v>4</v>
      </c>
      <c r="Q138" s="492" t="s">
        <v>765</v>
      </c>
      <c r="R138" s="437">
        <v>84000</v>
      </c>
      <c r="S138" s="438">
        <f t="shared" si="20"/>
        <v>99000</v>
      </c>
      <c r="T138" s="439" t="s">
        <v>538</v>
      </c>
      <c r="U138" s="460" t="str">
        <f t="shared" si="21"/>
        <v/>
      </c>
      <c r="V138" s="439" t="s">
        <v>539</v>
      </c>
      <c r="W138" s="439" t="s">
        <v>540</v>
      </c>
      <c r="X138" s="439" t="s">
        <v>709</v>
      </c>
      <c r="Y138" s="439" t="s">
        <v>710</v>
      </c>
      <c r="Z138" s="449" t="s">
        <v>710</v>
      </c>
      <c r="AA138" s="440" t="s">
        <v>597</v>
      </c>
      <c r="AB138" s="441">
        <f t="shared" si="22"/>
        <v>87387.387387387382</v>
      </c>
      <c r="AC138" s="442">
        <f t="shared" si="23"/>
        <v>87387.387387387382</v>
      </c>
      <c r="AD138" s="437">
        <v>84000</v>
      </c>
      <c r="AE138" s="447">
        <v>7925225.225225227</v>
      </c>
      <c r="AF138" s="447">
        <v>8797000</v>
      </c>
      <c r="AG138" s="437">
        <v>84000</v>
      </c>
      <c r="AH138" s="443" t="s">
        <v>2098</v>
      </c>
    </row>
    <row r="139" spans="1:34">
      <c r="A139" s="350">
        <v>80</v>
      </c>
      <c r="B139" s="352" t="s">
        <v>703</v>
      </c>
      <c r="C139" s="352" t="s">
        <v>704</v>
      </c>
      <c r="D139" s="355" t="s">
        <v>705</v>
      </c>
      <c r="E139" s="363" t="s">
        <v>706</v>
      </c>
      <c r="F139" s="361">
        <v>44992</v>
      </c>
      <c r="G139" s="361">
        <f t="shared" si="19"/>
        <v>44992</v>
      </c>
      <c r="H139" s="361">
        <f t="shared" si="19"/>
        <v>44992</v>
      </c>
      <c r="I139" s="365">
        <v>45037</v>
      </c>
      <c r="J139" s="388" t="s">
        <v>716</v>
      </c>
      <c r="K139" s="436" t="s">
        <v>717</v>
      </c>
      <c r="L139" s="402">
        <v>2</v>
      </c>
      <c r="M139" s="352" t="s">
        <v>597</v>
      </c>
      <c r="N139" s="403">
        <v>7500</v>
      </c>
      <c r="O139" s="404">
        <v>15000</v>
      </c>
      <c r="P139" s="421">
        <v>4</v>
      </c>
      <c r="Q139" s="492" t="s">
        <v>766</v>
      </c>
      <c r="R139" s="437">
        <v>22000</v>
      </c>
      <c r="S139" s="438">
        <f t="shared" si="20"/>
        <v>19000</v>
      </c>
      <c r="T139" s="439" t="s">
        <v>538</v>
      </c>
      <c r="U139" s="460" t="str">
        <f t="shared" si="21"/>
        <v/>
      </c>
      <c r="V139" s="439" t="s">
        <v>539</v>
      </c>
      <c r="W139" s="439" t="s">
        <v>540</v>
      </c>
      <c r="X139" s="439" t="s">
        <v>709</v>
      </c>
      <c r="Y139" s="439" t="s">
        <v>710</v>
      </c>
      <c r="Z139" s="449" t="s">
        <v>710</v>
      </c>
      <c r="AA139" s="440" t="s">
        <v>597</v>
      </c>
      <c r="AB139" s="441">
        <f t="shared" si="22"/>
        <v>6756.7567567567567</v>
      </c>
      <c r="AC139" s="442">
        <f t="shared" si="23"/>
        <v>13513.513513513513</v>
      </c>
      <c r="AD139" s="437">
        <v>22000</v>
      </c>
      <c r="AE139" s="447">
        <v>7925225.225225227</v>
      </c>
      <c r="AF139" s="447">
        <v>8797000</v>
      </c>
      <c r="AG139" s="437">
        <v>22000</v>
      </c>
      <c r="AH139" s="443" t="s">
        <v>2098</v>
      </c>
    </row>
    <row r="140" spans="1:34">
      <c r="A140" s="350">
        <v>80</v>
      </c>
      <c r="B140" s="352" t="s">
        <v>703</v>
      </c>
      <c r="C140" s="352" t="s">
        <v>704</v>
      </c>
      <c r="D140" s="355" t="s">
        <v>705</v>
      </c>
      <c r="E140" s="363" t="s">
        <v>706</v>
      </c>
      <c r="F140" s="361">
        <v>44992</v>
      </c>
      <c r="G140" s="361">
        <f t="shared" si="19"/>
        <v>44992</v>
      </c>
      <c r="H140" s="361">
        <f t="shared" si="19"/>
        <v>44992</v>
      </c>
      <c r="I140" s="365">
        <v>45037</v>
      </c>
      <c r="J140" s="387" t="s">
        <v>253</v>
      </c>
      <c r="K140" s="352" t="s">
        <v>719</v>
      </c>
      <c r="L140" s="402">
        <v>1</v>
      </c>
      <c r="M140" s="352" t="s">
        <v>720</v>
      </c>
      <c r="N140" s="403">
        <v>20000</v>
      </c>
      <c r="O140" s="404">
        <v>20000</v>
      </c>
      <c r="P140" s="459">
        <v>4</v>
      </c>
      <c r="Q140" s="492" t="s">
        <v>768</v>
      </c>
      <c r="R140" s="437">
        <v>11000</v>
      </c>
      <c r="S140" s="438">
        <f t="shared" si="20"/>
        <v>22000</v>
      </c>
      <c r="T140" s="439" t="s">
        <v>538</v>
      </c>
      <c r="U140" s="460" t="str">
        <f t="shared" si="21"/>
        <v/>
      </c>
      <c r="V140" s="439" t="s">
        <v>539</v>
      </c>
      <c r="W140" s="439" t="s">
        <v>540</v>
      </c>
      <c r="X140" s="439" t="s">
        <v>709</v>
      </c>
      <c r="Y140" s="439" t="s">
        <v>710</v>
      </c>
      <c r="Z140" s="449" t="s">
        <v>710</v>
      </c>
      <c r="AA140" s="440" t="s">
        <v>551</v>
      </c>
      <c r="AB140" s="441">
        <f t="shared" si="22"/>
        <v>18018.018018018018</v>
      </c>
      <c r="AC140" s="442">
        <f t="shared" si="23"/>
        <v>18018.018018018018</v>
      </c>
      <c r="AD140" s="437">
        <v>11000</v>
      </c>
      <c r="AE140" s="447">
        <v>7925225.225225227</v>
      </c>
      <c r="AF140" s="447">
        <v>8797000</v>
      </c>
      <c r="AG140" s="437">
        <v>11000</v>
      </c>
      <c r="AH140" s="443" t="s">
        <v>2098</v>
      </c>
    </row>
    <row r="141" spans="1:34">
      <c r="A141" s="350">
        <v>80</v>
      </c>
      <c r="B141" s="352" t="s">
        <v>703</v>
      </c>
      <c r="C141" s="352" t="s">
        <v>704</v>
      </c>
      <c r="D141" s="355" t="s">
        <v>705</v>
      </c>
      <c r="E141" s="363" t="s">
        <v>706</v>
      </c>
      <c r="F141" s="361">
        <v>44992</v>
      </c>
      <c r="G141" s="361">
        <f t="shared" ref="G141:H156" si="24">F141</f>
        <v>44992</v>
      </c>
      <c r="H141" s="361">
        <f t="shared" si="24"/>
        <v>44992</v>
      </c>
      <c r="I141" s="365">
        <v>45037</v>
      </c>
      <c r="J141" s="388" t="s">
        <v>722</v>
      </c>
      <c r="K141" s="436" t="s">
        <v>723</v>
      </c>
      <c r="L141" s="402">
        <v>1</v>
      </c>
      <c r="M141" s="352" t="s">
        <v>724</v>
      </c>
      <c r="N141" s="403">
        <v>45000</v>
      </c>
      <c r="O141" s="404">
        <v>45000</v>
      </c>
      <c r="P141" s="421">
        <v>4</v>
      </c>
      <c r="Q141" s="492" t="s">
        <v>769</v>
      </c>
      <c r="R141" s="437">
        <v>60000</v>
      </c>
      <c r="S141" s="438">
        <f t="shared" si="20"/>
        <v>47000</v>
      </c>
      <c r="T141" s="439" t="s">
        <v>538</v>
      </c>
      <c r="U141" s="460" t="str">
        <f t="shared" si="21"/>
        <v/>
      </c>
      <c r="V141" s="439" t="s">
        <v>539</v>
      </c>
      <c r="W141" s="439" t="s">
        <v>540</v>
      </c>
      <c r="X141" s="439" t="s">
        <v>709</v>
      </c>
      <c r="Y141" s="439" t="s">
        <v>710</v>
      </c>
      <c r="Z141" s="449" t="s">
        <v>710</v>
      </c>
      <c r="AA141" s="440" t="s">
        <v>772</v>
      </c>
      <c r="AB141" s="441">
        <f t="shared" si="22"/>
        <v>40540.54054054054</v>
      </c>
      <c r="AC141" s="442">
        <f t="shared" si="23"/>
        <v>40540.54054054054</v>
      </c>
      <c r="AD141" s="437">
        <v>60000</v>
      </c>
      <c r="AE141" s="447">
        <v>7925225.225225227</v>
      </c>
      <c r="AF141" s="447">
        <v>8797000</v>
      </c>
      <c r="AG141" s="437">
        <v>60000</v>
      </c>
      <c r="AH141" s="443" t="s">
        <v>2098</v>
      </c>
    </row>
    <row r="142" spans="1:34">
      <c r="A142" s="350">
        <v>80</v>
      </c>
      <c r="B142" s="352" t="s">
        <v>703</v>
      </c>
      <c r="C142" s="352" t="s">
        <v>704</v>
      </c>
      <c r="D142" s="355" t="s">
        <v>705</v>
      </c>
      <c r="E142" s="363" t="s">
        <v>706</v>
      </c>
      <c r="F142" s="361">
        <v>44992</v>
      </c>
      <c r="G142" s="361">
        <f t="shared" si="24"/>
        <v>44992</v>
      </c>
      <c r="H142" s="361">
        <f t="shared" si="24"/>
        <v>44992</v>
      </c>
      <c r="I142" s="365">
        <v>45037</v>
      </c>
      <c r="J142" s="388" t="s">
        <v>726</v>
      </c>
      <c r="K142" s="436" t="s">
        <v>727</v>
      </c>
      <c r="L142" s="402">
        <v>1</v>
      </c>
      <c r="M142" s="352" t="s">
        <v>728</v>
      </c>
      <c r="N142" s="403">
        <v>21000</v>
      </c>
      <c r="O142" s="404">
        <v>21000</v>
      </c>
      <c r="P142" s="421">
        <v>4</v>
      </c>
      <c r="Q142" s="492" t="s">
        <v>773</v>
      </c>
      <c r="R142" s="437">
        <v>260000</v>
      </c>
      <c r="S142" s="438">
        <f t="shared" si="20"/>
        <v>23000</v>
      </c>
      <c r="T142" s="439" t="s">
        <v>538</v>
      </c>
      <c r="U142" s="460" t="str">
        <f t="shared" si="21"/>
        <v/>
      </c>
      <c r="V142" s="439" t="s">
        <v>539</v>
      </c>
      <c r="W142" s="439" t="s">
        <v>540</v>
      </c>
      <c r="X142" s="439" t="s">
        <v>709</v>
      </c>
      <c r="Y142" s="275" t="s">
        <v>710</v>
      </c>
      <c r="Z142" s="616" t="s">
        <v>710</v>
      </c>
      <c r="AA142" s="440" t="s">
        <v>774</v>
      </c>
      <c r="AB142" s="441">
        <f t="shared" si="22"/>
        <v>18918.91891891892</v>
      </c>
      <c r="AC142" s="442">
        <f t="shared" si="23"/>
        <v>18918.91891891892</v>
      </c>
      <c r="AD142" s="437">
        <v>260000</v>
      </c>
      <c r="AE142" s="447">
        <v>7925225.225225227</v>
      </c>
      <c r="AF142" s="447">
        <v>8797000</v>
      </c>
      <c r="AG142" s="437">
        <v>260000</v>
      </c>
      <c r="AH142" s="443" t="s">
        <v>2098</v>
      </c>
    </row>
    <row r="143" spans="1:34">
      <c r="A143" s="350">
        <v>80</v>
      </c>
      <c r="B143" s="352" t="s">
        <v>703</v>
      </c>
      <c r="C143" s="352" t="s">
        <v>704</v>
      </c>
      <c r="D143" s="355" t="s">
        <v>705</v>
      </c>
      <c r="E143" s="363" t="s">
        <v>706</v>
      </c>
      <c r="F143" s="361">
        <v>44992</v>
      </c>
      <c r="G143" s="361">
        <f t="shared" si="24"/>
        <v>44992</v>
      </c>
      <c r="H143" s="361">
        <f t="shared" si="24"/>
        <v>44992</v>
      </c>
      <c r="I143" s="365">
        <v>45037</v>
      </c>
      <c r="J143" s="388" t="s">
        <v>730</v>
      </c>
      <c r="K143" s="436" t="s">
        <v>731</v>
      </c>
      <c r="L143" s="402">
        <v>1</v>
      </c>
      <c r="M143" s="352" t="s">
        <v>597</v>
      </c>
      <c r="N143" s="403">
        <v>20000</v>
      </c>
      <c r="O143" s="404">
        <v>20000</v>
      </c>
      <c r="P143" s="421">
        <v>4</v>
      </c>
      <c r="Q143" s="492" t="s">
        <v>775</v>
      </c>
      <c r="R143" s="437">
        <v>150000</v>
      </c>
      <c r="S143" s="438">
        <f t="shared" si="20"/>
        <v>22000</v>
      </c>
      <c r="T143" s="439" t="s">
        <v>538</v>
      </c>
      <c r="U143" s="460" t="str">
        <f t="shared" si="21"/>
        <v/>
      </c>
      <c r="V143" s="439" t="s">
        <v>539</v>
      </c>
      <c r="W143" s="439" t="s">
        <v>540</v>
      </c>
      <c r="X143" s="439" t="s">
        <v>709</v>
      </c>
      <c r="Y143" s="275" t="s">
        <v>710</v>
      </c>
      <c r="Z143" s="616" t="s">
        <v>710</v>
      </c>
      <c r="AA143" s="440" t="s">
        <v>667</v>
      </c>
      <c r="AB143" s="441">
        <f t="shared" si="22"/>
        <v>18018.018018018018</v>
      </c>
      <c r="AC143" s="442">
        <f t="shared" si="23"/>
        <v>18018.018018018018</v>
      </c>
      <c r="AD143" s="437">
        <v>150000</v>
      </c>
      <c r="AE143" s="447">
        <v>7925225.225225227</v>
      </c>
      <c r="AF143" s="447">
        <v>8797000</v>
      </c>
      <c r="AG143" s="437">
        <v>150000</v>
      </c>
      <c r="AH143" s="443" t="s">
        <v>2098</v>
      </c>
    </row>
    <row r="144" spans="1:34" ht="25">
      <c r="A144" s="350">
        <v>80</v>
      </c>
      <c r="B144" s="352" t="s">
        <v>703</v>
      </c>
      <c r="C144" s="352" t="s">
        <v>704</v>
      </c>
      <c r="D144" s="355" t="s">
        <v>705</v>
      </c>
      <c r="E144" s="363" t="s">
        <v>706</v>
      </c>
      <c r="F144" s="361">
        <v>44992</v>
      </c>
      <c r="G144" s="361">
        <f t="shared" si="24"/>
        <v>44992</v>
      </c>
      <c r="H144" s="361">
        <f t="shared" si="24"/>
        <v>44992</v>
      </c>
      <c r="I144" s="365">
        <v>45037</v>
      </c>
      <c r="J144" s="387" t="s">
        <v>733</v>
      </c>
      <c r="K144" s="388" t="s">
        <v>734</v>
      </c>
      <c r="L144" s="402">
        <v>8</v>
      </c>
      <c r="M144" s="352" t="s">
        <v>735</v>
      </c>
      <c r="N144" s="403">
        <v>54000</v>
      </c>
      <c r="O144" s="404">
        <v>432000</v>
      </c>
      <c r="P144" s="421">
        <v>4</v>
      </c>
      <c r="Q144" s="492" t="s">
        <v>776</v>
      </c>
      <c r="R144" s="437">
        <v>240000</v>
      </c>
      <c r="S144" s="438">
        <f t="shared" si="20"/>
        <v>448000</v>
      </c>
      <c r="T144" s="439" t="s">
        <v>538</v>
      </c>
      <c r="U144" s="460" t="str">
        <f t="shared" si="21"/>
        <v/>
      </c>
      <c r="V144" s="439" t="s">
        <v>539</v>
      </c>
      <c r="W144" s="439" t="s">
        <v>540</v>
      </c>
      <c r="X144" s="439" t="s">
        <v>709</v>
      </c>
      <c r="Y144" s="275" t="s">
        <v>710</v>
      </c>
      <c r="Z144" s="616" t="s">
        <v>710</v>
      </c>
      <c r="AA144" s="440" t="s">
        <v>597</v>
      </c>
      <c r="AB144" s="441">
        <f t="shared" si="22"/>
        <v>48648.648648648646</v>
      </c>
      <c r="AC144" s="442">
        <f t="shared" si="23"/>
        <v>389189.18918918917</v>
      </c>
      <c r="AD144" s="437">
        <v>240000</v>
      </c>
      <c r="AE144" s="447">
        <v>7925225.225225227</v>
      </c>
      <c r="AF144" s="447">
        <v>8797000</v>
      </c>
      <c r="AG144" s="437">
        <v>240000</v>
      </c>
      <c r="AH144" s="443" t="s">
        <v>2098</v>
      </c>
    </row>
    <row r="145" spans="1:34" ht="25">
      <c r="A145" s="350">
        <v>80</v>
      </c>
      <c r="B145" s="352" t="s">
        <v>703</v>
      </c>
      <c r="C145" s="352" t="s">
        <v>704</v>
      </c>
      <c r="D145" s="355" t="s">
        <v>705</v>
      </c>
      <c r="E145" s="363" t="s">
        <v>706</v>
      </c>
      <c r="F145" s="361">
        <v>44992</v>
      </c>
      <c r="G145" s="361">
        <f t="shared" si="24"/>
        <v>44992</v>
      </c>
      <c r="H145" s="361">
        <f t="shared" si="24"/>
        <v>44992</v>
      </c>
      <c r="I145" s="365">
        <v>45037</v>
      </c>
      <c r="J145" s="387" t="s">
        <v>251</v>
      </c>
      <c r="K145" s="387" t="s">
        <v>251</v>
      </c>
      <c r="L145" s="402">
        <v>1</v>
      </c>
      <c r="M145" s="352" t="s">
        <v>735</v>
      </c>
      <c r="N145" s="403">
        <v>70000</v>
      </c>
      <c r="O145" s="404">
        <v>70000</v>
      </c>
      <c r="P145" s="421">
        <v>4</v>
      </c>
      <c r="Q145" s="492" t="s">
        <v>777</v>
      </c>
      <c r="R145" s="437">
        <v>16500</v>
      </c>
      <c r="S145" s="438">
        <f t="shared" si="20"/>
        <v>72000</v>
      </c>
      <c r="T145" s="439" t="s">
        <v>538</v>
      </c>
      <c r="U145" s="460" t="str">
        <f t="shared" si="21"/>
        <v/>
      </c>
      <c r="V145" s="439" t="s">
        <v>539</v>
      </c>
      <c r="W145" s="439" t="s">
        <v>540</v>
      </c>
      <c r="X145" s="439" t="s">
        <v>709</v>
      </c>
      <c r="Y145" s="275" t="s">
        <v>710</v>
      </c>
      <c r="Z145" s="616" t="s">
        <v>710</v>
      </c>
      <c r="AA145" s="440" t="s">
        <v>753</v>
      </c>
      <c r="AB145" s="441">
        <f t="shared" si="22"/>
        <v>63063.063063063062</v>
      </c>
      <c r="AC145" s="442">
        <f t="shared" si="23"/>
        <v>63063.063063063062</v>
      </c>
      <c r="AD145" s="437">
        <v>16500</v>
      </c>
      <c r="AE145" s="447">
        <v>7925225.225225227</v>
      </c>
      <c r="AF145" s="447">
        <v>8797000</v>
      </c>
      <c r="AG145" s="437">
        <v>16500</v>
      </c>
      <c r="AH145" s="443" t="s">
        <v>2098</v>
      </c>
    </row>
    <row r="146" spans="1:34">
      <c r="A146" s="350">
        <v>80</v>
      </c>
      <c r="B146" s="352" t="s">
        <v>703</v>
      </c>
      <c r="C146" s="352" t="s">
        <v>704</v>
      </c>
      <c r="D146" s="355" t="s">
        <v>705</v>
      </c>
      <c r="E146" s="363" t="s">
        <v>706</v>
      </c>
      <c r="F146" s="361">
        <v>44992</v>
      </c>
      <c r="G146" s="361">
        <f t="shared" si="24"/>
        <v>44992</v>
      </c>
      <c r="H146" s="361">
        <f t="shared" si="24"/>
        <v>44992</v>
      </c>
      <c r="I146" s="365">
        <v>45037</v>
      </c>
      <c r="J146" s="387" t="s">
        <v>711</v>
      </c>
      <c r="K146" s="352" t="s">
        <v>738</v>
      </c>
      <c r="L146" s="402">
        <v>1</v>
      </c>
      <c r="M146" s="352" t="s">
        <v>488</v>
      </c>
      <c r="N146" s="403">
        <v>20000</v>
      </c>
      <c r="O146" s="404">
        <v>20000</v>
      </c>
      <c r="P146" s="421">
        <v>4</v>
      </c>
      <c r="Q146" s="492" t="s">
        <v>778</v>
      </c>
      <c r="R146" s="437">
        <v>440000</v>
      </c>
      <c r="S146" s="438">
        <f t="shared" si="20"/>
        <v>22000</v>
      </c>
      <c r="T146" s="439" t="s">
        <v>538</v>
      </c>
      <c r="U146" s="460" t="str">
        <f t="shared" si="21"/>
        <v/>
      </c>
      <c r="V146" s="439" t="s">
        <v>539</v>
      </c>
      <c r="W146" s="439" t="s">
        <v>540</v>
      </c>
      <c r="X146" s="439" t="s">
        <v>709</v>
      </c>
      <c r="Y146" s="275" t="s">
        <v>710</v>
      </c>
      <c r="Z146" s="616" t="s">
        <v>710</v>
      </c>
      <c r="AA146" s="440" t="s">
        <v>753</v>
      </c>
      <c r="AB146" s="441">
        <f t="shared" si="22"/>
        <v>18018.018018018018</v>
      </c>
      <c r="AC146" s="442">
        <f t="shared" si="23"/>
        <v>18018.018018018018</v>
      </c>
      <c r="AD146" s="437">
        <v>440000</v>
      </c>
      <c r="AE146" s="447">
        <v>7925225.225225227</v>
      </c>
      <c r="AF146" s="447">
        <v>8797000</v>
      </c>
      <c r="AG146" s="437">
        <v>440000</v>
      </c>
      <c r="AH146" s="443" t="s">
        <v>2098</v>
      </c>
    </row>
    <row r="147" spans="1:34">
      <c r="A147" s="350">
        <v>80</v>
      </c>
      <c r="B147" s="352" t="s">
        <v>703</v>
      </c>
      <c r="C147" s="352" t="s">
        <v>704</v>
      </c>
      <c r="D147" s="355" t="s">
        <v>705</v>
      </c>
      <c r="E147" s="363" t="s">
        <v>706</v>
      </c>
      <c r="F147" s="361">
        <v>44992</v>
      </c>
      <c r="G147" s="361">
        <f t="shared" si="24"/>
        <v>44992</v>
      </c>
      <c r="H147" s="361">
        <f t="shared" si="24"/>
        <v>44992</v>
      </c>
      <c r="I147" s="365">
        <v>45037</v>
      </c>
      <c r="J147" s="387" t="s">
        <v>740</v>
      </c>
      <c r="K147" s="388" t="s">
        <v>741</v>
      </c>
      <c r="L147" s="402">
        <v>2</v>
      </c>
      <c r="M147" s="352" t="s">
        <v>488</v>
      </c>
      <c r="N147" s="403">
        <v>5500</v>
      </c>
      <c r="O147" s="404">
        <v>11000</v>
      </c>
      <c r="P147" s="421">
        <v>4</v>
      </c>
      <c r="Q147" s="492" t="s">
        <v>780</v>
      </c>
      <c r="R147" s="437">
        <v>75000</v>
      </c>
      <c r="S147" s="438">
        <f t="shared" si="20"/>
        <v>15000</v>
      </c>
      <c r="T147" s="439" t="s">
        <v>538</v>
      </c>
      <c r="U147" s="460" t="str">
        <f t="shared" si="21"/>
        <v/>
      </c>
      <c r="V147" s="439" t="s">
        <v>539</v>
      </c>
      <c r="W147" s="439" t="s">
        <v>540</v>
      </c>
      <c r="X147" s="439" t="s">
        <v>709</v>
      </c>
      <c r="Y147" s="275" t="s">
        <v>710</v>
      </c>
      <c r="Z147" s="616" t="s">
        <v>710</v>
      </c>
      <c r="AA147" s="440" t="s">
        <v>551</v>
      </c>
      <c r="AB147" s="441">
        <f t="shared" si="22"/>
        <v>4954.9549549549547</v>
      </c>
      <c r="AC147" s="442">
        <f t="shared" si="23"/>
        <v>9909.9099099099094</v>
      </c>
      <c r="AD147" s="437">
        <v>75000</v>
      </c>
      <c r="AE147" s="447">
        <v>7925225.225225227</v>
      </c>
      <c r="AF147" s="447">
        <v>8797000</v>
      </c>
      <c r="AG147" s="437">
        <v>75000</v>
      </c>
      <c r="AH147" s="443" t="s">
        <v>2098</v>
      </c>
    </row>
    <row r="148" spans="1:34">
      <c r="A148" s="350">
        <v>80</v>
      </c>
      <c r="B148" s="352" t="s">
        <v>703</v>
      </c>
      <c r="C148" s="352" t="s">
        <v>704</v>
      </c>
      <c r="D148" s="355" t="s">
        <v>705</v>
      </c>
      <c r="E148" s="363" t="s">
        <v>706</v>
      </c>
      <c r="F148" s="361">
        <v>44992</v>
      </c>
      <c r="G148" s="361">
        <f t="shared" si="24"/>
        <v>44992</v>
      </c>
      <c r="H148" s="361">
        <f t="shared" si="24"/>
        <v>44992</v>
      </c>
      <c r="I148" s="365">
        <v>45037</v>
      </c>
      <c r="J148" s="388" t="s">
        <v>743</v>
      </c>
      <c r="K148" s="388" t="s">
        <v>744</v>
      </c>
      <c r="L148" s="402">
        <v>1</v>
      </c>
      <c r="M148" s="352" t="s">
        <v>714</v>
      </c>
      <c r="N148" s="403">
        <v>150000</v>
      </c>
      <c r="O148" s="404">
        <v>150000</v>
      </c>
      <c r="P148" s="421">
        <v>4</v>
      </c>
      <c r="Q148" s="492" t="s">
        <v>782</v>
      </c>
      <c r="R148" s="437">
        <v>190000</v>
      </c>
      <c r="S148" s="438">
        <f t="shared" si="20"/>
        <v>152000</v>
      </c>
      <c r="T148" s="439" t="s">
        <v>538</v>
      </c>
      <c r="U148" s="460" t="str">
        <f t="shared" si="21"/>
        <v/>
      </c>
      <c r="V148" s="439" t="s">
        <v>539</v>
      </c>
      <c r="W148" s="439" t="s">
        <v>540</v>
      </c>
      <c r="X148" s="439" t="s">
        <v>709</v>
      </c>
      <c r="Y148" s="275" t="s">
        <v>710</v>
      </c>
      <c r="Z148" s="616" t="s">
        <v>710</v>
      </c>
      <c r="AA148" s="440" t="s">
        <v>753</v>
      </c>
      <c r="AB148" s="441">
        <f t="shared" si="22"/>
        <v>135135.13513513515</v>
      </c>
      <c r="AC148" s="442">
        <f t="shared" si="23"/>
        <v>135135.13513513515</v>
      </c>
      <c r="AD148" s="437">
        <v>190000</v>
      </c>
      <c r="AE148" s="447">
        <v>7925225.225225227</v>
      </c>
      <c r="AF148" s="447">
        <v>8797000</v>
      </c>
      <c r="AG148" s="437">
        <v>190000</v>
      </c>
      <c r="AH148" s="443" t="s">
        <v>2098</v>
      </c>
    </row>
    <row r="149" spans="1:34">
      <c r="A149" s="350">
        <v>80</v>
      </c>
      <c r="B149" s="352" t="s">
        <v>703</v>
      </c>
      <c r="C149" s="352" t="s">
        <v>704</v>
      </c>
      <c r="D149" s="355" t="s">
        <v>705</v>
      </c>
      <c r="E149" s="363" t="s">
        <v>706</v>
      </c>
      <c r="F149" s="361">
        <v>44992</v>
      </c>
      <c r="G149" s="361">
        <f t="shared" si="24"/>
        <v>44992</v>
      </c>
      <c r="H149" s="361">
        <f t="shared" si="24"/>
        <v>44992</v>
      </c>
      <c r="I149" s="365">
        <v>45037</v>
      </c>
      <c r="J149" s="387" t="s">
        <v>711</v>
      </c>
      <c r="K149" s="352" t="s">
        <v>746</v>
      </c>
      <c r="L149" s="402">
        <v>1</v>
      </c>
      <c r="M149" s="352" t="s">
        <v>488</v>
      </c>
      <c r="N149" s="403">
        <v>11500</v>
      </c>
      <c r="O149" s="404">
        <v>11500</v>
      </c>
      <c r="P149" s="421">
        <v>4</v>
      </c>
      <c r="Q149" s="492" t="s">
        <v>783</v>
      </c>
      <c r="R149" s="437">
        <v>325000</v>
      </c>
      <c r="S149" s="438">
        <f t="shared" si="20"/>
        <v>13500</v>
      </c>
      <c r="T149" s="439" t="s">
        <v>538</v>
      </c>
      <c r="U149" s="460" t="str">
        <f t="shared" si="21"/>
        <v/>
      </c>
      <c r="V149" s="439" t="s">
        <v>539</v>
      </c>
      <c r="W149" s="439" t="s">
        <v>540</v>
      </c>
      <c r="X149" s="439" t="s">
        <v>709</v>
      </c>
      <c r="Y149" s="275" t="s">
        <v>710</v>
      </c>
      <c r="Z149" s="616" t="s">
        <v>710</v>
      </c>
      <c r="AA149" s="440" t="s">
        <v>753</v>
      </c>
      <c r="AB149" s="441">
        <f t="shared" si="22"/>
        <v>10360.360360360361</v>
      </c>
      <c r="AC149" s="442">
        <f t="shared" si="23"/>
        <v>10360.360360360361</v>
      </c>
      <c r="AD149" s="437">
        <v>325000</v>
      </c>
      <c r="AE149" s="447">
        <v>7925225.225225227</v>
      </c>
      <c r="AF149" s="447">
        <v>8797000</v>
      </c>
      <c r="AG149" s="437">
        <v>325000</v>
      </c>
      <c r="AH149" s="443" t="s">
        <v>2098</v>
      </c>
    </row>
    <row r="150" spans="1:34">
      <c r="A150" s="350">
        <v>80</v>
      </c>
      <c r="B150" s="352" t="s">
        <v>703</v>
      </c>
      <c r="C150" s="352" t="s">
        <v>704</v>
      </c>
      <c r="D150" s="355" t="s">
        <v>705</v>
      </c>
      <c r="E150" s="363" t="s">
        <v>706</v>
      </c>
      <c r="F150" s="361">
        <v>44992</v>
      </c>
      <c r="G150" s="361">
        <f t="shared" si="24"/>
        <v>44992</v>
      </c>
      <c r="H150" s="361">
        <f t="shared" si="24"/>
        <v>44992</v>
      </c>
      <c r="I150" s="365">
        <v>45037</v>
      </c>
      <c r="J150" s="387" t="s">
        <v>747</v>
      </c>
      <c r="K150" s="387" t="s">
        <v>747</v>
      </c>
      <c r="L150" s="791">
        <v>1</v>
      </c>
      <c r="M150" s="352" t="s">
        <v>488</v>
      </c>
      <c r="N150" s="403">
        <v>5000</v>
      </c>
      <c r="O150" s="404">
        <v>5000</v>
      </c>
      <c r="P150" s="421">
        <v>4</v>
      </c>
      <c r="Q150" s="492" t="s">
        <v>784</v>
      </c>
      <c r="R150" s="437">
        <v>60000</v>
      </c>
      <c r="S150" s="438">
        <f t="shared" si="20"/>
        <v>7000</v>
      </c>
      <c r="T150" s="439" t="s">
        <v>538</v>
      </c>
      <c r="U150" s="460" t="str">
        <f t="shared" si="21"/>
        <v/>
      </c>
      <c r="V150" s="439" t="s">
        <v>539</v>
      </c>
      <c r="W150" s="439" t="s">
        <v>540</v>
      </c>
      <c r="X150" s="439" t="s">
        <v>709</v>
      </c>
      <c r="Y150" s="275" t="s">
        <v>710</v>
      </c>
      <c r="Z150" s="616" t="s">
        <v>710</v>
      </c>
      <c r="AA150" s="440" t="s">
        <v>714</v>
      </c>
      <c r="AB150" s="441">
        <f t="shared" si="22"/>
        <v>4504.5045045045044</v>
      </c>
      <c r="AC150" s="442">
        <f t="shared" si="23"/>
        <v>4504.5045045045044</v>
      </c>
      <c r="AD150" s="437">
        <v>60000</v>
      </c>
      <c r="AE150" s="447">
        <v>7925225.225225227</v>
      </c>
      <c r="AF150" s="447">
        <v>8797000</v>
      </c>
      <c r="AG150" s="437">
        <v>60000</v>
      </c>
      <c r="AH150" s="443" t="s">
        <v>2098</v>
      </c>
    </row>
    <row r="151" spans="1:34" ht="25">
      <c r="A151" s="350">
        <v>80</v>
      </c>
      <c r="B151" s="352" t="s">
        <v>703</v>
      </c>
      <c r="C151" s="352" t="s">
        <v>704</v>
      </c>
      <c r="D151" s="355" t="s">
        <v>705</v>
      </c>
      <c r="E151" s="363" t="s">
        <v>706</v>
      </c>
      <c r="F151" s="361">
        <v>44992</v>
      </c>
      <c r="G151" s="361">
        <f t="shared" si="24"/>
        <v>44992</v>
      </c>
      <c r="H151" s="361">
        <f t="shared" si="24"/>
        <v>44992</v>
      </c>
      <c r="I151" s="365">
        <v>45037</v>
      </c>
      <c r="J151" s="387" t="s">
        <v>249</v>
      </c>
      <c r="K151" s="387" t="s">
        <v>249</v>
      </c>
      <c r="L151" s="402">
        <v>1</v>
      </c>
      <c r="M151" s="352" t="s">
        <v>749</v>
      </c>
      <c r="N151" s="403">
        <v>21000</v>
      </c>
      <c r="O151" s="404">
        <v>21000</v>
      </c>
      <c r="P151" s="421">
        <v>4</v>
      </c>
      <c r="Q151" s="492" t="s">
        <v>785</v>
      </c>
      <c r="R151" s="437">
        <v>225000</v>
      </c>
      <c r="S151" s="438">
        <f t="shared" si="20"/>
        <v>23000</v>
      </c>
      <c r="T151" s="439" t="s">
        <v>538</v>
      </c>
      <c r="U151" s="460" t="str">
        <f t="shared" si="21"/>
        <v/>
      </c>
      <c r="V151" s="439" t="s">
        <v>539</v>
      </c>
      <c r="W151" s="439" t="s">
        <v>540</v>
      </c>
      <c r="X151" s="439" t="s">
        <v>709</v>
      </c>
      <c r="Y151" s="275" t="s">
        <v>710</v>
      </c>
      <c r="Z151" s="616" t="s">
        <v>710</v>
      </c>
      <c r="AA151" s="440" t="s">
        <v>753</v>
      </c>
      <c r="AB151" s="441">
        <f t="shared" si="22"/>
        <v>18918.91891891892</v>
      </c>
      <c r="AC151" s="442">
        <f t="shared" si="23"/>
        <v>18918.91891891892</v>
      </c>
      <c r="AD151" s="437">
        <v>225000</v>
      </c>
      <c r="AE151" s="447">
        <v>7925225.225225227</v>
      </c>
      <c r="AF151" s="447">
        <v>8797000</v>
      </c>
      <c r="AG151" s="437">
        <v>225000</v>
      </c>
      <c r="AH151" s="443" t="s">
        <v>2098</v>
      </c>
    </row>
    <row r="152" spans="1:34" ht="37.5">
      <c r="A152" s="350">
        <v>80</v>
      </c>
      <c r="B152" s="352" t="s">
        <v>703</v>
      </c>
      <c r="C152" s="352" t="s">
        <v>704</v>
      </c>
      <c r="D152" s="355" t="s">
        <v>705</v>
      </c>
      <c r="E152" s="363" t="s">
        <v>706</v>
      </c>
      <c r="F152" s="361">
        <v>44992</v>
      </c>
      <c r="G152" s="361">
        <f t="shared" si="24"/>
        <v>44992</v>
      </c>
      <c r="H152" s="361">
        <f t="shared" si="24"/>
        <v>44992</v>
      </c>
      <c r="I152" s="365">
        <v>45037</v>
      </c>
      <c r="J152" s="387" t="s">
        <v>247</v>
      </c>
      <c r="K152" s="387" t="s">
        <v>247</v>
      </c>
      <c r="L152" s="402">
        <v>20</v>
      </c>
      <c r="M152" s="352" t="s">
        <v>735</v>
      </c>
      <c r="N152" s="403">
        <v>50000</v>
      </c>
      <c r="O152" s="404">
        <v>1000000</v>
      </c>
      <c r="P152" s="421">
        <v>4</v>
      </c>
      <c r="Q152" s="492" t="s">
        <v>787</v>
      </c>
      <c r="R152" s="437">
        <v>25000</v>
      </c>
      <c r="S152" s="438">
        <f t="shared" si="20"/>
        <v>1040000</v>
      </c>
      <c r="T152" s="439" t="s">
        <v>538</v>
      </c>
      <c r="U152" s="460" t="str">
        <f t="shared" si="21"/>
        <v/>
      </c>
      <c r="V152" s="439" t="s">
        <v>539</v>
      </c>
      <c r="W152" s="439" t="s">
        <v>540</v>
      </c>
      <c r="X152" s="439" t="s">
        <v>709</v>
      </c>
      <c r="Y152" s="275" t="s">
        <v>710</v>
      </c>
      <c r="Z152" s="616" t="s">
        <v>710</v>
      </c>
      <c r="AA152" s="440" t="s">
        <v>551</v>
      </c>
      <c r="AB152" s="441">
        <f t="shared" si="22"/>
        <v>45045.045045045044</v>
      </c>
      <c r="AC152" s="442">
        <f t="shared" si="23"/>
        <v>900900.90090090083</v>
      </c>
      <c r="AD152" s="437">
        <v>25000</v>
      </c>
      <c r="AE152" s="447">
        <v>7925225.225225227</v>
      </c>
      <c r="AF152" s="447">
        <v>8797000</v>
      </c>
      <c r="AG152" s="437">
        <v>25000</v>
      </c>
      <c r="AH152" s="443" t="s">
        <v>2098</v>
      </c>
    </row>
    <row r="153" spans="1:34">
      <c r="A153" s="350">
        <v>80</v>
      </c>
      <c r="B153" s="352" t="s">
        <v>703</v>
      </c>
      <c r="C153" s="352" t="s">
        <v>704</v>
      </c>
      <c r="D153" s="355" t="s">
        <v>705</v>
      </c>
      <c r="E153" s="363" t="s">
        <v>706</v>
      </c>
      <c r="F153" s="361">
        <v>44992</v>
      </c>
      <c r="G153" s="361">
        <f t="shared" si="24"/>
        <v>44992</v>
      </c>
      <c r="H153" s="361">
        <f t="shared" si="24"/>
        <v>44992</v>
      </c>
      <c r="I153" s="365">
        <v>45037</v>
      </c>
      <c r="J153" s="387" t="s">
        <v>259</v>
      </c>
      <c r="K153" s="436" t="s">
        <v>752</v>
      </c>
      <c r="L153" s="791">
        <v>1</v>
      </c>
      <c r="M153" s="352" t="s">
        <v>753</v>
      </c>
      <c r="N153" s="403">
        <v>35000</v>
      </c>
      <c r="O153" s="404">
        <v>35000</v>
      </c>
      <c r="P153" s="421">
        <v>4</v>
      </c>
      <c r="Q153" s="492" t="s">
        <v>127</v>
      </c>
      <c r="R153" s="437">
        <v>270000</v>
      </c>
      <c r="S153" s="438">
        <f t="shared" si="20"/>
        <v>37000</v>
      </c>
      <c r="T153" s="439" t="s">
        <v>538</v>
      </c>
      <c r="U153" s="460" t="str">
        <f t="shared" si="21"/>
        <v/>
      </c>
      <c r="V153" s="439" t="s">
        <v>539</v>
      </c>
      <c r="W153" s="439" t="s">
        <v>540</v>
      </c>
      <c r="X153" s="439" t="s">
        <v>709</v>
      </c>
      <c r="Y153" s="275" t="s">
        <v>710</v>
      </c>
      <c r="Z153" s="616" t="s">
        <v>710</v>
      </c>
      <c r="AA153" s="440" t="s">
        <v>753</v>
      </c>
      <c r="AB153" s="441">
        <f t="shared" si="22"/>
        <v>31531.531531531531</v>
      </c>
      <c r="AC153" s="442">
        <f t="shared" si="23"/>
        <v>31531.531531531531</v>
      </c>
      <c r="AD153" s="437">
        <v>270000</v>
      </c>
      <c r="AE153" s="447">
        <v>7925225.225225227</v>
      </c>
      <c r="AF153" s="447">
        <v>8797000</v>
      </c>
      <c r="AG153" s="437">
        <v>270000</v>
      </c>
      <c r="AH153" s="443" t="s">
        <v>2098</v>
      </c>
    </row>
    <row r="154" spans="1:34" ht="25">
      <c r="A154" s="350">
        <v>80</v>
      </c>
      <c r="B154" s="352" t="s">
        <v>703</v>
      </c>
      <c r="C154" s="352" t="s">
        <v>704</v>
      </c>
      <c r="D154" s="355" t="s">
        <v>705</v>
      </c>
      <c r="E154" s="363" t="s">
        <v>706</v>
      </c>
      <c r="F154" s="361">
        <v>44992</v>
      </c>
      <c r="G154" s="361">
        <f t="shared" si="24"/>
        <v>44992</v>
      </c>
      <c r="H154" s="361">
        <f t="shared" si="24"/>
        <v>44992</v>
      </c>
      <c r="I154" s="365">
        <v>45037</v>
      </c>
      <c r="J154" s="387" t="s">
        <v>230</v>
      </c>
      <c r="K154" s="387" t="s">
        <v>230</v>
      </c>
      <c r="L154" s="791">
        <v>1</v>
      </c>
      <c r="M154" s="352" t="s">
        <v>728</v>
      </c>
      <c r="N154" s="403">
        <v>40000</v>
      </c>
      <c r="O154" s="404">
        <v>40000</v>
      </c>
      <c r="P154" s="421">
        <v>4</v>
      </c>
      <c r="Q154" s="492" t="s">
        <v>148</v>
      </c>
      <c r="R154" s="437">
        <v>35000</v>
      </c>
      <c r="S154" s="438">
        <f t="shared" si="20"/>
        <v>42000</v>
      </c>
      <c r="T154" s="439" t="s">
        <v>538</v>
      </c>
      <c r="U154" s="460" t="str">
        <f t="shared" si="21"/>
        <v/>
      </c>
      <c r="V154" s="439" t="s">
        <v>539</v>
      </c>
      <c r="W154" s="439" t="s">
        <v>540</v>
      </c>
      <c r="X154" s="439" t="s">
        <v>709</v>
      </c>
      <c r="Y154" s="275" t="s">
        <v>710</v>
      </c>
      <c r="Z154" s="616" t="s">
        <v>710</v>
      </c>
      <c r="AA154" s="440" t="s">
        <v>488</v>
      </c>
      <c r="AB154" s="441">
        <f t="shared" si="22"/>
        <v>36036.036036036036</v>
      </c>
      <c r="AC154" s="442">
        <f t="shared" si="23"/>
        <v>36036.036036036036</v>
      </c>
      <c r="AD154" s="437">
        <v>35000</v>
      </c>
      <c r="AE154" s="447">
        <v>7925225.225225227</v>
      </c>
      <c r="AF154" s="447">
        <v>8797000</v>
      </c>
      <c r="AG154" s="437">
        <v>35000</v>
      </c>
      <c r="AH154" s="443" t="s">
        <v>2098</v>
      </c>
    </row>
    <row r="155" spans="1:34">
      <c r="A155" s="350">
        <v>80</v>
      </c>
      <c r="B155" s="352" t="s">
        <v>703</v>
      </c>
      <c r="C155" s="352" t="s">
        <v>704</v>
      </c>
      <c r="D155" s="355" t="s">
        <v>705</v>
      </c>
      <c r="E155" s="363" t="s">
        <v>706</v>
      </c>
      <c r="F155" s="361">
        <v>44992</v>
      </c>
      <c r="G155" s="361">
        <f t="shared" si="24"/>
        <v>44992</v>
      </c>
      <c r="H155" s="361">
        <f t="shared" si="24"/>
        <v>44992</v>
      </c>
      <c r="I155" s="365">
        <v>45037</v>
      </c>
      <c r="J155" s="389" t="s">
        <v>755</v>
      </c>
      <c r="K155" s="435" t="s">
        <v>755</v>
      </c>
      <c r="L155" s="402">
        <v>1</v>
      </c>
      <c r="M155" s="352" t="s">
        <v>756</v>
      </c>
      <c r="N155" s="403">
        <v>26000</v>
      </c>
      <c r="O155" s="404">
        <v>26000</v>
      </c>
      <c r="P155" s="421">
        <v>4</v>
      </c>
      <c r="Q155" s="492" t="s">
        <v>909</v>
      </c>
      <c r="R155" s="437">
        <v>5000</v>
      </c>
      <c r="S155" s="438">
        <f t="shared" si="20"/>
        <v>28000</v>
      </c>
      <c r="T155" s="439" t="s">
        <v>538</v>
      </c>
      <c r="U155" s="460" t="str">
        <f t="shared" si="21"/>
        <v/>
      </c>
      <c r="V155" s="439" t="s">
        <v>539</v>
      </c>
      <c r="W155" s="439" t="s">
        <v>540</v>
      </c>
      <c r="X155" s="439" t="s">
        <v>709</v>
      </c>
      <c r="Y155" s="275" t="s">
        <v>710</v>
      </c>
      <c r="Z155" s="616" t="s">
        <v>710</v>
      </c>
      <c r="AA155" s="440" t="s">
        <v>551</v>
      </c>
      <c r="AB155" s="441">
        <f t="shared" si="22"/>
        <v>23423.423423423425</v>
      </c>
      <c r="AC155" s="442">
        <f t="shared" si="23"/>
        <v>23423.423423423425</v>
      </c>
      <c r="AD155" s="437">
        <v>5000</v>
      </c>
      <c r="AE155" s="447">
        <v>7925225.225225227</v>
      </c>
      <c r="AF155" s="447">
        <v>8797000</v>
      </c>
      <c r="AG155" s="437">
        <v>5000</v>
      </c>
      <c r="AH155" s="443" t="s">
        <v>2098</v>
      </c>
    </row>
    <row r="156" spans="1:34">
      <c r="A156" s="350">
        <v>80</v>
      </c>
      <c r="B156" s="352" t="s">
        <v>703</v>
      </c>
      <c r="C156" s="352" t="s">
        <v>704</v>
      </c>
      <c r="D156" s="355" t="s">
        <v>705</v>
      </c>
      <c r="E156" s="363" t="s">
        <v>706</v>
      </c>
      <c r="F156" s="361">
        <v>44992</v>
      </c>
      <c r="G156" s="361">
        <f t="shared" si="24"/>
        <v>44992</v>
      </c>
      <c r="H156" s="361">
        <f t="shared" si="24"/>
        <v>44992</v>
      </c>
      <c r="I156" s="365">
        <v>45037</v>
      </c>
      <c r="J156" s="387" t="s">
        <v>758</v>
      </c>
      <c r="K156" s="387" t="s">
        <v>758</v>
      </c>
      <c r="L156" s="402">
        <v>3</v>
      </c>
      <c r="M156" s="352" t="s">
        <v>488</v>
      </c>
      <c r="N156" s="403">
        <v>5000</v>
      </c>
      <c r="O156" s="404">
        <v>15000</v>
      </c>
      <c r="P156" s="421">
        <v>4</v>
      </c>
      <c r="Q156" s="492" t="s">
        <v>120</v>
      </c>
      <c r="R156" s="437">
        <v>190000</v>
      </c>
      <c r="S156" s="438">
        <f t="shared" si="20"/>
        <v>21000</v>
      </c>
      <c r="T156" s="439" t="s">
        <v>538</v>
      </c>
      <c r="U156" s="460" t="str">
        <f t="shared" si="21"/>
        <v/>
      </c>
      <c r="V156" s="439" t="s">
        <v>539</v>
      </c>
      <c r="W156" s="439" t="s">
        <v>540</v>
      </c>
      <c r="X156" s="439" t="s">
        <v>709</v>
      </c>
      <c r="Y156" s="275" t="s">
        <v>710</v>
      </c>
      <c r="Z156" s="616" t="s">
        <v>710</v>
      </c>
      <c r="AA156" s="440" t="s">
        <v>488</v>
      </c>
      <c r="AB156" s="441">
        <f t="shared" si="22"/>
        <v>4504.5045045045044</v>
      </c>
      <c r="AC156" s="442">
        <f t="shared" si="23"/>
        <v>13513.513513513513</v>
      </c>
      <c r="AD156" s="437">
        <v>190000</v>
      </c>
      <c r="AE156" s="447">
        <v>7925225.225225227</v>
      </c>
      <c r="AF156" s="447">
        <v>8797000</v>
      </c>
      <c r="AG156" s="437">
        <v>190000</v>
      </c>
      <c r="AH156" s="443" t="s">
        <v>2098</v>
      </c>
    </row>
    <row r="157" spans="1:34">
      <c r="A157" s="350">
        <v>80</v>
      </c>
      <c r="B157" s="352" t="s">
        <v>703</v>
      </c>
      <c r="C157" s="352" t="s">
        <v>704</v>
      </c>
      <c r="D157" s="355" t="s">
        <v>705</v>
      </c>
      <c r="E157" s="363" t="s">
        <v>706</v>
      </c>
      <c r="F157" s="361">
        <v>44992</v>
      </c>
      <c r="G157" s="361">
        <f t="shared" ref="G157:H172" si="25">F157</f>
        <v>44992</v>
      </c>
      <c r="H157" s="361">
        <f t="shared" si="25"/>
        <v>44992</v>
      </c>
      <c r="I157" s="365">
        <v>45037</v>
      </c>
      <c r="J157" s="387" t="s">
        <v>242</v>
      </c>
      <c r="K157" s="436" t="s">
        <v>760</v>
      </c>
      <c r="L157" s="402">
        <v>1</v>
      </c>
      <c r="M157" s="352" t="s">
        <v>488</v>
      </c>
      <c r="N157" s="403">
        <v>26000</v>
      </c>
      <c r="O157" s="404">
        <v>26000</v>
      </c>
      <c r="P157" s="421">
        <v>4</v>
      </c>
      <c r="Q157" s="492" t="s">
        <v>138</v>
      </c>
      <c r="R157" s="437">
        <v>11500</v>
      </c>
      <c r="S157" s="438">
        <f t="shared" si="20"/>
        <v>28000</v>
      </c>
      <c r="T157" s="439" t="s">
        <v>538</v>
      </c>
      <c r="U157" s="460" t="str">
        <f t="shared" si="21"/>
        <v/>
      </c>
      <c r="V157" s="439" t="s">
        <v>539</v>
      </c>
      <c r="W157" s="439" t="s">
        <v>540</v>
      </c>
      <c r="X157" s="439" t="s">
        <v>709</v>
      </c>
      <c r="Y157" s="275" t="s">
        <v>710</v>
      </c>
      <c r="Z157" s="616" t="s">
        <v>710</v>
      </c>
      <c r="AA157" s="440" t="s">
        <v>753</v>
      </c>
      <c r="AB157" s="441">
        <f t="shared" si="22"/>
        <v>23423.423423423425</v>
      </c>
      <c r="AC157" s="442">
        <f t="shared" si="23"/>
        <v>23423.423423423425</v>
      </c>
      <c r="AD157" s="437">
        <v>11500</v>
      </c>
      <c r="AE157" s="447">
        <v>7925225.225225227</v>
      </c>
      <c r="AF157" s="447">
        <v>8797000</v>
      </c>
      <c r="AG157" s="437">
        <v>11500</v>
      </c>
      <c r="AH157" s="443" t="s">
        <v>2098</v>
      </c>
    </row>
    <row r="158" spans="1:34">
      <c r="A158" s="350">
        <v>80</v>
      </c>
      <c r="B158" s="352" t="s">
        <v>703</v>
      </c>
      <c r="C158" s="352" t="s">
        <v>704</v>
      </c>
      <c r="D158" s="355" t="s">
        <v>705</v>
      </c>
      <c r="E158" s="363" t="s">
        <v>706</v>
      </c>
      <c r="F158" s="361">
        <v>44992</v>
      </c>
      <c r="G158" s="361">
        <f t="shared" si="25"/>
        <v>44992</v>
      </c>
      <c r="H158" s="361">
        <f t="shared" si="25"/>
        <v>44992</v>
      </c>
      <c r="I158" s="365">
        <v>45037</v>
      </c>
      <c r="J158" s="387" t="s">
        <v>762</v>
      </c>
      <c r="K158" s="387" t="s">
        <v>762</v>
      </c>
      <c r="L158" s="402">
        <v>1</v>
      </c>
      <c r="M158" s="352" t="s">
        <v>488</v>
      </c>
      <c r="N158" s="403">
        <v>15000</v>
      </c>
      <c r="O158" s="404">
        <v>15000</v>
      </c>
      <c r="P158" s="421">
        <v>4</v>
      </c>
      <c r="Q158" s="492" t="s">
        <v>130</v>
      </c>
      <c r="R158" s="437">
        <v>75000</v>
      </c>
      <c r="S158" s="438">
        <f t="shared" si="20"/>
        <v>17000</v>
      </c>
      <c r="T158" s="439" t="s">
        <v>538</v>
      </c>
      <c r="U158" s="460" t="str">
        <f t="shared" si="21"/>
        <v/>
      </c>
      <c r="V158" s="439" t="s">
        <v>539</v>
      </c>
      <c r="W158" s="439" t="s">
        <v>540</v>
      </c>
      <c r="X158" s="439" t="s">
        <v>709</v>
      </c>
      <c r="Y158" s="275" t="s">
        <v>710</v>
      </c>
      <c r="Z158" s="616" t="s">
        <v>710</v>
      </c>
      <c r="AA158" s="440" t="s">
        <v>720</v>
      </c>
      <c r="AB158" s="441">
        <f t="shared" si="22"/>
        <v>13513.513513513513</v>
      </c>
      <c r="AC158" s="442">
        <f t="shared" si="23"/>
        <v>13513.513513513513</v>
      </c>
      <c r="AD158" s="437">
        <v>75000</v>
      </c>
      <c r="AE158" s="447">
        <v>7925225.225225227</v>
      </c>
      <c r="AF158" s="447">
        <v>8797000</v>
      </c>
      <c r="AG158" s="437">
        <v>75000</v>
      </c>
      <c r="AH158" s="443" t="s">
        <v>2098</v>
      </c>
    </row>
    <row r="159" spans="1:34">
      <c r="A159" s="350">
        <v>80</v>
      </c>
      <c r="B159" s="352" t="s">
        <v>703</v>
      </c>
      <c r="C159" s="352" t="s">
        <v>704</v>
      </c>
      <c r="D159" s="355" t="s">
        <v>705</v>
      </c>
      <c r="E159" s="363" t="s">
        <v>706</v>
      </c>
      <c r="F159" s="361">
        <v>44992</v>
      </c>
      <c r="G159" s="361">
        <f t="shared" si="25"/>
        <v>44992</v>
      </c>
      <c r="H159" s="361">
        <f t="shared" si="25"/>
        <v>44992</v>
      </c>
      <c r="I159" s="365">
        <v>45037</v>
      </c>
      <c r="J159" s="387" t="s">
        <v>255</v>
      </c>
      <c r="K159" s="387" t="s">
        <v>255</v>
      </c>
      <c r="L159" s="402">
        <v>1</v>
      </c>
      <c r="M159" s="352" t="s">
        <v>728</v>
      </c>
      <c r="N159" s="403">
        <v>25000</v>
      </c>
      <c r="O159" s="404">
        <v>25000</v>
      </c>
      <c r="P159" s="421">
        <v>4</v>
      </c>
      <c r="Q159" s="492" t="s">
        <v>140</v>
      </c>
      <c r="R159" s="437">
        <v>20000</v>
      </c>
      <c r="S159" s="438">
        <f t="shared" si="20"/>
        <v>27000</v>
      </c>
      <c r="T159" s="439" t="s">
        <v>538</v>
      </c>
      <c r="U159" s="460" t="str">
        <f t="shared" si="21"/>
        <v/>
      </c>
      <c r="V159" s="439" t="s">
        <v>539</v>
      </c>
      <c r="W159" s="439" t="s">
        <v>540</v>
      </c>
      <c r="X159" s="439" t="s">
        <v>709</v>
      </c>
      <c r="Y159" s="275" t="s">
        <v>710</v>
      </c>
      <c r="Z159" s="616" t="s">
        <v>710</v>
      </c>
      <c r="AA159" s="440" t="s">
        <v>488</v>
      </c>
      <c r="AB159" s="441">
        <f t="shared" si="22"/>
        <v>22522.522522522522</v>
      </c>
      <c r="AC159" s="442">
        <f t="shared" si="23"/>
        <v>22522.522522522522</v>
      </c>
      <c r="AD159" s="437">
        <v>20000</v>
      </c>
      <c r="AE159" s="447">
        <v>7925225.225225227</v>
      </c>
      <c r="AF159" s="447">
        <v>8797000</v>
      </c>
      <c r="AG159" s="437">
        <v>20000</v>
      </c>
      <c r="AH159" s="443" t="s">
        <v>2098</v>
      </c>
    </row>
    <row r="160" spans="1:34">
      <c r="A160" s="350">
        <v>80</v>
      </c>
      <c r="B160" s="352" t="s">
        <v>703</v>
      </c>
      <c r="C160" s="352" t="s">
        <v>704</v>
      </c>
      <c r="D160" s="355" t="s">
        <v>705</v>
      </c>
      <c r="E160" s="363" t="s">
        <v>706</v>
      </c>
      <c r="F160" s="361">
        <v>44992</v>
      </c>
      <c r="G160" s="361">
        <f t="shared" si="25"/>
        <v>44992</v>
      </c>
      <c r="H160" s="361">
        <f t="shared" si="25"/>
        <v>44992</v>
      </c>
      <c r="I160" s="365">
        <v>45037</v>
      </c>
      <c r="J160" s="387" t="s">
        <v>264</v>
      </c>
      <c r="K160" s="387" t="s">
        <v>264</v>
      </c>
      <c r="L160" s="402">
        <v>2</v>
      </c>
      <c r="M160" s="352" t="s">
        <v>753</v>
      </c>
      <c r="N160" s="403">
        <v>42000</v>
      </c>
      <c r="O160" s="404">
        <v>84000</v>
      </c>
      <c r="P160" s="421">
        <v>4</v>
      </c>
      <c r="Q160" s="492" t="s">
        <v>154</v>
      </c>
      <c r="R160" s="437">
        <v>450000</v>
      </c>
      <c r="S160" s="438">
        <f t="shared" si="20"/>
        <v>88000</v>
      </c>
      <c r="T160" s="439" t="s">
        <v>538</v>
      </c>
      <c r="U160" s="460" t="str">
        <f t="shared" si="21"/>
        <v/>
      </c>
      <c r="V160" s="439" t="s">
        <v>539</v>
      </c>
      <c r="W160" s="439" t="s">
        <v>540</v>
      </c>
      <c r="X160" s="439" t="s">
        <v>709</v>
      </c>
      <c r="Y160" s="275" t="s">
        <v>710</v>
      </c>
      <c r="Z160" s="616" t="s">
        <v>710</v>
      </c>
      <c r="AA160" s="440" t="s">
        <v>488</v>
      </c>
      <c r="AB160" s="441">
        <f t="shared" si="22"/>
        <v>37837.83783783784</v>
      </c>
      <c r="AC160" s="442">
        <f t="shared" si="23"/>
        <v>75675.67567567568</v>
      </c>
      <c r="AD160" s="437">
        <v>450000</v>
      </c>
      <c r="AE160" s="447">
        <v>7925225.225225227</v>
      </c>
      <c r="AF160" s="447">
        <v>8797000</v>
      </c>
      <c r="AG160" s="437">
        <v>450000</v>
      </c>
      <c r="AH160" s="443" t="s">
        <v>2098</v>
      </c>
    </row>
    <row r="161" spans="1:34">
      <c r="A161" s="350">
        <v>80</v>
      </c>
      <c r="B161" s="352" t="s">
        <v>703</v>
      </c>
      <c r="C161" s="352" t="s">
        <v>704</v>
      </c>
      <c r="D161" s="355" t="s">
        <v>705</v>
      </c>
      <c r="E161" s="363" t="s">
        <v>706</v>
      </c>
      <c r="F161" s="361">
        <v>44992</v>
      </c>
      <c r="G161" s="361">
        <f t="shared" si="25"/>
        <v>44992</v>
      </c>
      <c r="H161" s="361">
        <f t="shared" si="25"/>
        <v>44992</v>
      </c>
      <c r="I161" s="365">
        <v>45037</v>
      </c>
      <c r="J161" s="387" t="s">
        <v>238</v>
      </c>
      <c r="K161" s="387" t="s">
        <v>238</v>
      </c>
      <c r="L161" s="791">
        <v>2</v>
      </c>
      <c r="M161" s="352" t="s">
        <v>597</v>
      </c>
      <c r="N161" s="403">
        <v>11000</v>
      </c>
      <c r="O161" s="404">
        <v>22000</v>
      </c>
      <c r="P161" s="421">
        <v>4</v>
      </c>
      <c r="Q161" s="492" t="s">
        <v>903</v>
      </c>
      <c r="R161" s="437">
        <v>11000</v>
      </c>
      <c r="S161" s="438">
        <f t="shared" si="20"/>
        <v>26000</v>
      </c>
      <c r="T161" s="439" t="s">
        <v>538</v>
      </c>
      <c r="U161" s="460" t="str">
        <f t="shared" si="21"/>
        <v/>
      </c>
      <c r="V161" s="439" t="s">
        <v>539</v>
      </c>
      <c r="W161" s="439" t="s">
        <v>540</v>
      </c>
      <c r="X161" s="439" t="s">
        <v>709</v>
      </c>
      <c r="Y161" s="275" t="s">
        <v>710</v>
      </c>
      <c r="Z161" s="616" t="s">
        <v>710</v>
      </c>
      <c r="AA161" s="440" t="s">
        <v>597</v>
      </c>
      <c r="AB161" s="441">
        <f t="shared" si="22"/>
        <v>9909.9099099099094</v>
      </c>
      <c r="AC161" s="442">
        <f t="shared" si="23"/>
        <v>19819.819819819819</v>
      </c>
      <c r="AD161" s="437">
        <v>11000</v>
      </c>
      <c r="AE161" s="447">
        <v>7925225.225225227</v>
      </c>
      <c r="AF161" s="447">
        <v>8797000</v>
      </c>
      <c r="AG161" s="437">
        <v>11000</v>
      </c>
      <c r="AH161" s="443" t="s">
        <v>2098</v>
      </c>
    </row>
    <row r="162" spans="1:34">
      <c r="A162" s="350">
        <v>80</v>
      </c>
      <c r="B162" s="352" t="s">
        <v>703</v>
      </c>
      <c r="C162" s="352" t="s">
        <v>704</v>
      </c>
      <c r="D162" s="355" t="s">
        <v>705</v>
      </c>
      <c r="E162" s="363" t="s">
        <v>706</v>
      </c>
      <c r="F162" s="361">
        <v>44992</v>
      </c>
      <c r="G162" s="361">
        <f t="shared" si="25"/>
        <v>44992</v>
      </c>
      <c r="H162" s="361">
        <f t="shared" si="25"/>
        <v>44992</v>
      </c>
      <c r="I162" s="365">
        <v>45037</v>
      </c>
      <c r="J162" s="387" t="s">
        <v>241</v>
      </c>
      <c r="K162" s="436" t="s">
        <v>767</v>
      </c>
      <c r="L162" s="402">
        <v>2</v>
      </c>
      <c r="M162" s="352" t="s">
        <v>597</v>
      </c>
      <c r="N162" s="403">
        <v>5500</v>
      </c>
      <c r="O162" s="404">
        <v>11000</v>
      </c>
      <c r="P162" s="421">
        <v>4</v>
      </c>
      <c r="Q162" s="492" t="s">
        <v>111</v>
      </c>
      <c r="R162" s="437">
        <v>20000</v>
      </c>
      <c r="S162" s="438">
        <f t="shared" si="20"/>
        <v>15000</v>
      </c>
      <c r="T162" s="439" t="s">
        <v>538</v>
      </c>
      <c r="U162" s="460" t="str">
        <f t="shared" si="21"/>
        <v/>
      </c>
      <c r="V162" s="439" t="s">
        <v>539</v>
      </c>
      <c r="W162" s="439" t="s">
        <v>540</v>
      </c>
      <c r="X162" s="439" t="s">
        <v>709</v>
      </c>
      <c r="Y162" s="275" t="s">
        <v>710</v>
      </c>
      <c r="Z162" s="616" t="s">
        <v>710</v>
      </c>
      <c r="AA162" s="440" t="s">
        <v>597</v>
      </c>
      <c r="AB162" s="441">
        <f t="shared" si="22"/>
        <v>4954.9549549549547</v>
      </c>
      <c r="AC162" s="442">
        <f t="shared" si="23"/>
        <v>9909.9099099099094</v>
      </c>
      <c r="AD162" s="437">
        <v>20000</v>
      </c>
      <c r="AE162" s="447">
        <v>7925225.225225227</v>
      </c>
      <c r="AF162" s="447">
        <v>8797000</v>
      </c>
      <c r="AG162" s="437">
        <v>20000</v>
      </c>
      <c r="AH162" s="443" t="s">
        <v>2098</v>
      </c>
    </row>
    <row r="163" spans="1:34">
      <c r="A163" s="350">
        <v>80</v>
      </c>
      <c r="B163" s="352" t="s">
        <v>703</v>
      </c>
      <c r="C163" s="352" t="s">
        <v>704</v>
      </c>
      <c r="D163" s="355" t="s">
        <v>705</v>
      </c>
      <c r="E163" s="363" t="s">
        <v>706</v>
      </c>
      <c r="F163" s="361">
        <v>44992</v>
      </c>
      <c r="G163" s="361">
        <f t="shared" si="25"/>
        <v>44992</v>
      </c>
      <c r="H163" s="361">
        <f t="shared" si="25"/>
        <v>44992</v>
      </c>
      <c r="I163" s="365">
        <v>45037</v>
      </c>
      <c r="J163" s="387" t="s">
        <v>265</v>
      </c>
      <c r="K163" s="387" t="s">
        <v>265</v>
      </c>
      <c r="L163" s="402">
        <v>2</v>
      </c>
      <c r="M163" s="352" t="s">
        <v>551</v>
      </c>
      <c r="N163" s="403">
        <v>30000</v>
      </c>
      <c r="O163" s="404">
        <v>60000</v>
      </c>
      <c r="P163" s="421">
        <v>4</v>
      </c>
      <c r="Q163" s="492" t="s">
        <v>112</v>
      </c>
      <c r="R163" s="437">
        <v>11000</v>
      </c>
      <c r="S163" s="438">
        <f t="shared" si="20"/>
        <v>64000</v>
      </c>
      <c r="T163" s="439" t="s">
        <v>538</v>
      </c>
      <c r="U163" s="460" t="str">
        <f t="shared" si="21"/>
        <v/>
      </c>
      <c r="V163" s="439" t="s">
        <v>539</v>
      </c>
      <c r="W163" s="439" t="s">
        <v>540</v>
      </c>
      <c r="X163" s="439" t="s">
        <v>709</v>
      </c>
      <c r="Y163" s="275" t="s">
        <v>710</v>
      </c>
      <c r="Z163" s="616" t="s">
        <v>710</v>
      </c>
      <c r="AA163" s="440" t="s">
        <v>728</v>
      </c>
      <c r="AB163" s="441">
        <f t="shared" si="22"/>
        <v>27027.027027027027</v>
      </c>
      <c r="AC163" s="442">
        <f t="shared" si="23"/>
        <v>54054.054054054053</v>
      </c>
      <c r="AD163" s="437">
        <v>11000</v>
      </c>
      <c r="AE163" s="447">
        <v>7925225.225225227</v>
      </c>
      <c r="AF163" s="447">
        <v>8797000</v>
      </c>
      <c r="AG163" s="437">
        <v>11000</v>
      </c>
      <c r="AH163" s="443" t="s">
        <v>2098</v>
      </c>
    </row>
    <row r="164" spans="1:34">
      <c r="A164" s="350">
        <v>80</v>
      </c>
      <c r="B164" s="352" t="s">
        <v>703</v>
      </c>
      <c r="C164" s="352" t="s">
        <v>704</v>
      </c>
      <c r="D164" s="355" t="s">
        <v>705</v>
      </c>
      <c r="E164" s="363" t="s">
        <v>706</v>
      </c>
      <c r="F164" s="361">
        <v>44992</v>
      </c>
      <c r="G164" s="361">
        <f t="shared" si="25"/>
        <v>44992</v>
      </c>
      <c r="H164" s="361">
        <f t="shared" si="25"/>
        <v>44992</v>
      </c>
      <c r="I164" s="365">
        <v>45037</v>
      </c>
      <c r="J164" s="388" t="s">
        <v>770</v>
      </c>
      <c r="K164" s="435" t="s">
        <v>771</v>
      </c>
      <c r="L164" s="402">
        <v>4</v>
      </c>
      <c r="M164" s="352" t="s">
        <v>772</v>
      </c>
      <c r="N164" s="403">
        <v>65000</v>
      </c>
      <c r="O164" s="404">
        <v>260000</v>
      </c>
      <c r="P164" s="421">
        <v>4</v>
      </c>
      <c r="Q164" s="492" t="s">
        <v>144</v>
      </c>
      <c r="R164" s="437">
        <v>25000</v>
      </c>
      <c r="S164" s="438">
        <f t="shared" si="20"/>
        <v>268000</v>
      </c>
      <c r="T164" s="439" t="s">
        <v>538</v>
      </c>
      <c r="U164" s="460" t="str">
        <f t="shared" si="21"/>
        <v/>
      </c>
      <c r="V164" s="439" t="s">
        <v>539</v>
      </c>
      <c r="W164" s="439" t="s">
        <v>540</v>
      </c>
      <c r="X164" s="439" t="s">
        <v>709</v>
      </c>
      <c r="Y164" s="275" t="s">
        <v>710</v>
      </c>
      <c r="Z164" s="616" t="s">
        <v>710</v>
      </c>
      <c r="AA164" s="440" t="s">
        <v>488</v>
      </c>
      <c r="AB164" s="441">
        <f t="shared" si="22"/>
        <v>58558.558558558558</v>
      </c>
      <c r="AC164" s="442">
        <f t="shared" si="23"/>
        <v>234234.23423423423</v>
      </c>
      <c r="AD164" s="437">
        <v>25000</v>
      </c>
      <c r="AE164" s="447">
        <v>7925225.225225227</v>
      </c>
      <c r="AF164" s="447">
        <v>8797000</v>
      </c>
      <c r="AG164" s="437">
        <v>25000</v>
      </c>
      <c r="AH164" s="443" t="s">
        <v>2098</v>
      </c>
    </row>
    <row r="165" spans="1:34">
      <c r="A165" s="350">
        <v>80</v>
      </c>
      <c r="B165" s="352" t="s">
        <v>703</v>
      </c>
      <c r="C165" s="352" t="s">
        <v>704</v>
      </c>
      <c r="D165" s="355" t="s">
        <v>705</v>
      </c>
      <c r="E165" s="363" t="s">
        <v>706</v>
      </c>
      <c r="F165" s="361">
        <v>44992</v>
      </c>
      <c r="G165" s="361">
        <f t="shared" si="25"/>
        <v>44992</v>
      </c>
      <c r="H165" s="361">
        <f t="shared" si="25"/>
        <v>44992</v>
      </c>
      <c r="I165" s="365">
        <v>45037</v>
      </c>
      <c r="J165" s="387" t="s">
        <v>248</v>
      </c>
      <c r="K165" s="435" t="s">
        <v>755</v>
      </c>
      <c r="L165" s="402">
        <v>3</v>
      </c>
      <c r="M165" s="352" t="s">
        <v>774</v>
      </c>
      <c r="N165" s="403">
        <v>50000</v>
      </c>
      <c r="O165" s="404">
        <v>150000</v>
      </c>
      <c r="P165" s="421">
        <v>4</v>
      </c>
      <c r="Q165" s="492" t="s">
        <v>911</v>
      </c>
      <c r="R165" s="437">
        <v>15000</v>
      </c>
      <c r="S165" s="438">
        <f t="shared" si="20"/>
        <v>156000</v>
      </c>
      <c r="T165" s="439" t="s">
        <v>538</v>
      </c>
      <c r="U165" s="460" t="str">
        <f t="shared" si="21"/>
        <v/>
      </c>
      <c r="V165" s="439" t="s">
        <v>539</v>
      </c>
      <c r="W165" s="439" t="s">
        <v>540</v>
      </c>
      <c r="X165" s="439" t="s">
        <v>709</v>
      </c>
      <c r="Y165" s="275" t="s">
        <v>710</v>
      </c>
      <c r="Z165" s="616" t="s">
        <v>710</v>
      </c>
      <c r="AA165" s="440" t="s">
        <v>714</v>
      </c>
      <c r="AB165" s="441">
        <f t="shared" si="22"/>
        <v>45045.045045045044</v>
      </c>
      <c r="AC165" s="442">
        <f t="shared" si="23"/>
        <v>135135.13513513515</v>
      </c>
      <c r="AD165" s="437">
        <v>15000</v>
      </c>
      <c r="AE165" s="447">
        <v>7925225.225225227</v>
      </c>
      <c r="AF165" s="447">
        <v>8797000</v>
      </c>
      <c r="AG165" s="437">
        <v>15000</v>
      </c>
      <c r="AH165" s="443" t="s">
        <v>2098</v>
      </c>
    </row>
    <row r="166" spans="1:34" ht="25">
      <c r="A166" s="350">
        <v>80</v>
      </c>
      <c r="B166" s="352" t="s">
        <v>703</v>
      </c>
      <c r="C166" s="352" t="s">
        <v>704</v>
      </c>
      <c r="D166" s="355" t="s">
        <v>705</v>
      </c>
      <c r="E166" s="363" t="s">
        <v>706</v>
      </c>
      <c r="F166" s="361">
        <v>44992</v>
      </c>
      <c r="G166" s="361">
        <f t="shared" si="25"/>
        <v>44992</v>
      </c>
      <c r="H166" s="361">
        <f t="shared" si="25"/>
        <v>44992</v>
      </c>
      <c r="I166" s="365">
        <v>45037</v>
      </c>
      <c r="J166" s="387" t="s">
        <v>261</v>
      </c>
      <c r="K166" s="387" t="s">
        <v>261</v>
      </c>
      <c r="L166" s="402">
        <v>12</v>
      </c>
      <c r="M166" s="352" t="s">
        <v>667</v>
      </c>
      <c r="N166" s="403">
        <v>20000</v>
      </c>
      <c r="O166" s="404">
        <v>240000</v>
      </c>
      <c r="P166" s="421">
        <v>4</v>
      </c>
      <c r="Q166" s="492" t="s">
        <v>102</v>
      </c>
      <c r="R166" s="437">
        <v>225000</v>
      </c>
      <c r="S166" s="438">
        <f t="shared" si="20"/>
        <v>264000</v>
      </c>
      <c r="T166" s="439" t="s">
        <v>538</v>
      </c>
      <c r="U166" s="460" t="str">
        <f t="shared" si="21"/>
        <v/>
      </c>
      <c r="V166" s="439" t="s">
        <v>539</v>
      </c>
      <c r="W166" s="439" t="s">
        <v>540</v>
      </c>
      <c r="X166" s="439" t="s">
        <v>709</v>
      </c>
      <c r="Y166" s="275" t="s">
        <v>710</v>
      </c>
      <c r="Z166" s="616" t="s">
        <v>710</v>
      </c>
      <c r="AA166" s="440" t="s">
        <v>488</v>
      </c>
      <c r="AB166" s="441">
        <f t="shared" si="22"/>
        <v>18018.018018018018</v>
      </c>
      <c r="AC166" s="442">
        <f t="shared" si="23"/>
        <v>216216.21621621621</v>
      </c>
      <c r="AD166" s="437">
        <v>225000</v>
      </c>
      <c r="AE166" s="447">
        <v>7925225.225225227</v>
      </c>
      <c r="AF166" s="447">
        <v>8797000</v>
      </c>
      <c r="AG166" s="437">
        <v>225000</v>
      </c>
      <c r="AH166" s="443" t="s">
        <v>2098</v>
      </c>
    </row>
    <row r="167" spans="1:34">
      <c r="A167" s="350">
        <v>80</v>
      </c>
      <c r="B167" s="352" t="s">
        <v>703</v>
      </c>
      <c r="C167" s="352" t="s">
        <v>704</v>
      </c>
      <c r="D167" s="355" t="s">
        <v>705</v>
      </c>
      <c r="E167" s="363" t="s">
        <v>706</v>
      </c>
      <c r="F167" s="361">
        <v>44992</v>
      </c>
      <c r="G167" s="361">
        <f t="shared" si="25"/>
        <v>44992</v>
      </c>
      <c r="H167" s="361">
        <f t="shared" si="25"/>
        <v>44992</v>
      </c>
      <c r="I167" s="365">
        <v>45037</v>
      </c>
      <c r="J167" s="387" t="s">
        <v>239</v>
      </c>
      <c r="K167" s="352" t="s">
        <v>239</v>
      </c>
      <c r="L167" s="402">
        <v>1</v>
      </c>
      <c r="M167" s="352" t="s">
        <v>597</v>
      </c>
      <c r="N167" s="403">
        <v>16500</v>
      </c>
      <c r="O167" s="404">
        <v>16500</v>
      </c>
      <c r="P167" s="421">
        <v>4</v>
      </c>
      <c r="Q167" s="492" t="s">
        <v>138</v>
      </c>
      <c r="R167" s="437">
        <v>14000</v>
      </c>
      <c r="S167" s="438">
        <f t="shared" si="20"/>
        <v>18500</v>
      </c>
      <c r="T167" s="439" t="s">
        <v>538</v>
      </c>
      <c r="U167" s="460" t="str">
        <f t="shared" si="21"/>
        <v/>
      </c>
      <c r="V167" s="439" t="s">
        <v>539</v>
      </c>
      <c r="W167" s="439" t="s">
        <v>540</v>
      </c>
      <c r="X167" s="439" t="s">
        <v>709</v>
      </c>
      <c r="Y167" s="275" t="s">
        <v>710</v>
      </c>
      <c r="Z167" s="616" t="s">
        <v>710</v>
      </c>
      <c r="AA167" s="440" t="s">
        <v>488</v>
      </c>
      <c r="AB167" s="441">
        <f t="shared" si="22"/>
        <v>14864.864864864865</v>
      </c>
      <c r="AC167" s="442">
        <f t="shared" si="23"/>
        <v>14864.864864864865</v>
      </c>
      <c r="AD167" s="437">
        <v>14000</v>
      </c>
      <c r="AE167" s="447">
        <v>7925225.225225227</v>
      </c>
      <c r="AF167" s="447">
        <v>8797000</v>
      </c>
      <c r="AG167" s="437">
        <v>14000</v>
      </c>
      <c r="AH167" s="443" t="s">
        <v>2098</v>
      </c>
    </row>
    <row r="168" spans="1:34">
      <c r="A168" s="350">
        <v>80</v>
      </c>
      <c r="B168" s="352" t="s">
        <v>703</v>
      </c>
      <c r="C168" s="352" t="s">
        <v>704</v>
      </c>
      <c r="D168" s="355" t="s">
        <v>705</v>
      </c>
      <c r="E168" s="363" t="s">
        <v>706</v>
      </c>
      <c r="F168" s="361">
        <v>44992</v>
      </c>
      <c r="G168" s="361">
        <f t="shared" si="25"/>
        <v>44992</v>
      </c>
      <c r="H168" s="361">
        <f t="shared" si="25"/>
        <v>44992</v>
      </c>
      <c r="I168" s="365">
        <v>45037</v>
      </c>
      <c r="J168" s="387" t="s">
        <v>250</v>
      </c>
      <c r="K168" s="435" t="s">
        <v>755</v>
      </c>
      <c r="L168" s="402">
        <v>10</v>
      </c>
      <c r="M168" s="352" t="s">
        <v>753</v>
      </c>
      <c r="N168" s="403">
        <v>44000</v>
      </c>
      <c r="O168" s="404">
        <v>440000</v>
      </c>
      <c r="P168" s="421">
        <v>4</v>
      </c>
      <c r="Q168" s="492" t="s">
        <v>113</v>
      </c>
      <c r="R168" s="437">
        <v>26000</v>
      </c>
      <c r="S168" s="438">
        <f t="shared" si="20"/>
        <v>460000</v>
      </c>
      <c r="T168" s="439" t="s">
        <v>538</v>
      </c>
      <c r="U168" s="460" t="str">
        <f t="shared" si="21"/>
        <v/>
      </c>
      <c r="V168" s="439" t="s">
        <v>539</v>
      </c>
      <c r="W168" s="439" t="s">
        <v>540</v>
      </c>
      <c r="X168" s="439" t="s">
        <v>709</v>
      </c>
      <c r="Y168" s="275" t="s">
        <v>710</v>
      </c>
      <c r="Z168" s="616" t="s">
        <v>710</v>
      </c>
      <c r="AA168" s="440" t="s">
        <v>597</v>
      </c>
      <c r="AB168" s="441">
        <f t="shared" si="22"/>
        <v>39639.639639639638</v>
      </c>
      <c r="AC168" s="442">
        <f t="shared" si="23"/>
        <v>396396.39639639639</v>
      </c>
      <c r="AD168" s="437">
        <v>26000</v>
      </c>
      <c r="AE168" s="447">
        <v>7925225.225225227</v>
      </c>
      <c r="AF168" s="447">
        <v>8797000</v>
      </c>
      <c r="AG168" s="437">
        <v>26000</v>
      </c>
      <c r="AH168" s="443" t="s">
        <v>2098</v>
      </c>
    </row>
    <row r="169" spans="1:34">
      <c r="A169" s="350">
        <v>80</v>
      </c>
      <c r="B169" s="352" t="s">
        <v>703</v>
      </c>
      <c r="C169" s="352" t="s">
        <v>704</v>
      </c>
      <c r="D169" s="355" t="s">
        <v>705</v>
      </c>
      <c r="E169" s="363" t="s">
        <v>706</v>
      </c>
      <c r="F169" s="361">
        <v>44992</v>
      </c>
      <c r="G169" s="361">
        <f t="shared" si="25"/>
        <v>44992</v>
      </c>
      <c r="H169" s="361">
        <f t="shared" si="25"/>
        <v>44992</v>
      </c>
      <c r="I169" s="365">
        <v>45037</v>
      </c>
      <c r="J169" s="387" t="s">
        <v>779</v>
      </c>
      <c r="K169" s="435" t="s">
        <v>233</v>
      </c>
      <c r="L169" s="402">
        <v>1</v>
      </c>
      <c r="M169" s="352" t="s">
        <v>753</v>
      </c>
      <c r="N169" s="403">
        <v>75000</v>
      </c>
      <c r="O169" s="404">
        <v>75000</v>
      </c>
      <c r="P169" s="421">
        <v>4</v>
      </c>
      <c r="Q169" s="492" t="s">
        <v>110</v>
      </c>
      <c r="R169" s="437">
        <v>16500</v>
      </c>
      <c r="S169" s="438">
        <f t="shared" si="20"/>
        <v>77000</v>
      </c>
      <c r="T169" s="439" t="s">
        <v>538</v>
      </c>
      <c r="U169" s="460" t="str">
        <f t="shared" si="21"/>
        <v/>
      </c>
      <c r="V169" s="439" t="s">
        <v>539</v>
      </c>
      <c r="W169" s="439" t="s">
        <v>540</v>
      </c>
      <c r="X169" s="439" t="s">
        <v>709</v>
      </c>
      <c r="Y169" s="275" t="s">
        <v>710</v>
      </c>
      <c r="Z169" s="616" t="s">
        <v>710</v>
      </c>
      <c r="AA169" s="440" t="s">
        <v>753</v>
      </c>
      <c r="AB169" s="441">
        <f t="shared" si="22"/>
        <v>67567.567567567574</v>
      </c>
      <c r="AC169" s="442">
        <f t="shared" si="23"/>
        <v>67567.567567567574</v>
      </c>
      <c r="AD169" s="437">
        <v>16500</v>
      </c>
      <c r="AE169" s="447">
        <v>7925225.225225227</v>
      </c>
      <c r="AF169" s="447">
        <v>8797000</v>
      </c>
      <c r="AG169" s="437">
        <v>16500</v>
      </c>
      <c r="AH169" s="443" t="s">
        <v>2098</v>
      </c>
    </row>
    <row r="170" spans="1:34">
      <c r="A170" s="350">
        <v>80</v>
      </c>
      <c r="B170" s="352" t="s">
        <v>703</v>
      </c>
      <c r="C170" s="352" t="s">
        <v>704</v>
      </c>
      <c r="D170" s="355" t="s">
        <v>705</v>
      </c>
      <c r="E170" s="363" t="s">
        <v>706</v>
      </c>
      <c r="F170" s="361">
        <v>44992</v>
      </c>
      <c r="G170" s="361">
        <f t="shared" si="25"/>
        <v>44992</v>
      </c>
      <c r="H170" s="361">
        <f t="shared" si="25"/>
        <v>44992</v>
      </c>
      <c r="I170" s="365">
        <v>45037</v>
      </c>
      <c r="J170" s="387" t="s">
        <v>781</v>
      </c>
      <c r="K170" s="435" t="s">
        <v>234</v>
      </c>
      <c r="L170" s="402">
        <v>2</v>
      </c>
      <c r="M170" s="352" t="s">
        <v>551</v>
      </c>
      <c r="N170" s="403">
        <v>95000</v>
      </c>
      <c r="O170" s="404">
        <v>190000</v>
      </c>
      <c r="P170" s="421">
        <v>4</v>
      </c>
      <c r="Q170" s="492" t="s">
        <v>136</v>
      </c>
      <c r="R170" s="437">
        <v>25000</v>
      </c>
      <c r="S170" s="438">
        <f t="shared" si="20"/>
        <v>194000</v>
      </c>
      <c r="T170" s="439" t="s">
        <v>538</v>
      </c>
      <c r="U170" s="460" t="str">
        <f t="shared" si="21"/>
        <v/>
      </c>
      <c r="V170" s="439" t="s">
        <v>539</v>
      </c>
      <c r="W170" s="439" t="s">
        <v>540</v>
      </c>
      <c r="X170" s="439" t="s">
        <v>709</v>
      </c>
      <c r="Y170" s="275" t="s">
        <v>710</v>
      </c>
      <c r="Z170" s="616" t="s">
        <v>710</v>
      </c>
      <c r="AA170" s="440" t="s">
        <v>714</v>
      </c>
      <c r="AB170" s="441">
        <f t="shared" si="22"/>
        <v>85585.585585585592</v>
      </c>
      <c r="AC170" s="442">
        <f t="shared" si="23"/>
        <v>171171.17117117118</v>
      </c>
      <c r="AD170" s="437">
        <v>25000</v>
      </c>
      <c r="AE170" s="447">
        <v>7925225.225225227</v>
      </c>
      <c r="AF170" s="447">
        <v>8797000</v>
      </c>
      <c r="AG170" s="437">
        <v>25000</v>
      </c>
      <c r="AH170" s="443" t="s">
        <v>2098</v>
      </c>
    </row>
    <row r="171" spans="1:34">
      <c r="A171" s="350">
        <v>80</v>
      </c>
      <c r="B171" s="352" t="s">
        <v>703</v>
      </c>
      <c r="C171" s="352" t="s">
        <v>704</v>
      </c>
      <c r="D171" s="355" t="s">
        <v>705</v>
      </c>
      <c r="E171" s="363" t="s">
        <v>706</v>
      </c>
      <c r="F171" s="361">
        <v>44992</v>
      </c>
      <c r="G171" s="361">
        <f t="shared" si="25"/>
        <v>44992</v>
      </c>
      <c r="H171" s="361">
        <f t="shared" si="25"/>
        <v>44992</v>
      </c>
      <c r="I171" s="365">
        <v>45037</v>
      </c>
      <c r="J171" s="387" t="s">
        <v>260</v>
      </c>
      <c r="K171" s="435" t="s">
        <v>755</v>
      </c>
      <c r="L171" s="402">
        <v>5</v>
      </c>
      <c r="M171" s="352" t="s">
        <v>753</v>
      </c>
      <c r="N171" s="403">
        <v>65000</v>
      </c>
      <c r="O171" s="404">
        <v>325000</v>
      </c>
      <c r="P171" s="421">
        <v>4</v>
      </c>
      <c r="Q171" s="492" t="s">
        <v>151</v>
      </c>
      <c r="R171" s="437">
        <v>150000</v>
      </c>
      <c r="S171" s="438">
        <f t="shared" si="20"/>
        <v>335000</v>
      </c>
      <c r="T171" s="439" t="s">
        <v>538</v>
      </c>
      <c r="U171" s="460" t="str">
        <f t="shared" si="21"/>
        <v/>
      </c>
      <c r="V171" s="439" t="s">
        <v>539</v>
      </c>
      <c r="W171" s="439" t="s">
        <v>540</v>
      </c>
      <c r="X171" s="439" t="s">
        <v>709</v>
      </c>
      <c r="Y171" s="275" t="s">
        <v>710</v>
      </c>
      <c r="Z171" s="616" t="s">
        <v>710</v>
      </c>
      <c r="AA171" s="440" t="s">
        <v>714</v>
      </c>
      <c r="AB171" s="441">
        <f t="shared" si="22"/>
        <v>58558.558558558558</v>
      </c>
      <c r="AC171" s="442">
        <f t="shared" si="23"/>
        <v>292792.79279279278</v>
      </c>
      <c r="AD171" s="437">
        <v>150000</v>
      </c>
      <c r="AE171" s="447">
        <v>7925225.225225227</v>
      </c>
      <c r="AF171" s="447">
        <v>8797000</v>
      </c>
      <c r="AG171" s="437">
        <v>150000</v>
      </c>
      <c r="AH171" s="443" t="s">
        <v>2098</v>
      </c>
    </row>
    <row r="172" spans="1:34">
      <c r="A172" s="350">
        <v>80</v>
      </c>
      <c r="B172" s="352" t="s">
        <v>703</v>
      </c>
      <c r="C172" s="352" t="s">
        <v>704</v>
      </c>
      <c r="D172" s="355" t="s">
        <v>705</v>
      </c>
      <c r="E172" s="363" t="s">
        <v>706</v>
      </c>
      <c r="F172" s="361">
        <v>44992</v>
      </c>
      <c r="G172" s="361">
        <f t="shared" si="25"/>
        <v>44992</v>
      </c>
      <c r="H172" s="361">
        <f t="shared" si="25"/>
        <v>44992</v>
      </c>
      <c r="I172" s="365">
        <v>45037</v>
      </c>
      <c r="J172" s="387" t="s">
        <v>263</v>
      </c>
      <c r="K172" s="435" t="s">
        <v>233</v>
      </c>
      <c r="L172" s="402">
        <v>5</v>
      </c>
      <c r="M172" s="352" t="s">
        <v>753</v>
      </c>
      <c r="N172" s="403">
        <v>12000</v>
      </c>
      <c r="O172" s="404">
        <v>60000</v>
      </c>
      <c r="P172" s="421">
        <v>4</v>
      </c>
      <c r="Q172" s="492" t="s">
        <v>101</v>
      </c>
      <c r="R172" s="437">
        <v>97000</v>
      </c>
      <c r="S172" s="438">
        <f t="shared" si="20"/>
        <v>70000</v>
      </c>
      <c r="T172" s="439" t="s">
        <v>538</v>
      </c>
      <c r="U172" s="460" t="str">
        <f t="shared" si="21"/>
        <v/>
      </c>
      <c r="V172" s="439" t="s">
        <v>539</v>
      </c>
      <c r="W172" s="439" t="s">
        <v>540</v>
      </c>
      <c r="X172" s="439" t="s">
        <v>709</v>
      </c>
      <c r="Y172" s="275" t="s">
        <v>710</v>
      </c>
      <c r="Z172" s="616" t="s">
        <v>710</v>
      </c>
      <c r="AA172" s="440" t="s">
        <v>597</v>
      </c>
      <c r="AB172" s="441">
        <f t="shared" si="22"/>
        <v>10810.810810810812</v>
      </c>
      <c r="AC172" s="442">
        <f t="shared" si="23"/>
        <v>54054.054054054061</v>
      </c>
      <c r="AD172" s="437">
        <v>97000</v>
      </c>
      <c r="AE172" s="447">
        <v>7925225.225225227</v>
      </c>
      <c r="AF172" s="447">
        <v>8797000</v>
      </c>
      <c r="AG172" s="437">
        <v>97000</v>
      </c>
      <c r="AH172" s="443" t="s">
        <v>2098</v>
      </c>
    </row>
    <row r="173" spans="1:34">
      <c r="A173" s="350">
        <v>80</v>
      </c>
      <c r="B173" s="352" t="s">
        <v>703</v>
      </c>
      <c r="C173" s="352" t="s">
        <v>704</v>
      </c>
      <c r="D173" s="355" t="s">
        <v>705</v>
      </c>
      <c r="E173" s="363" t="s">
        <v>706</v>
      </c>
      <c r="F173" s="361">
        <v>44992</v>
      </c>
      <c r="G173" s="361">
        <f t="shared" ref="G173:H188" si="26">F173</f>
        <v>44992</v>
      </c>
      <c r="H173" s="361">
        <f t="shared" si="26"/>
        <v>44992</v>
      </c>
      <c r="I173" s="365">
        <v>45037</v>
      </c>
      <c r="J173" s="389" t="s">
        <v>234</v>
      </c>
      <c r="K173" s="435" t="s">
        <v>234</v>
      </c>
      <c r="L173" s="402">
        <v>1</v>
      </c>
      <c r="M173" s="352" t="s">
        <v>714</v>
      </c>
      <c r="N173" s="403">
        <v>225000</v>
      </c>
      <c r="O173" s="404">
        <v>225000</v>
      </c>
      <c r="P173" s="421">
        <v>4</v>
      </c>
      <c r="Q173" s="492" t="s">
        <v>108</v>
      </c>
      <c r="R173" s="437">
        <v>15000</v>
      </c>
      <c r="S173" s="438">
        <f t="shared" si="20"/>
        <v>227000</v>
      </c>
      <c r="T173" s="439" t="s">
        <v>538</v>
      </c>
      <c r="U173" s="460" t="str">
        <f t="shared" si="21"/>
        <v/>
      </c>
      <c r="V173" s="439" t="s">
        <v>539</v>
      </c>
      <c r="W173" s="439" t="s">
        <v>540</v>
      </c>
      <c r="X173" s="439" t="s">
        <v>709</v>
      </c>
      <c r="Y173" s="275" t="s">
        <v>710</v>
      </c>
      <c r="Z173" s="616" t="s">
        <v>710</v>
      </c>
      <c r="AA173" s="440" t="s">
        <v>728</v>
      </c>
      <c r="AB173" s="441">
        <f t="shared" si="22"/>
        <v>202702.70270270269</v>
      </c>
      <c r="AC173" s="442">
        <f t="shared" si="23"/>
        <v>202702.70270270269</v>
      </c>
      <c r="AD173" s="437">
        <v>15000</v>
      </c>
      <c r="AE173" s="447">
        <v>7925225.225225227</v>
      </c>
      <c r="AF173" s="447">
        <v>8797000</v>
      </c>
      <c r="AG173" s="437">
        <v>15000</v>
      </c>
      <c r="AH173" s="443" t="s">
        <v>2098</v>
      </c>
    </row>
    <row r="174" spans="1:34">
      <c r="A174" s="350">
        <v>80</v>
      </c>
      <c r="B174" s="352" t="s">
        <v>703</v>
      </c>
      <c r="C174" s="352" t="s">
        <v>704</v>
      </c>
      <c r="D174" s="355" t="s">
        <v>705</v>
      </c>
      <c r="E174" s="363" t="s">
        <v>706</v>
      </c>
      <c r="F174" s="361">
        <v>44992</v>
      </c>
      <c r="G174" s="361">
        <f t="shared" si="26"/>
        <v>44992</v>
      </c>
      <c r="H174" s="361">
        <f t="shared" si="26"/>
        <v>44992</v>
      </c>
      <c r="I174" s="365">
        <v>45037</v>
      </c>
      <c r="J174" s="387" t="s">
        <v>252</v>
      </c>
      <c r="K174" s="352" t="s">
        <v>786</v>
      </c>
      <c r="L174" s="402">
        <v>1</v>
      </c>
      <c r="M174" s="352" t="s">
        <v>753</v>
      </c>
      <c r="N174" s="403">
        <v>25000</v>
      </c>
      <c r="O174" s="404">
        <v>25000</v>
      </c>
      <c r="P174" s="421">
        <v>4</v>
      </c>
      <c r="Q174" s="492" t="s">
        <v>96</v>
      </c>
      <c r="R174" s="273">
        <v>40000</v>
      </c>
      <c r="S174" s="438">
        <f t="shared" si="20"/>
        <v>27000</v>
      </c>
      <c r="T174" s="439" t="s">
        <v>538</v>
      </c>
      <c r="U174" s="460" t="str">
        <f t="shared" si="21"/>
        <v/>
      </c>
      <c r="V174" s="439" t="s">
        <v>539</v>
      </c>
      <c r="W174" s="439" t="s">
        <v>540</v>
      </c>
      <c r="X174" s="439" t="s">
        <v>709</v>
      </c>
      <c r="Y174" s="275" t="s">
        <v>710</v>
      </c>
      <c r="Z174" s="616" t="s">
        <v>710</v>
      </c>
      <c r="AA174" s="440" t="s">
        <v>753</v>
      </c>
      <c r="AB174" s="441">
        <f t="shared" si="22"/>
        <v>22522.522522522522</v>
      </c>
      <c r="AC174" s="442">
        <f t="shared" si="23"/>
        <v>22522.522522522522</v>
      </c>
      <c r="AD174" s="273">
        <v>40000</v>
      </c>
      <c r="AE174" s="447">
        <v>7925225.225225227</v>
      </c>
      <c r="AF174" s="447">
        <v>8797000</v>
      </c>
      <c r="AG174" s="437">
        <v>40000</v>
      </c>
      <c r="AH174" s="443" t="s">
        <v>2098</v>
      </c>
    </row>
    <row r="175" spans="1:34" ht="25">
      <c r="A175" s="350">
        <v>80</v>
      </c>
      <c r="B175" s="352" t="s">
        <v>908</v>
      </c>
      <c r="C175" s="352" t="s">
        <v>704</v>
      </c>
      <c r="D175" s="355" t="s">
        <v>705</v>
      </c>
      <c r="E175" s="363" t="s">
        <v>706</v>
      </c>
      <c r="F175" s="361">
        <v>44992</v>
      </c>
      <c r="G175" s="361">
        <f t="shared" si="26"/>
        <v>44992</v>
      </c>
      <c r="H175" s="361">
        <f t="shared" si="26"/>
        <v>44992</v>
      </c>
      <c r="I175" s="365">
        <v>45037</v>
      </c>
      <c r="J175" s="387" t="s">
        <v>733</v>
      </c>
      <c r="K175" s="388" t="s">
        <v>734</v>
      </c>
      <c r="L175" s="791">
        <v>5</v>
      </c>
      <c r="M175" s="352" t="s">
        <v>735</v>
      </c>
      <c r="N175" s="403">
        <v>54000</v>
      </c>
      <c r="O175" s="404">
        <v>270000</v>
      </c>
      <c r="P175" s="421">
        <v>4</v>
      </c>
      <c r="Q175" s="492" t="s">
        <v>156</v>
      </c>
      <c r="R175" s="437">
        <v>60000</v>
      </c>
      <c r="S175" s="438">
        <f t="shared" si="20"/>
        <v>280000</v>
      </c>
      <c r="T175" s="439" t="s">
        <v>538</v>
      </c>
      <c r="U175" s="460" t="str">
        <f t="shared" si="21"/>
        <v/>
      </c>
      <c r="V175" s="439" t="s">
        <v>539</v>
      </c>
      <c r="W175" s="439" t="s">
        <v>540</v>
      </c>
      <c r="X175" s="439" t="s">
        <v>709</v>
      </c>
      <c r="Y175" s="275" t="s">
        <v>710</v>
      </c>
      <c r="Z175" s="616" t="s">
        <v>710</v>
      </c>
      <c r="AA175" s="440" t="s">
        <v>735</v>
      </c>
      <c r="AB175" s="441">
        <f t="shared" si="22"/>
        <v>48648.648648648646</v>
      </c>
      <c r="AC175" s="442">
        <f t="shared" si="23"/>
        <v>243243.24324324323</v>
      </c>
      <c r="AD175" s="437">
        <v>60000</v>
      </c>
      <c r="AE175" s="447">
        <v>7925225.225225227</v>
      </c>
      <c r="AF175" s="447">
        <v>8797000</v>
      </c>
      <c r="AG175" s="437">
        <v>60000</v>
      </c>
      <c r="AH175" s="443" t="s">
        <v>2098</v>
      </c>
    </row>
    <row r="176" spans="1:34">
      <c r="A176" s="350">
        <v>80</v>
      </c>
      <c r="B176" s="352" t="s">
        <v>908</v>
      </c>
      <c r="C176" s="352" t="s">
        <v>704</v>
      </c>
      <c r="D176" s="355" t="s">
        <v>705</v>
      </c>
      <c r="E176" s="363" t="s">
        <v>706</v>
      </c>
      <c r="F176" s="361">
        <v>44992</v>
      </c>
      <c r="G176" s="361">
        <f t="shared" si="26"/>
        <v>44992</v>
      </c>
      <c r="H176" s="361">
        <f t="shared" si="26"/>
        <v>44992</v>
      </c>
      <c r="I176" s="365">
        <v>45037</v>
      </c>
      <c r="J176" s="387" t="s">
        <v>259</v>
      </c>
      <c r="K176" s="436" t="s">
        <v>752</v>
      </c>
      <c r="L176" s="402">
        <v>1</v>
      </c>
      <c r="M176" s="352" t="s">
        <v>753</v>
      </c>
      <c r="N176" s="403">
        <v>35000</v>
      </c>
      <c r="O176" s="404">
        <v>35000</v>
      </c>
      <c r="P176" s="421">
        <v>4</v>
      </c>
      <c r="Q176" s="492" t="s">
        <v>128</v>
      </c>
      <c r="R176" s="437">
        <v>1000000</v>
      </c>
      <c r="S176" s="438">
        <f t="shared" si="20"/>
        <v>37000</v>
      </c>
      <c r="T176" s="439" t="s">
        <v>538</v>
      </c>
      <c r="U176" s="460" t="str">
        <f t="shared" si="21"/>
        <v/>
      </c>
      <c r="V176" s="439" t="s">
        <v>539</v>
      </c>
      <c r="W176" s="439" t="s">
        <v>540</v>
      </c>
      <c r="X176" s="439" t="s">
        <v>709</v>
      </c>
      <c r="Y176" s="275" t="s">
        <v>710</v>
      </c>
      <c r="Z176" s="616" t="s">
        <v>710</v>
      </c>
      <c r="AA176" s="440" t="s">
        <v>728</v>
      </c>
      <c r="AB176" s="441">
        <f t="shared" si="22"/>
        <v>31531.531531531531</v>
      </c>
      <c r="AC176" s="442">
        <f t="shared" si="23"/>
        <v>31531.531531531531</v>
      </c>
      <c r="AD176" s="437">
        <v>1000000</v>
      </c>
      <c r="AE176" s="447">
        <v>7925225.225225227</v>
      </c>
      <c r="AF176" s="447">
        <v>8797000</v>
      </c>
      <c r="AG176" s="437">
        <v>1000000</v>
      </c>
      <c r="AH176" s="443" t="s">
        <v>2098</v>
      </c>
    </row>
    <row r="177" spans="1:36">
      <c r="A177" s="350">
        <v>80</v>
      </c>
      <c r="B177" s="352" t="s">
        <v>908</v>
      </c>
      <c r="C177" s="352" t="s">
        <v>704</v>
      </c>
      <c r="D177" s="355" t="s">
        <v>705</v>
      </c>
      <c r="E177" s="363" t="s">
        <v>706</v>
      </c>
      <c r="F177" s="361">
        <v>44992</v>
      </c>
      <c r="G177" s="361">
        <f t="shared" si="26"/>
        <v>44992</v>
      </c>
      <c r="H177" s="361">
        <f t="shared" si="26"/>
        <v>44992</v>
      </c>
      <c r="I177" s="365">
        <v>45037</v>
      </c>
      <c r="J177" s="387" t="s">
        <v>747</v>
      </c>
      <c r="K177" s="388" t="s">
        <v>886</v>
      </c>
      <c r="L177" s="402">
        <v>1</v>
      </c>
      <c r="M177" s="352" t="s">
        <v>488</v>
      </c>
      <c r="N177" s="403">
        <v>5000</v>
      </c>
      <c r="O177" s="404">
        <v>5000</v>
      </c>
      <c r="P177" s="421">
        <v>4</v>
      </c>
      <c r="Q177" s="492" t="s">
        <v>145</v>
      </c>
      <c r="R177" s="437">
        <v>21000</v>
      </c>
      <c r="S177" s="438">
        <f t="shared" si="20"/>
        <v>7000</v>
      </c>
      <c r="T177" s="439" t="s">
        <v>538</v>
      </c>
      <c r="U177" s="460" t="str">
        <f t="shared" si="21"/>
        <v/>
      </c>
      <c r="V177" s="439" t="s">
        <v>539</v>
      </c>
      <c r="W177" s="439" t="s">
        <v>540</v>
      </c>
      <c r="X177" s="439" t="s">
        <v>709</v>
      </c>
      <c r="Y177" s="275" t="s">
        <v>710</v>
      </c>
      <c r="Z177" s="616" t="s">
        <v>710</v>
      </c>
      <c r="AA177" s="440" t="s">
        <v>597</v>
      </c>
      <c r="AB177" s="441">
        <f t="shared" si="22"/>
        <v>4504.5045045045044</v>
      </c>
      <c r="AC177" s="442">
        <f t="shared" si="23"/>
        <v>4504.5045045045044</v>
      </c>
      <c r="AD177" s="437">
        <v>21000</v>
      </c>
      <c r="AE177" s="447">
        <v>7925225.225225227</v>
      </c>
      <c r="AF177" s="447">
        <v>8797000</v>
      </c>
      <c r="AG177" s="437">
        <v>21000</v>
      </c>
      <c r="AH177" s="443" t="s">
        <v>2098</v>
      </c>
    </row>
    <row r="178" spans="1:36" ht="25">
      <c r="A178" s="350">
        <v>80</v>
      </c>
      <c r="B178" s="352" t="s">
        <v>908</v>
      </c>
      <c r="C178" s="352" t="s">
        <v>704</v>
      </c>
      <c r="D178" s="355" t="s">
        <v>705</v>
      </c>
      <c r="E178" s="363" t="s">
        <v>706</v>
      </c>
      <c r="F178" s="361">
        <v>44992</v>
      </c>
      <c r="G178" s="361">
        <f t="shared" si="26"/>
        <v>44992</v>
      </c>
      <c r="H178" s="361">
        <f t="shared" si="26"/>
        <v>44992</v>
      </c>
      <c r="I178" s="365">
        <v>45037</v>
      </c>
      <c r="J178" s="387" t="s">
        <v>781</v>
      </c>
      <c r="K178" s="387" t="s">
        <v>781</v>
      </c>
      <c r="L178" s="402">
        <v>2</v>
      </c>
      <c r="M178" s="352" t="s">
        <v>551</v>
      </c>
      <c r="N178" s="403">
        <v>95000</v>
      </c>
      <c r="O178" s="404">
        <v>190000</v>
      </c>
      <c r="P178" s="421">
        <v>4</v>
      </c>
      <c r="Q178" s="492" t="s">
        <v>109</v>
      </c>
      <c r="R178" s="437">
        <v>22000</v>
      </c>
      <c r="S178" s="438">
        <f t="shared" si="20"/>
        <v>194000</v>
      </c>
      <c r="T178" s="439" t="s">
        <v>538</v>
      </c>
      <c r="U178" s="460" t="str">
        <f t="shared" si="21"/>
        <v/>
      </c>
      <c r="V178" s="439" t="s">
        <v>539</v>
      </c>
      <c r="W178" s="439" t="s">
        <v>540</v>
      </c>
      <c r="X178" s="439" t="s">
        <v>709</v>
      </c>
      <c r="Y178" s="275" t="s">
        <v>710</v>
      </c>
      <c r="Z178" s="616" t="s">
        <v>710</v>
      </c>
      <c r="AA178" s="440" t="s">
        <v>753</v>
      </c>
      <c r="AB178" s="441">
        <f t="shared" si="22"/>
        <v>85585.585585585592</v>
      </c>
      <c r="AC178" s="442">
        <f t="shared" si="23"/>
        <v>171171.17117117118</v>
      </c>
      <c r="AD178" s="437">
        <v>22000</v>
      </c>
      <c r="AE178" s="447">
        <v>7925225.225225227</v>
      </c>
      <c r="AF178" s="447">
        <v>8797000</v>
      </c>
      <c r="AG178" s="437">
        <v>22000</v>
      </c>
      <c r="AH178" s="443" t="s">
        <v>2098</v>
      </c>
    </row>
    <row r="179" spans="1:36">
      <c r="A179" s="350">
        <v>80</v>
      </c>
      <c r="B179" s="352" t="s">
        <v>908</v>
      </c>
      <c r="C179" s="352" t="s">
        <v>704</v>
      </c>
      <c r="D179" s="355" t="s">
        <v>705</v>
      </c>
      <c r="E179" s="363" t="s">
        <v>706</v>
      </c>
      <c r="F179" s="361">
        <v>44992</v>
      </c>
      <c r="G179" s="361">
        <f t="shared" si="26"/>
        <v>44992</v>
      </c>
      <c r="H179" s="361">
        <f t="shared" si="26"/>
        <v>44992</v>
      </c>
      <c r="I179" s="365">
        <v>45037</v>
      </c>
      <c r="J179" s="387" t="s">
        <v>711</v>
      </c>
      <c r="K179" s="352" t="s">
        <v>746</v>
      </c>
      <c r="L179" s="402">
        <v>1</v>
      </c>
      <c r="M179" s="352" t="s">
        <v>488</v>
      </c>
      <c r="N179" s="403">
        <v>11500</v>
      </c>
      <c r="O179" s="404">
        <v>11500</v>
      </c>
      <c r="P179" s="421">
        <v>4</v>
      </c>
      <c r="Q179" s="492" t="s">
        <v>149</v>
      </c>
      <c r="R179" s="437">
        <v>325000</v>
      </c>
      <c r="S179" s="438">
        <f t="shared" si="20"/>
        <v>13500</v>
      </c>
      <c r="T179" s="439" t="s">
        <v>538</v>
      </c>
      <c r="U179" s="460" t="str">
        <f t="shared" si="21"/>
        <v/>
      </c>
      <c r="V179" s="439" t="s">
        <v>539</v>
      </c>
      <c r="W179" s="439" t="s">
        <v>540</v>
      </c>
      <c r="X179" s="439" t="s">
        <v>709</v>
      </c>
      <c r="Y179" s="275" t="s">
        <v>710</v>
      </c>
      <c r="Z179" s="616" t="s">
        <v>710</v>
      </c>
      <c r="AA179" s="440" t="s">
        <v>749</v>
      </c>
      <c r="AB179" s="441">
        <f t="shared" si="22"/>
        <v>10360.360360360361</v>
      </c>
      <c r="AC179" s="442">
        <f t="shared" si="23"/>
        <v>10360.360360360361</v>
      </c>
      <c r="AD179" s="437">
        <v>325000</v>
      </c>
      <c r="AE179" s="447">
        <v>7925225.225225227</v>
      </c>
      <c r="AF179" s="447">
        <v>8797000</v>
      </c>
      <c r="AG179" s="437">
        <v>325000</v>
      </c>
      <c r="AH179" s="443" t="s">
        <v>2098</v>
      </c>
    </row>
    <row r="180" spans="1:36">
      <c r="A180" s="350">
        <v>80</v>
      </c>
      <c r="B180" s="352" t="s">
        <v>908</v>
      </c>
      <c r="C180" s="352" t="s">
        <v>704</v>
      </c>
      <c r="D180" s="355" t="s">
        <v>705</v>
      </c>
      <c r="E180" s="363" t="s">
        <v>706</v>
      </c>
      <c r="F180" s="361">
        <v>44992</v>
      </c>
      <c r="G180" s="361">
        <f t="shared" si="26"/>
        <v>44992</v>
      </c>
      <c r="H180" s="361">
        <f t="shared" si="26"/>
        <v>44992</v>
      </c>
      <c r="I180" s="365">
        <v>45037</v>
      </c>
      <c r="J180" s="387" t="s">
        <v>779</v>
      </c>
      <c r="K180" s="388" t="s">
        <v>906</v>
      </c>
      <c r="L180" s="402">
        <v>1</v>
      </c>
      <c r="M180" s="352" t="s">
        <v>753</v>
      </c>
      <c r="N180" s="403">
        <v>75000</v>
      </c>
      <c r="O180" s="404">
        <v>75000</v>
      </c>
      <c r="P180" s="421">
        <v>4</v>
      </c>
      <c r="Q180" s="492" t="s">
        <v>131</v>
      </c>
      <c r="R180" s="437">
        <v>21000</v>
      </c>
      <c r="S180" s="438">
        <f t="shared" si="20"/>
        <v>77000</v>
      </c>
      <c r="T180" s="439" t="s">
        <v>538</v>
      </c>
      <c r="U180" s="460" t="str">
        <f t="shared" si="21"/>
        <v/>
      </c>
      <c r="V180" s="439" t="s">
        <v>539</v>
      </c>
      <c r="W180" s="439" t="s">
        <v>540</v>
      </c>
      <c r="X180" s="439" t="s">
        <v>709</v>
      </c>
      <c r="Y180" s="275" t="s">
        <v>710</v>
      </c>
      <c r="Z180" s="616" t="s">
        <v>710</v>
      </c>
      <c r="AA180" s="440" t="s">
        <v>756</v>
      </c>
      <c r="AB180" s="441">
        <f t="shared" si="22"/>
        <v>67567.567567567574</v>
      </c>
      <c r="AC180" s="442">
        <f t="shared" si="23"/>
        <v>67567.567567567574</v>
      </c>
      <c r="AD180" s="437">
        <v>21000</v>
      </c>
      <c r="AE180" s="447">
        <v>7925225.225225227</v>
      </c>
      <c r="AF180" s="447">
        <v>8797000</v>
      </c>
      <c r="AG180" s="437">
        <v>21000</v>
      </c>
      <c r="AH180" s="443" t="s">
        <v>2098</v>
      </c>
    </row>
    <row r="181" spans="1:36">
      <c r="A181" s="350">
        <v>80</v>
      </c>
      <c r="B181" s="352" t="s">
        <v>908</v>
      </c>
      <c r="C181" s="352" t="s">
        <v>704</v>
      </c>
      <c r="D181" s="355" t="s">
        <v>705</v>
      </c>
      <c r="E181" s="363" t="s">
        <v>706</v>
      </c>
      <c r="F181" s="361">
        <v>44992</v>
      </c>
      <c r="G181" s="361">
        <f t="shared" si="26"/>
        <v>44992</v>
      </c>
      <c r="H181" s="361">
        <f t="shared" si="26"/>
        <v>44992</v>
      </c>
      <c r="I181" s="365">
        <v>45037</v>
      </c>
      <c r="J181" s="390" t="s">
        <v>253</v>
      </c>
      <c r="K181" s="352" t="s">
        <v>719</v>
      </c>
      <c r="L181" s="402">
        <v>1</v>
      </c>
      <c r="M181" s="352" t="s">
        <v>720</v>
      </c>
      <c r="N181" s="266">
        <v>20000</v>
      </c>
      <c r="O181" s="404">
        <v>20000</v>
      </c>
      <c r="P181" s="421">
        <v>4</v>
      </c>
      <c r="Q181" s="492" t="s">
        <v>100</v>
      </c>
      <c r="R181" s="437">
        <v>26000</v>
      </c>
      <c r="S181" s="438">
        <f t="shared" si="20"/>
        <v>22000</v>
      </c>
      <c r="T181" s="439" t="s">
        <v>538</v>
      </c>
      <c r="U181" s="460" t="str">
        <f t="shared" si="21"/>
        <v/>
      </c>
      <c r="V181" s="439" t="s">
        <v>539</v>
      </c>
      <c r="W181" s="439" t="s">
        <v>540</v>
      </c>
      <c r="X181" s="439" t="s">
        <v>709</v>
      </c>
      <c r="Y181" s="275" t="s">
        <v>710</v>
      </c>
      <c r="Z181" s="616" t="s">
        <v>710</v>
      </c>
      <c r="AA181" s="440" t="s">
        <v>488</v>
      </c>
      <c r="AB181" s="441">
        <f t="shared" si="22"/>
        <v>18018.018018018018</v>
      </c>
      <c r="AC181" s="442">
        <f t="shared" si="23"/>
        <v>18018.018018018018</v>
      </c>
      <c r="AD181" s="437">
        <v>26000</v>
      </c>
      <c r="AE181" s="447">
        <v>7925225.225225227</v>
      </c>
      <c r="AF181" s="447">
        <v>8797000</v>
      </c>
      <c r="AG181" s="437">
        <v>26000</v>
      </c>
      <c r="AH181" s="443" t="s">
        <v>2098</v>
      </c>
    </row>
    <row r="182" spans="1:36">
      <c r="A182" s="350">
        <v>80</v>
      </c>
      <c r="B182" s="352" t="s">
        <v>908</v>
      </c>
      <c r="C182" s="352" t="s">
        <v>704</v>
      </c>
      <c r="D182" s="355" t="s">
        <v>705</v>
      </c>
      <c r="E182" s="363" t="s">
        <v>706</v>
      </c>
      <c r="F182" s="361">
        <v>44992</v>
      </c>
      <c r="G182" s="361">
        <f t="shared" si="26"/>
        <v>44992</v>
      </c>
      <c r="H182" s="361">
        <f t="shared" si="26"/>
        <v>44992</v>
      </c>
      <c r="I182" s="365">
        <v>45037</v>
      </c>
      <c r="J182" s="387" t="s">
        <v>289</v>
      </c>
      <c r="K182" s="387" t="s">
        <v>289</v>
      </c>
      <c r="L182" s="402">
        <v>3</v>
      </c>
      <c r="M182" s="352" t="s">
        <v>488</v>
      </c>
      <c r="N182" s="403">
        <v>150000</v>
      </c>
      <c r="O182" s="404">
        <v>450000</v>
      </c>
      <c r="P182" s="421">
        <v>4</v>
      </c>
      <c r="Q182" s="492" t="s">
        <v>155</v>
      </c>
      <c r="R182" s="437">
        <v>325000</v>
      </c>
      <c r="S182" s="438">
        <f t="shared" si="20"/>
        <v>456000</v>
      </c>
      <c r="T182" s="439" t="s">
        <v>538</v>
      </c>
      <c r="U182" s="460" t="str">
        <f t="shared" si="21"/>
        <v/>
      </c>
      <c r="V182" s="439" t="s">
        <v>539</v>
      </c>
      <c r="W182" s="439" t="s">
        <v>540</v>
      </c>
      <c r="X182" s="439" t="s">
        <v>709</v>
      </c>
      <c r="Y182" s="275" t="s">
        <v>710</v>
      </c>
      <c r="Z182" s="616" t="s">
        <v>710</v>
      </c>
      <c r="AA182" s="440" t="s">
        <v>488</v>
      </c>
      <c r="AB182" s="441">
        <f t="shared" si="22"/>
        <v>135135.13513513515</v>
      </c>
      <c r="AC182" s="442">
        <f t="shared" si="23"/>
        <v>405405.40540540544</v>
      </c>
      <c r="AD182" s="437">
        <v>325000</v>
      </c>
      <c r="AE182" s="447">
        <v>7925225.225225227</v>
      </c>
      <c r="AF182" s="447">
        <v>8797000</v>
      </c>
      <c r="AG182" s="437">
        <v>325000</v>
      </c>
      <c r="AH182" s="443" t="s">
        <v>2098</v>
      </c>
    </row>
    <row r="183" spans="1:36">
      <c r="A183" s="350">
        <v>80</v>
      </c>
      <c r="B183" s="352" t="s">
        <v>908</v>
      </c>
      <c r="C183" s="352" t="s">
        <v>704</v>
      </c>
      <c r="D183" s="355" t="s">
        <v>705</v>
      </c>
      <c r="E183" s="363" t="s">
        <v>706</v>
      </c>
      <c r="F183" s="361">
        <v>44992</v>
      </c>
      <c r="G183" s="361">
        <f t="shared" si="26"/>
        <v>44992</v>
      </c>
      <c r="H183" s="361">
        <f t="shared" si="26"/>
        <v>44992</v>
      </c>
      <c r="I183" s="365">
        <v>45037</v>
      </c>
      <c r="J183" s="387" t="s">
        <v>740</v>
      </c>
      <c r="K183" s="388" t="s">
        <v>741</v>
      </c>
      <c r="L183" s="791">
        <v>2</v>
      </c>
      <c r="M183" s="352" t="s">
        <v>488</v>
      </c>
      <c r="N183" s="403">
        <v>5500</v>
      </c>
      <c r="O183" s="404">
        <v>11000</v>
      </c>
      <c r="P183" s="421">
        <v>4</v>
      </c>
      <c r="Q183" s="492" t="s">
        <v>138</v>
      </c>
      <c r="R183" s="437">
        <v>20000</v>
      </c>
      <c r="S183" s="438">
        <f t="shared" si="20"/>
        <v>15000</v>
      </c>
      <c r="T183" s="439" t="s">
        <v>538</v>
      </c>
      <c r="U183" s="460" t="str">
        <f t="shared" si="21"/>
        <v/>
      </c>
      <c r="V183" s="439" t="s">
        <v>539</v>
      </c>
      <c r="W183" s="439" t="s">
        <v>540</v>
      </c>
      <c r="X183" s="439" t="s">
        <v>709</v>
      </c>
      <c r="Y183" s="275" t="s">
        <v>710</v>
      </c>
      <c r="Z183" s="616" t="s">
        <v>710</v>
      </c>
      <c r="AA183" s="440" t="s">
        <v>753</v>
      </c>
      <c r="AB183" s="441">
        <f t="shared" si="22"/>
        <v>4954.9549549549547</v>
      </c>
      <c r="AC183" s="442">
        <f t="shared" si="23"/>
        <v>9909.9099099099094</v>
      </c>
      <c r="AD183" s="437">
        <v>20000</v>
      </c>
      <c r="AE183" s="447">
        <v>7925225.225225227</v>
      </c>
      <c r="AF183" s="447">
        <v>8797000</v>
      </c>
      <c r="AG183" s="437">
        <v>20000</v>
      </c>
      <c r="AH183" s="443" t="s">
        <v>2098</v>
      </c>
    </row>
    <row r="184" spans="1:36">
      <c r="A184" s="350">
        <v>80</v>
      </c>
      <c r="B184" s="352" t="s">
        <v>908</v>
      </c>
      <c r="C184" s="352" t="s">
        <v>704</v>
      </c>
      <c r="D184" s="355" t="s">
        <v>705</v>
      </c>
      <c r="E184" s="363" t="s">
        <v>706</v>
      </c>
      <c r="F184" s="361">
        <v>44992</v>
      </c>
      <c r="G184" s="361">
        <f t="shared" si="26"/>
        <v>44992</v>
      </c>
      <c r="H184" s="361">
        <f t="shared" si="26"/>
        <v>44992</v>
      </c>
      <c r="I184" s="365">
        <v>45037</v>
      </c>
      <c r="J184" s="387" t="s">
        <v>240</v>
      </c>
      <c r="K184" s="436" t="s">
        <v>731</v>
      </c>
      <c r="L184" s="402">
        <v>1</v>
      </c>
      <c r="M184" s="352" t="s">
        <v>597</v>
      </c>
      <c r="N184" s="266">
        <v>20000</v>
      </c>
      <c r="O184" s="404">
        <v>20000</v>
      </c>
      <c r="P184" s="421">
        <v>4</v>
      </c>
      <c r="Q184" s="492" t="s">
        <v>157</v>
      </c>
      <c r="R184" s="437">
        <v>42000</v>
      </c>
      <c r="S184" s="438">
        <f t="shared" si="20"/>
        <v>22000</v>
      </c>
      <c r="T184" s="439" t="s">
        <v>538</v>
      </c>
      <c r="U184" s="460" t="str">
        <f t="shared" si="21"/>
        <v/>
      </c>
      <c r="V184" s="439" t="s">
        <v>539</v>
      </c>
      <c r="W184" s="439" t="s">
        <v>540</v>
      </c>
      <c r="X184" s="439" t="s">
        <v>709</v>
      </c>
      <c r="Y184" s="275" t="s">
        <v>710</v>
      </c>
      <c r="Z184" s="616" t="s">
        <v>710</v>
      </c>
      <c r="AA184" s="440" t="s">
        <v>772</v>
      </c>
      <c r="AB184" s="441">
        <f t="shared" si="22"/>
        <v>18018.018018018018</v>
      </c>
      <c r="AC184" s="442">
        <f t="shared" si="23"/>
        <v>18018.018018018018</v>
      </c>
      <c r="AD184" s="437">
        <v>42000</v>
      </c>
      <c r="AE184" s="447">
        <v>7925225.225225227</v>
      </c>
      <c r="AF184" s="447">
        <v>8797000</v>
      </c>
      <c r="AG184" s="437">
        <v>42000</v>
      </c>
      <c r="AH184" s="443" t="s">
        <v>2098</v>
      </c>
    </row>
    <row r="185" spans="1:36">
      <c r="A185" s="350">
        <v>80</v>
      </c>
      <c r="B185" s="352" t="s">
        <v>908</v>
      </c>
      <c r="C185" s="352" t="s">
        <v>704</v>
      </c>
      <c r="D185" s="355" t="s">
        <v>705</v>
      </c>
      <c r="E185" s="363" t="s">
        <v>706</v>
      </c>
      <c r="F185" s="361">
        <v>44992</v>
      </c>
      <c r="G185" s="361">
        <f t="shared" si="26"/>
        <v>44992</v>
      </c>
      <c r="H185" s="361">
        <f t="shared" si="26"/>
        <v>44992</v>
      </c>
      <c r="I185" s="365">
        <v>45037</v>
      </c>
      <c r="J185" s="387" t="s">
        <v>241</v>
      </c>
      <c r="K185" s="436" t="s">
        <v>910</v>
      </c>
      <c r="L185" s="791">
        <v>2</v>
      </c>
      <c r="M185" s="352" t="s">
        <v>597</v>
      </c>
      <c r="N185" s="403">
        <v>5500</v>
      </c>
      <c r="O185" s="404">
        <v>11000</v>
      </c>
      <c r="P185" s="421">
        <v>4</v>
      </c>
      <c r="Q185" s="492" t="s">
        <v>106</v>
      </c>
      <c r="R185" s="437">
        <v>260000</v>
      </c>
      <c r="S185" s="438">
        <f t="shared" si="20"/>
        <v>15000</v>
      </c>
      <c r="T185" s="439" t="s">
        <v>538</v>
      </c>
      <c r="U185" s="460" t="str">
        <f t="shared" si="21"/>
        <v/>
      </c>
      <c r="V185" s="439" t="s">
        <v>539</v>
      </c>
      <c r="W185" s="439" t="s">
        <v>540</v>
      </c>
      <c r="X185" s="439" t="s">
        <v>709</v>
      </c>
      <c r="Y185" s="275" t="s">
        <v>710</v>
      </c>
      <c r="Z185" s="616" t="s">
        <v>710</v>
      </c>
      <c r="AA185" s="440" t="s">
        <v>488</v>
      </c>
      <c r="AB185" s="441">
        <f t="shared" si="22"/>
        <v>4954.9549549549547</v>
      </c>
      <c r="AC185" s="442">
        <f t="shared" si="23"/>
        <v>9909.9099099099094</v>
      </c>
      <c r="AD185" s="437">
        <v>260000</v>
      </c>
      <c r="AE185" s="447">
        <v>7925225.225225227</v>
      </c>
      <c r="AF185" s="447">
        <v>8797000</v>
      </c>
      <c r="AG185" s="437">
        <v>260000</v>
      </c>
      <c r="AH185" s="443" t="s">
        <v>2098</v>
      </c>
    </row>
    <row r="186" spans="1:36">
      <c r="A186" s="350">
        <v>80</v>
      </c>
      <c r="B186" s="352" t="s">
        <v>908</v>
      </c>
      <c r="C186" s="352" t="s">
        <v>704</v>
      </c>
      <c r="D186" s="355" t="s">
        <v>705</v>
      </c>
      <c r="E186" s="363" t="s">
        <v>706</v>
      </c>
      <c r="F186" s="361">
        <v>44992</v>
      </c>
      <c r="G186" s="361">
        <f t="shared" si="26"/>
        <v>44992</v>
      </c>
      <c r="H186" s="361">
        <f t="shared" si="26"/>
        <v>44992</v>
      </c>
      <c r="I186" s="365">
        <v>45037</v>
      </c>
      <c r="J186" s="390" t="s">
        <v>255</v>
      </c>
      <c r="K186" s="388" t="s">
        <v>889</v>
      </c>
      <c r="L186" s="402">
        <v>1</v>
      </c>
      <c r="M186" s="352" t="s">
        <v>728</v>
      </c>
      <c r="N186" s="403">
        <v>25000</v>
      </c>
      <c r="O186" s="404">
        <v>25000</v>
      </c>
      <c r="P186" s="421">
        <v>4</v>
      </c>
      <c r="Q186" s="492" t="s">
        <v>141</v>
      </c>
      <c r="R186" s="437">
        <v>15000</v>
      </c>
      <c r="S186" s="438">
        <f t="shared" si="20"/>
        <v>27000</v>
      </c>
      <c r="T186" s="439" t="s">
        <v>538</v>
      </c>
      <c r="U186" s="460" t="str">
        <f t="shared" si="21"/>
        <v/>
      </c>
      <c r="V186" s="439" t="s">
        <v>539</v>
      </c>
      <c r="W186" s="439" t="s">
        <v>540</v>
      </c>
      <c r="X186" s="439" t="s">
        <v>709</v>
      </c>
      <c r="Y186" s="275" t="s">
        <v>710</v>
      </c>
      <c r="Z186" s="616" t="s">
        <v>710</v>
      </c>
      <c r="AA186" s="440" t="s">
        <v>724</v>
      </c>
      <c r="AB186" s="441">
        <f t="shared" si="22"/>
        <v>22522.522522522522</v>
      </c>
      <c r="AC186" s="442">
        <f t="shared" si="23"/>
        <v>22522.522522522522</v>
      </c>
      <c r="AD186" s="437">
        <v>15000</v>
      </c>
      <c r="AE186" s="447">
        <v>7925225.225225227</v>
      </c>
      <c r="AF186" s="447">
        <v>8797000</v>
      </c>
      <c r="AG186" s="437">
        <v>15000</v>
      </c>
      <c r="AH186" s="443" t="s">
        <v>2098</v>
      </c>
    </row>
    <row r="187" spans="1:36">
      <c r="A187" s="350">
        <v>80</v>
      </c>
      <c r="B187" s="352" t="s">
        <v>908</v>
      </c>
      <c r="C187" s="352" t="s">
        <v>704</v>
      </c>
      <c r="D187" s="355" t="s">
        <v>705</v>
      </c>
      <c r="E187" s="363" t="s">
        <v>706</v>
      </c>
      <c r="F187" s="361">
        <v>44992</v>
      </c>
      <c r="G187" s="361">
        <f t="shared" si="26"/>
        <v>44992</v>
      </c>
      <c r="H187" s="361">
        <f t="shared" si="26"/>
        <v>44992</v>
      </c>
      <c r="I187" s="365">
        <v>45037</v>
      </c>
      <c r="J187" s="387" t="s">
        <v>758</v>
      </c>
      <c r="K187" s="387" t="s">
        <v>758</v>
      </c>
      <c r="L187" s="402">
        <v>3</v>
      </c>
      <c r="M187" s="352" t="s">
        <v>488</v>
      </c>
      <c r="N187" s="403">
        <v>5000</v>
      </c>
      <c r="O187" s="404">
        <v>15000</v>
      </c>
      <c r="P187" s="421">
        <v>4</v>
      </c>
      <c r="Q187" s="492" t="s">
        <v>914</v>
      </c>
      <c r="R187" s="437">
        <v>45000</v>
      </c>
      <c r="S187" s="438">
        <f t="shared" si="20"/>
        <v>21000</v>
      </c>
      <c r="T187" s="439" t="s">
        <v>538</v>
      </c>
      <c r="U187" s="460" t="str">
        <f t="shared" si="21"/>
        <v/>
      </c>
      <c r="V187" s="439" t="s">
        <v>539</v>
      </c>
      <c r="W187" s="439" t="s">
        <v>540</v>
      </c>
      <c r="X187" s="439" t="s">
        <v>709</v>
      </c>
      <c r="Y187" s="275" t="s">
        <v>710</v>
      </c>
      <c r="Z187" s="616" t="s">
        <v>710</v>
      </c>
      <c r="AA187" s="440" t="s">
        <v>735</v>
      </c>
      <c r="AB187" s="441">
        <f t="shared" si="22"/>
        <v>4504.5045045045044</v>
      </c>
      <c r="AC187" s="442">
        <f t="shared" si="23"/>
        <v>13513.513513513513</v>
      </c>
      <c r="AD187" s="437">
        <v>45000</v>
      </c>
      <c r="AE187" s="447">
        <v>7925225.225225227</v>
      </c>
      <c r="AF187" s="447">
        <v>8797000</v>
      </c>
      <c r="AG187" s="437">
        <v>45000</v>
      </c>
      <c r="AH187" s="443" t="s">
        <v>2098</v>
      </c>
    </row>
    <row r="188" spans="1:36">
      <c r="A188" s="350">
        <v>80</v>
      </c>
      <c r="B188" s="352" t="s">
        <v>908</v>
      </c>
      <c r="C188" s="352" t="s">
        <v>704</v>
      </c>
      <c r="D188" s="355" t="s">
        <v>705</v>
      </c>
      <c r="E188" s="363" t="s">
        <v>706</v>
      </c>
      <c r="F188" s="361">
        <v>44992</v>
      </c>
      <c r="G188" s="361">
        <f t="shared" si="26"/>
        <v>44992</v>
      </c>
      <c r="H188" s="361">
        <f t="shared" si="26"/>
        <v>44992</v>
      </c>
      <c r="I188" s="365">
        <v>45037</v>
      </c>
      <c r="J188" s="389" t="s">
        <v>234</v>
      </c>
      <c r="K188" s="435" t="s">
        <v>234</v>
      </c>
      <c r="L188" s="402">
        <v>1</v>
      </c>
      <c r="M188" s="352" t="s">
        <v>714</v>
      </c>
      <c r="N188" s="403">
        <v>225000</v>
      </c>
      <c r="O188" s="404">
        <v>225000</v>
      </c>
      <c r="P188" s="421">
        <v>4</v>
      </c>
      <c r="Q188" s="492" t="s">
        <v>133</v>
      </c>
      <c r="R188" s="437">
        <v>140000</v>
      </c>
      <c r="S188" s="438">
        <f t="shared" si="20"/>
        <v>227000</v>
      </c>
      <c r="T188" s="439" t="s">
        <v>538</v>
      </c>
      <c r="U188" s="460" t="str">
        <f t="shared" si="21"/>
        <v/>
      </c>
      <c r="V188" s="439" t="s">
        <v>539</v>
      </c>
      <c r="W188" s="439" t="s">
        <v>540</v>
      </c>
      <c r="X188" s="439" t="s">
        <v>709</v>
      </c>
      <c r="Y188" s="275" t="s">
        <v>710</v>
      </c>
      <c r="Z188" s="616" t="s">
        <v>710</v>
      </c>
      <c r="AA188" s="440" t="s">
        <v>667</v>
      </c>
      <c r="AB188" s="441">
        <f t="shared" si="22"/>
        <v>202702.70270270269</v>
      </c>
      <c r="AC188" s="442">
        <f t="shared" si="23"/>
        <v>202702.70270270269</v>
      </c>
      <c r="AD188" s="437">
        <v>140000</v>
      </c>
      <c r="AE188" s="447">
        <v>7925225.225225227</v>
      </c>
      <c r="AF188" s="447">
        <v>8797000</v>
      </c>
      <c r="AG188" s="437">
        <v>140000</v>
      </c>
      <c r="AH188" s="443" t="s">
        <v>2098</v>
      </c>
    </row>
    <row r="189" spans="1:36">
      <c r="A189" s="350">
        <v>80</v>
      </c>
      <c r="B189" s="352" t="s">
        <v>908</v>
      </c>
      <c r="C189" s="352" t="s">
        <v>704</v>
      </c>
      <c r="D189" s="355" t="s">
        <v>705</v>
      </c>
      <c r="E189" s="363" t="s">
        <v>706</v>
      </c>
      <c r="F189" s="361">
        <v>44992</v>
      </c>
      <c r="G189" s="361">
        <f t="shared" ref="G189:H204" si="27">F189</f>
        <v>44992</v>
      </c>
      <c r="H189" s="361">
        <f t="shared" si="27"/>
        <v>44992</v>
      </c>
      <c r="I189" s="365">
        <v>45037</v>
      </c>
      <c r="J189" s="387" t="s">
        <v>711</v>
      </c>
      <c r="K189" s="352" t="s">
        <v>712</v>
      </c>
      <c r="L189" s="402">
        <v>1</v>
      </c>
      <c r="M189" s="352" t="s">
        <v>488</v>
      </c>
      <c r="N189" s="403">
        <v>14000</v>
      </c>
      <c r="O189" s="404">
        <v>14000</v>
      </c>
      <c r="P189" s="421">
        <v>4</v>
      </c>
      <c r="Q189" s="492" t="s">
        <v>150</v>
      </c>
      <c r="R189" s="437">
        <v>240000</v>
      </c>
      <c r="S189" s="438">
        <f t="shared" si="20"/>
        <v>16000</v>
      </c>
      <c r="T189" s="439" t="s">
        <v>538</v>
      </c>
      <c r="U189" s="460" t="str">
        <f t="shared" si="21"/>
        <v/>
      </c>
      <c r="V189" s="439" t="s">
        <v>539</v>
      </c>
      <c r="W189" s="439" t="s">
        <v>540</v>
      </c>
      <c r="X189" s="439" t="s">
        <v>709</v>
      </c>
      <c r="Y189" s="275" t="s">
        <v>710</v>
      </c>
      <c r="Z189" s="616" t="s">
        <v>710</v>
      </c>
      <c r="AA189" s="440" t="s">
        <v>735</v>
      </c>
      <c r="AB189" s="441">
        <f t="shared" si="22"/>
        <v>12612.612612612613</v>
      </c>
      <c r="AC189" s="442">
        <f t="shared" si="23"/>
        <v>12612.612612612613</v>
      </c>
      <c r="AD189" s="437">
        <v>240000</v>
      </c>
      <c r="AE189" s="447">
        <v>7925225.225225227</v>
      </c>
      <c r="AF189" s="447">
        <v>8797000</v>
      </c>
      <c r="AG189" s="437">
        <v>240000</v>
      </c>
      <c r="AH189" s="443" t="s">
        <v>2098</v>
      </c>
    </row>
    <row r="190" spans="1:36">
      <c r="A190" s="350">
        <v>80</v>
      </c>
      <c r="B190" s="352" t="s">
        <v>908</v>
      </c>
      <c r="C190" s="352" t="s">
        <v>704</v>
      </c>
      <c r="D190" s="355" t="s">
        <v>705</v>
      </c>
      <c r="E190" s="363" t="s">
        <v>706</v>
      </c>
      <c r="F190" s="361">
        <v>44992</v>
      </c>
      <c r="G190" s="361">
        <f t="shared" si="27"/>
        <v>44992</v>
      </c>
      <c r="H190" s="361">
        <f t="shared" si="27"/>
        <v>44992</v>
      </c>
      <c r="I190" s="365">
        <v>45037</v>
      </c>
      <c r="J190" s="387" t="s">
        <v>242</v>
      </c>
      <c r="K190" s="436" t="s">
        <v>760</v>
      </c>
      <c r="L190" s="402">
        <v>1</v>
      </c>
      <c r="M190" s="352" t="s">
        <v>488</v>
      </c>
      <c r="N190" s="403">
        <v>26000</v>
      </c>
      <c r="O190" s="404">
        <v>26000</v>
      </c>
      <c r="P190" s="421">
        <v>4</v>
      </c>
      <c r="Q190" s="629" t="s">
        <v>668</v>
      </c>
      <c r="R190" s="437">
        <v>90000</v>
      </c>
      <c r="S190" s="438">
        <f t="shared" si="20"/>
        <v>28000</v>
      </c>
      <c r="T190" s="439" t="s">
        <v>538</v>
      </c>
      <c r="U190" s="460" t="str">
        <f t="shared" si="21"/>
        <v/>
      </c>
      <c r="V190" s="439" t="s">
        <v>539</v>
      </c>
      <c r="W190" s="439" t="s">
        <v>540</v>
      </c>
      <c r="X190" s="615" t="s">
        <v>541</v>
      </c>
      <c r="Y190" s="439" t="s">
        <v>542</v>
      </c>
      <c r="Z190" s="449" t="s">
        <v>542</v>
      </c>
      <c r="AA190" s="440" t="s">
        <v>488</v>
      </c>
      <c r="AB190" s="441">
        <f t="shared" si="22"/>
        <v>23423.423423423425</v>
      </c>
      <c r="AC190" s="442">
        <f t="shared" si="23"/>
        <v>23423.423423423425</v>
      </c>
      <c r="AD190" s="437">
        <v>90000</v>
      </c>
      <c r="AE190" s="447">
        <v>297297.29729729734</v>
      </c>
      <c r="AF190" s="447">
        <v>330000</v>
      </c>
      <c r="AG190" s="437">
        <v>90000</v>
      </c>
      <c r="AH190" s="443" t="s">
        <v>2098</v>
      </c>
      <c r="AI190" s="448">
        <f>SUM(AC190:AC191)</f>
        <v>38288.288288288291</v>
      </c>
      <c r="AJ190" s="448">
        <f>SUM(AD190:AD191)</f>
        <v>330000</v>
      </c>
    </row>
    <row r="191" spans="1:36">
      <c r="A191" s="350">
        <v>80</v>
      </c>
      <c r="B191" s="352" t="s">
        <v>908</v>
      </c>
      <c r="C191" s="352" t="s">
        <v>704</v>
      </c>
      <c r="D191" s="355" t="s">
        <v>705</v>
      </c>
      <c r="E191" s="363" t="s">
        <v>706</v>
      </c>
      <c r="F191" s="361">
        <v>44992</v>
      </c>
      <c r="G191" s="361">
        <f t="shared" si="27"/>
        <v>44992</v>
      </c>
      <c r="H191" s="361">
        <f t="shared" si="27"/>
        <v>44992</v>
      </c>
      <c r="I191" s="365">
        <v>45037</v>
      </c>
      <c r="J191" s="387" t="s">
        <v>239</v>
      </c>
      <c r="K191" s="436" t="s">
        <v>912</v>
      </c>
      <c r="L191" s="402">
        <v>1</v>
      </c>
      <c r="M191" s="352" t="s">
        <v>597</v>
      </c>
      <c r="N191" s="403">
        <v>16500</v>
      </c>
      <c r="O191" s="404">
        <v>16500</v>
      </c>
      <c r="P191" s="421">
        <v>4</v>
      </c>
      <c r="Q191" s="630" t="s">
        <v>537</v>
      </c>
      <c r="R191" s="437">
        <v>240000</v>
      </c>
      <c r="S191" s="438">
        <f t="shared" si="20"/>
        <v>18500</v>
      </c>
      <c r="T191" s="439" t="s">
        <v>538</v>
      </c>
      <c r="U191" s="460" t="str">
        <f t="shared" si="21"/>
        <v/>
      </c>
      <c r="V191" s="439" t="s">
        <v>539</v>
      </c>
      <c r="W191" s="439" t="s">
        <v>540</v>
      </c>
      <c r="X191" s="445" t="s">
        <v>541</v>
      </c>
      <c r="Y191" s="439" t="s">
        <v>542</v>
      </c>
      <c r="Z191" s="449" t="s">
        <v>542</v>
      </c>
      <c r="AA191" s="440" t="s">
        <v>792</v>
      </c>
      <c r="AB191" s="441">
        <f t="shared" si="22"/>
        <v>14864.864864864865</v>
      </c>
      <c r="AC191" s="442">
        <f t="shared" si="23"/>
        <v>14864.864864864865</v>
      </c>
      <c r="AD191" s="437">
        <v>240000</v>
      </c>
      <c r="AE191" s="447">
        <v>297297.29729729734</v>
      </c>
      <c r="AF191" s="447">
        <v>330000</v>
      </c>
      <c r="AG191" s="437">
        <v>240000</v>
      </c>
      <c r="AH191" s="443" t="s">
        <v>2098</v>
      </c>
    </row>
    <row r="192" spans="1:36">
      <c r="A192" s="350">
        <v>80</v>
      </c>
      <c r="B192" s="352" t="s">
        <v>908</v>
      </c>
      <c r="C192" s="352" t="s">
        <v>704</v>
      </c>
      <c r="D192" s="355" t="s">
        <v>705</v>
      </c>
      <c r="E192" s="363" t="s">
        <v>706</v>
      </c>
      <c r="F192" s="361">
        <v>44992</v>
      </c>
      <c r="G192" s="361">
        <f t="shared" si="27"/>
        <v>44992</v>
      </c>
      <c r="H192" s="361">
        <f t="shared" si="27"/>
        <v>44992</v>
      </c>
      <c r="I192" s="365">
        <v>45037</v>
      </c>
      <c r="J192" s="387" t="s">
        <v>252</v>
      </c>
      <c r="K192" s="352" t="s">
        <v>786</v>
      </c>
      <c r="L192" s="402">
        <v>1</v>
      </c>
      <c r="M192" s="352" t="s">
        <v>753</v>
      </c>
      <c r="N192" s="403">
        <v>25000</v>
      </c>
      <c r="O192" s="404">
        <v>25000</v>
      </c>
      <c r="P192" s="421">
        <v>4</v>
      </c>
      <c r="Q192" s="275"/>
      <c r="R192" s="437">
        <v>400000</v>
      </c>
      <c r="S192" s="438">
        <f t="shared" si="20"/>
        <v>27000</v>
      </c>
      <c r="T192" s="439" t="s">
        <v>538</v>
      </c>
      <c r="U192" s="460" t="str">
        <f t="shared" si="21"/>
        <v/>
      </c>
      <c r="V192" s="439" t="s">
        <v>539</v>
      </c>
      <c r="W192" s="439" t="s">
        <v>540</v>
      </c>
      <c r="X192" s="439"/>
      <c r="Y192" s="439" t="s">
        <v>799</v>
      </c>
      <c r="Z192" s="449" t="s">
        <v>799</v>
      </c>
      <c r="AA192" s="440" t="s">
        <v>488</v>
      </c>
      <c r="AB192" s="441">
        <f t="shared" si="22"/>
        <v>22522.522522522522</v>
      </c>
      <c r="AC192" s="442">
        <f t="shared" si="23"/>
        <v>22522.522522522522</v>
      </c>
      <c r="AD192" s="437">
        <v>400000</v>
      </c>
      <c r="AE192" s="447">
        <v>360360.36036036036</v>
      </c>
      <c r="AF192" s="447">
        <v>400000</v>
      </c>
      <c r="AG192" s="437">
        <v>400000</v>
      </c>
      <c r="AH192" s="443" t="s">
        <v>2098</v>
      </c>
    </row>
    <row r="193" spans="1:36">
      <c r="A193" s="350">
        <v>80</v>
      </c>
      <c r="B193" s="352" t="s">
        <v>908</v>
      </c>
      <c r="C193" s="352" t="s">
        <v>704</v>
      </c>
      <c r="D193" s="355" t="s">
        <v>705</v>
      </c>
      <c r="E193" s="363" t="s">
        <v>706</v>
      </c>
      <c r="F193" s="361">
        <v>44992</v>
      </c>
      <c r="G193" s="361">
        <f t="shared" si="27"/>
        <v>44992</v>
      </c>
      <c r="H193" s="361">
        <f t="shared" si="27"/>
        <v>44992</v>
      </c>
      <c r="I193" s="365">
        <v>45037</v>
      </c>
      <c r="J193" s="388" t="s">
        <v>743</v>
      </c>
      <c r="K193" s="388" t="s">
        <v>744</v>
      </c>
      <c r="L193" s="402">
        <v>1</v>
      </c>
      <c r="M193" s="352" t="s">
        <v>714</v>
      </c>
      <c r="N193" s="403">
        <v>150000</v>
      </c>
      <c r="O193" s="404">
        <v>150000</v>
      </c>
      <c r="P193" s="421">
        <v>4</v>
      </c>
      <c r="Q193" s="275"/>
      <c r="R193" s="437">
        <v>1000000</v>
      </c>
      <c r="S193" s="438">
        <f t="shared" si="20"/>
        <v>152000</v>
      </c>
      <c r="T193" s="439" t="s">
        <v>538</v>
      </c>
      <c r="U193" s="460" t="str">
        <f t="shared" si="21"/>
        <v/>
      </c>
      <c r="V193" s="439" t="s">
        <v>539</v>
      </c>
      <c r="W193" s="439" t="s">
        <v>540</v>
      </c>
      <c r="X193" s="439" t="s">
        <v>805</v>
      </c>
      <c r="Y193" s="439" t="s">
        <v>806</v>
      </c>
      <c r="Z193" s="449" t="s">
        <v>806</v>
      </c>
      <c r="AA193" s="440" t="s">
        <v>488</v>
      </c>
      <c r="AB193" s="441">
        <f t="shared" si="22"/>
        <v>135135.13513513515</v>
      </c>
      <c r="AC193" s="442">
        <f t="shared" si="23"/>
        <v>135135.13513513515</v>
      </c>
      <c r="AD193" s="437">
        <v>1000000</v>
      </c>
      <c r="AE193" s="447">
        <v>1657657.6576576577</v>
      </c>
      <c r="AF193" s="447">
        <v>1840000</v>
      </c>
      <c r="AG193" s="437">
        <v>1000000</v>
      </c>
      <c r="AH193" s="443" t="s">
        <v>2098</v>
      </c>
      <c r="AI193" s="448">
        <f>SUM(AC193:AC195)</f>
        <v>236036.03603603606</v>
      </c>
      <c r="AJ193" s="448">
        <f>SUM(AD193:AD195)</f>
        <v>1840000</v>
      </c>
    </row>
    <row r="194" spans="1:36">
      <c r="A194" s="350">
        <v>80</v>
      </c>
      <c r="B194" s="352" t="s">
        <v>908</v>
      </c>
      <c r="C194" s="352" t="s">
        <v>704</v>
      </c>
      <c r="D194" s="355" t="s">
        <v>705</v>
      </c>
      <c r="E194" s="363" t="s">
        <v>706</v>
      </c>
      <c r="F194" s="361">
        <v>44992</v>
      </c>
      <c r="G194" s="361">
        <f t="shared" si="27"/>
        <v>44992</v>
      </c>
      <c r="H194" s="361">
        <f t="shared" si="27"/>
        <v>44992</v>
      </c>
      <c r="I194" s="365">
        <v>45037</v>
      </c>
      <c r="J194" s="389" t="s">
        <v>233</v>
      </c>
      <c r="K194" s="435" t="s">
        <v>233</v>
      </c>
      <c r="L194" s="402">
        <v>1</v>
      </c>
      <c r="M194" s="352" t="s">
        <v>714</v>
      </c>
      <c r="N194" s="403">
        <v>97000</v>
      </c>
      <c r="O194" s="404">
        <v>97000</v>
      </c>
      <c r="P194" s="421">
        <v>4</v>
      </c>
      <c r="Q194" s="275"/>
      <c r="R194" s="437">
        <v>600000</v>
      </c>
      <c r="S194" s="438">
        <f t="shared" si="20"/>
        <v>99000</v>
      </c>
      <c r="T194" s="439" t="s">
        <v>538</v>
      </c>
      <c r="U194" s="460" t="str">
        <f t="shared" si="21"/>
        <v/>
      </c>
      <c r="V194" s="439" t="s">
        <v>539</v>
      </c>
      <c r="W194" s="439" t="s">
        <v>540</v>
      </c>
      <c r="X194" s="439" t="s">
        <v>805</v>
      </c>
      <c r="Y194" s="439" t="s">
        <v>806</v>
      </c>
      <c r="Z194" s="449" t="s">
        <v>806</v>
      </c>
      <c r="AA194" s="440" t="s">
        <v>472</v>
      </c>
      <c r="AB194" s="441">
        <f t="shared" si="22"/>
        <v>87387.387387387382</v>
      </c>
      <c r="AC194" s="442">
        <f t="shared" si="23"/>
        <v>87387.387387387382</v>
      </c>
      <c r="AD194" s="437">
        <v>600000</v>
      </c>
      <c r="AE194" s="447">
        <v>1657657.6576576577</v>
      </c>
      <c r="AF194" s="447">
        <v>1840000</v>
      </c>
      <c r="AG194" s="437">
        <v>600000</v>
      </c>
      <c r="AH194" s="443" t="s">
        <v>2098</v>
      </c>
    </row>
    <row r="195" spans="1:36">
      <c r="A195" s="350">
        <v>80</v>
      </c>
      <c r="B195" s="352" t="s">
        <v>908</v>
      </c>
      <c r="C195" s="352" t="s">
        <v>704</v>
      </c>
      <c r="D195" s="355" t="s">
        <v>705</v>
      </c>
      <c r="E195" s="363" t="s">
        <v>706</v>
      </c>
      <c r="F195" s="361">
        <v>44992</v>
      </c>
      <c r="G195" s="361">
        <f t="shared" si="27"/>
        <v>44992</v>
      </c>
      <c r="H195" s="361">
        <f t="shared" si="27"/>
        <v>44992</v>
      </c>
      <c r="I195" s="365">
        <v>45037</v>
      </c>
      <c r="J195" s="387" t="s">
        <v>237</v>
      </c>
      <c r="K195" s="436" t="s">
        <v>717</v>
      </c>
      <c r="L195" s="402">
        <v>2</v>
      </c>
      <c r="M195" s="352" t="s">
        <v>597</v>
      </c>
      <c r="N195" s="403">
        <v>7500</v>
      </c>
      <c r="O195" s="404">
        <v>15000</v>
      </c>
      <c r="P195" s="421">
        <v>4</v>
      </c>
      <c r="Q195" s="439"/>
      <c r="R195" s="437">
        <v>240000</v>
      </c>
      <c r="S195" s="438">
        <f t="shared" ref="S195:S258" si="28">L195*(N195+2000)</f>
        <v>19000</v>
      </c>
      <c r="T195" s="439" t="s">
        <v>538</v>
      </c>
      <c r="U195" s="460" t="str">
        <f t="shared" ref="U195:U258" si="29">IF(K195="Nasi Kotak","Resto JFC Esther",IF(K195="Aqua Botol 600 ml","UD. USAHA JAYA",""))</f>
        <v/>
      </c>
      <c r="V195" s="439" t="s">
        <v>539</v>
      </c>
      <c r="W195" s="439" t="s">
        <v>540</v>
      </c>
      <c r="X195" s="439"/>
      <c r="Y195" s="439" t="s">
        <v>806</v>
      </c>
      <c r="Z195" s="449" t="s">
        <v>806</v>
      </c>
      <c r="AA195" s="440" t="s">
        <v>472</v>
      </c>
      <c r="AB195" s="441">
        <f t="shared" ref="AB195:AB258" si="30">100/111*N195</f>
        <v>6756.7567567567567</v>
      </c>
      <c r="AC195" s="442">
        <f t="shared" ref="AC195:AC258" si="31">AB195*L195</f>
        <v>13513.513513513513</v>
      </c>
      <c r="AD195" s="437">
        <v>240000</v>
      </c>
      <c r="AE195" s="447">
        <v>1657657.6576576577</v>
      </c>
      <c r="AF195" s="447">
        <v>1840000</v>
      </c>
      <c r="AG195" s="437">
        <v>240000</v>
      </c>
      <c r="AH195" s="443" t="s">
        <v>2098</v>
      </c>
    </row>
    <row r="196" spans="1:36" ht="25">
      <c r="A196" s="350">
        <v>80</v>
      </c>
      <c r="B196" s="352" t="s">
        <v>908</v>
      </c>
      <c r="C196" s="352" t="s">
        <v>704</v>
      </c>
      <c r="D196" s="355" t="s">
        <v>705</v>
      </c>
      <c r="E196" s="363" t="s">
        <v>706</v>
      </c>
      <c r="F196" s="361">
        <v>44992</v>
      </c>
      <c r="G196" s="361">
        <f t="shared" si="27"/>
        <v>44992</v>
      </c>
      <c r="H196" s="361">
        <f t="shared" si="27"/>
        <v>44992</v>
      </c>
      <c r="I196" s="365">
        <v>45037</v>
      </c>
      <c r="J196" s="387" t="s">
        <v>230</v>
      </c>
      <c r="K196" s="387" t="s">
        <v>230</v>
      </c>
      <c r="L196" s="402">
        <v>1</v>
      </c>
      <c r="M196" s="352" t="s">
        <v>728</v>
      </c>
      <c r="N196" s="403">
        <v>40000</v>
      </c>
      <c r="O196" s="404">
        <v>40000</v>
      </c>
      <c r="P196" s="421">
        <v>4</v>
      </c>
      <c r="Q196" s="494" t="s">
        <v>163</v>
      </c>
      <c r="R196" s="437">
        <v>400000</v>
      </c>
      <c r="S196" s="438">
        <f t="shared" si="28"/>
        <v>42000</v>
      </c>
      <c r="T196" s="439" t="s">
        <v>538</v>
      </c>
      <c r="U196" s="460" t="str">
        <f t="shared" si="29"/>
        <v/>
      </c>
      <c r="V196" s="439" t="s">
        <v>539</v>
      </c>
      <c r="W196" s="439" t="s">
        <v>540</v>
      </c>
      <c r="X196" s="439" t="s">
        <v>474</v>
      </c>
      <c r="Y196" s="439" t="str">
        <f t="shared" ref="Y196:Y220" si="32">J196</f>
        <v>Amplop Coklat Merk : GSU Ukuran : 1/2 folio, bergaris</v>
      </c>
      <c r="Z196" s="449" t="s">
        <v>1545</v>
      </c>
      <c r="AA196" s="440" t="s">
        <v>472</v>
      </c>
      <c r="AB196" s="441">
        <f t="shared" si="30"/>
        <v>36036.036036036036</v>
      </c>
      <c r="AC196" s="442">
        <f t="shared" si="31"/>
        <v>36036.036036036036</v>
      </c>
      <c r="AD196" s="437">
        <v>400000</v>
      </c>
      <c r="AE196" s="447">
        <v>1621621.6216216215</v>
      </c>
      <c r="AF196" s="447">
        <v>1800000</v>
      </c>
      <c r="AG196" s="437">
        <v>400000</v>
      </c>
      <c r="AH196" s="443" t="s">
        <v>2098</v>
      </c>
      <c r="AI196" s="448">
        <f>SUM(AC196:AC196)</f>
        <v>36036.036036036036</v>
      </c>
      <c r="AJ196" s="448">
        <f>SUM(AD196:AD196)</f>
        <v>400000</v>
      </c>
    </row>
    <row r="197" spans="1:36">
      <c r="A197" s="350">
        <v>80</v>
      </c>
      <c r="B197" s="352" t="s">
        <v>908</v>
      </c>
      <c r="C197" s="352" t="s">
        <v>704</v>
      </c>
      <c r="D197" s="355" t="s">
        <v>705</v>
      </c>
      <c r="E197" s="363" t="s">
        <v>706</v>
      </c>
      <c r="F197" s="361">
        <v>44992</v>
      </c>
      <c r="G197" s="361">
        <f t="shared" si="27"/>
        <v>44992</v>
      </c>
      <c r="H197" s="361">
        <f t="shared" si="27"/>
        <v>44992</v>
      </c>
      <c r="I197" s="365">
        <v>45037</v>
      </c>
      <c r="J197" s="387" t="s">
        <v>263</v>
      </c>
      <c r="K197" s="388" t="s">
        <v>885</v>
      </c>
      <c r="L197" s="791">
        <v>5</v>
      </c>
      <c r="M197" s="352" t="s">
        <v>753</v>
      </c>
      <c r="N197" s="266">
        <v>12000</v>
      </c>
      <c r="O197" s="792">
        <v>60000</v>
      </c>
      <c r="P197" s="421">
        <v>4</v>
      </c>
      <c r="Q197" s="491" t="s">
        <v>165</v>
      </c>
      <c r="R197" s="437">
        <v>240000</v>
      </c>
      <c r="S197" s="438">
        <f t="shared" si="28"/>
        <v>70000</v>
      </c>
      <c r="T197" s="439" t="s">
        <v>538</v>
      </c>
      <c r="U197" s="460" t="str">
        <f t="shared" si="29"/>
        <v/>
      </c>
      <c r="V197" s="439" t="s">
        <v>539</v>
      </c>
      <c r="W197" s="439" t="s">
        <v>540</v>
      </c>
      <c r="X197" s="439" t="s">
        <v>490</v>
      </c>
      <c r="Y197" s="439" t="str">
        <f t="shared" si="32"/>
        <v>Stofmap Kertas</v>
      </c>
      <c r="Z197" s="449" t="s">
        <v>280</v>
      </c>
      <c r="AA197" s="440" t="s">
        <v>472</v>
      </c>
      <c r="AB197" s="441">
        <f t="shared" si="30"/>
        <v>10810.810810810812</v>
      </c>
      <c r="AC197" s="442">
        <f t="shared" si="31"/>
        <v>54054.054054054061</v>
      </c>
      <c r="AD197" s="437">
        <v>240000</v>
      </c>
      <c r="AE197" s="447">
        <v>216216.21621621621</v>
      </c>
      <c r="AF197" s="447">
        <v>240000</v>
      </c>
      <c r="AG197" s="437">
        <v>240000</v>
      </c>
      <c r="AH197" s="443" t="s">
        <v>2098</v>
      </c>
    </row>
    <row r="198" spans="1:36" ht="37.5">
      <c r="A198" s="350">
        <v>80</v>
      </c>
      <c r="B198" s="352" t="s">
        <v>908</v>
      </c>
      <c r="C198" s="352" t="s">
        <v>704</v>
      </c>
      <c r="D198" s="355" t="s">
        <v>705</v>
      </c>
      <c r="E198" s="363" t="s">
        <v>706</v>
      </c>
      <c r="F198" s="361">
        <v>44992</v>
      </c>
      <c r="G198" s="361">
        <f t="shared" si="27"/>
        <v>44992</v>
      </c>
      <c r="H198" s="361">
        <f t="shared" si="27"/>
        <v>44992</v>
      </c>
      <c r="I198" s="365">
        <v>45037</v>
      </c>
      <c r="J198" s="387" t="s">
        <v>247</v>
      </c>
      <c r="K198" s="387" t="s">
        <v>247</v>
      </c>
      <c r="L198" s="402">
        <v>20</v>
      </c>
      <c r="M198" s="352" t="s">
        <v>735</v>
      </c>
      <c r="N198" s="403">
        <v>50000</v>
      </c>
      <c r="O198" s="404">
        <v>1000000</v>
      </c>
      <c r="P198" s="421">
        <v>4</v>
      </c>
      <c r="Q198" s="491" t="s">
        <v>164</v>
      </c>
      <c r="R198" s="437">
        <v>140000</v>
      </c>
      <c r="S198" s="438">
        <f t="shared" si="28"/>
        <v>1040000</v>
      </c>
      <c r="T198" s="439" t="s">
        <v>538</v>
      </c>
      <c r="U198" s="460" t="str">
        <f t="shared" si="29"/>
        <v/>
      </c>
      <c r="V198" s="439" t="s">
        <v>539</v>
      </c>
      <c r="W198" s="439" t="s">
        <v>540</v>
      </c>
      <c r="X198" s="439" t="s">
        <v>474</v>
      </c>
      <c r="Y198" s="439" t="str">
        <f t="shared" si="32"/>
        <v>Kertas HVS 80 gram Merk : Paper One A4, Ukuran : 8,27" x 11,69", Isi : 500 lembar</v>
      </c>
      <c r="Z198" s="449" t="s">
        <v>1545</v>
      </c>
      <c r="AA198" s="440" t="s">
        <v>574</v>
      </c>
      <c r="AB198" s="441">
        <f t="shared" si="30"/>
        <v>45045.045045045044</v>
      </c>
      <c r="AC198" s="442">
        <f t="shared" si="31"/>
        <v>900900.90090090083</v>
      </c>
      <c r="AD198" s="437">
        <v>140000</v>
      </c>
      <c r="AE198" s="447">
        <v>126126.12612612612</v>
      </c>
      <c r="AF198" s="447">
        <v>140000</v>
      </c>
      <c r="AG198" s="437">
        <v>140000</v>
      </c>
      <c r="AH198" s="443" t="s">
        <v>2098</v>
      </c>
    </row>
    <row r="199" spans="1:36">
      <c r="A199" s="350">
        <v>80</v>
      </c>
      <c r="B199" s="352" t="s">
        <v>908</v>
      </c>
      <c r="C199" s="352" t="s">
        <v>704</v>
      </c>
      <c r="D199" s="355" t="s">
        <v>705</v>
      </c>
      <c r="E199" s="363" t="s">
        <v>706</v>
      </c>
      <c r="F199" s="361">
        <v>44992</v>
      </c>
      <c r="G199" s="361">
        <f t="shared" si="27"/>
        <v>44992</v>
      </c>
      <c r="H199" s="361">
        <f t="shared" si="27"/>
        <v>44992</v>
      </c>
      <c r="I199" s="365">
        <v>45037</v>
      </c>
      <c r="J199" s="387" t="s">
        <v>256</v>
      </c>
      <c r="K199" s="436" t="s">
        <v>727</v>
      </c>
      <c r="L199" s="402">
        <v>1</v>
      </c>
      <c r="M199" s="352" t="s">
        <v>728</v>
      </c>
      <c r="N199" s="403">
        <v>21000</v>
      </c>
      <c r="O199" s="404">
        <v>21000</v>
      </c>
      <c r="P199" s="421">
        <v>4</v>
      </c>
      <c r="Q199" s="439" t="s">
        <v>575</v>
      </c>
      <c r="R199" s="437">
        <v>4764300</v>
      </c>
      <c r="S199" s="438">
        <f t="shared" si="28"/>
        <v>23000</v>
      </c>
      <c r="T199" s="439" t="s">
        <v>538</v>
      </c>
      <c r="U199" s="460" t="str">
        <f t="shared" si="29"/>
        <v/>
      </c>
      <c r="V199" s="439" t="s">
        <v>539</v>
      </c>
      <c r="W199" s="439" t="s">
        <v>540</v>
      </c>
      <c r="X199" s="445" t="s">
        <v>541</v>
      </c>
      <c r="Y199" s="439" t="str">
        <f t="shared" si="32"/>
        <v>Paper Clip No 1  Paper Clip No 3</v>
      </c>
      <c r="Z199" s="449" t="str">
        <f>K199</f>
        <v>Paper Clip Max</v>
      </c>
      <c r="AA199" s="440" t="s">
        <v>472</v>
      </c>
      <c r="AB199" s="441">
        <f t="shared" si="30"/>
        <v>18918.91891891892</v>
      </c>
      <c r="AC199" s="442">
        <f t="shared" si="31"/>
        <v>18918.91891891892</v>
      </c>
      <c r="AD199" s="437">
        <v>4764300</v>
      </c>
      <c r="AE199" s="447">
        <v>4292162.1621621624</v>
      </c>
      <c r="AF199" s="447">
        <v>4764300</v>
      </c>
      <c r="AG199" s="437">
        <v>4764300</v>
      </c>
      <c r="AH199" s="443" t="s">
        <v>2098</v>
      </c>
    </row>
    <row r="200" spans="1:36">
      <c r="A200" s="350">
        <v>80</v>
      </c>
      <c r="B200" s="352" t="s">
        <v>908</v>
      </c>
      <c r="C200" s="352" t="s">
        <v>704</v>
      </c>
      <c r="D200" s="355" t="s">
        <v>705</v>
      </c>
      <c r="E200" s="363" t="s">
        <v>706</v>
      </c>
      <c r="F200" s="361">
        <v>44992</v>
      </c>
      <c r="G200" s="361">
        <f t="shared" si="27"/>
        <v>44992</v>
      </c>
      <c r="H200" s="361">
        <f t="shared" si="27"/>
        <v>44992</v>
      </c>
      <c r="I200" s="365">
        <v>45037</v>
      </c>
      <c r="J200" s="387" t="s">
        <v>238</v>
      </c>
      <c r="K200" s="436" t="s">
        <v>913</v>
      </c>
      <c r="L200" s="402">
        <v>2</v>
      </c>
      <c r="M200" s="352" t="s">
        <v>597</v>
      </c>
      <c r="N200" s="403">
        <v>11000</v>
      </c>
      <c r="O200" s="404">
        <v>22000</v>
      </c>
      <c r="P200" s="421">
        <v>4</v>
      </c>
      <c r="Q200" s="491" t="s">
        <v>164</v>
      </c>
      <c r="R200" s="437">
        <v>280000</v>
      </c>
      <c r="S200" s="438">
        <f t="shared" si="28"/>
        <v>26000</v>
      </c>
      <c r="T200" s="439" t="s">
        <v>538</v>
      </c>
      <c r="U200" s="460" t="str">
        <f t="shared" si="29"/>
        <v/>
      </c>
      <c r="V200" s="439" t="s">
        <v>539</v>
      </c>
      <c r="W200" s="439" t="s">
        <v>540</v>
      </c>
      <c r="X200" s="439" t="s">
        <v>474</v>
      </c>
      <c r="Y200" s="439" t="str">
        <f t="shared" si="32"/>
        <v>Binder Klip  nomor 111</v>
      </c>
      <c r="Z200" s="449" t="s">
        <v>1545</v>
      </c>
      <c r="AA200" s="440" t="s">
        <v>488</v>
      </c>
      <c r="AB200" s="441">
        <f t="shared" si="30"/>
        <v>9909.9099099099094</v>
      </c>
      <c r="AC200" s="442">
        <f t="shared" si="31"/>
        <v>19819.819819819819</v>
      </c>
      <c r="AD200" s="437">
        <v>420000</v>
      </c>
      <c r="AE200" s="447">
        <v>810810.81081081077</v>
      </c>
      <c r="AF200" s="447">
        <v>900000</v>
      </c>
      <c r="AG200" s="437">
        <v>420000</v>
      </c>
      <c r="AH200" s="443" t="s">
        <v>2098</v>
      </c>
      <c r="AI200" s="448">
        <f>SUM(AC200:AC201)</f>
        <v>312612.6126126126</v>
      </c>
      <c r="AJ200" s="448">
        <f>SUM(AD200:AD201)</f>
        <v>900000</v>
      </c>
    </row>
    <row r="201" spans="1:36">
      <c r="A201" s="350">
        <v>80</v>
      </c>
      <c r="B201" s="352" t="s">
        <v>908</v>
      </c>
      <c r="C201" s="352" t="s">
        <v>704</v>
      </c>
      <c r="D201" s="355" t="s">
        <v>705</v>
      </c>
      <c r="E201" s="363" t="s">
        <v>706</v>
      </c>
      <c r="F201" s="361">
        <v>44992</v>
      </c>
      <c r="G201" s="361">
        <f t="shared" si="27"/>
        <v>44992</v>
      </c>
      <c r="H201" s="361">
        <f t="shared" si="27"/>
        <v>44992</v>
      </c>
      <c r="I201" s="365">
        <v>45037</v>
      </c>
      <c r="J201" s="387" t="s">
        <v>260</v>
      </c>
      <c r="K201" s="388" t="s">
        <v>891</v>
      </c>
      <c r="L201" s="402">
        <v>5</v>
      </c>
      <c r="M201" s="352" t="s">
        <v>753</v>
      </c>
      <c r="N201" s="403">
        <v>65000</v>
      </c>
      <c r="O201" s="404">
        <v>325000</v>
      </c>
      <c r="P201" s="421">
        <v>4</v>
      </c>
      <c r="Q201" s="491" t="s">
        <v>165</v>
      </c>
      <c r="R201" s="437">
        <v>480000</v>
      </c>
      <c r="S201" s="438">
        <f t="shared" si="28"/>
        <v>335000</v>
      </c>
      <c r="T201" s="439" t="s">
        <v>538</v>
      </c>
      <c r="U201" s="460" t="str">
        <f t="shared" si="29"/>
        <v/>
      </c>
      <c r="V201" s="439" t="s">
        <v>539</v>
      </c>
      <c r="W201" s="439" t="s">
        <v>540</v>
      </c>
      <c r="X201" s="439" t="s">
        <v>490</v>
      </c>
      <c r="Y201" s="439" t="str">
        <f t="shared" si="32"/>
        <v>Sampul Plastik</v>
      </c>
      <c r="Z201" s="616" t="s">
        <v>280</v>
      </c>
      <c r="AA201" s="440" t="s">
        <v>472</v>
      </c>
      <c r="AB201" s="441">
        <f t="shared" si="30"/>
        <v>58558.558558558558</v>
      </c>
      <c r="AC201" s="442">
        <f t="shared" si="31"/>
        <v>292792.79279279278</v>
      </c>
      <c r="AD201" s="437">
        <v>480000</v>
      </c>
      <c r="AE201" s="447">
        <v>810810.81081081077</v>
      </c>
      <c r="AF201" s="447">
        <v>900000</v>
      </c>
      <c r="AG201" s="437">
        <v>480000</v>
      </c>
      <c r="AH201" s="443" t="s">
        <v>2098</v>
      </c>
    </row>
    <row r="202" spans="1:36">
      <c r="A202" s="350">
        <v>80</v>
      </c>
      <c r="B202" s="352" t="s">
        <v>908</v>
      </c>
      <c r="C202" s="352" t="s">
        <v>704</v>
      </c>
      <c r="D202" s="355" t="s">
        <v>705</v>
      </c>
      <c r="E202" s="363" t="s">
        <v>706</v>
      </c>
      <c r="F202" s="361">
        <v>44992</v>
      </c>
      <c r="G202" s="361">
        <f t="shared" si="27"/>
        <v>44992</v>
      </c>
      <c r="H202" s="361">
        <f t="shared" si="27"/>
        <v>44992</v>
      </c>
      <c r="I202" s="365">
        <v>45037</v>
      </c>
      <c r="J202" s="387" t="s">
        <v>249</v>
      </c>
      <c r="K202" s="352" t="s">
        <v>888</v>
      </c>
      <c r="L202" s="402">
        <v>1</v>
      </c>
      <c r="M202" s="352" t="s">
        <v>749</v>
      </c>
      <c r="N202" s="403">
        <v>21000</v>
      </c>
      <c r="O202" s="404">
        <v>21000</v>
      </c>
      <c r="P202" s="421">
        <v>4</v>
      </c>
      <c r="Q202" s="494" t="s">
        <v>163</v>
      </c>
      <c r="R202" s="437">
        <v>500000</v>
      </c>
      <c r="S202" s="438">
        <f t="shared" si="28"/>
        <v>23000</v>
      </c>
      <c r="T202" s="439" t="s">
        <v>538</v>
      </c>
      <c r="U202" s="460" t="str">
        <f t="shared" si="29"/>
        <v/>
      </c>
      <c r="V202" s="439" t="s">
        <v>539</v>
      </c>
      <c r="W202" s="439" t="s">
        <v>540</v>
      </c>
      <c r="X202" s="439" t="s">
        <v>474</v>
      </c>
      <c r="Y202" s="439" t="str">
        <f t="shared" si="32"/>
        <v>Kertas Post-It Warna Warni  Sign Here</v>
      </c>
      <c r="Z202" s="449" t="s">
        <v>1545</v>
      </c>
      <c r="AA202" s="440" t="s">
        <v>472</v>
      </c>
      <c r="AB202" s="441">
        <f t="shared" si="30"/>
        <v>18918.91891891892</v>
      </c>
      <c r="AC202" s="442">
        <f t="shared" si="31"/>
        <v>18918.91891891892</v>
      </c>
      <c r="AD202" s="437">
        <v>500000</v>
      </c>
      <c r="AE202" s="447">
        <v>450450.45045045041</v>
      </c>
      <c r="AF202" s="447">
        <v>500000</v>
      </c>
      <c r="AG202" s="437">
        <v>500000</v>
      </c>
      <c r="AH202" s="443" t="s">
        <v>2098</v>
      </c>
    </row>
    <row r="203" spans="1:36">
      <c r="A203" s="350">
        <v>80</v>
      </c>
      <c r="B203" s="352" t="s">
        <v>908</v>
      </c>
      <c r="C203" s="352" t="s">
        <v>704</v>
      </c>
      <c r="D203" s="355" t="s">
        <v>705</v>
      </c>
      <c r="E203" s="363" t="s">
        <v>706</v>
      </c>
      <c r="F203" s="361">
        <v>44992</v>
      </c>
      <c r="G203" s="361">
        <f t="shared" si="27"/>
        <v>44992</v>
      </c>
      <c r="H203" s="361">
        <f t="shared" si="27"/>
        <v>44992</v>
      </c>
      <c r="I203" s="365">
        <v>45037</v>
      </c>
      <c r="J203" s="389" t="s">
        <v>755</v>
      </c>
      <c r="K203" s="435" t="s">
        <v>755</v>
      </c>
      <c r="L203" s="791">
        <v>1</v>
      </c>
      <c r="M203" s="352" t="s">
        <v>756</v>
      </c>
      <c r="N203" s="403">
        <v>26000</v>
      </c>
      <c r="O203" s="404">
        <v>26000</v>
      </c>
      <c r="P203" s="421">
        <v>4</v>
      </c>
      <c r="Q203" s="491" t="s">
        <v>164</v>
      </c>
      <c r="R203" s="437">
        <v>280000</v>
      </c>
      <c r="S203" s="438">
        <f t="shared" si="28"/>
        <v>28000</v>
      </c>
      <c r="T203" s="439" t="s">
        <v>538</v>
      </c>
      <c r="U203" s="460" t="str">
        <f t="shared" si="29"/>
        <v/>
      </c>
      <c r="V203" s="439" t="s">
        <v>539</v>
      </c>
      <c r="W203" s="439" t="s">
        <v>540</v>
      </c>
      <c r="X203" s="439" t="s">
        <v>474</v>
      </c>
      <c r="Y203" s="439" t="str">
        <f t="shared" si="32"/>
        <v>Ballpoint Pilot Balliner Warna Hitam</v>
      </c>
      <c r="Z203" s="449" t="s">
        <v>1545</v>
      </c>
      <c r="AA203" s="440" t="s">
        <v>472</v>
      </c>
      <c r="AB203" s="441">
        <f t="shared" si="30"/>
        <v>23423.423423423425</v>
      </c>
      <c r="AC203" s="442">
        <f t="shared" si="31"/>
        <v>23423.423423423425</v>
      </c>
      <c r="AD203" s="437">
        <v>280000</v>
      </c>
      <c r="AE203" s="447">
        <v>1018018.018018018</v>
      </c>
      <c r="AF203" s="447">
        <v>1130000</v>
      </c>
      <c r="AG203" s="437">
        <v>280000</v>
      </c>
      <c r="AH203" s="443" t="s">
        <v>2098</v>
      </c>
      <c r="AI203" s="448">
        <f>SUM(AC203:AC205)</f>
        <v>334234.2342342342</v>
      </c>
      <c r="AJ203" s="448">
        <f>SUM(AD203:AD205)</f>
        <v>1130000</v>
      </c>
    </row>
    <row r="204" spans="1:36">
      <c r="A204" s="350">
        <v>80</v>
      </c>
      <c r="B204" s="352" t="s">
        <v>908</v>
      </c>
      <c r="C204" s="352" t="s">
        <v>704</v>
      </c>
      <c r="D204" s="355" t="s">
        <v>705</v>
      </c>
      <c r="E204" s="363" t="s">
        <v>706</v>
      </c>
      <c r="F204" s="361">
        <v>44992</v>
      </c>
      <c r="G204" s="361">
        <f t="shared" si="27"/>
        <v>44992</v>
      </c>
      <c r="H204" s="361">
        <f t="shared" si="27"/>
        <v>44992</v>
      </c>
      <c r="I204" s="365">
        <v>45037</v>
      </c>
      <c r="J204" s="387" t="s">
        <v>288</v>
      </c>
      <c r="K204" s="387" t="s">
        <v>288</v>
      </c>
      <c r="L204" s="402">
        <v>5</v>
      </c>
      <c r="M204" s="352" t="s">
        <v>488</v>
      </c>
      <c r="N204" s="403">
        <v>65000</v>
      </c>
      <c r="O204" s="404">
        <v>325000</v>
      </c>
      <c r="P204" s="421">
        <v>4</v>
      </c>
      <c r="Q204" s="491" t="s">
        <v>165</v>
      </c>
      <c r="R204" s="437">
        <v>450000</v>
      </c>
      <c r="S204" s="438">
        <f t="shared" si="28"/>
        <v>335000</v>
      </c>
      <c r="T204" s="439" t="s">
        <v>538</v>
      </c>
      <c r="U204" s="460" t="str">
        <f t="shared" si="29"/>
        <v/>
      </c>
      <c r="V204" s="439" t="s">
        <v>539</v>
      </c>
      <c r="W204" s="439" t="s">
        <v>540</v>
      </c>
      <c r="X204" s="439" t="s">
        <v>490</v>
      </c>
      <c r="Y204" s="439" t="str">
        <f t="shared" si="32"/>
        <v>Stempel Manual</v>
      </c>
      <c r="Z204" s="449" t="s">
        <v>280</v>
      </c>
      <c r="AA204" s="440" t="s">
        <v>472</v>
      </c>
      <c r="AB204" s="441">
        <f t="shared" si="30"/>
        <v>58558.558558558558</v>
      </c>
      <c r="AC204" s="442">
        <f t="shared" si="31"/>
        <v>292792.79279279278</v>
      </c>
      <c r="AD204" s="437">
        <v>450000</v>
      </c>
      <c r="AE204" s="447">
        <v>1018018.018018018</v>
      </c>
      <c r="AF204" s="447">
        <v>1130000</v>
      </c>
      <c r="AG204" s="437">
        <v>450000</v>
      </c>
      <c r="AH204" s="443" t="s">
        <v>2098</v>
      </c>
    </row>
    <row r="205" spans="1:36">
      <c r="A205" s="350">
        <v>80</v>
      </c>
      <c r="B205" s="352" t="s">
        <v>908</v>
      </c>
      <c r="C205" s="352" t="s">
        <v>704</v>
      </c>
      <c r="D205" s="355" t="s">
        <v>705</v>
      </c>
      <c r="E205" s="363" t="s">
        <v>706</v>
      </c>
      <c r="F205" s="361">
        <v>44992</v>
      </c>
      <c r="G205" s="361">
        <f t="shared" ref="G205:H220" si="33">F205</f>
        <v>44992</v>
      </c>
      <c r="H205" s="361">
        <f t="shared" si="33"/>
        <v>44992</v>
      </c>
      <c r="I205" s="365">
        <v>45037</v>
      </c>
      <c r="J205" s="387" t="s">
        <v>711</v>
      </c>
      <c r="K205" s="352" t="s">
        <v>738</v>
      </c>
      <c r="L205" s="402">
        <v>1</v>
      </c>
      <c r="M205" s="352" t="s">
        <v>488</v>
      </c>
      <c r="N205" s="403">
        <v>20000</v>
      </c>
      <c r="O205" s="404">
        <v>20000</v>
      </c>
      <c r="P205" s="421">
        <v>4</v>
      </c>
      <c r="Q205" s="494" t="s">
        <v>163</v>
      </c>
      <c r="R205" s="437">
        <v>400000</v>
      </c>
      <c r="S205" s="438">
        <f t="shared" si="28"/>
        <v>22000</v>
      </c>
      <c r="T205" s="439" t="s">
        <v>538</v>
      </c>
      <c r="U205" s="460" t="str">
        <f t="shared" si="29"/>
        <v/>
      </c>
      <c r="V205" s="439" t="s">
        <v>539</v>
      </c>
      <c r="W205" s="439" t="s">
        <v>540</v>
      </c>
      <c r="X205" s="439" t="s">
        <v>474</v>
      </c>
      <c r="Y205" s="439" t="str">
        <f t="shared" si="32"/>
        <v>Lakban Kain Warna Hitam</v>
      </c>
      <c r="Z205" s="449" t="s">
        <v>1545</v>
      </c>
      <c r="AA205" s="440" t="s">
        <v>574</v>
      </c>
      <c r="AB205" s="441">
        <f t="shared" si="30"/>
        <v>18018.018018018018</v>
      </c>
      <c r="AC205" s="442">
        <f t="shared" si="31"/>
        <v>18018.018018018018</v>
      </c>
      <c r="AD205" s="437">
        <v>400000</v>
      </c>
      <c r="AE205" s="447">
        <v>1018018.018018018</v>
      </c>
      <c r="AF205" s="447">
        <v>1130000</v>
      </c>
      <c r="AG205" s="437">
        <v>400000</v>
      </c>
      <c r="AH205" s="443" t="s">
        <v>2098</v>
      </c>
    </row>
    <row r="206" spans="1:36">
      <c r="A206" s="350">
        <v>80</v>
      </c>
      <c r="B206" s="352" t="s">
        <v>908</v>
      </c>
      <c r="C206" s="352" t="s">
        <v>704</v>
      </c>
      <c r="D206" s="355" t="s">
        <v>705</v>
      </c>
      <c r="E206" s="363" t="s">
        <v>706</v>
      </c>
      <c r="F206" s="361">
        <v>44992</v>
      </c>
      <c r="G206" s="361">
        <f t="shared" si="33"/>
        <v>44992</v>
      </c>
      <c r="H206" s="361">
        <f t="shared" si="33"/>
        <v>44992</v>
      </c>
      <c r="I206" s="394">
        <v>45037</v>
      </c>
      <c r="J206" s="387" t="s">
        <v>264</v>
      </c>
      <c r="K206" s="352" t="s">
        <v>882</v>
      </c>
      <c r="L206" s="402">
        <v>1</v>
      </c>
      <c r="M206" s="352" t="s">
        <v>753</v>
      </c>
      <c r="N206" s="403">
        <v>42000</v>
      </c>
      <c r="O206" s="404">
        <v>42000</v>
      </c>
      <c r="P206" s="421">
        <v>4</v>
      </c>
      <c r="Q206" s="491" t="s">
        <v>164</v>
      </c>
      <c r="R206" s="437">
        <v>350000</v>
      </c>
      <c r="S206" s="438">
        <f t="shared" si="28"/>
        <v>44000</v>
      </c>
      <c r="T206" s="439" t="s">
        <v>538</v>
      </c>
      <c r="U206" s="460" t="str">
        <f t="shared" si="29"/>
        <v/>
      </c>
      <c r="V206" s="439" t="s">
        <v>539</v>
      </c>
      <c r="W206" s="439" t="s">
        <v>540</v>
      </c>
      <c r="X206" s="439" t="s">
        <v>474</v>
      </c>
      <c r="Y206" s="439" t="str">
        <f t="shared" si="32"/>
        <v>Stofmap Transparan</v>
      </c>
      <c r="Z206" s="449" t="s">
        <v>1545</v>
      </c>
      <c r="AA206" s="440" t="s">
        <v>472</v>
      </c>
      <c r="AB206" s="441">
        <f t="shared" si="30"/>
        <v>37837.83783783784</v>
      </c>
      <c r="AC206" s="442">
        <f t="shared" si="31"/>
        <v>37837.83783783784</v>
      </c>
      <c r="AD206" s="437">
        <v>350000</v>
      </c>
      <c r="AE206" s="447">
        <v>315315.31531531533</v>
      </c>
      <c r="AF206" s="447">
        <v>350000</v>
      </c>
      <c r="AG206" s="437">
        <v>350000</v>
      </c>
      <c r="AH206" s="443" t="s">
        <v>2098</v>
      </c>
    </row>
    <row r="207" spans="1:36">
      <c r="A207" s="350">
        <v>80</v>
      </c>
      <c r="B207" s="352" t="s">
        <v>908</v>
      </c>
      <c r="C207" s="352" t="s">
        <v>704</v>
      </c>
      <c r="D207" s="355" t="s">
        <v>705</v>
      </c>
      <c r="E207" s="363" t="s">
        <v>706</v>
      </c>
      <c r="F207" s="361">
        <v>44992</v>
      </c>
      <c r="G207" s="361">
        <f t="shared" si="33"/>
        <v>44992</v>
      </c>
      <c r="H207" s="361">
        <f t="shared" si="33"/>
        <v>44992</v>
      </c>
      <c r="I207" s="394">
        <v>45037</v>
      </c>
      <c r="J207" s="387" t="s">
        <v>236</v>
      </c>
      <c r="K207" s="435" t="s">
        <v>771</v>
      </c>
      <c r="L207" s="402">
        <v>4</v>
      </c>
      <c r="M207" s="352" t="s">
        <v>772</v>
      </c>
      <c r="N207" s="403">
        <v>65000</v>
      </c>
      <c r="O207" s="404">
        <v>260000</v>
      </c>
      <c r="P207" s="421">
        <v>4</v>
      </c>
      <c r="Q207" s="491" t="s">
        <v>165</v>
      </c>
      <c r="R207" s="437">
        <v>1680000</v>
      </c>
      <c r="S207" s="438">
        <f t="shared" si="28"/>
        <v>268000</v>
      </c>
      <c r="T207" s="439" t="s">
        <v>538</v>
      </c>
      <c r="U207" s="460" t="str">
        <f t="shared" si="29"/>
        <v/>
      </c>
      <c r="V207" s="439" t="s">
        <v>539</v>
      </c>
      <c r="W207" s="439" t="s">
        <v>540</v>
      </c>
      <c r="X207" s="439" t="s">
        <v>490</v>
      </c>
      <c r="Y207" s="439" t="str">
        <f t="shared" si="32"/>
        <v>Baterey Kecil</v>
      </c>
      <c r="Z207" s="616" t="s">
        <v>280</v>
      </c>
      <c r="AA207" s="440" t="s">
        <v>472</v>
      </c>
      <c r="AB207" s="441">
        <f t="shared" si="30"/>
        <v>58558.558558558558</v>
      </c>
      <c r="AC207" s="442">
        <f t="shared" si="31"/>
        <v>234234.23423423423</v>
      </c>
      <c r="AD207" s="437">
        <v>1680000</v>
      </c>
      <c r="AE207" s="447">
        <v>1513513.5135135134</v>
      </c>
      <c r="AF207" s="447">
        <v>1680000</v>
      </c>
      <c r="AG207" s="437">
        <v>1680000</v>
      </c>
      <c r="AH207" s="443" t="s">
        <v>2098</v>
      </c>
    </row>
    <row r="208" spans="1:36">
      <c r="A208" s="350">
        <v>80</v>
      </c>
      <c r="B208" s="352" t="s">
        <v>908</v>
      </c>
      <c r="C208" s="352" t="s">
        <v>704</v>
      </c>
      <c r="D208" s="355" t="s">
        <v>705</v>
      </c>
      <c r="E208" s="363" t="s">
        <v>706</v>
      </c>
      <c r="F208" s="361">
        <v>44992</v>
      </c>
      <c r="G208" s="361">
        <f t="shared" si="33"/>
        <v>44992</v>
      </c>
      <c r="H208" s="361">
        <f t="shared" si="33"/>
        <v>44992</v>
      </c>
      <c r="I208" s="394">
        <v>45037</v>
      </c>
      <c r="J208" s="387" t="s">
        <v>762</v>
      </c>
      <c r="K208" s="387" t="s">
        <v>762</v>
      </c>
      <c r="L208" s="402">
        <v>1</v>
      </c>
      <c r="M208" s="352" t="s">
        <v>488</v>
      </c>
      <c r="N208" s="266">
        <v>15000</v>
      </c>
      <c r="O208" s="404">
        <v>15000</v>
      </c>
      <c r="P208" s="421">
        <v>4</v>
      </c>
      <c r="Q208" s="491" t="s">
        <v>164</v>
      </c>
      <c r="R208" s="437">
        <v>840000</v>
      </c>
      <c r="S208" s="438">
        <f t="shared" si="28"/>
        <v>17000</v>
      </c>
      <c r="T208" s="439" t="s">
        <v>538</v>
      </c>
      <c r="U208" s="460" t="str">
        <f t="shared" si="29"/>
        <v/>
      </c>
      <c r="V208" s="439" t="s">
        <v>539</v>
      </c>
      <c r="W208" s="439" t="s">
        <v>540</v>
      </c>
      <c r="X208" s="439" t="s">
        <v>474</v>
      </c>
      <c r="Y208" s="439" t="str">
        <f t="shared" si="32"/>
        <v>lem fox</v>
      </c>
      <c r="Z208" s="449" t="s">
        <v>1545</v>
      </c>
      <c r="AA208" s="440" t="s">
        <v>488</v>
      </c>
      <c r="AB208" s="441">
        <f t="shared" si="30"/>
        <v>13513.513513513513</v>
      </c>
      <c r="AC208" s="442">
        <f t="shared" si="31"/>
        <v>13513.513513513513</v>
      </c>
      <c r="AD208" s="437">
        <v>840000</v>
      </c>
      <c r="AE208" s="447">
        <v>756756.75675675669</v>
      </c>
      <c r="AF208" s="447">
        <v>840000</v>
      </c>
      <c r="AG208" s="437">
        <v>840000</v>
      </c>
      <c r="AH208" s="443" t="s">
        <v>2098</v>
      </c>
    </row>
    <row r="209" spans="1:36">
      <c r="A209" s="350">
        <v>80</v>
      </c>
      <c r="B209" s="352" t="s">
        <v>908</v>
      </c>
      <c r="C209" s="352" t="s">
        <v>704</v>
      </c>
      <c r="D209" s="355" t="s">
        <v>705</v>
      </c>
      <c r="E209" s="363" t="s">
        <v>706</v>
      </c>
      <c r="F209" s="361">
        <v>44992</v>
      </c>
      <c r="G209" s="361">
        <f t="shared" si="33"/>
        <v>44992</v>
      </c>
      <c r="H209" s="361">
        <f t="shared" si="33"/>
        <v>44992</v>
      </c>
      <c r="I209" s="394">
        <v>45037</v>
      </c>
      <c r="J209" s="387" t="s">
        <v>897</v>
      </c>
      <c r="K209" s="436" t="s">
        <v>723</v>
      </c>
      <c r="L209" s="402">
        <v>1</v>
      </c>
      <c r="M209" s="352" t="s">
        <v>724</v>
      </c>
      <c r="N209" s="403">
        <v>45000</v>
      </c>
      <c r="O209" s="404">
        <v>45000</v>
      </c>
      <c r="P209" s="421">
        <v>4</v>
      </c>
      <c r="Q209" s="491" t="s">
        <v>165</v>
      </c>
      <c r="R209" s="437">
        <v>1200000</v>
      </c>
      <c r="S209" s="438">
        <f t="shared" si="28"/>
        <v>47000</v>
      </c>
      <c r="T209" s="439" t="s">
        <v>538</v>
      </c>
      <c r="U209" s="460" t="str">
        <f t="shared" si="29"/>
        <v/>
      </c>
      <c r="V209" s="439" t="s">
        <v>539</v>
      </c>
      <c r="W209" s="439" t="s">
        <v>540</v>
      </c>
      <c r="X209" s="439" t="s">
        <v>490</v>
      </c>
      <c r="Y209" s="439" t="str">
        <f t="shared" si="32"/>
        <v>Isi Staples</v>
      </c>
      <c r="Z209" s="449" t="s">
        <v>280</v>
      </c>
      <c r="AA209" s="440" t="s">
        <v>472</v>
      </c>
      <c r="AB209" s="441">
        <f t="shared" si="30"/>
        <v>40540.54054054054</v>
      </c>
      <c r="AC209" s="442">
        <f t="shared" si="31"/>
        <v>40540.54054054054</v>
      </c>
      <c r="AD209" s="437">
        <v>1200000</v>
      </c>
      <c r="AE209" s="447">
        <v>1459459.4594594594</v>
      </c>
      <c r="AF209" s="447">
        <v>1620000</v>
      </c>
      <c r="AG209" s="437">
        <v>1200000</v>
      </c>
      <c r="AH209" s="443" t="s">
        <v>2098</v>
      </c>
      <c r="AI209" s="448">
        <f>SUM(AC209:AC210)</f>
        <v>166666.66666666666</v>
      </c>
      <c r="AJ209" s="448">
        <f>SUM(AD209:AD210)</f>
        <v>1620000</v>
      </c>
    </row>
    <row r="210" spans="1:36" ht="25">
      <c r="A210" s="350">
        <v>80</v>
      </c>
      <c r="B210" s="352" t="s">
        <v>908</v>
      </c>
      <c r="C210" s="352" t="s">
        <v>704</v>
      </c>
      <c r="D210" s="355" t="s">
        <v>705</v>
      </c>
      <c r="E210" s="363" t="s">
        <v>706</v>
      </c>
      <c r="F210" s="361">
        <v>44992</v>
      </c>
      <c r="G210" s="361">
        <f t="shared" si="33"/>
        <v>44992</v>
      </c>
      <c r="H210" s="361">
        <f t="shared" si="33"/>
        <v>44992</v>
      </c>
      <c r="I210" s="394">
        <v>45037</v>
      </c>
      <c r="J210" s="387" t="s">
        <v>251</v>
      </c>
      <c r="K210" s="388" t="s">
        <v>907</v>
      </c>
      <c r="L210" s="402">
        <v>2</v>
      </c>
      <c r="M210" s="352" t="s">
        <v>735</v>
      </c>
      <c r="N210" s="403">
        <v>70000</v>
      </c>
      <c r="O210" s="404">
        <v>140000</v>
      </c>
      <c r="P210" s="421">
        <v>4</v>
      </c>
      <c r="Q210" s="491" t="s">
        <v>164</v>
      </c>
      <c r="R210" s="437">
        <v>420000</v>
      </c>
      <c r="S210" s="438">
        <f t="shared" si="28"/>
        <v>144000</v>
      </c>
      <c r="T210" s="439" t="s">
        <v>538</v>
      </c>
      <c r="U210" s="460" t="str">
        <f t="shared" si="29"/>
        <v/>
      </c>
      <c r="V210" s="439" t="s">
        <v>539</v>
      </c>
      <c r="W210" s="439" t="s">
        <v>540</v>
      </c>
      <c r="X210" s="439" t="s">
        <v>474</v>
      </c>
      <c r="Y210" s="439" t="str">
        <f t="shared" si="32"/>
        <v>Kertas Warna Blank Folio, Ukuran : 8,5 x 14",  70 gram</v>
      </c>
      <c r="Z210" s="449" t="s">
        <v>1545</v>
      </c>
      <c r="AA210" s="440" t="s">
        <v>488</v>
      </c>
      <c r="AB210" s="441">
        <f t="shared" si="30"/>
        <v>63063.063063063062</v>
      </c>
      <c r="AC210" s="442">
        <f t="shared" si="31"/>
        <v>126126.12612612612</v>
      </c>
      <c r="AD210" s="437">
        <v>420000</v>
      </c>
      <c r="AE210" s="447">
        <v>1459459.4594594594</v>
      </c>
      <c r="AF210" s="447">
        <v>1620000</v>
      </c>
      <c r="AG210" s="437">
        <v>420000</v>
      </c>
      <c r="AH210" s="443" t="s">
        <v>2098</v>
      </c>
    </row>
    <row r="211" spans="1:36" ht="25">
      <c r="A211" s="350">
        <v>80</v>
      </c>
      <c r="B211" s="352" t="s">
        <v>908</v>
      </c>
      <c r="C211" s="352" t="s">
        <v>704</v>
      </c>
      <c r="D211" s="355" t="s">
        <v>705</v>
      </c>
      <c r="E211" s="363" t="s">
        <v>706</v>
      </c>
      <c r="F211" s="361">
        <v>44992</v>
      </c>
      <c r="G211" s="361">
        <f t="shared" si="33"/>
        <v>44992</v>
      </c>
      <c r="H211" s="361">
        <f t="shared" si="33"/>
        <v>44992</v>
      </c>
      <c r="I211" s="394">
        <v>45037</v>
      </c>
      <c r="J211" s="387" t="s">
        <v>261</v>
      </c>
      <c r="K211" s="387" t="s">
        <v>261</v>
      </c>
      <c r="L211" s="402">
        <v>12</v>
      </c>
      <c r="M211" s="352" t="s">
        <v>667</v>
      </c>
      <c r="N211" s="403">
        <v>20000</v>
      </c>
      <c r="O211" s="404">
        <v>240000</v>
      </c>
      <c r="P211" s="421">
        <v>4</v>
      </c>
      <c r="Q211" s="439" t="s">
        <v>575</v>
      </c>
      <c r="R211" s="437">
        <v>1050000</v>
      </c>
      <c r="S211" s="438">
        <f t="shared" si="28"/>
        <v>264000</v>
      </c>
      <c r="T211" s="439" t="s">
        <v>538</v>
      </c>
      <c r="U211" s="460" t="str">
        <f t="shared" si="29"/>
        <v/>
      </c>
      <c r="V211" s="439" t="s">
        <v>539</v>
      </c>
      <c r="W211" s="439" t="s">
        <v>540</v>
      </c>
      <c r="X211" s="445" t="s">
        <v>541</v>
      </c>
      <c r="Y211" s="439" t="str">
        <f t="shared" si="32"/>
        <v>Spidol Refil Spidol White Board Snowman</v>
      </c>
      <c r="Z211" s="449" t="str">
        <f>K211</f>
        <v>Spidol Refil Spidol White Board Snowman</v>
      </c>
      <c r="AA211" s="440" t="s">
        <v>614</v>
      </c>
      <c r="AB211" s="441">
        <f t="shared" si="30"/>
        <v>18018.018018018018</v>
      </c>
      <c r="AC211" s="442">
        <f t="shared" si="31"/>
        <v>216216.21621621621</v>
      </c>
      <c r="AD211" s="437">
        <v>1050000</v>
      </c>
      <c r="AE211" s="447">
        <v>945945.94594594592</v>
      </c>
      <c r="AF211" s="447">
        <v>1050000</v>
      </c>
      <c r="AG211" s="437">
        <v>1050000</v>
      </c>
      <c r="AH211" s="443" t="s">
        <v>2098</v>
      </c>
    </row>
    <row r="212" spans="1:36">
      <c r="A212" s="350">
        <v>81</v>
      </c>
      <c r="B212" s="352" t="s">
        <v>788</v>
      </c>
      <c r="C212" s="352" t="s">
        <v>532</v>
      </c>
      <c r="D212" s="355" t="s">
        <v>533</v>
      </c>
      <c r="E212" s="363" t="s">
        <v>706</v>
      </c>
      <c r="F212" s="361">
        <v>44992</v>
      </c>
      <c r="G212" s="361">
        <f t="shared" si="33"/>
        <v>44992</v>
      </c>
      <c r="H212" s="361">
        <f t="shared" si="33"/>
        <v>44992</v>
      </c>
      <c r="I212" s="365">
        <v>45037</v>
      </c>
      <c r="J212" s="387" t="s">
        <v>276</v>
      </c>
      <c r="K212" s="352" t="s">
        <v>276</v>
      </c>
      <c r="L212" s="402">
        <v>5</v>
      </c>
      <c r="M212" s="352" t="s">
        <v>551</v>
      </c>
      <c r="N212" s="403">
        <v>18000</v>
      </c>
      <c r="O212" s="404">
        <v>90000</v>
      </c>
      <c r="P212" s="421">
        <v>4</v>
      </c>
      <c r="Q212" s="439"/>
      <c r="R212" s="437">
        <v>1000000</v>
      </c>
      <c r="S212" s="438">
        <f t="shared" si="28"/>
        <v>100000</v>
      </c>
      <c r="T212" s="439" t="s">
        <v>538</v>
      </c>
      <c r="U212" s="460" t="str">
        <f t="shared" si="29"/>
        <v/>
      </c>
      <c r="V212" s="439" t="s">
        <v>539</v>
      </c>
      <c r="W212" s="439" t="s">
        <v>540</v>
      </c>
      <c r="X212" s="439"/>
      <c r="Y212" s="439" t="str">
        <f t="shared" si="32"/>
        <v>vixal 500ml</v>
      </c>
      <c r="Z212" s="449" t="s">
        <v>1553</v>
      </c>
      <c r="AA212" s="440" t="s">
        <v>868</v>
      </c>
      <c r="AB212" s="441">
        <f t="shared" si="30"/>
        <v>16216.216216216217</v>
      </c>
      <c r="AC212" s="442">
        <f t="shared" si="31"/>
        <v>81081.08108108108</v>
      </c>
      <c r="AD212" s="437">
        <v>1000000</v>
      </c>
      <c r="AE212" s="447">
        <v>900900.90090090095</v>
      </c>
      <c r="AF212" s="447">
        <v>1000000</v>
      </c>
      <c r="AG212" s="437">
        <v>1000000</v>
      </c>
      <c r="AH212" s="443" t="s">
        <v>2098</v>
      </c>
    </row>
    <row r="213" spans="1:36">
      <c r="A213" s="350">
        <v>81</v>
      </c>
      <c r="B213" s="352" t="s">
        <v>788</v>
      </c>
      <c r="C213" s="352" t="s">
        <v>532</v>
      </c>
      <c r="D213" s="355" t="s">
        <v>533</v>
      </c>
      <c r="E213" s="363" t="s">
        <v>706</v>
      </c>
      <c r="F213" s="361">
        <v>44992</v>
      </c>
      <c r="G213" s="361">
        <f t="shared" si="33"/>
        <v>44992</v>
      </c>
      <c r="H213" s="361">
        <f t="shared" si="33"/>
        <v>44992</v>
      </c>
      <c r="I213" s="365">
        <v>45037</v>
      </c>
      <c r="J213" s="387" t="s">
        <v>669</v>
      </c>
      <c r="K213" s="352" t="s">
        <v>536</v>
      </c>
      <c r="L213" s="402">
        <v>20</v>
      </c>
      <c r="M213" s="352" t="s">
        <v>488</v>
      </c>
      <c r="N213" s="403">
        <v>12000</v>
      </c>
      <c r="O213" s="404">
        <v>240000</v>
      </c>
      <c r="P213" s="421">
        <v>4</v>
      </c>
      <c r="Q213" s="439"/>
      <c r="R213" s="437">
        <v>4800000</v>
      </c>
      <c r="S213" s="438">
        <f t="shared" si="28"/>
        <v>280000</v>
      </c>
      <c r="T213" s="439" t="s">
        <v>538</v>
      </c>
      <c r="U213" s="460" t="str">
        <f t="shared" si="29"/>
        <v/>
      </c>
      <c r="V213" s="439" t="s">
        <v>539</v>
      </c>
      <c r="W213" s="439" t="s">
        <v>540</v>
      </c>
      <c r="X213" s="439"/>
      <c r="Y213" s="439" t="str">
        <f t="shared" si="32"/>
        <v>Tissue</v>
      </c>
      <c r="Z213" s="449"/>
      <c r="AA213" s="440" t="s">
        <v>868</v>
      </c>
      <c r="AB213" s="441">
        <f t="shared" si="30"/>
        <v>10810.810810810812</v>
      </c>
      <c r="AC213" s="442">
        <f t="shared" si="31"/>
        <v>216216.21621621624</v>
      </c>
      <c r="AD213" s="437">
        <v>4800000</v>
      </c>
      <c r="AE213" s="447">
        <v>11081081.081081081</v>
      </c>
      <c r="AF213" s="447">
        <v>12300000</v>
      </c>
      <c r="AG213" s="437">
        <v>4800000</v>
      </c>
      <c r="AH213" s="443" t="s">
        <v>2098</v>
      </c>
      <c r="AI213" s="448">
        <f>SUM(AC213:AC215)</f>
        <v>1117117.1171171172</v>
      </c>
      <c r="AJ213" s="448">
        <f>SUM(AD213:AD215)</f>
        <v>12300000</v>
      </c>
    </row>
    <row r="214" spans="1:36">
      <c r="A214" s="350">
        <v>82</v>
      </c>
      <c r="B214" s="352" t="s">
        <v>794</v>
      </c>
      <c r="C214" s="352" t="s">
        <v>795</v>
      </c>
      <c r="D214" s="355" t="s">
        <v>796</v>
      </c>
      <c r="E214" s="363" t="s">
        <v>706</v>
      </c>
      <c r="F214" s="361">
        <v>44992</v>
      </c>
      <c r="G214" s="361">
        <f t="shared" si="33"/>
        <v>44992</v>
      </c>
      <c r="H214" s="361">
        <f t="shared" si="33"/>
        <v>44992</v>
      </c>
      <c r="I214" s="365">
        <v>45037</v>
      </c>
      <c r="J214" s="387" t="s">
        <v>797</v>
      </c>
      <c r="K214" s="352" t="s">
        <v>798</v>
      </c>
      <c r="L214" s="402">
        <v>5</v>
      </c>
      <c r="M214" s="352" t="s">
        <v>488</v>
      </c>
      <c r="N214" s="403">
        <v>80000</v>
      </c>
      <c r="O214" s="404">
        <v>400000</v>
      </c>
      <c r="P214" s="421">
        <v>4</v>
      </c>
      <c r="Q214" s="439"/>
      <c r="R214" s="437">
        <v>6800000</v>
      </c>
      <c r="S214" s="438">
        <f t="shared" si="28"/>
        <v>410000</v>
      </c>
      <c r="T214" s="439" t="s">
        <v>12</v>
      </c>
      <c r="U214" s="460" t="str">
        <f t="shared" si="29"/>
        <v/>
      </c>
      <c r="V214" s="599" t="s">
        <v>13</v>
      </c>
      <c r="W214" s="439" t="s">
        <v>804</v>
      </c>
      <c r="X214" s="439"/>
      <c r="Y214" s="439" t="str">
        <f t="shared" si="32"/>
        <v>Lampu Hemat Energi</v>
      </c>
      <c r="Z214" s="449"/>
      <c r="AA214" s="440" t="s">
        <v>868</v>
      </c>
      <c r="AB214" s="441">
        <f t="shared" si="30"/>
        <v>72072.072072072071</v>
      </c>
      <c r="AC214" s="442">
        <f t="shared" si="31"/>
        <v>360360.36036036036</v>
      </c>
      <c r="AD214" s="437">
        <v>6800000</v>
      </c>
      <c r="AE214" s="447">
        <v>11081081.081081081</v>
      </c>
      <c r="AF214" s="447">
        <v>12300000</v>
      </c>
      <c r="AG214" s="437">
        <v>6800000</v>
      </c>
      <c r="AH214" s="443" t="s">
        <v>2099</v>
      </c>
    </row>
    <row r="215" spans="1:36">
      <c r="A215" s="350">
        <v>84</v>
      </c>
      <c r="B215" s="352" t="s">
        <v>800</v>
      </c>
      <c r="C215" s="352" t="s">
        <v>504</v>
      </c>
      <c r="D215" s="355" t="s">
        <v>801</v>
      </c>
      <c r="E215" s="363" t="s">
        <v>706</v>
      </c>
      <c r="F215" s="361">
        <v>44992</v>
      </c>
      <c r="G215" s="361">
        <f t="shared" si="33"/>
        <v>44992</v>
      </c>
      <c r="H215" s="361">
        <f t="shared" si="33"/>
        <v>44992</v>
      </c>
      <c r="I215" s="365">
        <v>45037</v>
      </c>
      <c r="J215" s="387" t="s">
        <v>802</v>
      </c>
      <c r="K215" s="352" t="s">
        <v>803</v>
      </c>
      <c r="L215" s="402">
        <v>2</v>
      </c>
      <c r="M215" s="352" t="s">
        <v>488</v>
      </c>
      <c r="N215" s="403">
        <v>300000</v>
      </c>
      <c r="O215" s="404">
        <v>1000000</v>
      </c>
      <c r="P215" s="421">
        <v>4</v>
      </c>
      <c r="Q215" s="439"/>
      <c r="R215" s="437">
        <v>700000</v>
      </c>
      <c r="S215" s="438">
        <f t="shared" si="28"/>
        <v>604000</v>
      </c>
      <c r="T215" s="439" t="s">
        <v>12</v>
      </c>
      <c r="U215" s="460" t="str">
        <f t="shared" si="29"/>
        <v/>
      </c>
      <c r="V215" s="599" t="s">
        <v>13</v>
      </c>
      <c r="W215" s="439" t="s">
        <v>804</v>
      </c>
      <c r="X215" s="439"/>
      <c r="Y215" s="439" t="str">
        <f t="shared" si="32"/>
        <v>Bola Volly</v>
      </c>
      <c r="Z215" s="449"/>
      <c r="AA215" s="440" t="s">
        <v>608</v>
      </c>
      <c r="AB215" s="441">
        <f t="shared" si="30"/>
        <v>270270.2702702703</v>
      </c>
      <c r="AC215" s="442">
        <f t="shared" si="31"/>
        <v>540540.54054054059</v>
      </c>
      <c r="AD215" s="437">
        <v>700000</v>
      </c>
      <c r="AE215" s="447">
        <v>11081081.081081081</v>
      </c>
      <c r="AF215" s="447">
        <v>12300000</v>
      </c>
      <c r="AG215" s="437">
        <v>700000</v>
      </c>
      <c r="AH215" s="443" t="s">
        <v>2099</v>
      </c>
    </row>
    <row r="216" spans="1:36">
      <c r="A216" s="350">
        <v>84</v>
      </c>
      <c r="B216" s="352" t="s">
        <v>800</v>
      </c>
      <c r="C216" s="352" t="s">
        <v>504</v>
      </c>
      <c r="D216" s="355" t="s">
        <v>801</v>
      </c>
      <c r="E216" s="363" t="s">
        <v>706</v>
      </c>
      <c r="F216" s="361">
        <v>44992</v>
      </c>
      <c r="G216" s="361">
        <f t="shared" si="33"/>
        <v>44992</v>
      </c>
      <c r="H216" s="361">
        <f t="shared" si="33"/>
        <v>44992</v>
      </c>
      <c r="I216" s="365">
        <v>45037</v>
      </c>
      <c r="J216" s="387" t="s">
        <v>807</v>
      </c>
      <c r="K216" s="352" t="s">
        <v>808</v>
      </c>
      <c r="L216" s="402">
        <v>2</v>
      </c>
      <c r="M216" s="352" t="s">
        <v>488</v>
      </c>
      <c r="N216" s="403">
        <v>500000</v>
      </c>
      <c r="O216" s="404">
        <v>600000</v>
      </c>
      <c r="P216" s="421">
        <v>4</v>
      </c>
      <c r="Q216" s="439"/>
      <c r="R216" s="437">
        <v>125000</v>
      </c>
      <c r="S216" s="438">
        <f t="shared" si="28"/>
        <v>1004000</v>
      </c>
      <c r="T216" s="439" t="s">
        <v>12</v>
      </c>
      <c r="U216" s="460" t="str">
        <f t="shared" si="29"/>
        <v/>
      </c>
      <c r="V216" s="599" t="s">
        <v>13</v>
      </c>
      <c r="W216" s="439" t="s">
        <v>804</v>
      </c>
      <c r="X216" s="439"/>
      <c r="Y216" s="439" t="str">
        <f t="shared" si="32"/>
        <v>Bola Futsal</v>
      </c>
      <c r="Z216" s="449"/>
      <c r="AA216" s="440" t="s">
        <v>587</v>
      </c>
      <c r="AB216" s="441">
        <f t="shared" si="30"/>
        <v>450450.45045045047</v>
      </c>
      <c r="AC216" s="442">
        <f t="shared" si="31"/>
        <v>900900.90090090095</v>
      </c>
      <c r="AD216" s="437">
        <v>125000</v>
      </c>
      <c r="AE216" s="447">
        <v>112612.61261261262</v>
      </c>
      <c r="AF216" s="447">
        <v>125000</v>
      </c>
      <c r="AG216" s="437">
        <v>125000</v>
      </c>
      <c r="AH216" s="443" t="s">
        <v>2099</v>
      </c>
    </row>
    <row r="217" spans="1:36">
      <c r="A217" s="773">
        <v>84</v>
      </c>
      <c r="B217" s="352" t="s">
        <v>800</v>
      </c>
      <c r="C217" s="352" t="s">
        <v>504</v>
      </c>
      <c r="D217" s="355" t="s">
        <v>801</v>
      </c>
      <c r="E217" s="363" t="s">
        <v>706</v>
      </c>
      <c r="F217" s="361">
        <v>44992</v>
      </c>
      <c r="G217" s="361">
        <f t="shared" si="33"/>
        <v>44992</v>
      </c>
      <c r="H217" s="361">
        <f t="shared" si="33"/>
        <v>44992</v>
      </c>
      <c r="I217" s="365">
        <v>45037</v>
      </c>
      <c r="J217" s="388" t="s">
        <v>809</v>
      </c>
      <c r="K217" s="352" t="s">
        <v>810</v>
      </c>
      <c r="L217" s="402">
        <v>2</v>
      </c>
      <c r="M217" s="352" t="s">
        <v>472</v>
      </c>
      <c r="N217" s="403">
        <v>120000</v>
      </c>
      <c r="O217" s="404">
        <v>240000</v>
      </c>
      <c r="P217" s="421">
        <v>4</v>
      </c>
      <c r="Q217" s="439"/>
      <c r="R217" s="437">
        <v>100000</v>
      </c>
      <c r="S217" s="438">
        <f t="shared" si="28"/>
        <v>244000</v>
      </c>
      <c r="T217" s="439" t="s">
        <v>12</v>
      </c>
      <c r="U217" s="460" t="str">
        <f t="shared" si="29"/>
        <v/>
      </c>
      <c r="V217" s="599" t="s">
        <v>13</v>
      </c>
      <c r="W217" s="439" t="s">
        <v>804</v>
      </c>
      <c r="X217" s="439"/>
      <c r="Y217" s="439" t="str">
        <f t="shared" si="32"/>
        <v>Shuttlecock</v>
      </c>
      <c r="Z217" s="449"/>
      <c r="AA217" s="440" t="s">
        <v>587</v>
      </c>
      <c r="AB217" s="441">
        <f t="shared" si="30"/>
        <v>108108.10810810811</v>
      </c>
      <c r="AC217" s="442">
        <f t="shared" si="31"/>
        <v>216216.21621621621</v>
      </c>
      <c r="AD217" s="437">
        <v>100000</v>
      </c>
      <c r="AE217" s="447">
        <v>270270.2702702703</v>
      </c>
      <c r="AF217" s="447">
        <v>300000</v>
      </c>
      <c r="AG217" s="437">
        <v>100000</v>
      </c>
      <c r="AH217" s="443" t="s">
        <v>2099</v>
      </c>
      <c r="AI217" s="448">
        <f>SUM(AC217:AC218)</f>
        <v>576576.57657657657</v>
      </c>
      <c r="AJ217" s="448">
        <f>SUM(AD217:AD218)</f>
        <v>300000</v>
      </c>
    </row>
    <row r="218" spans="1:36">
      <c r="A218" s="773">
        <v>85</v>
      </c>
      <c r="B218" s="352" t="s">
        <v>811</v>
      </c>
      <c r="C218" s="352" t="s">
        <v>492</v>
      </c>
      <c r="D218" s="355" t="s">
        <v>464</v>
      </c>
      <c r="E218" s="363" t="s">
        <v>812</v>
      </c>
      <c r="F218" s="361">
        <v>44996</v>
      </c>
      <c r="G218" s="361">
        <f t="shared" si="33"/>
        <v>44996</v>
      </c>
      <c r="H218" s="361">
        <f t="shared" si="33"/>
        <v>44996</v>
      </c>
      <c r="I218" s="365">
        <v>45037</v>
      </c>
      <c r="J218" s="387" t="s">
        <v>496</v>
      </c>
      <c r="K218" s="352" t="s">
        <v>484</v>
      </c>
      <c r="L218" s="402">
        <v>8</v>
      </c>
      <c r="M218" s="352" t="s">
        <v>472</v>
      </c>
      <c r="N218" s="403">
        <v>50000</v>
      </c>
      <c r="O218" s="404">
        <v>400000</v>
      </c>
      <c r="P218" s="421">
        <v>4</v>
      </c>
      <c r="Q218" s="439"/>
      <c r="R218" s="437">
        <v>200000</v>
      </c>
      <c r="S218" s="438">
        <f t="shared" si="28"/>
        <v>416000</v>
      </c>
      <c r="T218" s="439" t="s">
        <v>10</v>
      </c>
      <c r="U218" s="460" t="str">
        <f t="shared" si="29"/>
        <v/>
      </c>
      <c r="V218" s="275" t="s">
        <v>11</v>
      </c>
      <c r="W218" s="439" t="s">
        <v>473</v>
      </c>
      <c r="X218" s="439"/>
      <c r="Y218" s="439" t="str">
        <f t="shared" si="32"/>
        <v>Aqua gelas siwa/i pada kegiatan ekstrakurikuler pramuka</v>
      </c>
      <c r="Z218" s="449"/>
      <c r="AA218" s="440" t="s">
        <v>587</v>
      </c>
      <c r="AB218" s="441">
        <f t="shared" si="30"/>
        <v>45045.045045045044</v>
      </c>
      <c r="AC218" s="442">
        <f t="shared" si="31"/>
        <v>360360.36036036036</v>
      </c>
      <c r="AD218" s="437">
        <v>200000</v>
      </c>
      <c r="AE218" s="447">
        <v>270270.2702702703</v>
      </c>
      <c r="AF218" s="447">
        <v>300000</v>
      </c>
      <c r="AG218" s="437">
        <v>200000</v>
      </c>
      <c r="AH218" s="271" t="s">
        <v>2092</v>
      </c>
    </row>
    <row r="219" spans="1:36" ht="25">
      <c r="A219" s="350">
        <v>85</v>
      </c>
      <c r="B219" s="352" t="s">
        <v>813</v>
      </c>
      <c r="C219" s="352" t="s">
        <v>498</v>
      </c>
      <c r="D219" s="355" t="s">
        <v>464</v>
      </c>
      <c r="E219" s="363" t="s">
        <v>812</v>
      </c>
      <c r="F219" s="361">
        <v>44996</v>
      </c>
      <c r="G219" s="361">
        <f t="shared" si="33"/>
        <v>44996</v>
      </c>
      <c r="H219" s="361">
        <f t="shared" si="33"/>
        <v>44996</v>
      </c>
      <c r="I219" s="365">
        <v>45037</v>
      </c>
      <c r="J219" s="387" t="s">
        <v>502</v>
      </c>
      <c r="K219" s="352" t="s">
        <v>484</v>
      </c>
      <c r="L219" s="402">
        <v>8</v>
      </c>
      <c r="M219" s="352" t="s">
        <v>472</v>
      </c>
      <c r="N219" s="403">
        <v>50000</v>
      </c>
      <c r="O219" s="404">
        <v>400000</v>
      </c>
      <c r="P219" s="421">
        <v>4</v>
      </c>
      <c r="Q219" s="439"/>
      <c r="R219" s="437">
        <v>400000</v>
      </c>
      <c r="S219" s="438">
        <f t="shared" si="28"/>
        <v>416000</v>
      </c>
      <c r="T219" s="439" t="s">
        <v>10</v>
      </c>
      <c r="U219" s="460" t="str">
        <f t="shared" si="29"/>
        <v/>
      </c>
      <c r="V219" s="439" t="s">
        <v>11</v>
      </c>
      <c r="W219" s="439" t="s">
        <v>473</v>
      </c>
      <c r="X219" s="439"/>
      <c r="Y219" s="439" t="str">
        <f t="shared" si="32"/>
        <v>Air mineral/Aqua gelas siswa/i peserta kegiatan ekstrakurikuler seni dan budaya (paduan suara)</v>
      </c>
      <c r="Z219" s="449" t="s">
        <v>1554</v>
      </c>
      <c r="AA219" s="440" t="s">
        <v>488</v>
      </c>
      <c r="AB219" s="441">
        <f t="shared" si="30"/>
        <v>45045.045045045044</v>
      </c>
      <c r="AC219" s="442">
        <f t="shared" si="31"/>
        <v>360360.36036036036</v>
      </c>
      <c r="AD219" s="437">
        <v>400000</v>
      </c>
      <c r="AE219" s="447">
        <v>360360.36036036036</v>
      </c>
      <c r="AF219" s="447">
        <v>400000</v>
      </c>
      <c r="AG219" s="437">
        <v>400000</v>
      </c>
      <c r="AH219" s="443" t="s">
        <v>2092</v>
      </c>
    </row>
    <row r="220" spans="1:36" ht="25">
      <c r="A220" s="350">
        <v>85</v>
      </c>
      <c r="B220" s="352" t="s">
        <v>814</v>
      </c>
      <c r="C220" s="352" t="s">
        <v>504</v>
      </c>
      <c r="D220" s="355" t="s">
        <v>464</v>
      </c>
      <c r="E220" s="363" t="s">
        <v>812</v>
      </c>
      <c r="F220" s="361">
        <v>44996</v>
      </c>
      <c r="G220" s="361">
        <f t="shared" si="33"/>
        <v>44996</v>
      </c>
      <c r="H220" s="361">
        <f t="shared" si="33"/>
        <v>44996</v>
      </c>
      <c r="I220" s="365">
        <v>45037</v>
      </c>
      <c r="J220" s="387" t="s">
        <v>505</v>
      </c>
      <c r="K220" s="352" t="s">
        <v>484</v>
      </c>
      <c r="L220" s="402">
        <v>8</v>
      </c>
      <c r="M220" s="352" t="s">
        <v>472</v>
      </c>
      <c r="N220" s="403">
        <v>50000</v>
      </c>
      <c r="O220" s="404">
        <v>400000</v>
      </c>
      <c r="P220" s="421">
        <v>4</v>
      </c>
      <c r="Q220" s="439"/>
      <c r="R220" s="437">
        <v>360000</v>
      </c>
      <c r="S220" s="438">
        <f t="shared" si="28"/>
        <v>416000</v>
      </c>
      <c r="T220" s="439" t="s">
        <v>10</v>
      </c>
      <c r="U220" s="460" t="str">
        <f t="shared" si="29"/>
        <v/>
      </c>
      <c r="V220" s="439" t="s">
        <v>11</v>
      </c>
      <c r="W220" s="439" t="s">
        <v>473</v>
      </c>
      <c r="X220" s="439"/>
      <c r="Y220" s="439" t="str">
        <f t="shared" si="32"/>
        <v>aqua gelas siswa/i peserta kegiatan ekstrakurikuler olahraga karate</v>
      </c>
      <c r="Z220" s="449" t="s">
        <v>1555</v>
      </c>
      <c r="AA220" s="440" t="s">
        <v>714</v>
      </c>
      <c r="AB220" s="441">
        <f t="shared" si="30"/>
        <v>45045.045045045044</v>
      </c>
      <c r="AC220" s="442">
        <f t="shared" si="31"/>
        <v>360360.36036036036</v>
      </c>
      <c r="AD220" s="437">
        <v>360000</v>
      </c>
      <c r="AE220" s="447">
        <v>324324.32432432432</v>
      </c>
      <c r="AF220" s="447">
        <v>360000</v>
      </c>
      <c r="AG220" s="437">
        <v>360000</v>
      </c>
      <c r="AH220" s="443" t="s">
        <v>2092</v>
      </c>
    </row>
    <row r="221" spans="1:36">
      <c r="A221" s="350">
        <v>85</v>
      </c>
      <c r="B221" s="352" t="s">
        <v>815</v>
      </c>
      <c r="C221" s="352" t="s">
        <v>507</v>
      </c>
      <c r="D221" s="355" t="s">
        <v>464</v>
      </c>
      <c r="E221" s="363" t="s">
        <v>812</v>
      </c>
      <c r="F221" s="361">
        <v>44996</v>
      </c>
      <c r="G221" s="361">
        <f t="shared" ref="G221:H236" si="34">F221</f>
        <v>44996</v>
      </c>
      <c r="H221" s="361">
        <f t="shared" si="34"/>
        <v>44996</v>
      </c>
      <c r="I221" s="365">
        <v>45037</v>
      </c>
      <c r="J221" s="387" t="s">
        <v>510</v>
      </c>
      <c r="K221" s="352" t="s">
        <v>484</v>
      </c>
      <c r="L221" s="402">
        <v>8</v>
      </c>
      <c r="M221" s="352" t="s">
        <v>472</v>
      </c>
      <c r="N221" s="403">
        <v>50000</v>
      </c>
      <c r="O221" s="404">
        <v>400000</v>
      </c>
      <c r="P221" s="421">
        <v>4</v>
      </c>
      <c r="Q221" s="492" t="s">
        <v>128</v>
      </c>
      <c r="R221" s="437">
        <v>1000000</v>
      </c>
      <c r="S221" s="438">
        <f t="shared" si="28"/>
        <v>416000</v>
      </c>
      <c r="T221" s="439" t="s">
        <v>10</v>
      </c>
      <c r="U221" s="460" t="str">
        <f t="shared" si="29"/>
        <v/>
      </c>
      <c r="V221" s="439" t="s">
        <v>11</v>
      </c>
      <c r="W221" s="439" t="s">
        <v>473</v>
      </c>
      <c r="X221" s="439" t="s">
        <v>709</v>
      </c>
      <c r="Y221" s="439" t="s">
        <v>710</v>
      </c>
      <c r="Z221" s="449" t="s">
        <v>710</v>
      </c>
      <c r="AA221" s="440" t="s">
        <v>551</v>
      </c>
      <c r="AB221" s="441">
        <f t="shared" si="30"/>
        <v>45045.045045045044</v>
      </c>
      <c r="AC221" s="442">
        <f t="shared" si="31"/>
        <v>360360.36036036036</v>
      </c>
      <c r="AD221" s="437">
        <v>1000000</v>
      </c>
      <c r="AE221" s="447">
        <v>4866666.666666667</v>
      </c>
      <c r="AF221" s="447">
        <v>5402000</v>
      </c>
      <c r="AG221" s="437">
        <v>1000000</v>
      </c>
      <c r="AH221" s="443" t="s">
        <v>2092</v>
      </c>
      <c r="AI221" s="448">
        <f>SUM(AC221:AC268)</f>
        <v>31257027.02702703</v>
      </c>
      <c r="AJ221" s="448">
        <f>SUM(AD221:AD268)</f>
        <v>5402000</v>
      </c>
    </row>
    <row r="222" spans="1:36">
      <c r="A222" s="350">
        <v>85</v>
      </c>
      <c r="B222" s="352" t="s">
        <v>816</v>
      </c>
      <c r="C222" s="352" t="s">
        <v>512</v>
      </c>
      <c r="D222" s="355" t="s">
        <v>464</v>
      </c>
      <c r="E222" s="363" t="s">
        <v>812</v>
      </c>
      <c r="F222" s="361">
        <v>44996</v>
      </c>
      <c r="G222" s="361">
        <f t="shared" si="34"/>
        <v>44996</v>
      </c>
      <c r="H222" s="361">
        <f t="shared" si="34"/>
        <v>44996</v>
      </c>
      <c r="I222" s="365">
        <v>45037</v>
      </c>
      <c r="J222" s="387" t="s">
        <v>513</v>
      </c>
      <c r="K222" s="352" t="s">
        <v>484</v>
      </c>
      <c r="L222" s="402">
        <v>4</v>
      </c>
      <c r="M222" s="352" t="s">
        <v>472</v>
      </c>
      <c r="N222" s="403">
        <v>50000</v>
      </c>
      <c r="O222" s="404">
        <v>200000</v>
      </c>
      <c r="P222" s="421">
        <v>4</v>
      </c>
      <c r="Q222" s="492" t="s">
        <v>118</v>
      </c>
      <c r="R222" s="437">
        <v>95000</v>
      </c>
      <c r="S222" s="438">
        <f t="shared" si="28"/>
        <v>208000</v>
      </c>
      <c r="T222" s="439" t="s">
        <v>10</v>
      </c>
      <c r="U222" s="460" t="str">
        <f t="shared" si="29"/>
        <v/>
      </c>
      <c r="V222" s="439" t="s">
        <v>11</v>
      </c>
      <c r="W222" s="439" t="s">
        <v>473</v>
      </c>
      <c r="X222" s="439" t="s">
        <v>709</v>
      </c>
      <c r="Y222" s="439" t="s">
        <v>710</v>
      </c>
      <c r="Z222" s="449" t="s">
        <v>710</v>
      </c>
      <c r="AA222" s="440" t="s">
        <v>772</v>
      </c>
      <c r="AB222" s="441">
        <f t="shared" si="30"/>
        <v>45045.045045045044</v>
      </c>
      <c r="AC222" s="442">
        <f t="shared" si="31"/>
        <v>180180.18018018018</v>
      </c>
      <c r="AD222" s="437">
        <v>95000</v>
      </c>
      <c r="AE222" s="447">
        <v>4866666.666666667</v>
      </c>
      <c r="AF222" s="447">
        <v>5402000</v>
      </c>
      <c r="AG222" s="437">
        <v>95000</v>
      </c>
      <c r="AH222" s="443" t="s">
        <v>2092</v>
      </c>
    </row>
    <row r="223" spans="1:36">
      <c r="A223" s="773">
        <v>90</v>
      </c>
      <c r="B223" s="352" t="s">
        <v>817</v>
      </c>
      <c r="C223" s="352" t="s">
        <v>818</v>
      </c>
      <c r="D223" s="355" t="s">
        <v>571</v>
      </c>
      <c r="E223" s="361">
        <v>44999</v>
      </c>
      <c r="F223" s="361">
        <v>45000</v>
      </c>
      <c r="G223" s="361">
        <f t="shared" si="34"/>
        <v>45000</v>
      </c>
      <c r="H223" s="361">
        <f t="shared" si="34"/>
        <v>45000</v>
      </c>
      <c r="I223" s="365">
        <v>45037</v>
      </c>
      <c r="J223" s="387" t="s">
        <v>9</v>
      </c>
      <c r="K223" s="352" t="s">
        <v>819</v>
      </c>
      <c r="L223" s="402">
        <v>15881</v>
      </c>
      <c r="M223" s="352" t="s">
        <v>574</v>
      </c>
      <c r="N223" s="405">
        <v>300</v>
      </c>
      <c r="O223" s="404">
        <v>4764300</v>
      </c>
      <c r="P223" s="421">
        <v>4</v>
      </c>
      <c r="Q223" s="492" t="s">
        <v>106</v>
      </c>
      <c r="R223" s="437">
        <v>260000</v>
      </c>
      <c r="S223" s="438">
        <f t="shared" si="28"/>
        <v>36526300</v>
      </c>
      <c r="T223" s="439" t="s">
        <v>538</v>
      </c>
      <c r="U223" s="460" t="str">
        <f t="shared" si="29"/>
        <v/>
      </c>
      <c r="V223" s="439" t="s">
        <v>539</v>
      </c>
      <c r="W223" s="439" t="s">
        <v>540</v>
      </c>
      <c r="X223" s="439" t="s">
        <v>709</v>
      </c>
      <c r="Y223" s="439" t="s">
        <v>710</v>
      </c>
      <c r="Z223" s="449" t="s">
        <v>710</v>
      </c>
      <c r="AA223" s="440" t="s">
        <v>714</v>
      </c>
      <c r="AB223" s="441">
        <f t="shared" si="30"/>
        <v>270.27027027027026</v>
      </c>
      <c r="AC223" s="442">
        <f t="shared" si="31"/>
        <v>4292162.1621621624</v>
      </c>
      <c r="AD223" s="437">
        <v>260000</v>
      </c>
      <c r="AE223" s="447">
        <v>4866666.666666667</v>
      </c>
      <c r="AF223" s="447">
        <v>5402000</v>
      </c>
      <c r="AG223" s="437">
        <v>260000</v>
      </c>
      <c r="AH223" s="443" t="s">
        <v>2098</v>
      </c>
    </row>
    <row r="224" spans="1:36" ht="37.5">
      <c r="A224" s="773">
        <v>91</v>
      </c>
      <c r="B224" s="352" t="s">
        <v>820</v>
      </c>
      <c r="C224" s="352" t="s">
        <v>821</v>
      </c>
      <c r="D224" s="355" t="s">
        <v>464</v>
      </c>
      <c r="E224" s="361">
        <v>44999</v>
      </c>
      <c r="F224" s="361">
        <v>45000</v>
      </c>
      <c r="G224" s="361">
        <f t="shared" si="34"/>
        <v>45000</v>
      </c>
      <c r="H224" s="361">
        <f t="shared" si="34"/>
        <v>45000</v>
      </c>
      <c r="I224" s="365">
        <v>45037</v>
      </c>
      <c r="J224" s="387" t="s">
        <v>822</v>
      </c>
      <c r="K224" s="352" t="s">
        <v>471</v>
      </c>
      <c r="L224" s="402">
        <v>4</v>
      </c>
      <c r="M224" s="352" t="s">
        <v>472</v>
      </c>
      <c r="N224" s="403">
        <v>70000</v>
      </c>
      <c r="O224" s="404">
        <v>280000</v>
      </c>
      <c r="P224" s="421">
        <v>4</v>
      </c>
      <c r="Q224" s="492" t="s">
        <v>102</v>
      </c>
      <c r="R224" s="437">
        <v>225000</v>
      </c>
      <c r="S224" s="438">
        <f t="shared" si="28"/>
        <v>288000</v>
      </c>
      <c r="T224" s="439" t="s">
        <v>10</v>
      </c>
      <c r="U224" s="460" t="str">
        <f t="shared" si="29"/>
        <v>UD. USAHA JAYA</v>
      </c>
      <c r="V224" s="439" t="s">
        <v>11</v>
      </c>
      <c r="W224" s="439" t="s">
        <v>473</v>
      </c>
      <c r="X224" s="439" t="s">
        <v>709</v>
      </c>
      <c r="Y224" s="439" t="s">
        <v>710</v>
      </c>
      <c r="Z224" s="449" t="s">
        <v>710</v>
      </c>
      <c r="AA224" s="440" t="s">
        <v>714</v>
      </c>
      <c r="AB224" s="441">
        <f t="shared" si="30"/>
        <v>63063.063063063062</v>
      </c>
      <c r="AC224" s="442">
        <f t="shared" si="31"/>
        <v>252252.25225225225</v>
      </c>
      <c r="AD224" s="437">
        <v>225000</v>
      </c>
      <c r="AE224" s="447">
        <v>4866666.666666667</v>
      </c>
      <c r="AF224" s="447">
        <v>5402000</v>
      </c>
      <c r="AG224" s="437">
        <v>225000</v>
      </c>
      <c r="AH224" s="443" t="s">
        <v>2092</v>
      </c>
    </row>
    <row r="225" spans="1:34" ht="37.5">
      <c r="A225" s="350">
        <v>91</v>
      </c>
      <c r="B225" s="352" t="s">
        <v>823</v>
      </c>
      <c r="C225" s="352" t="s">
        <v>821</v>
      </c>
      <c r="D225" s="355" t="s">
        <v>464</v>
      </c>
      <c r="E225" s="361">
        <v>44999</v>
      </c>
      <c r="F225" s="361">
        <v>45000</v>
      </c>
      <c r="G225" s="361">
        <f t="shared" si="34"/>
        <v>45000</v>
      </c>
      <c r="H225" s="361">
        <f t="shared" si="34"/>
        <v>45000</v>
      </c>
      <c r="I225" s="365">
        <v>45037</v>
      </c>
      <c r="J225" s="387" t="s">
        <v>824</v>
      </c>
      <c r="K225" s="352" t="s">
        <v>487</v>
      </c>
      <c r="L225" s="402">
        <v>60</v>
      </c>
      <c r="M225" s="352" t="s">
        <v>488</v>
      </c>
      <c r="N225" s="403">
        <v>8000</v>
      </c>
      <c r="O225" s="404">
        <v>480000</v>
      </c>
      <c r="P225" s="421">
        <v>4</v>
      </c>
      <c r="Q225" s="492" t="s">
        <v>151</v>
      </c>
      <c r="R225" s="437">
        <v>150000</v>
      </c>
      <c r="S225" s="438">
        <f t="shared" si="28"/>
        <v>600000</v>
      </c>
      <c r="T225" s="439" t="s">
        <v>10</v>
      </c>
      <c r="U225" s="460" t="str">
        <f t="shared" si="29"/>
        <v/>
      </c>
      <c r="V225" s="439" t="s">
        <v>11</v>
      </c>
      <c r="W225" s="439" t="s">
        <v>473</v>
      </c>
      <c r="X225" s="439" t="s">
        <v>709</v>
      </c>
      <c r="Y225" s="439" t="s">
        <v>710</v>
      </c>
      <c r="Z225" s="449" t="s">
        <v>710</v>
      </c>
      <c r="AA225" s="440" t="s">
        <v>728</v>
      </c>
      <c r="AB225" s="441">
        <f t="shared" si="30"/>
        <v>7207.2072072072069</v>
      </c>
      <c r="AC225" s="442">
        <f t="shared" si="31"/>
        <v>432432.43243243243</v>
      </c>
      <c r="AD225" s="437">
        <v>150000</v>
      </c>
      <c r="AE225" s="447">
        <v>4866666.666666667</v>
      </c>
      <c r="AF225" s="447">
        <v>5402000</v>
      </c>
      <c r="AG225" s="437">
        <v>150000</v>
      </c>
      <c r="AH225" s="443" t="s">
        <v>2092</v>
      </c>
    </row>
    <row r="226" spans="1:34" ht="25">
      <c r="A226" s="350">
        <v>91</v>
      </c>
      <c r="B226" s="352" t="s">
        <v>825</v>
      </c>
      <c r="C226" s="352" t="s">
        <v>517</v>
      </c>
      <c r="D226" s="355" t="s">
        <v>464</v>
      </c>
      <c r="E226" s="361">
        <v>44999</v>
      </c>
      <c r="F226" s="361">
        <v>45000</v>
      </c>
      <c r="G226" s="361">
        <f t="shared" si="34"/>
        <v>45000</v>
      </c>
      <c r="H226" s="361">
        <f t="shared" si="34"/>
        <v>45000</v>
      </c>
      <c r="I226" s="365">
        <v>45037</v>
      </c>
      <c r="J226" s="387" t="s">
        <v>518</v>
      </c>
      <c r="K226" s="352" t="s">
        <v>484</v>
      </c>
      <c r="L226" s="402">
        <v>10</v>
      </c>
      <c r="M226" s="352" t="s">
        <v>472</v>
      </c>
      <c r="N226" s="403">
        <v>50000</v>
      </c>
      <c r="O226" s="404">
        <v>500000</v>
      </c>
      <c r="P226" s="421">
        <v>4</v>
      </c>
      <c r="Q226" s="492" t="s">
        <v>96</v>
      </c>
      <c r="R226" s="437">
        <v>40000</v>
      </c>
      <c r="S226" s="438">
        <f t="shared" si="28"/>
        <v>520000</v>
      </c>
      <c r="T226" s="439" t="s">
        <v>10</v>
      </c>
      <c r="U226" s="460" t="str">
        <f t="shared" si="29"/>
        <v/>
      </c>
      <c r="V226" s="439" t="s">
        <v>11</v>
      </c>
      <c r="W226" s="439" t="s">
        <v>473</v>
      </c>
      <c r="X226" s="439" t="s">
        <v>709</v>
      </c>
      <c r="Y226" s="439" t="s">
        <v>710</v>
      </c>
      <c r="Z226" s="449" t="s">
        <v>710</v>
      </c>
      <c r="AA226" s="440" t="s">
        <v>667</v>
      </c>
      <c r="AB226" s="441">
        <f t="shared" si="30"/>
        <v>45045.045045045044</v>
      </c>
      <c r="AC226" s="442">
        <f t="shared" si="31"/>
        <v>450450.45045045041</v>
      </c>
      <c r="AD226" s="437">
        <v>40000</v>
      </c>
      <c r="AE226" s="447">
        <v>4866666.666666667</v>
      </c>
      <c r="AF226" s="447">
        <v>5402000</v>
      </c>
      <c r="AG226" s="437">
        <v>40000</v>
      </c>
      <c r="AH226" s="443" t="s">
        <v>2092</v>
      </c>
    </row>
    <row r="227" spans="1:34" ht="25">
      <c r="A227" s="350">
        <v>91</v>
      </c>
      <c r="B227" s="352" t="s">
        <v>826</v>
      </c>
      <c r="C227" s="352" t="s">
        <v>827</v>
      </c>
      <c r="D227" s="355" t="s">
        <v>464</v>
      </c>
      <c r="E227" s="361">
        <v>44999</v>
      </c>
      <c r="F227" s="361">
        <v>45000</v>
      </c>
      <c r="G227" s="361">
        <f t="shared" si="34"/>
        <v>45000</v>
      </c>
      <c r="H227" s="361">
        <f t="shared" si="34"/>
        <v>45000</v>
      </c>
      <c r="I227" s="365">
        <v>45037</v>
      </c>
      <c r="J227" s="387" t="s">
        <v>828</v>
      </c>
      <c r="K227" s="352" t="s">
        <v>471</v>
      </c>
      <c r="L227" s="402">
        <v>2</v>
      </c>
      <c r="M227" s="352" t="s">
        <v>472</v>
      </c>
      <c r="N227" s="403">
        <v>70000</v>
      </c>
      <c r="O227" s="404">
        <v>140000</v>
      </c>
      <c r="P227" s="421">
        <v>4</v>
      </c>
      <c r="Q227" s="492" t="s">
        <v>150</v>
      </c>
      <c r="R227" s="437">
        <v>240000</v>
      </c>
      <c r="S227" s="438">
        <f t="shared" si="28"/>
        <v>144000</v>
      </c>
      <c r="T227" s="439" t="s">
        <v>10</v>
      </c>
      <c r="U227" s="460" t="str">
        <f t="shared" si="29"/>
        <v>UD. USAHA JAYA</v>
      </c>
      <c r="V227" s="439" t="s">
        <v>11</v>
      </c>
      <c r="W227" s="439" t="s">
        <v>473</v>
      </c>
      <c r="X227" s="439" t="s">
        <v>709</v>
      </c>
      <c r="Y227" s="439" t="s">
        <v>710</v>
      </c>
      <c r="Z227" s="449" t="s">
        <v>710</v>
      </c>
      <c r="AA227" s="440" t="s">
        <v>597</v>
      </c>
      <c r="AB227" s="441">
        <f t="shared" si="30"/>
        <v>63063.063063063062</v>
      </c>
      <c r="AC227" s="442">
        <f t="shared" si="31"/>
        <v>126126.12612612612</v>
      </c>
      <c r="AD227" s="437">
        <v>240000</v>
      </c>
      <c r="AE227" s="447">
        <v>4866666.666666667</v>
      </c>
      <c r="AF227" s="447">
        <v>5402000</v>
      </c>
      <c r="AG227" s="437">
        <v>240000</v>
      </c>
      <c r="AH227" s="443" t="s">
        <v>2092</v>
      </c>
    </row>
    <row r="228" spans="1:34">
      <c r="A228" s="350">
        <v>95</v>
      </c>
      <c r="B228" s="352" t="s">
        <v>829</v>
      </c>
      <c r="C228" s="352" t="s">
        <v>679</v>
      </c>
      <c r="D228" s="355" t="s">
        <v>464</v>
      </c>
      <c r="E228" s="361">
        <v>44999</v>
      </c>
      <c r="F228" s="361">
        <v>45000</v>
      </c>
      <c r="G228" s="361">
        <f t="shared" si="34"/>
        <v>45000</v>
      </c>
      <c r="H228" s="361">
        <f t="shared" si="34"/>
        <v>45000</v>
      </c>
      <c r="I228" s="365">
        <v>45037</v>
      </c>
      <c r="J228" s="387" t="s">
        <v>682</v>
      </c>
      <c r="K228" s="352" t="s">
        <v>471</v>
      </c>
      <c r="L228" s="402">
        <v>2</v>
      </c>
      <c r="M228" s="352" t="s">
        <v>472</v>
      </c>
      <c r="N228" s="403">
        <v>70000</v>
      </c>
      <c r="O228" s="404">
        <v>140000</v>
      </c>
      <c r="P228" s="421">
        <v>4</v>
      </c>
      <c r="Q228" s="492" t="s">
        <v>109</v>
      </c>
      <c r="R228" s="437">
        <v>22000</v>
      </c>
      <c r="S228" s="438">
        <f t="shared" si="28"/>
        <v>144000</v>
      </c>
      <c r="T228" s="439" t="s">
        <v>10</v>
      </c>
      <c r="U228" s="460" t="str">
        <f t="shared" si="29"/>
        <v>UD. USAHA JAYA</v>
      </c>
      <c r="V228" s="439" t="s">
        <v>11</v>
      </c>
      <c r="W228" s="439" t="s">
        <v>473</v>
      </c>
      <c r="X228" s="439" t="s">
        <v>709</v>
      </c>
      <c r="Y228" s="439" t="s">
        <v>710</v>
      </c>
      <c r="Z228" s="449" t="s">
        <v>710</v>
      </c>
      <c r="AA228" s="440" t="s">
        <v>735</v>
      </c>
      <c r="AB228" s="441">
        <f t="shared" si="30"/>
        <v>63063.063063063062</v>
      </c>
      <c r="AC228" s="442">
        <f t="shared" si="31"/>
        <v>126126.12612612612</v>
      </c>
      <c r="AD228" s="437">
        <v>22000</v>
      </c>
      <c r="AE228" s="447">
        <v>4866666.666666667</v>
      </c>
      <c r="AF228" s="447">
        <v>5402000</v>
      </c>
      <c r="AG228" s="437">
        <v>22000</v>
      </c>
      <c r="AH228" s="443" t="s">
        <v>2092</v>
      </c>
    </row>
    <row r="229" spans="1:34">
      <c r="A229" s="350">
        <v>95</v>
      </c>
      <c r="B229" s="352" t="s">
        <v>830</v>
      </c>
      <c r="C229" s="352" t="s">
        <v>679</v>
      </c>
      <c r="D229" s="355" t="s">
        <v>464</v>
      </c>
      <c r="E229" s="361">
        <v>44999</v>
      </c>
      <c r="F229" s="361">
        <v>45000</v>
      </c>
      <c r="G229" s="361">
        <f t="shared" si="34"/>
        <v>45000</v>
      </c>
      <c r="H229" s="361">
        <f t="shared" si="34"/>
        <v>45000</v>
      </c>
      <c r="I229" s="365">
        <v>45037</v>
      </c>
      <c r="J229" s="387" t="s">
        <v>831</v>
      </c>
      <c r="K229" s="352" t="s">
        <v>487</v>
      </c>
      <c r="L229" s="402">
        <v>30</v>
      </c>
      <c r="M229" s="352" t="s">
        <v>231</v>
      </c>
      <c r="N229" s="403">
        <v>15000</v>
      </c>
      <c r="O229" s="404">
        <v>450000</v>
      </c>
      <c r="P229" s="421">
        <v>4</v>
      </c>
      <c r="Q229" s="492" t="s">
        <v>133</v>
      </c>
      <c r="R229" s="437">
        <v>140000</v>
      </c>
      <c r="S229" s="438">
        <f t="shared" si="28"/>
        <v>510000</v>
      </c>
      <c r="T229" s="439" t="s">
        <v>10</v>
      </c>
      <c r="U229" s="460" t="str">
        <f t="shared" si="29"/>
        <v/>
      </c>
      <c r="V229" s="439" t="s">
        <v>11</v>
      </c>
      <c r="W229" s="439" t="s">
        <v>473</v>
      </c>
      <c r="X229" s="439" t="s">
        <v>709</v>
      </c>
      <c r="Y229" s="439" t="s">
        <v>710</v>
      </c>
      <c r="Z229" s="449" t="s">
        <v>710</v>
      </c>
      <c r="AA229" s="440" t="s">
        <v>488</v>
      </c>
      <c r="AB229" s="441">
        <f t="shared" si="30"/>
        <v>13513.513513513513</v>
      </c>
      <c r="AC229" s="442">
        <f t="shared" si="31"/>
        <v>405405.40540540538</v>
      </c>
      <c r="AD229" s="437">
        <v>140000</v>
      </c>
      <c r="AE229" s="447">
        <v>4866666.666666667</v>
      </c>
      <c r="AF229" s="447">
        <v>5402000</v>
      </c>
      <c r="AG229" s="437">
        <v>140000</v>
      </c>
      <c r="AH229" s="443" t="s">
        <v>2092</v>
      </c>
    </row>
    <row r="230" spans="1:34" ht="25">
      <c r="A230" s="350">
        <v>95</v>
      </c>
      <c r="B230" s="352" t="s">
        <v>832</v>
      </c>
      <c r="C230" s="352" t="s">
        <v>833</v>
      </c>
      <c r="D230" s="355" t="s">
        <v>464</v>
      </c>
      <c r="E230" s="361">
        <v>44999</v>
      </c>
      <c r="F230" s="361">
        <v>45000</v>
      </c>
      <c r="G230" s="361">
        <f t="shared" si="34"/>
        <v>45000</v>
      </c>
      <c r="H230" s="361">
        <f t="shared" si="34"/>
        <v>45000</v>
      </c>
      <c r="I230" s="365">
        <v>45037</v>
      </c>
      <c r="J230" s="387" t="s">
        <v>834</v>
      </c>
      <c r="K230" s="352" t="s">
        <v>471</v>
      </c>
      <c r="L230" s="402">
        <v>2</v>
      </c>
      <c r="M230" s="352" t="s">
        <v>472</v>
      </c>
      <c r="N230" s="403">
        <v>70000</v>
      </c>
      <c r="O230" s="404">
        <v>140000</v>
      </c>
      <c r="P230" s="421">
        <v>4</v>
      </c>
      <c r="Q230" s="492" t="s">
        <v>917</v>
      </c>
      <c r="R230" s="437">
        <v>255000</v>
      </c>
      <c r="S230" s="438">
        <f t="shared" si="28"/>
        <v>144000</v>
      </c>
      <c r="T230" s="275" t="s">
        <v>10</v>
      </c>
      <c r="U230" s="460" t="str">
        <f t="shared" si="29"/>
        <v>UD. USAHA JAYA</v>
      </c>
      <c r="V230" s="275" t="s">
        <v>11</v>
      </c>
      <c r="W230" s="439" t="s">
        <v>473</v>
      </c>
      <c r="X230" s="439" t="s">
        <v>709</v>
      </c>
      <c r="Y230" s="439" t="s">
        <v>710</v>
      </c>
      <c r="Z230" s="449" t="s">
        <v>710</v>
      </c>
      <c r="AA230" s="440" t="s">
        <v>753</v>
      </c>
      <c r="AB230" s="441">
        <f t="shared" si="30"/>
        <v>63063.063063063062</v>
      </c>
      <c r="AC230" s="442">
        <f t="shared" si="31"/>
        <v>126126.12612612612</v>
      </c>
      <c r="AD230" s="437">
        <v>255000</v>
      </c>
      <c r="AE230" s="447">
        <v>4866666.666666667</v>
      </c>
      <c r="AF230" s="447">
        <v>5402000</v>
      </c>
      <c r="AG230" s="437">
        <v>255000</v>
      </c>
      <c r="AH230" s="271" t="s">
        <v>2092</v>
      </c>
    </row>
    <row r="231" spans="1:34">
      <c r="A231" s="773">
        <v>95</v>
      </c>
      <c r="B231" s="352" t="s">
        <v>835</v>
      </c>
      <c r="C231" s="352" t="s">
        <v>594</v>
      </c>
      <c r="D231" s="355" t="s">
        <v>464</v>
      </c>
      <c r="E231" s="361">
        <v>44999</v>
      </c>
      <c r="F231" s="361">
        <v>45000</v>
      </c>
      <c r="G231" s="361">
        <f t="shared" si="34"/>
        <v>45000</v>
      </c>
      <c r="H231" s="361">
        <f t="shared" si="34"/>
        <v>45000</v>
      </c>
      <c r="I231" s="365">
        <v>45037</v>
      </c>
      <c r="J231" s="387" t="s">
        <v>599</v>
      </c>
      <c r="K231" s="352" t="s">
        <v>471</v>
      </c>
      <c r="L231" s="402">
        <v>5</v>
      </c>
      <c r="M231" s="352" t="s">
        <v>472</v>
      </c>
      <c r="N231" s="403">
        <v>70000</v>
      </c>
      <c r="O231" s="404">
        <v>350000</v>
      </c>
      <c r="P231" s="421">
        <v>4</v>
      </c>
      <c r="Q231" s="492" t="s">
        <v>918</v>
      </c>
      <c r="R231" s="437">
        <v>25000</v>
      </c>
      <c r="S231" s="438">
        <f t="shared" si="28"/>
        <v>360000</v>
      </c>
      <c r="T231" s="439" t="s">
        <v>10</v>
      </c>
      <c r="U231" s="460" t="str">
        <f t="shared" si="29"/>
        <v>UD. USAHA JAYA</v>
      </c>
      <c r="V231" s="439" t="s">
        <v>11</v>
      </c>
      <c r="W231" s="439" t="s">
        <v>473</v>
      </c>
      <c r="X231" s="439" t="s">
        <v>709</v>
      </c>
      <c r="Y231" s="439" t="s">
        <v>710</v>
      </c>
      <c r="Z231" s="449" t="s">
        <v>710</v>
      </c>
      <c r="AA231" s="440" t="s">
        <v>551</v>
      </c>
      <c r="AB231" s="441">
        <f t="shared" si="30"/>
        <v>63063.063063063062</v>
      </c>
      <c r="AC231" s="442">
        <f t="shared" si="31"/>
        <v>315315.31531531533</v>
      </c>
      <c r="AD231" s="437">
        <v>25000</v>
      </c>
      <c r="AE231" s="447">
        <v>4866666.666666667</v>
      </c>
      <c r="AF231" s="447">
        <v>5402000</v>
      </c>
      <c r="AG231" s="437">
        <v>25000</v>
      </c>
      <c r="AH231" s="443" t="s">
        <v>2092</v>
      </c>
    </row>
    <row r="232" spans="1:34" ht="25">
      <c r="A232" s="350">
        <v>95</v>
      </c>
      <c r="B232" s="352" t="s">
        <v>836</v>
      </c>
      <c r="C232" s="352" t="s">
        <v>616</v>
      </c>
      <c r="D232" s="355" t="s">
        <v>464</v>
      </c>
      <c r="E232" s="361">
        <v>44999</v>
      </c>
      <c r="F232" s="361">
        <v>45000</v>
      </c>
      <c r="G232" s="361">
        <f t="shared" si="34"/>
        <v>45000</v>
      </c>
      <c r="H232" s="361">
        <f t="shared" si="34"/>
        <v>45000</v>
      </c>
      <c r="I232" s="365">
        <v>45037</v>
      </c>
      <c r="J232" s="387" t="s">
        <v>619</v>
      </c>
      <c r="K232" s="352" t="s">
        <v>484</v>
      </c>
      <c r="L232" s="402">
        <v>8</v>
      </c>
      <c r="M232" s="352" t="s">
        <v>472</v>
      </c>
      <c r="N232" s="403">
        <v>50000</v>
      </c>
      <c r="O232" s="404">
        <v>400000</v>
      </c>
      <c r="P232" s="421">
        <v>4</v>
      </c>
      <c r="Q232" s="492" t="s">
        <v>119</v>
      </c>
      <c r="R232" s="437">
        <v>95000</v>
      </c>
      <c r="S232" s="438">
        <f t="shared" si="28"/>
        <v>416000</v>
      </c>
      <c r="T232" s="275" t="s">
        <v>10</v>
      </c>
      <c r="U232" s="460" t="str">
        <f t="shared" si="29"/>
        <v/>
      </c>
      <c r="V232" s="439" t="s">
        <v>11</v>
      </c>
      <c r="W232" s="439" t="s">
        <v>473</v>
      </c>
      <c r="X232" s="439" t="s">
        <v>709</v>
      </c>
      <c r="Y232" s="439" t="s">
        <v>710</v>
      </c>
      <c r="Z232" s="449" t="s">
        <v>710</v>
      </c>
      <c r="AA232" s="440" t="s">
        <v>749</v>
      </c>
      <c r="AB232" s="441">
        <f t="shared" si="30"/>
        <v>45045.045045045044</v>
      </c>
      <c r="AC232" s="442">
        <f t="shared" si="31"/>
        <v>360360.36036036036</v>
      </c>
      <c r="AD232" s="437">
        <v>95000</v>
      </c>
      <c r="AE232" s="447">
        <v>4866666.666666667</v>
      </c>
      <c r="AF232" s="447">
        <v>5402000</v>
      </c>
      <c r="AG232" s="437">
        <v>95000</v>
      </c>
      <c r="AH232" s="443" t="s">
        <v>2092</v>
      </c>
    </row>
    <row r="233" spans="1:34">
      <c r="A233" s="350">
        <v>97</v>
      </c>
      <c r="B233" s="352" t="s">
        <v>839</v>
      </c>
      <c r="C233" s="352" t="s">
        <v>583</v>
      </c>
      <c r="D233" s="355" t="s">
        <v>584</v>
      </c>
      <c r="E233" s="363" t="s">
        <v>840</v>
      </c>
      <c r="F233" s="361">
        <v>45006</v>
      </c>
      <c r="G233" s="361">
        <f t="shared" si="34"/>
        <v>45006</v>
      </c>
      <c r="H233" s="361">
        <f t="shared" si="34"/>
        <v>45006</v>
      </c>
      <c r="I233" s="365">
        <v>45037</v>
      </c>
      <c r="J233" s="387" t="s">
        <v>841</v>
      </c>
      <c r="K233" s="352" t="s">
        <v>586</v>
      </c>
      <c r="L233" s="402">
        <v>1</v>
      </c>
      <c r="M233" s="352" t="s">
        <v>587</v>
      </c>
      <c r="N233" s="403">
        <v>2000000</v>
      </c>
      <c r="O233" s="404">
        <v>2000000</v>
      </c>
      <c r="P233" s="421">
        <v>4</v>
      </c>
      <c r="Q233" s="492" t="s">
        <v>131</v>
      </c>
      <c r="R233" s="437">
        <v>21000</v>
      </c>
      <c r="S233" s="438">
        <f t="shared" si="28"/>
        <v>2002000</v>
      </c>
      <c r="T233" s="439"/>
      <c r="U233" s="460" t="str">
        <f t="shared" si="29"/>
        <v/>
      </c>
      <c r="V233" s="439"/>
      <c r="W233" s="445"/>
      <c r="X233" s="439" t="s">
        <v>709</v>
      </c>
      <c r="Y233" s="439" t="s">
        <v>710</v>
      </c>
      <c r="Z233" s="449" t="s">
        <v>710</v>
      </c>
      <c r="AA233" s="440" t="s">
        <v>724</v>
      </c>
      <c r="AB233" s="441">
        <f t="shared" si="30"/>
        <v>1801801.8018018019</v>
      </c>
      <c r="AC233" s="442">
        <f t="shared" si="31"/>
        <v>1801801.8018018019</v>
      </c>
      <c r="AD233" s="437">
        <v>21000</v>
      </c>
      <c r="AE233" s="447">
        <v>4866666.666666667</v>
      </c>
      <c r="AF233" s="447">
        <v>5402000</v>
      </c>
      <c r="AG233" s="437">
        <v>21000</v>
      </c>
      <c r="AH233" s="446"/>
    </row>
    <row r="234" spans="1:34">
      <c r="A234" s="350">
        <v>98</v>
      </c>
      <c r="B234" s="352" t="s">
        <v>842</v>
      </c>
      <c r="C234" s="352" t="s">
        <v>589</v>
      </c>
      <c r="D234" s="355" t="s">
        <v>590</v>
      </c>
      <c r="E234" s="363" t="s">
        <v>840</v>
      </c>
      <c r="F234" s="361">
        <v>45006</v>
      </c>
      <c r="G234" s="361">
        <f t="shared" si="34"/>
        <v>45006</v>
      </c>
      <c r="H234" s="361">
        <f t="shared" si="34"/>
        <v>45006</v>
      </c>
      <c r="I234" s="365">
        <v>45037</v>
      </c>
      <c r="J234" s="387" t="s">
        <v>843</v>
      </c>
      <c r="K234" s="352" t="s">
        <v>592</v>
      </c>
      <c r="L234" s="402">
        <v>1</v>
      </c>
      <c r="M234" s="352" t="s">
        <v>587</v>
      </c>
      <c r="N234" s="403">
        <v>1200000</v>
      </c>
      <c r="O234" s="404">
        <v>1200000</v>
      </c>
      <c r="P234" s="421">
        <v>4</v>
      </c>
      <c r="Q234" s="492" t="s">
        <v>914</v>
      </c>
      <c r="R234" s="437">
        <v>45000</v>
      </c>
      <c r="S234" s="438">
        <f t="shared" si="28"/>
        <v>1202000</v>
      </c>
      <c r="T234" s="439"/>
      <c r="U234" s="460" t="str">
        <f t="shared" si="29"/>
        <v/>
      </c>
      <c r="V234" s="439"/>
      <c r="W234" s="445"/>
      <c r="X234" s="439" t="s">
        <v>709</v>
      </c>
      <c r="Y234" s="439" t="s">
        <v>710</v>
      </c>
      <c r="Z234" s="449" t="s">
        <v>710</v>
      </c>
      <c r="AA234" s="440" t="s">
        <v>488</v>
      </c>
      <c r="AB234" s="441">
        <f t="shared" si="30"/>
        <v>1081081.0810810812</v>
      </c>
      <c r="AC234" s="442">
        <f t="shared" si="31"/>
        <v>1081081.0810810812</v>
      </c>
      <c r="AD234" s="437">
        <v>45000</v>
      </c>
      <c r="AE234" s="447">
        <v>4866666.666666667</v>
      </c>
      <c r="AF234" s="447">
        <v>5402000</v>
      </c>
      <c r="AG234" s="437">
        <v>45000</v>
      </c>
      <c r="AH234" s="446"/>
    </row>
    <row r="235" spans="1:34">
      <c r="A235" s="350">
        <v>103</v>
      </c>
      <c r="B235" s="352" t="s">
        <v>844</v>
      </c>
      <c r="C235" s="352" t="s">
        <v>845</v>
      </c>
      <c r="D235" s="355" t="s">
        <v>464</v>
      </c>
      <c r="E235" s="363" t="s">
        <v>846</v>
      </c>
      <c r="F235" s="361">
        <v>45009</v>
      </c>
      <c r="G235" s="361">
        <f t="shared" si="34"/>
        <v>45009</v>
      </c>
      <c r="H235" s="361">
        <f t="shared" si="34"/>
        <v>45009</v>
      </c>
      <c r="I235" s="365">
        <v>45037</v>
      </c>
      <c r="J235" s="387" t="s">
        <v>847</v>
      </c>
      <c r="K235" s="352" t="s">
        <v>487</v>
      </c>
      <c r="L235" s="402">
        <v>210</v>
      </c>
      <c r="M235" s="352" t="s">
        <v>488</v>
      </c>
      <c r="N235" s="403">
        <v>8000</v>
      </c>
      <c r="O235" s="404">
        <v>1680000</v>
      </c>
      <c r="P235" s="421">
        <v>4</v>
      </c>
      <c r="Q235" s="492" t="s">
        <v>142</v>
      </c>
      <c r="R235" s="437">
        <v>140000</v>
      </c>
      <c r="S235" s="438">
        <f t="shared" si="28"/>
        <v>2100000</v>
      </c>
      <c r="T235" s="275" t="s">
        <v>10</v>
      </c>
      <c r="U235" s="460" t="str">
        <f t="shared" si="29"/>
        <v/>
      </c>
      <c r="V235" s="439" t="s">
        <v>11</v>
      </c>
      <c r="W235" s="439" t="s">
        <v>473</v>
      </c>
      <c r="X235" s="439" t="s">
        <v>709</v>
      </c>
      <c r="Y235" s="439" t="s">
        <v>710</v>
      </c>
      <c r="Z235" s="449" t="s">
        <v>710</v>
      </c>
      <c r="AA235" s="440" t="s">
        <v>753</v>
      </c>
      <c r="AB235" s="441">
        <f t="shared" si="30"/>
        <v>7207.2072072072069</v>
      </c>
      <c r="AC235" s="442">
        <f t="shared" si="31"/>
        <v>1513513.5135135134</v>
      </c>
      <c r="AD235" s="437">
        <v>140000</v>
      </c>
      <c r="AE235" s="447">
        <v>4866666.666666667</v>
      </c>
      <c r="AF235" s="447">
        <v>5402000</v>
      </c>
      <c r="AG235" s="437">
        <v>140000</v>
      </c>
      <c r="AH235" s="443" t="s">
        <v>2092</v>
      </c>
    </row>
    <row r="236" spans="1:34" ht="25">
      <c r="A236" s="350">
        <v>103</v>
      </c>
      <c r="B236" s="352" t="s">
        <v>848</v>
      </c>
      <c r="C236" s="352" t="s">
        <v>845</v>
      </c>
      <c r="D236" s="355" t="s">
        <v>464</v>
      </c>
      <c r="E236" s="363" t="s">
        <v>846</v>
      </c>
      <c r="F236" s="361">
        <v>45009</v>
      </c>
      <c r="G236" s="361">
        <f t="shared" si="34"/>
        <v>45009</v>
      </c>
      <c r="H236" s="361">
        <f t="shared" si="34"/>
        <v>45009</v>
      </c>
      <c r="I236" s="365">
        <v>45037</v>
      </c>
      <c r="J236" s="387" t="s">
        <v>849</v>
      </c>
      <c r="K236" s="352" t="s">
        <v>471</v>
      </c>
      <c r="L236" s="402">
        <v>12</v>
      </c>
      <c r="M236" s="352" t="s">
        <v>472</v>
      </c>
      <c r="N236" s="403">
        <v>70000</v>
      </c>
      <c r="O236" s="404">
        <v>840000</v>
      </c>
      <c r="P236" s="421">
        <v>4</v>
      </c>
      <c r="Q236" s="492" t="s">
        <v>157</v>
      </c>
      <c r="R236" s="437">
        <v>42000</v>
      </c>
      <c r="S236" s="438">
        <f t="shared" si="28"/>
        <v>864000</v>
      </c>
      <c r="T236" s="275" t="s">
        <v>10</v>
      </c>
      <c r="U236" s="460" t="str">
        <f t="shared" si="29"/>
        <v>UD. USAHA JAYA</v>
      </c>
      <c r="V236" s="439" t="s">
        <v>11</v>
      </c>
      <c r="W236" s="439" t="s">
        <v>473</v>
      </c>
      <c r="X236" s="439" t="s">
        <v>709</v>
      </c>
      <c r="Y236" s="439" t="s">
        <v>710</v>
      </c>
      <c r="Z236" s="449" t="s">
        <v>710</v>
      </c>
      <c r="AA236" s="440" t="s">
        <v>488</v>
      </c>
      <c r="AB236" s="441">
        <f t="shared" si="30"/>
        <v>63063.063063063062</v>
      </c>
      <c r="AC236" s="442">
        <f t="shared" si="31"/>
        <v>756756.75675675669</v>
      </c>
      <c r="AD236" s="437">
        <v>42000</v>
      </c>
      <c r="AE236" s="447">
        <v>4866666.666666667</v>
      </c>
      <c r="AF236" s="447">
        <v>5402000</v>
      </c>
      <c r="AG236" s="437">
        <v>42000</v>
      </c>
      <c r="AH236" s="443" t="s">
        <v>2092</v>
      </c>
    </row>
    <row r="237" spans="1:34" ht="25">
      <c r="A237" s="350">
        <v>103</v>
      </c>
      <c r="B237" s="352" t="s">
        <v>850</v>
      </c>
      <c r="C237" s="352" t="s">
        <v>851</v>
      </c>
      <c r="D237" s="355" t="s">
        <v>464</v>
      </c>
      <c r="E237" s="363" t="s">
        <v>846</v>
      </c>
      <c r="F237" s="361">
        <v>45009</v>
      </c>
      <c r="G237" s="361">
        <f t="shared" ref="G237:H250" si="35">F237</f>
        <v>45009</v>
      </c>
      <c r="H237" s="361">
        <f t="shared" si="35"/>
        <v>45009</v>
      </c>
      <c r="I237" s="365">
        <v>45037</v>
      </c>
      <c r="J237" s="387" t="s">
        <v>852</v>
      </c>
      <c r="K237" s="352" t="s">
        <v>487</v>
      </c>
      <c r="L237" s="402">
        <v>150</v>
      </c>
      <c r="M237" s="352" t="s">
        <v>488</v>
      </c>
      <c r="N237" s="403">
        <v>8000</v>
      </c>
      <c r="O237" s="404">
        <v>1200000</v>
      </c>
      <c r="P237" s="421">
        <v>4</v>
      </c>
      <c r="Q237" s="492" t="s">
        <v>146</v>
      </c>
      <c r="R237" s="437">
        <v>380000</v>
      </c>
      <c r="S237" s="438">
        <f t="shared" si="28"/>
        <v>1500000</v>
      </c>
      <c r="T237" s="439" t="s">
        <v>10</v>
      </c>
      <c r="U237" s="460" t="str">
        <f t="shared" si="29"/>
        <v/>
      </c>
      <c r="V237" s="439" t="s">
        <v>11</v>
      </c>
      <c r="W237" s="439" t="s">
        <v>473</v>
      </c>
      <c r="X237" s="439" t="s">
        <v>709</v>
      </c>
      <c r="Y237" s="439" t="s">
        <v>710</v>
      </c>
      <c r="Z237" s="449" t="s">
        <v>710</v>
      </c>
      <c r="AA237" s="440" t="s">
        <v>728</v>
      </c>
      <c r="AB237" s="441">
        <f t="shared" si="30"/>
        <v>7207.2072072072069</v>
      </c>
      <c r="AC237" s="442">
        <f t="shared" si="31"/>
        <v>1081081.0810810809</v>
      </c>
      <c r="AD237" s="437">
        <v>380000</v>
      </c>
      <c r="AE237" s="447">
        <v>4866666.666666667</v>
      </c>
      <c r="AF237" s="447">
        <v>5402000</v>
      </c>
      <c r="AG237" s="437">
        <v>380000</v>
      </c>
      <c r="AH237" s="443" t="s">
        <v>2092</v>
      </c>
    </row>
    <row r="238" spans="1:34" ht="25">
      <c r="A238" s="350">
        <v>103</v>
      </c>
      <c r="B238" s="352" t="s">
        <v>853</v>
      </c>
      <c r="C238" s="352" t="s">
        <v>851</v>
      </c>
      <c r="D238" s="355" t="s">
        <v>464</v>
      </c>
      <c r="E238" s="363" t="s">
        <v>846</v>
      </c>
      <c r="F238" s="361">
        <v>45009</v>
      </c>
      <c r="G238" s="361">
        <f t="shared" si="35"/>
        <v>45009</v>
      </c>
      <c r="H238" s="361">
        <f t="shared" si="35"/>
        <v>45009</v>
      </c>
      <c r="I238" s="365">
        <v>45037</v>
      </c>
      <c r="J238" s="387" t="s">
        <v>854</v>
      </c>
      <c r="K238" s="352" t="s">
        <v>471</v>
      </c>
      <c r="L238" s="402">
        <v>6</v>
      </c>
      <c r="M238" s="352" t="s">
        <v>472</v>
      </c>
      <c r="N238" s="403">
        <v>70000</v>
      </c>
      <c r="O238" s="404">
        <v>420000</v>
      </c>
      <c r="P238" s="421">
        <v>4</v>
      </c>
      <c r="Q238" s="492" t="s">
        <v>145</v>
      </c>
      <c r="R238" s="437">
        <v>21000</v>
      </c>
      <c r="S238" s="438">
        <f t="shared" si="28"/>
        <v>432000</v>
      </c>
      <c r="T238" s="439" t="s">
        <v>10</v>
      </c>
      <c r="U238" s="460" t="str">
        <f t="shared" si="29"/>
        <v>UD. USAHA JAYA</v>
      </c>
      <c r="V238" s="439" t="s">
        <v>11</v>
      </c>
      <c r="W238" s="439" t="s">
        <v>473</v>
      </c>
      <c r="X238" s="439" t="s">
        <v>709</v>
      </c>
      <c r="Y238" s="439" t="s">
        <v>710</v>
      </c>
      <c r="Z238" s="449" t="s">
        <v>710</v>
      </c>
      <c r="AA238" s="440" t="s">
        <v>488</v>
      </c>
      <c r="AB238" s="441">
        <f t="shared" si="30"/>
        <v>63063.063063063062</v>
      </c>
      <c r="AC238" s="442">
        <f t="shared" si="31"/>
        <v>378378.37837837834</v>
      </c>
      <c r="AD238" s="437">
        <v>21000</v>
      </c>
      <c r="AE238" s="447">
        <v>4866666.666666667</v>
      </c>
      <c r="AF238" s="447">
        <v>5402000</v>
      </c>
      <c r="AG238" s="437">
        <v>21000</v>
      </c>
      <c r="AH238" s="443" t="s">
        <v>2092</v>
      </c>
    </row>
    <row r="239" spans="1:34" ht="25">
      <c r="A239" s="350">
        <v>103</v>
      </c>
      <c r="B239" s="352" t="s">
        <v>855</v>
      </c>
      <c r="C239" s="352" t="s">
        <v>851</v>
      </c>
      <c r="D239" s="355" t="s">
        <v>464</v>
      </c>
      <c r="E239" s="363" t="s">
        <v>846</v>
      </c>
      <c r="F239" s="361">
        <v>45009</v>
      </c>
      <c r="G239" s="361">
        <f t="shared" si="35"/>
        <v>45009</v>
      </c>
      <c r="H239" s="361">
        <f t="shared" si="35"/>
        <v>45009</v>
      </c>
      <c r="I239" s="365">
        <v>45037</v>
      </c>
      <c r="J239" s="387" t="s">
        <v>856</v>
      </c>
      <c r="K239" s="352" t="s">
        <v>487</v>
      </c>
      <c r="L239" s="402">
        <v>30</v>
      </c>
      <c r="M239" s="352" t="s">
        <v>488</v>
      </c>
      <c r="N239" s="403">
        <v>8000</v>
      </c>
      <c r="O239" s="404">
        <v>240000</v>
      </c>
      <c r="P239" s="421">
        <v>4</v>
      </c>
      <c r="Q239" s="492" t="s">
        <v>921</v>
      </c>
      <c r="R239" s="437">
        <v>240000</v>
      </c>
      <c r="S239" s="438">
        <f t="shared" si="28"/>
        <v>300000</v>
      </c>
      <c r="T239" s="439" t="s">
        <v>10</v>
      </c>
      <c r="U239" s="460" t="str">
        <f t="shared" si="29"/>
        <v/>
      </c>
      <c r="V239" s="439" t="s">
        <v>11</v>
      </c>
      <c r="W239" s="439" t="s">
        <v>473</v>
      </c>
      <c r="X239" s="439" t="s">
        <v>709</v>
      </c>
      <c r="Y239" s="439" t="s">
        <v>710</v>
      </c>
      <c r="Z239" s="449" t="s">
        <v>710</v>
      </c>
      <c r="AA239" s="440" t="s">
        <v>488</v>
      </c>
      <c r="AB239" s="441">
        <f t="shared" si="30"/>
        <v>7207.2072072072069</v>
      </c>
      <c r="AC239" s="442">
        <f t="shared" si="31"/>
        <v>216216.21621621621</v>
      </c>
      <c r="AD239" s="437">
        <v>240000</v>
      </c>
      <c r="AE239" s="447">
        <v>4866666.666666667</v>
      </c>
      <c r="AF239" s="447">
        <v>5402000</v>
      </c>
      <c r="AG239" s="437">
        <v>240000</v>
      </c>
      <c r="AH239" s="443" t="s">
        <v>2092</v>
      </c>
    </row>
    <row r="240" spans="1:34" ht="25">
      <c r="A240" s="350">
        <v>103</v>
      </c>
      <c r="B240" s="352" t="s">
        <v>857</v>
      </c>
      <c r="C240" s="352" t="s">
        <v>851</v>
      </c>
      <c r="D240" s="355" t="s">
        <v>464</v>
      </c>
      <c r="E240" s="363" t="s">
        <v>846</v>
      </c>
      <c r="F240" s="361">
        <v>45009</v>
      </c>
      <c r="G240" s="361">
        <f t="shared" si="35"/>
        <v>45009</v>
      </c>
      <c r="H240" s="361">
        <f t="shared" si="35"/>
        <v>45009</v>
      </c>
      <c r="I240" s="365">
        <v>45037</v>
      </c>
      <c r="J240" s="387" t="s">
        <v>858</v>
      </c>
      <c r="K240" s="352" t="s">
        <v>471</v>
      </c>
      <c r="L240" s="402">
        <v>2</v>
      </c>
      <c r="M240" s="352" t="s">
        <v>472</v>
      </c>
      <c r="N240" s="403">
        <v>70000</v>
      </c>
      <c r="O240" s="404">
        <v>140000</v>
      </c>
      <c r="P240" s="421">
        <v>4</v>
      </c>
      <c r="Q240" s="492" t="s">
        <v>909</v>
      </c>
      <c r="R240" s="437">
        <v>5000</v>
      </c>
      <c r="S240" s="438">
        <f t="shared" si="28"/>
        <v>144000</v>
      </c>
      <c r="T240" s="439" t="s">
        <v>10</v>
      </c>
      <c r="U240" s="460" t="str">
        <f t="shared" si="29"/>
        <v>UD. USAHA JAYA</v>
      </c>
      <c r="V240" s="439" t="s">
        <v>11</v>
      </c>
      <c r="W240" s="439" t="s">
        <v>473</v>
      </c>
      <c r="X240" s="439" t="s">
        <v>709</v>
      </c>
      <c r="Y240" s="439" t="s">
        <v>710</v>
      </c>
      <c r="Z240" s="449" t="s">
        <v>710</v>
      </c>
      <c r="AA240" s="440" t="s">
        <v>488</v>
      </c>
      <c r="AB240" s="441">
        <f t="shared" si="30"/>
        <v>63063.063063063062</v>
      </c>
      <c r="AC240" s="442">
        <f t="shared" si="31"/>
        <v>126126.12612612612</v>
      </c>
      <c r="AD240" s="437">
        <v>5000</v>
      </c>
      <c r="AE240" s="447">
        <v>4866666.666666667</v>
      </c>
      <c r="AF240" s="447">
        <v>5402000</v>
      </c>
      <c r="AG240" s="437">
        <v>5000</v>
      </c>
      <c r="AH240" s="443" t="s">
        <v>2092</v>
      </c>
    </row>
    <row r="241" spans="1:34">
      <c r="A241" s="350">
        <v>109</v>
      </c>
      <c r="B241" s="352" t="s">
        <v>859</v>
      </c>
      <c r="C241" s="352" t="s">
        <v>570</v>
      </c>
      <c r="D241" s="355" t="s">
        <v>571</v>
      </c>
      <c r="E241" s="363" t="s">
        <v>860</v>
      </c>
      <c r="F241" s="361">
        <v>45010</v>
      </c>
      <c r="G241" s="361">
        <f t="shared" si="35"/>
        <v>45010</v>
      </c>
      <c r="H241" s="361">
        <f t="shared" si="35"/>
        <v>45010</v>
      </c>
      <c r="I241" s="365">
        <v>45037</v>
      </c>
      <c r="J241" s="387" t="s">
        <v>9</v>
      </c>
      <c r="K241" s="352" t="s">
        <v>573</v>
      </c>
      <c r="L241" s="402">
        <v>3500</v>
      </c>
      <c r="M241" s="352" t="s">
        <v>574</v>
      </c>
      <c r="N241" s="405">
        <v>300</v>
      </c>
      <c r="O241" s="404">
        <v>1050000</v>
      </c>
      <c r="P241" s="421">
        <v>4</v>
      </c>
      <c r="Q241" s="492" t="s">
        <v>146</v>
      </c>
      <c r="R241" s="437">
        <v>100000</v>
      </c>
      <c r="S241" s="438">
        <f t="shared" si="28"/>
        <v>8050000</v>
      </c>
      <c r="T241" s="439" t="s">
        <v>538</v>
      </c>
      <c r="U241" s="460" t="str">
        <f t="shared" si="29"/>
        <v/>
      </c>
      <c r="V241" s="439" t="s">
        <v>539</v>
      </c>
      <c r="W241" s="439" t="s">
        <v>540</v>
      </c>
      <c r="X241" s="439" t="s">
        <v>709</v>
      </c>
      <c r="Y241" s="439" t="s">
        <v>710</v>
      </c>
      <c r="Z241" s="449" t="s">
        <v>710</v>
      </c>
      <c r="AA241" s="440" t="s">
        <v>488</v>
      </c>
      <c r="AB241" s="441">
        <f t="shared" si="30"/>
        <v>270.27027027027026</v>
      </c>
      <c r="AC241" s="442">
        <f t="shared" si="31"/>
        <v>945945.94594594592</v>
      </c>
      <c r="AD241" s="437">
        <v>100000</v>
      </c>
      <c r="AE241" s="447">
        <v>4866666.666666667</v>
      </c>
      <c r="AF241" s="447">
        <v>5402000</v>
      </c>
      <c r="AG241" s="437">
        <v>100000</v>
      </c>
      <c r="AH241" s="443" t="s">
        <v>2098</v>
      </c>
    </row>
    <row r="242" spans="1:34">
      <c r="A242" s="350">
        <v>110</v>
      </c>
      <c r="B242" s="352" t="s">
        <v>861</v>
      </c>
      <c r="C242" s="352" t="s">
        <v>610</v>
      </c>
      <c r="D242" s="355" t="s">
        <v>611</v>
      </c>
      <c r="E242" s="363" t="s">
        <v>860</v>
      </c>
      <c r="F242" s="361">
        <v>45010</v>
      </c>
      <c r="G242" s="361">
        <f t="shared" si="35"/>
        <v>45010</v>
      </c>
      <c r="H242" s="361">
        <f t="shared" si="35"/>
        <v>45010</v>
      </c>
      <c r="I242" s="365">
        <v>45037</v>
      </c>
      <c r="J242" s="387" t="s">
        <v>612</v>
      </c>
      <c r="K242" s="352" t="s">
        <v>613</v>
      </c>
      <c r="L242" s="402">
        <v>1</v>
      </c>
      <c r="M242" s="352" t="s">
        <v>614</v>
      </c>
      <c r="N242" s="403">
        <v>1000000</v>
      </c>
      <c r="O242" s="404">
        <v>1000000</v>
      </c>
      <c r="P242" s="421">
        <v>4</v>
      </c>
      <c r="Q242" s="492" t="s">
        <v>911</v>
      </c>
      <c r="R242" s="437">
        <v>15000</v>
      </c>
      <c r="S242" s="438">
        <f t="shared" si="28"/>
        <v>1002000</v>
      </c>
      <c r="T242" s="439"/>
      <c r="U242" s="460" t="str">
        <f t="shared" si="29"/>
        <v/>
      </c>
      <c r="V242" s="439"/>
      <c r="W242" s="445"/>
      <c r="X242" s="439" t="s">
        <v>709</v>
      </c>
      <c r="Y242" s="439" t="s">
        <v>710</v>
      </c>
      <c r="Z242" s="449" t="s">
        <v>710</v>
      </c>
      <c r="AA242" s="440" t="s">
        <v>488</v>
      </c>
      <c r="AB242" s="441">
        <f t="shared" si="30"/>
        <v>900900.90090090095</v>
      </c>
      <c r="AC242" s="442">
        <f t="shared" si="31"/>
        <v>900900.90090090095</v>
      </c>
      <c r="AD242" s="437">
        <v>15000</v>
      </c>
      <c r="AE242" s="447">
        <v>4866666.666666667</v>
      </c>
      <c r="AF242" s="447">
        <v>5402000</v>
      </c>
      <c r="AG242" s="437">
        <v>15000</v>
      </c>
      <c r="AH242" s="446"/>
    </row>
    <row r="243" spans="1:34">
      <c r="A243" s="350">
        <v>111</v>
      </c>
      <c r="B243" s="352" t="s">
        <v>862</v>
      </c>
      <c r="C243" s="352" t="s">
        <v>863</v>
      </c>
      <c r="D243" s="355" t="s">
        <v>864</v>
      </c>
      <c r="E243" s="363" t="s">
        <v>865</v>
      </c>
      <c r="F243" s="361">
        <v>45011</v>
      </c>
      <c r="G243" s="361">
        <f t="shared" si="35"/>
        <v>45011</v>
      </c>
      <c r="H243" s="361">
        <f t="shared" si="35"/>
        <v>45011</v>
      </c>
      <c r="I243" s="365">
        <v>45037</v>
      </c>
      <c r="J243" s="387" t="s">
        <v>866</v>
      </c>
      <c r="K243" s="352" t="s">
        <v>867</v>
      </c>
      <c r="L243" s="402">
        <v>24</v>
      </c>
      <c r="M243" s="352" t="s">
        <v>868</v>
      </c>
      <c r="N243" s="403">
        <v>200000</v>
      </c>
      <c r="O243" s="404">
        <v>4800000</v>
      </c>
      <c r="P243" s="421">
        <v>4</v>
      </c>
      <c r="Q243" s="492" t="s">
        <v>153</v>
      </c>
      <c r="R243" s="437">
        <v>40000</v>
      </c>
      <c r="S243" s="438">
        <f t="shared" si="28"/>
        <v>4848000</v>
      </c>
      <c r="T243" s="439"/>
      <c r="U243" s="460" t="str">
        <f t="shared" si="29"/>
        <v/>
      </c>
      <c r="V243" s="439"/>
      <c r="W243" s="445"/>
      <c r="X243" s="439" t="s">
        <v>709</v>
      </c>
      <c r="Y243" s="439" t="s">
        <v>710</v>
      </c>
      <c r="Z243" s="449" t="s">
        <v>710</v>
      </c>
      <c r="AA243" s="440" t="s">
        <v>597</v>
      </c>
      <c r="AB243" s="441">
        <f t="shared" si="30"/>
        <v>180180.18018018018</v>
      </c>
      <c r="AC243" s="442">
        <f t="shared" si="31"/>
        <v>4324324.3243243247</v>
      </c>
      <c r="AD243" s="437">
        <v>40000</v>
      </c>
      <c r="AE243" s="447">
        <v>4866666.666666667</v>
      </c>
      <c r="AF243" s="447">
        <v>5402000</v>
      </c>
      <c r="AG243" s="437">
        <v>40000</v>
      </c>
      <c r="AH243" s="446"/>
    </row>
    <row r="244" spans="1:34">
      <c r="A244" s="350">
        <v>111</v>
      </c>
      <c r="B244" s="352" t="s">
        <v>869</v>
      </c>
      <c r="C244" s="352" t="s">
        <v>863</v>
      </c>
      <c r="D244" s="355" t="s">
        <v>864</v>
      </c>
      <c r="E244" s="363" t="s">
        <v>865</v>
      </c>
      <c r="F244" s="361">
        <v>45011</v>
      </c>
      <c r="G244" s="361">
        <f t="shared" si="35"/>
        <v>45011</v>
      </c>
      <c r="H244" s="361">
        <f t="shared" si="35"/>
        <v>45011</v>
      </c>
      <c r="I244" s="365">
        <v>45037</v>
      </c>
      <c r="J244" s="387" t="s">
        <v>870</v>
      </c>
      <c r="K244" s="352" t="s">
        <v>871</v>
      </c>
      <c r="L244" s="402">
        <v>68</v>
      </c>
      <c r="M244" s="352" t="s">
        <v>868</v>
      </c>
      <c r="N244" s="403">
        <v>100000</v>
      </c>
      <c r="O244" s="404">
        <v>6800000</v>
      </c>
      <c r="P244" s="421">
        <v>4</v>
      </c>
      <c r="Q244" s="492" t="s">
        <v>112</v>
      </c>
      <c r="R244" s="437">
        <v>11000</v>
      </c>
      <c r="S244" s="438">
        <f t="shared" si="28"/>
        <v>6936000</v>
      </c>
      <c r="T244" s="275"/>
      <c r="U244" s="460" t="str">
        <f t="shared" si="29"/>
        <v/>
      </c>
      <c r="V244" s="439"/>
      <c r="W244" s="445"/>
      <c r="X244" s="439" t="s">
        <v>709</v>
      </c>
      <c r="Y244" s="275" t="s">
        <v>710</v>
      </c>
      <c r="Z244" s="616" t="s">
        <v>710</v>
      </c>
      <c r="AA244" s="440" t="s">
        <v>720</v>
      </c>
      <c r="AB244" s="441">
        <f t="shared" si="30"/>
        <v>90090.090090090089</v>
      </c>
      <c r="AC244" s="442">
        <f t="shared" si="31"/>
        <v>6126126.1261261264</v>
      </c>
      <c r="AD244" s="437">
        <v>11000</v>
      </c>
      <c r="AE244" s="447">
        <v>4866666.666666667</v>
      </c>
      <c r="AF244" s="447">
        <v>5402000</v>
      </c>
      <c r="AG244" s="437">
        <v>11000</v>
      </c>
      <c r="AH244" s="446"/>
    </row>
    <row r="245" spans="1:34">
      <c r="A245" s="350">
        <v>111</v>
      </c>
      <c r="B245" s="352" t="s">
        <v>872</v>
      </c>
      <c r="C245" s="352" t="s">
        <v>863</v>
      </c>
      <c r="D245" s="355" t="s">
        <v>864</v>
      </c>
      <c r="E245" s="363" t="s">
        <v>865</v>
      </c>
      <c r="F245" s="361">
        <v>45011</v>
      </c>
      <c r="G245" s="361">
        <f t="shared" si="35"/>
        <v>45011</v>
      </c>
      <c r="H245" s="361">
        <f t="shared" si="35"/>
        <v>45011</v>
      </c>
      <c r="I245" s="365">
        <v>45037</v>
      </c>
      <c r="J245" s="387" t="s">
        <v>873</v>
      </c>
      <c r="K245" s="352" t="s">
        <v>874</v>
      </c>
      <c r="L245" s="791">
        <v>2</v>
      </c>
      <c r="M245" s="352" t="s">
        <v>868</v>
      </c>
      <c r="N245" s="403">
        <v>350000</v>
      </c>
      <c r="O245" s="404">
        <v>700000</v>
      </c>
      <c r="P245" s="421">
        <v>4</v>
      </c>
      <c r="Q245" s="492" t="s">
        <v>140</v>
      </c>
      <c r="R245" s="437">
        <v>20000</v>
      </c>
      <c r="S245" s="438">
        <f t="shared" si="28"/>
        <v>704000</v>
      </c>
      <c r="T245" s="275"/>
      <c r="U245" s="460" t="str">
        <f t="shared" si="29"/>
        <v/>
      </c>
      <c r="V245" s="439"/>
      <c r="W245" s="445"/>
      <c r="X245" s="439" t="s">
        <v>709</v>
      </c>
      <c r="Y245" s="275" t="s">
        <v>710</v>
      </c>
      <c r="Z245" s="616" t="s">
        <v>710</v>
      </c>
      <c r="AA245" s="440" t="s">
        <v>551</v>
      </c>
      <c r="AB245" s="441">
        <f t="shared" si="30"/>
        <v>315315.31531531533</v>
      </c>
      <c r="AC245" s="442">
        <f t="shared" si="31"/>
        <v>630630.63063063065</v>
      </c>
      <c r="AD245" s="437">
        <v>20000</v>
      </c>
      <c r="AE245" s="447">
        <v>4866666.666666667</v>
      </c>
      <c r="AF245" s="447">
        <v>5402000</v>
      </c>
      <c r="AG245" s="437">
        <v>20000</v>
      </c>
      <c r="AH245" s="446"/>
    </row>
    <row r="246" spans="1:34">
      <c r="A246" s="350">
        <v>112</v>
      </c>
      <c r="B246" s="352" t="s">
        <v>875</v>
      </c>
      <c r="C246" s="352" t="s">
        <v>603</v>
      </c>
      <c r="D246" s="355" t="s">
        <v>604</v>
      </c>
      <c r="E246" s="363" t="s">
        <v>865</v>
      </c>
      <c r="F246" s="361">
        <v>45011</v>
      </c>
      <c r="G246" s="361">
        <f t="shared" si="35"/>
        <v>45011</v>
      </c>
      <c r="H246" s="361">
        <f t="shared" si="35"/>
        <v>45011</v>
      </c>
      <c r="I246" s="365">
        <v>45037</v>
      </c>
      <c r="J246" s="387" t="s">
        <v>606</v>
      </c>
      <c r="K246" s="352" t="s">
        <v>607</v>
      </c>
      <c r="L246" s="402">
        <v>1</v>
      </c>
      <c r="M246" s="352" t="s">
        <v>608</v>
      </c>
      <c r="N246" s="403">
        <v>125000</v>
      </c>
      <c r="O246" s="404">
        <v>125000</v>
      </c>
      <c r="P246" s="421">
        <v>4</v>
      </c>
      <c r="Q246" s="492" t="s">
        <v>120</v>
      </c>
      <c r="R246" s="437">
        <v>190000</v>
      </c>
      <c r="S246" s="438">
        <f t="shared" si="28"/>
        <v>127000</v>
      </c>
      <c r="T246" s="275"/>
      <c r="U246" s="460" t="str">
        <f t="shared" si="29"/>
        <v/>
      </c>
      <c r="V246" s="439"/>
      <c r="W246" s="445"/>
      <c r="X246" s="439" t="s">
        <v>709</v>
      </c>
      <c r="Y246" s="275" t="s">
        <v>710</v>
      </c>
      <c r="Z246" s="616" t="s">
        <v>710</v>
      </c>
      <c r="AA246" s="440" t="s">
        <v>753</v>
      </c>
      <c r="AB246" s="441">
        <f t="shared" si="30"/>
        <v>112612.61261261262</v>
      </c>
      <c r="AC246" s="442">
        <f t="shared" si="31"/>
        <v>112612.61261261262</v>
      </c>
      <c r="AD246" s="437">
        <v>190000</v>
      </c>
      <c r="AE246" s="447">
        <v>4866666.666666667</v>
      </c>
      <c r="AF246" s="447">
        <v>5402000</v>
      </c>
      <c r="AG246" s="437">
        <v>190000</v>
      </c>
      <c r="AH246" s="446"/>
    </row>
    <row r="247" spans="1:34" ht="25">
      <c r="A247" s="350">
        <v>113</v>
      </c>
      <c r="B247" s="352" t="s">
        <v>876</v>
      </c>
      <c r="C247" s="352" t="s">
        <v>627</v>
      </c>
      <c r="D247" s="355" t="s">
        <v>628</v>
      </c>
      <c r="E247" s="361">
        <v>45013</v>
      </c>
      <c r="F247" s="361">
        <v>45014</v>
      </c>
      <c r="G247" s="361">
        <f t="shared" si="35"/>
        <v>45014</v>
      </c>
      <c r="H247" s="361">
        <f t="shared" si="35"/>
        <v>45014</v>
      </c>
      <c r="I247" s="365">
        <v>45037</v>
      </c>
      <c r="J247" s="387" t="s">
        <v>630</v>
      </c>
      <c r="K247" s="352" t="s">
        <v>631</v>
      </c>
      <c r="L247" s="402">
        <v>1</v>
      </c>
      <c r="M247" s="352" t="s">
        <v>587</v>
      </c>
      <c r="N247" s="403">
        <v>100000</v>
      </c>
      <c r="O247" s="404">
        <v>100000</v>
      </c>
      <c r="P247" s="421">
        <v>4</v>
      </c>
      <c r="Q247" s="492" t="s">
        <v>149</v>
      </c>
      <c r="R247" s="437">
        <v>325000</v>
      </c>
      <c r="S247" s="438">
        <f t="shared" si="28"/>
        <v>102000</v>
      </c>
      <c r="T247" s="275"/>
      <c r="U247" s="460" t="str">
        <f t="shared" si="29"/>
        <v/>
      </c>
      <c r="V247" s="439"/>
      <c r="W247" s="445"/>
      <c r="X247" s="439" t="s">
        <v>709</v>
      </c>
      <c r="Y247" s="275" t="s">
        <v>710</v>
      </c>
      <c r="Z247" s="616" t="s">
        <v>710</v>
      </c>
      <c r="AA247" s="440" t="s">
        <v>488</v>
      </c>
      <c r="AB247" s="441">
        <f t="shared" si="30"/>
        <v>90090.090090090089</v>
      </c>
      <c r="AC247" s="442">
        <f t="shared" si="31"/>
        <v>90090.090090090089</v>
      </c>
      <c r="AD247" s="437">
        <v>325000</v>
      </c>
      <c r="AE247" s="447">
        <v>4866666.666666667</v>
      </c>
      <c r="AF247" s="447">
        <v>5402000</v>
      </c>
      <c r="AG247" s="437">
        <v>325000</v>
      </c>
      <c r="AH247" s="446"/>
    </row>
    <row r="248" spans="1:34" ht="25">
      <c r="A248" s="350">
        <v>113</v>
      </c>
      <c r="B248" s="352" t="s">
        <v>877</v>
      </c>
      <c r="C248" s="352" t="s">
        <v>627</v>
      </c>
      <c r="D248" s="355" t="s">
        <v>628</v>
      </c>
      <c r="E248" s="361">
        <v>45015</v>
      </c>
      <c r="F248" s="361">
        <v>45016</v>
      </c>
      <c r="G248" s="361">
        <f t="shared" si="35"/>
        <v>45016</v>
      </c>
      <c r="H248" s="361">
        <f t="shared" si="35"/>
        <v>45016</v>
      </c>
      <c r="I248" s="365">
        <v>45037</v>
      </c>
      <c r="J248" s="387" t="s">
        <v>633</v>
      </c>
      <c r="K248" s="352" t="s">
        <v>631</v>
      </c>
      <c r="L248" s="402">
        <v>1</v>
      </c>
      <c r="M248" s="352" t="s">
        <v>587</v>
      </c>
      <c r="N248" s="403">
        <v>200000</v>
      </c>
      <c r="O248" s="404">
        <v>200000</v>
      </c>
      <c r="P248" s="421">
        <v>4</v>
      </c>
      <c r="Q248" s="492" t="s">
        <v>147</v>
      </c>
      <c r="R248" s="437">
        <v>30000</v>
      </c>
      <c r="S248" s="438">
        <f t="shared" si="28"/>
        <v>202000</v>
      </c>
      <c r="T248" s="275"/>
      <c r="U248" s="460" t="str">
        <f t="shared" si="29"/>
        <v/>
      </c>
      <c r="V248" s="439"/>
      <c r="W248" s="445"/>
      <c r="X248" s="439" t="s">
        <v>709</v>
      </c>
      <c r="Y248" s="275" t="s">
        <v>710</v>
      </c>
      <c r="Z248" s="616" t="s">
        <v>710</v>
      </c>
      <c r="AA248" s="440" t="s">
        <v>597</v>
      </c>
      <c r="AB248" s="441">
        <f t="shared" si="30"/>
        <v>180180.18018018018</v>
      </c>
      <c r="AC248" s="442">
        <f t="shared" si="31"/>
        <v>180180.18018018018</v>
      </c>
      <c r="AD248" s="437">
        <v>30000</v>
      </c>
      <c r="AE248" s="447">
        <v>4866666.666666667</v>
      </c>
      <c r="AF248" s="447">
        <v>5402000</v>
      </c>
      <c r="AG248" s="437">
        <v>30000</v>
      </c>
      <c r="AH248" s="446"/>
    </row>
    <row r="249" spans="1:34">
      <c r="A249" s="350">
        <v>114</v>
      </c>
      <c r="B249" s="352" t="s">
        <v>878</v>
      </c>
      <c r="C249" s="352" t="s">
        <v>635</v>
      </c>
      <c r="D249" s="355" t="s">
        <v>590</v>
      </c>
      <c r="E249" s="361">
        <v>45015</v>
      </c>
      <c r="F249" s="361">
        <v>45016</v>
      </c>
      <c r="G249" s="361">
        <f t="shared" si="35"/>
        <v>45016</v>
      </c>
      <c r="H249" s="361">
        <f t="shared" si="35"/>
        <v>45016</v>
      </c>
      <c r="I249" s="365">
        <v>45037</v>
      </c>
      <c r="J249" s="387" t="s">
        <v>636</v>
      </c>
      <c r="K249" s="352" t="s">
        <v>637</v>
      </c>
      <c r="L249" s="402">
        <v>1</v>
      </c>
      <c r="M249" s="352" t="s">
        <v>587</v>
      </c>
      <c r="N249" s="403">
        <v>400000</v>
      </c>
      <c r="O249" s="404">
        <v>400000</v>
      </c>
      <c r="P249" s="421">
        <v>4</v>
      </c>
      <c r="Q249" s="492" t="s">
        <v>108</v>
      </c>
      <c r="R249" s="437">
        <v>15000</v>
      </c>
      <c r="S249" s="438">
        <f t="shared" si="28"/>
        <v>402000</v>
      </c>
      <c r="T249" s="275"/>
      <c r="U249" s="460" t="str">
        <f t="shared" si="29"/>
        <v/>
      </c>
      <c r="V249" s="439"/>
      <c r="W249" s="445"/>
      <c r="X249" s="439" t="s">
        <v>709</v>
      </c>
      <c r="Y249" s="275" t="s">
        <v>710</v>
      </c>
      <c r="Z249" s="616" t="s">
        <v>710</v>
      </c>
      <c r="AA249" s="440" t="s">
        <v>597</v>
      </c>
      <c r="AB249" s="441">
        <f t="shared" si="30"/>
        <v>360360.36036036036</v>
      </c>
      <c r="AC249" s="442">
        <f t="shared" si="31"/>
        <v>360360.36036036036</v>
      </c>
      <c r="AD249" s="437">
        <v>15000</v>
      </c>
      <c r="AE249" s="447">
        <v>4866666.666666667</v>
      </c>
      <c r="AF249" s="447">
        <v>5402000</v>
      </c>
      <c r="AG249" s="437">
        <v>15000</v>
      </c>
      <c r="AH249" s="446"/>
    </row>
    <row r="250" spans="1:34">
      <c r="A250" s="350">
        <v>117</v>
      </c>
      <c r="B250" s="352" t="s">
        <v>879</v>
      </c>
      <c r="C250" s="352" t="s">
        <v>639</v>
      </c>
      <c r="D250" s="355" t="s">
        <v>464</v>
      </c>
      <c r="E250" s="361">
        <v>45015</v>
      </c>
      <c r="F250" s="361">
        <v>45016</v>
      </c>
      <c r="G250" s="361">
        <f t="shared" si="35"/>
        <v>45016</v>
      </c>
      <c r="H250" s="361">
        <f t="shared" si="35"/>
        <v>45016</v>
      </c>
      <c r="I250" s="365">
        <v>45037</v>
      </c>
      <c r="J250" s="387" t="s">
        <v>640</v>
      </c>
      <c r="K250" s="352" t="s">
        <v>641</v>
      </c>
      <c r="L250" s="402">
        <v>72</v>
      </c>
      <c r="M250" s="352" t="s">
        <v>488</v>
      </c>
      <c r="N250" s="403">
        <v>5000</v>
      </c>
      <c r="O250" s="404">
        <v>360000</v>
      </c>
      <c r="P250" s="421">
        <v>4</v>
      </c>
      <c r="Q250" s="492" t="s">
        <v>110</v>
      </c>
      <c r="R250" s="437">
        <v>16500</v>
      </c>
      <c r="S250" s="438">
        <f t="shared" si="28"/>
        <v>504000</v>
      </c>
      <c r="T250" s="275"/>
      <c r="U250" s="460" t="str">
        <f t="shared" si="29"/>
        <v/>
      </c>
      <c r="V250" s="439"/>
      <c r="W250" s="445"/>
      <c r="X250" s="439" t="s">
        <v>709</v>
      </c>
      <c r="Y250" s="275" t="s">
        <v>710</v>
      </c>
      <c r="Z250" s="616" t="s">
        <v>710</v>
      </c>
      <c r="AA250" s="440" t="s">
        <v>488</v>
      </c>
      <c r="AB250" s="441">
        <f t="shared" si="30"/>
        <v>4504.5045045045044</v>
      </c>
      <c r="AC250" s="442">
        <f t="shared" si="31"/>
        <v>324324.32432432432</v>
      </c>
      <c r="AD250" s="437">
        <v>16500</v>
      </c>
      <c r="AE250" s="447">
        <v>4866666.666666667</v>
      </c>
      <c r="AF250" s="447">
        <v>5402000</v>
      </c>
      <c r="AG250" s="437">
        <v>16500</v>
      </c>
      <c r="AH250" s="446"/>
    </row>
    <row r="251" spans="1:34" ht="37.5">
      <c r="A251" s="350">
        <v>119</v>
      </c>
      <c r="B251" s="352" t="s">
        <v>915</v>
      </c>
      <c r="C251" s="352" t="s">
        <v>704</v>
      </c>
      <c r="D251" s="355" t="s">
        <v>705</v>
      </c>
      <c r="E251" s="376" t="s">
        <v>916</v>
      </c>
      <c r="F251" s="361">
        <v>45017</v>
      </c>
      <c r="G251" s="361">
        <v>45017</v>
      </c>
      <c r="H251" s="361">
        <v>45017</v>
      </c>
      <c r="I251" s="394">
        <v>45037</v>
      </c>
      <c r="J251" s="387" t="s">
        <v>247</v>
      </c>
      <c r="K251" s="387" t="s">
        <v>247</v>
      </c>
      <c r="L251" s="408">
        <v>20</v>
      </c>
      <c r="M251" s="352" t="s">
        <v>735</v>
      </c>
      <c r="N251" s="409">
        <v>50000</v>
      </c>
      <c r="O251" s="404">
        <v>1000000</v>
      </c>
      <c r="P251" s="421">
        <v>4</v>
      </c>
      <c r="Q251" s="492" t="s">
        <v>138</v>
      </c>
      <c r="R251" s="437">
        <v>20000</v>
      </c>
      <c r="S251" s="438">
        <f t="shared" si="28"/>
        <v>1040000</v>
      </c>
      <c r="T251" s="439" t="s">
        <v>538</v>
      </c>
      <c r="U251" s="460" t="str">
        <f t="shared" si="29"/>
        <v/>
      </c>
      <c r="V251" s="439" t="s">
        <v>539</v>
      </c>
      <c r="W251" s="439" t="s">
        <v>540</v>
      </c>
      <c r="X251" s="439" t="s">
        <v>709</v>
      </c>
      <c r="Y251" s="275" t="s">
        <v>710</v>
      </c>
      <c r="Z251" s="616" t="s">
        <v>710</v>
      </c>
      <c r="AA251" s="440" t="s">
        <v>756</v>
      </c>
      <c r="AB251" s="441">
        <f t="shared" si="30"/>
        <v>45045.045045045044</v>
      </c>
      <c r="AC251" s="442">
        <f t="shared" si="31"/>
        <v>900900.90090090083</v>
      </c>
      <c r="AD251" s="437">
        <v>20000</v>
      </c>
      <c r="AE251" s="447">
        <v>4866666.666666667</v>
      </c>
      <c r="AF251" s="447">
        <v>5402000</v>
      </c>
      <c r="AG251" s="437">
        <v>20000</v>
      </c>
      <c r="AH251" s="443" t="s">
        <v>2098</v>
      </c>
    </row>
    <row r="252" spans="1:34" ht="25">
      <c r="A252" s="350">
        <v>119</v>
      </c>
      <c r="B252" s="352" t="s">
        <v>915</v>
      </c>
      <c r="C252" s="352" t="s">
        <v>704</v>
      </c>
      <c r="D252" s="355" t="s">
        <v>705</v>
      </c>
      <c r="E252" s="377">
        <v>45017</v>
      </c>
      <c r="F252" s="361">
        <v>45018</v>
      </c>
      <c r="G252" s="361">
        <v>45018</v>
      </c>
      <c r="H252" s="361">
        <v>45018</v>
      </c>
      <c r="I252" s="394">
        <v>45037</v>
      </c>
      <c r="J252" s="387" t="s">
        <v>245</v>
      </c>
      <c r="K252" s="387" t="s">
        <v>245</v>
      </c>
      <c r="L252" s="793">
        <v>1</v>
      </c>
      <c r="M252" s="352" t="s">
        <v>551</v>
      </c>
      <c r="N252" s="409">
        <v>95000</v>
      </c>
      <c r="O252" s="404">
        <v>95000</v>
      </c>
      <c r="P252" s="421">
        <v>4</v>
      </c>
      <c r="Q252" s="492" t="s">
        <v>100</v>
      </c>
      <c r="R252" s="437">
        <v>26000</v>
      </c>
      <c r="S252" s="438">
        <f t="shared" si="28"/>
        <v>97000</v>
      </c>
      <c r="T252" s="439" t="s">
        <v>538</v>
      </c>
      <c r="U252" s="460" t="str">
        <f t="shared" si="29"/>
        <v/>
      </c>
      <c r="V252" s="439" t="s">
        <v>539</v>
      </c>
      <c r="W252" s="439" t="s">
        <v>540</v>
      </c>
      <c r="X252" s="439" t="s">
        <v>709</v>
      </c>
      <c r="Y252" s="275" t="s">
        <v>710</v>
      </c>
      <c r="Z252" s="616" t="s">
        <v>710</v>
      </c>
      <c r="AA252" s="440" t="s">
        <v>488</v>
      </c>
      <c r="AB252" s="441">
        <f t="shared" si="30"/>
        <v>85585.585585585592</v>
      </c>
      <c r="AC252" s="442">
        <f t="shared" si="31"/>
        <v>85585.585585585592</v>
      </c>
      <c r="AD252" s="437">
        <v>26000</v>
      </c>
      <c r="AE252" s="447">
        <v>4866666.666666667</v>
      </c>
      <c r="AF252" s="447">
        <v>5402000</v>
      </c>
      <c r="AG252" s="437">
        <v>26000</v>
      </c>
      <c r="AH252" s="443" t="s">
        <v>2098</v>
      </c>
    </row>
    <row r="253" spans="1:34">
      <c r="A253" s="350">
        <v>119</v>
      </c>
      <c r="B253" s="352" t="s">
        <v>915</v>
      </c>
      <c r="C253" s="352" t="s">
        <v>704</v>
      </c>
      <c r="D253" s="355" t="s">
        <v>705</v>
      </c>
      <c r="E253" s="376" t="s">
        <v>916</v>
      </c>
      <c r="F253" s="361">
        <v>45018</v>
      </c>
      <c r="G253" s="361">
        <v>45018</v>
      </c>
      <c r="H253" s="361">
        <v>45018</v>
      </c>
      <c r="I253" s="394">
        <v>45037</v>
      </c>
      <c r="J253" s="387" t="s">
        <v>236</v>
      </c>
      <c r="K253" s="435" t="s">
        <v>771</v>
      </c>
      <c r="L253" s="408">
        <v>4</v>
      </c>
      <c r="M253" s="352" t="s">
        <v>772</v>
      </c>
      <c r="N253" s="409">
        <v>65000</v>
      </c>
      <c r="O253" s="404">
        <v>260000</v>
      </c>
      <c r="P253" s="421">
        <v>4</v>
      </c>
      <c r="Q253" s="492" t="s">
        <v>114</v>
      </c>
      <c r="R253" s="437">
        <v>350000</v>
      </c>
      <c r="S253" s="438">
        <f t="shared" si="28"/>
        <v>268000</v>
      </c>
      <c r="T253" s="439" t="s">
        <v>538</v>
      </c>
      <c r="U253" s="460" t="str">
        <f t="shared" si="29"/>
        <v/>
      </c>
      <c r="V253" s="439" t="s">
        <v>539</v>
      </c>
      <c r="W253" s="439" t="s">
        <v>540</v>
      </c>
      <c r="X253" s="439" t="s">
        <v>709</v>
      </c>
      <c r="Y253" s="275" t="s">
        <v>710</v>
      </c>
      <c r="Z253" s="616" t="s">
        <v>710</v>
      </c>
      <c r="AA253" s="440" t="s">
        <v>488</v>
      </c>
      <c r="AB253" s="441">
        <f t="shared" si="30"/>
        <v>58558.558558558558</v>
      </c>
      <c r="AC253" s="442">
        <f t="shared" si="31"/>
        <v>234234.23423423423</v>
      </c>
      <c r="AD253" s="437">
        <v>350000</v>
      </c>
      <c r="AE253" s="447">
        <v>4866666.666666667</v>
      </c>
      <c r="AF253" s="447">
        <v>5402000</v>
      </c>
      <c r="AG253" s="437">
        <v>350000</v>
      </c>
      <c r="AH253" s="443" t="s">
        <v>2098</v>
      </c>
    </row>
    <row r="254" spans="1:34">
      <c r="A254" s="350">
        <v>119</v>
      </c>
      <c r="B254" s="352" t="s">
        <v>915</v>
      </c>
      <c r="C254" s="352" t="s">
        <v>704</v>
      </c>
      <c r="D254" s="355" t="s">
        <v>705</v>
      </c>
      <c r="E254" s="376" t="s">
        <v>916</v>
      </c>
      <c r="F254" s="361">
        <v>45018</v>
      </c>
      <c r="G254" s="361">
        <v>45018</v>
      </c>
      <c r="H254" s="361">
        <v>45018</v>
      </c>
      <c r="I254" s="394">
        <v>45037</v>
      </c>
      <c r="J254" s="389" t="s">
        <v>234</v>
      </c>
      <c r="K254" s="435" t="s">
        <v>234</v>
      </c>
      <c r="L254" s="408">
        <v>1</v>
      </c>
      <c r="M254" s="352" t="s">
        <v>714</v>
      </c>
      <c r="N254" s="409">
        <v>225000</v>
      </c>
      <c r="O254" s="404">
        <v>225000</v>
      </c>
      <c r="P254" s="421">
        <v>4</v>
      </c>
      <c r="Q254" s="492" t="s">
        <v>141</v>
      </c>
      <c r="R254" s="437">
        <v>15000</v>
      </c>
      <c r="S254" s="438">
        <f t="shared" si="28"/>
        <v>227000</v>
      </c>
      <c r="T254" s="439" t="s">
        <v>538</v>
      </c>
      <c r="U254" s="460" t="str">
        <f t="shared" si="29"/>
        <v/>
      </c>
      <c r="V254" s="439" t="s">
        <v>539</v>
      </c>
      <c r="W254" s="439" t="s">
        <v>540</v>
      </c>
      <c r="X254" s="439" t="s">
        <v>709</v>
      </c>
      <c r="Y254" s="275" t="s">
        <v>710</v>
      </c>
      <c r="Z254" s="616" t="s">
        <v>710</v>
      </c>
      <c r="AA254" s="440" t="s">
        <v>597</v>
      </c>
      <c r="AB254" s="441">
        <f t="shared" si="30"/>
        <v>202702.70270270269</v>
      </c>
      <c r="AC254" s="442">
        <f t="shared" si="31"/>
        <v>202702.70270270269</v>
      </c>
      <c r="AD254" s="437">
        <v>15000</v>
      </c>
      <c r="AE254" s="447">
        <v>4866666.666666667</v>
      </c>
      <c r="AF254" s="447">
        <v>5402000</v>
      </c>
      <c r="AG254" s="437">
        <v>15000</v>
      </c>
      <c r="AH254" s="443" t="s">
        <v>2098</v>
      </c>
    </row>
    <row r="255" spans="1:34">
      <c r="A255" s="350">
        <v>119</v>
      </c>
      <c r="B255" s="352" t="s">
        <v>915</v>
      </c>
      <c r="C255" s="352" t="s">
        <v>704</v>
      </c>
      <c r="D255" s="355" t="s">
        <v>705</v>
      </c>
      <c r="E255" s="376" t="s">
        <v>916</v>
      </c>
      <c r="F255" s="361">
        <v>45018</v>
      </c>
      <c r="G255" s="361">
        <v>45018</v>
      </c>
      <c r="H255" s="361">
        <v>45018</v>
      </c>
      <c r="I255" s="394">
        <v>45037</v>
      </c>
      <c r="J255" s="388" t="s">
        <v>744</v>
      </c>
      <c r="K255" s="388" t="s">
        <v>744</v>
      </c>
      <c r="L255" s="793">
        <v>1</v>
      </c>
      <c r="M255" s="352" t="s">
        <v>714</v>
      </c>
      <c r="N255" s="409">
        <v>150000</v>
      </c>
      <c r="O255" s="404">
        <v>150000</v>
      </c>
      <c r="P255" s="421">
        <v>4</v>
      </c>
      <c r="Q255" s="492" t="s">
        <v>111</v>
      </c>
      <c r="R255" s="437">
        <v>20000</v>
      </c>
      <c r="S255" s="438">
        <f t="shared" si="28"/>
        <v>152000</v>
      </c>
      <c r="T255" s="439" t="s">
        <v>538</v>
      </c>
      <c r="U255" s="460" t="str">
        <f t="shared" si="29"/>
        <v/>
      </c>
      <c r="V255" s="439" t="s">
        <v>539</v>
      </c>
      <c r="W255" s="439" t="s">
        <v>540</v>
      </c>
      <c r="X255" s="439" t="s">
        <v>709</v>
      </c>
      <c r="Y255" s="275" t="s">
        <v>710</v>
      </c>
      <c r="Z255" s="616" t="s">
        <v>710</v>
      </c>
      <c r="AA255" s="440" t="s">
        <v>714</v>
      </c>
      <c r="AB255" s="441">
        <f t="shared" si="30"/>
        <v>135135.13513513515</v>
      </c>
      <c r="AC255" s="442">
        <f t="shared" si="31"/>
        <v>135135.13513513515</v>
      </c>
      <c r="AD255" s="437">
        <v>20000</v>
      </c>
      <c r="AE255" s="447">
        <v>4866666.666666667</v>
      </c>
      <c r="AF255" s="447">
        <v>5402000</v>
      </c>
      <c r="AG255" s="437">
        <v>20000</v>
      </c>
      <c r="AH255" s="443" t="s">
        <v>2098</v>
      </c>
    </row>
    <row r="256" spans="1:34" ht="25">
      <c r="A256" s="350">
        <v>119</v>
      </c>
      <c r="B256" s="352" t="s">
        <v>915</v>
      </c>
      <c r="C256" s="352" t="s">
        <v>704</v>
      </c>
      <c r="D256" s="355" t="s">
        <v>705</v>
      </c>
      <c r="E256" s="376" t="s">
        <v>916</v>
      </c>
      <c r="F256" s="361">
        <v>45018</v>
      </c>
      <c r="G256" s="361">
        <v>45018</v>
      </c>
      <c r="H256" s="361">
        <v>45018</v>
      </c>
      <c r="I256" s="394">
        <v>45037</v>
      </c>
      <c r="J256" s="387" t="s">
        <v>230</v>
      </c>
      <c r="K256" s="387" t="s">
        <v>230</v>
      </c>
      <c r="L256" s="408">
        <v>1</v>
      </c>
      <c r="M256" s="352" t="s">
        <v>728</v>
      </c>
      <c r="N256" s="409">
        <v>40000</v>
      </c>
      <c r="O256" s="404">
        <v>40000</v>
      </c>
      <c r="P256" s="421">
        <v>4</v>
      </c>
      <c r="Q256" s="492" t="s">
        <v>101</v>
      </c>
      <c r="R256" s="437">
        <v>97000</v>
      </c>
      <c r="S256" s="438">
        <f t="shared" si="28"/>
        <v>42000</v>
      </c>
      <c r="T256" s="439" t="s">
        <v>538</v>
      </c>
      <c r="U256" s="460" t="str">
        <f t="shared" si="29"/>
        <v/>
      </c>
      <c r="V256" s="439" t="s">
        <v>539</v>
      </c>
      <c r="W256" s="439" t="s">
        <v>540</v>
      </c>
      <c r="X256" s="439" t="s">
        <v>709</v>
      </c>
      <c r="Y256" s="275" t="s">
        <v>710</v>
      </c>
      <c r="Z256" s="616" t="s">
        <v>710</v>
      </c>
      <c r="AA256" s="440" t="s">
        <v>488</v>
      </c>
      <c r="AB256" s="441">
        <f t="shared" si="30"/>
        <v>36036.036036036036</v>
      </c>
      <c r="AC256" s="442">
        <f t="shared" si="31"/>
        <v>36036.036036036036</v>
      </c>
      <c r="AD256" s="437">
        <v>97000</v>
      </c>
      <c r="AE256" s="447">
        <v>4866666.666666667</v>
      </c>
      <c r="AF256" s="447">
        <v>5402000</v>
      </c>
      <c r="AG256" s="437">
        <v>97000</v>
      </c>
      <c r="AH256" s="443" t="s">
        <v>2098</v>
      </c>
    </row>
    <row r="257" spans="1:36" ht="25">
      <c r="A257" s="350">
        <v>119</v>
      </c>
      <c r="B257" s="352" t="s">
        <v>915</v>
      </c>
      <c r="C257" s="352" t="s">
        <v>704</v>
      </c>
      <c r="D257" s="355" t="s">
        <v>705</v>
      </c>
      <c r="E257" s="376" t="s">
        <v>916</v>
      </c>
      <c r="F257" s="361">
        <v>45018</v>
      </c>
      <c r="G257" s="361">
        <v>45018</v>
      </c>
      <c r="H257" s="361">
        <v>45018</v>
      </c>
      <c r="I257" s="394">
        <v>45037</v>
      </c>
      <c r="J257" s="387" t="s">
        <v>261</v>
      </c>
      <c r="K257" s="387" t="s">
        <v>261</v>
      </c>
      <c r="L257" s="408">
        <v>12</v>
      </c>
      <c r="M257" s="352" t="s">
        <v>667</v>
      </c>
      <c r="N257" s="409">
        <v>20000</v>
      </c>
      <c r="O257" s="404">
        <v>240000</v>
      </c>
      <c r="P257" s="421">
        <v>4</v>
      </c>
      <c r="Q257" s="492" t="s">
        <v>138</v>
      </c>
      <c r="R257" s="437">
        <v>14000</v>
      </c>
      <c r="S257" s="438">
        <f t="shared" si="28"/>
        <v>264000</v>
      </c>
      <c r="T257" s="439" t="s">
        <v>538</v>
      </c>
      <c r="U257" s="460" t="str">
        <f t="shared" si="29"/>
        <v/>
      </c>
      <c r="V257" s="439" t="s">
        <v>539</v>
      </c>
      <c r="W257" s="439" t="s">
        <v>540</v>
      </c>
      <c r="X257" s="439" t="s">
        <v>709</v>
      </c>
      <c r="Y257" s="275" t="s">
        <v>710</v>
      </c>
      <c r="Z257" s="616" t="s">
        <v>710</v>
      </c>
      <c r="AA257" s="440" t="s">
        <v>488</v>
      </c>
      <c r="AB257" s="441">
        <f t="shared" si="30"/>
        <v>18018.018018018018</v>
      </c>
      <c r="AC257" s="442">
        <f t="shared" si="31"/>
        <v>216216.21621621621</v>
      </c>
      <c r="AD257" s="437">
        <v>14000</v>
      </c>
      <c r="AE257" s="447">
        <v>4866666.666666667</v>
      </c>
      <c r="AF257" s="447">
        <v>5402000</v>
      </c>
      <c r="AG257" s="437">
        <v>14000</v>
      </c>
      <c r="AH257" s="443" t="s">
        <v>2098</v>
      </c>
    </row>
    <row r="258" spans="1:36">
      <c r="A258" s="350">
        <v>119</v>
      </c>
      <c r="B258" s="352" t="s">
        <v>915</v>
      </c>
      <c r="C258" s="352" t="s">
        <v>704</v>
      </c>
      <c r="D258" s="355" t="s">
        <v>705</v>
      </c>
      <c r="E258" s="376" t="s">
        <v>916</v>
      </c>
      <c r="F258" s="361">
        <v>45018</v>
      </c>
      <c r="G258" s="361">
        <v>45018</v>
      </c>
      <c r="H258" s="361">
        <v>45018</v>
      </c>
      <c r="I258" s="394">
        <v>45037</v>
      </c>
      <c r="J258" s="387" t="s">
        <v>238</v>
      </c>
      <c r="K258" s="436" t="s">
        <v>913</v>
      </c>
      <c r="L258" s="793">
        <v>2</v>
      </c>
      <c r="M258" s="352" t="s">
        <v>597</v>
      </c>
      <c r="N258" s="409">
        <v>11000</v>
      </c>
      <c r="O258" s="404">
        <v>22000</v>
      </c>
      <c r="P258" s="421">
        <v>4</v>
      </c>
      <c r="Q258" s="492" t="s">
        <v>113</v>
      </c>
      <c r="R258" s="437">
        <v>26000</v>
      </c>
      <c r="S258" s="438">
        <f t="shared" si="28"/>
        <v>26000</v>
      </c>
      <c r="T258" s="439" t="s">
        <v>538</v>
      </c>
      <c r="U258" s="460" t="str">
        <f t="shared" si="29"/>
        <v/>
      </c>
      <c r="V258" s="439" t="s">
        <v>539</v>
      </c>
      <c r="W258" s="439" t="s">
        <v>540</v>
      </c>
      <c r="X258" s="439" t="s">
        <v>709</v>
      </c>
      <c r="Y258" s="275" t="s">
        <v>710</v>
      </c>
      <c r="Z258" s="616" t="s">
        <v>710</v>
      </c>
      <c r="AA258" s="440" t="s">
        <v>753</v>
      </c>
      <c r="AB258" s="441">
        <f t="shared" si="30"/>
        <v>9909.9099099099094</v>
      </c>
      <c r="AC258" s="442">
        <f t="shared" si="31"/>
        <v>19819.819819819819</v>
      </c>
      <c r="AD258" s="437">
        <v>26000</v>
      </c>
      <c r="AE258" s="447">
        <v>4866666.666666667</v>
      </c>
      <c r="AF258" s="447">
        <v>5402000</v>
      </c>
      <c r="AG258" s="437">
        <v>26000</v>
      </c>
      <c r="AH258" s="443" t="s">
        <v>2098</v>
      </c>
    </row>
    <row r="259" spans="1:36" ht="25">
      <c r="A259" s="350">
        <v>119</v>
      </c>
      <c r="B259" s="352" t="s">
        <v>915</v>
      </c>
      <c r="C259" s="352" t="s">
        <v>704</v>
      </c>
      <c r="D259" s="355" t="s">
        <v>705</v>
      </c>
      <c r="E259" s="376" t="s">
        <v>916</v>
      </c>
      <c r="F259" s="361">
        <v>45018</v>
      </c>
      <c r="G259" s="361">
        <v>45018</v>
      </c>
      <c r="H259" s="361">
        <v>45018</v>
      </c>
      <c r="I259" s="394">
        <v>45037</v>
      </c>
      <c r="J259" s="387" t="s">
        <v>251</v>
      </c>
      <c r="K259" s="388" t="s">
        <v>907</v>
      </c>
      <c r="L259" s="408">
        <v>2</v>
      </c>
      <c r="M259" s="352" t="s">
        <v>735</v>
      </c>
      <c r="N259" s="409">
        <v>70000</v>
      </c>
      <c r="O259" s="404">
        <v>140000</v>
      </c>
      <c r="P259" s="421">
        <v>4</v>
      </c>
      <c r="Q259" s="492" t="s">
        <v>156</v>
      </c>
      <c r="R259" s="437">
        <v>60000</v>
      </c>
      <c r="S259" s="438">
        <f t="shared" ref="S259:S322" si="36">L259*(N259+2000)</f>
        <v>144000</v>
      </c>
      <c r="T259" s="439" t="s">
        <v>538</v>
      </c>
      <c r="U259" s="460" t="str">
        <f t="shared" ref="U259:U322" si="37">IF(K259="Nasi Kotak","Resto JFC Esther",IF(K259="Aqua Botol 600 ml","UD. USAHA JAYA",""))</f>
        <v/>
      </c>
      <c r="V259" s="439" t="s">
        <v>539</v>
      </c>
      <c r="W259" s="439" t="s">
        <v>540</v>
      </c>
      <c r="X259" s="439" t="s">
        <v>709</v>
      </c>
      <c r="Y259" s="275" t="s">
        <v>710</v>
      </c>
      <c r="Z259" s="616" t="s">
        <v>710</v>
      </c>
      <c r="AA259" s="440" t="s">
        <v>488</v>
      </c>
      <c r="AB259" s="441">
        <f t="shared" ref="AB259:AB322" si="38">100/111*N259</f>
        <v>63063.063063063062</v>
      </c>
      <c r="AC259" s="442">
        <f t="shared" ref="AC259:AC322" si="39">AB259*L259</f>
        <v>126126.12612612612</v>
      </c>
      <c r="AD259" s="437">
        <v>60000</v>
      </c>
      <c r="AE259" s="447">
        <v>4866666.666666667</v>
      </c>
      <c r="AF259" s="447">
        <v>5402000</v>
      </c>
      <c r="AG259" s="437">
        <v>60000</v>
      </c>
      <c r="AH259" s="443" t="s">
        <v>2098</v>
      </c>
    </row>
    <row r="260" spans="1:36">
      <c r="A260" s="350">
        <v>119</v>
      </c>
      <c r="B260" s="352" t="s">
        <v>915</v>
      </c>
      <c r="C260" s="352" t="s">
        <v>704</v>
      </c>
      <c r="D260" s="355" t="s">
        <v>705</v>
      </c>
      <c r="E260" s="376" t="s">
        <v>916</v>
      </c>
      <c r="F260" s="361">
        <v>45018</v>
      </c>
      <c r="G260" s="361">
        <v>45018</v>
      </c>
      <c r="H260" s="361">
        <v>45018</v>
      </c>
      <c r="I260" s="394">
        <v>45037</v>
      </c>
      <c r="J260" s="387" t="s">
        <v>707</v>
      </c>
      <c r="K260" s="352" t="s">
        <v>708</v>
      </c>
      <c r="L260" s="408">
        <v>3</v>
      </c>
      <c r="M260" s="352" t="s">
        <v>488</v>
      </c>
      <c r="N260" s="409">
        <v>85000</v>
      </c>
      <c r="O260" s="404">
        <v>255000</v>
      </c>
      <c r="P260" s="421">
        <v>4</v>
      </c>
      <c r="Q260" s="492" t="s">
        <v>903</v>
      </c>
      <c r="R260" s="437">
        <v>11000</v>
      </c>
      <c r="S260" s="438">
        <f t="shared" si="36"/>
        <v>261000</v>
      </c>
      <c r="T260" s="439" t="s">
        <v>538</v>
      </c>
      <c r="U260" s="460" t="str">
        <f t="shared" si="37"/>
        <v/>
      </c>
      <c r="V260" s="439" t="s">
        <v>539</v>
      </c>
      <c r="W260" s="439" t="s">
        <v>540</v>
      </c>
      <c r="X260" s="439" t="s">
        <v>709</v>
      </c>
      <c r="Y260" s="275" t="s">
        <v>710</v>
      </c>
      <c r="Z260" s="616" t="s">
        <v>710</v>
      </c>
      <c r="AA260" s="440" t="s">
        <v>488</v>
      </c>
      <c r="AB260" s="441">
        <f t="shared" si="38"/>
        <v>76576.576576576583</v>
      </c>
      <c r="AC260" s="442">
        <f t="shared" si="39"/>
        <v>229729.72972972976</v>
      </c>
      <c r="AD260" s="437">
        <v>11000</v>
      </c>
      <c r="AE260" s="447">
        <v>4866666.666666667</v>
      </c>
      <c r="AF260" s="447">
        <v>5402000</v>
      </c>
      <c r="AG260" s="437">
        <v>11000</v>
      </c>
      <c r="AH260" s="443" t="s">
        <v>2098</v>
      </c>
    </row>
    <row r="261" spans="1:36">
      <c r="A261" s="350">
        <v>119</v>
      </c>
      <c r="B261" s="352" t="s">
        <v>915</v>
      </c>
      <c r="C261" s="352" t="s">
        <v>704</v>
      </c>
      <c r="D261" s="355" t="s">
        <v>705</v>
      </c>
      <c r="E261" s="376" t="s">
        <v>916</v>
      </c>
      <c r="F261" s="361">
        <v>45018</v>
      </c>
      <c r="G261" s="361">
        <v>45018</v>
      </c>
      <c r="H261" s="361">
        <v>45018</v>
      </c>
      <c r="I261" s="394">
        <v>45037</v>
      </c>
      <c r="J261" s="387" t="s">
        <v>252</v>
      </c>
      <c r="K261" s="352" t="s">
        <v>786</v>
      </c>
      <c r="L261" s="408">
        <v>1</v>
      </c>
      <c r="M261" s="352" t="s">
        <v>753</v>
      </c>
      <c r="N261" s="409">
        <v>25000</v>
      </c>
      <c r="O261" s="404">
        <v>25000</v>
      </c>
      <c r="P261" s="421">
        <v>4</v>
      </c>
      <c r="Q261" s="492" t="s">
        <v>926</v>
      </c>
      <c r="R261" s="437">
        <v>31000</v>
      </c>
      <c r="S261" s="438">
        <f t="shared" si="36"/>
        <v>27000</v>
      </c>
      <c r="T261" s="439" t="s">
        <v>538</v>
      </c>
      <c r="U261" s="460" t="str">
        <f t="shared" si="37"/>
        <v/>
      </c>
      <c r="V261" s="439" t="s">
        <v>539</v>
      </c>
      <c r="W261" s="439" t="s">
        <v>540</v>
      </c>
      <c r="X261" s="439" t="s">
        <v>709</v>
      </c>
      <c r="Y261" s="275" t="s">
        <v>710</v>
      </c>
      <c r="Z261" s="616" t="s">
        <v>710</v>
      </c>
      <c r="AA261" s="440" t="s">
        <v>488</v>
      </c>
      <c r="AB261" s="441">
        <f t="shared" si="38"/>
        <v>22522.522522522522</v>
      </c>
      <c r="AC261" s="442">
        <f t="shared" si="39"/>
        <v>22522.522522522522</v>
      </c>
      <c r="AD261" s="437">
        <v>31000</v>
      </c>
      <c r="AE261" s="447">
        <v>4866666.666666667</v>
      </c>
      <c r="AF261" s="447">
        <v>5402000</v>
      </c>
      <c r="AG261" s="437">
        <v>31000</v>
      </c>
      <c r="AH261" s="443" t="s">
        <v>2098</v>
      </c>
    </row>
    <row r="262" spans="1:36" ht="25">
      <c r="A262" s="350">
        <v>119</v>
      </c>
      <c r="B262" s="352" t="s">
        <v>915</v>
      </c>
      <c r="C262" s="352" t="s">
        <v>704</v>
      </c>
      <c r="D262" s="355" t="s">
        <v>705</v>
      </c>
      <c r="E262" s="376" t="s">
        <v>916</v>
      </c>
      <c r="F262" s="361">
        <v>45018</v>
      </c>
      <c r="G262" s="361">
        <v>45018</v>
      </c>
      <c r="H262" s="361">
        <v>45018</v>
      </c>
      <c r="I262" s="394">
        <v>45037</v>
      </c>
      <c r="J262" s="387" t="s">
        <v>246</v>
      </c>
      <c r="K262" s="387" t="s">
        <v>246</v>
      </c>
      <c r="L262" s="408">
        <v>1</v>
      </c>
      <c r="M262" s="352" t="s">
        <v>551</v>
      </c>
      <c r="N262" s="409">
        <v>95000</v>
      </c>
      <c r="O262" s="404">
        <v>95000</v>
      </c>
      <c r="P262" s="421">
        <v>4</v>
      </c>
      <c r="Q262" s="492" t="s">
        <v>138</v>
      </c>
      <c r="R262" s="437">
        <v>11500</v>
      </c>
      <c r="S262" s="438">
        <f t="shared" si="36"/>
        <v>97000</v>
      </c>
      <c r="T262" s="439" t="s">
        <v>538</v>
      </c>
      <c r="U262" s="460" t="str">
        <f t="shared" si="37"/>
        <v/>
      </c>
      <c r="V262" s="439" t="s">
        <v>539</v>
      </c>
      <c r="W262" s="439" t="s">
        <v>540</v>
      </c>
      <c r="X262" s="439" t="s">
        <v>709</v>
      </c>
      <c r="Y262" s="275" t="s">
        <v>710</v>
      </c>
      <c r="Z262" s="616" t="s">
        <v>710</v>
      </c>
      <c r="AA262" s="440" t="s">
        <v>753</v>
      </c>
      <c r="AB262" s="441">
        <f t="shared" si="38"/>
        <v>85585.585585585592</v>
      </c>
      <c r="AC262" s="442">
        <f t="shared" si="39"/>
        <v>85585.585585585592</v>
      </c>
      <c r="AD262" s="437">
        <v>11500</v>
      </c>
      <c r="AE262" s="447">
        <v>4866666.666666667</v>
      </c>
      <c r="AF262" s="447">
        <v>5402000</v>
      </c>
      <c r="AG262" s="437">
        <v>11500</v>
      </c>
      <c r="AH262" s="443" t="s">
        <v>2098</v>
      </c>
    </row>
    <row r="263" spans="1:36">
      <c r="A263" s="350">
        <v>119</v>
      </c>
      <c r="B263" s="352" t="s">
        <v>915</v>
      </c>
      <c r="C263" s="352" t="s">
        <v>704</v>
      </c>
      <c r="D263" s="355" t="s">
        <v>705</v>
      </c>
      <c r="E263" s="376" t="s">
        <v>916</v>
      </c>
      <c r="F263" s="361">
        <v>45018</v>
      </c>
      <c r="G263" s="361">
        <v>45018</v>
      </c>
      <c r="H263" s="361">
        <v>45018</v>
      </c>
      <c r="I263" s="394">
        <v>45037</v>
      </c>
      <c r="J263" s="387" t="s">
        <v>249</v>
      </c>
      <c r="K263" s="352" t="s">
        <v>888</v>
      </c>
      <c r="L263" s="408">
        <v>1</v>
      </c>
      <c r="M263" s="352" t="s">
        <v>749</v>
      </c>
      <c r="N263" s="409">
        <v>21000</v>
      </c>
      <c r="O263" s="404">
        <v>21000</v>
      </c>
      <c r="P263" s="421">
        <v>4</v>
      </c>
      <c r="Q263" s="492" t="s">
        <v>130</v>
      </c>
      <c r="R263" s="437">
        <v>75000</v>
      </c>
      <c r="S263" s="438">
        <f t="shared" si="36"/>
        <v>23000</v>
      </c>
      <c r="T263" s="439" t="s">
        <v>538</v>
      </c>
      <c r="U263" s="460" t="str">
        <f t="shared" si="37"/>
        <v/>
      </c>
      <c r="V263" s="439" t="s">
        <v>539</v>
      </c>
      <c r="W263" s="439" t="s">
        <v>540</v>
      </c>
      <c r="X263" s="439" t="s">
        <v>709</v>
      </c>
      <c r="Y263" s="275" t="s">
        <v>710</v>
      </c>
      <c r="Z263" s="616" t="s">
        <v>710</v>
      </c>
      <c r="AA263" s="440" t="s">
        <v>728</v>
      </c>
      <c r="AB263" s="441">
        <f t="shared" si="38"/>
        <v>18918.91891891892</v>
      </c>
      <c r="AC263" s="442">
        <f t="shared" si="39"/>
        <v>18918.91891891892</v>
      </c>
      <c r="AD263" s="437">
        <v>75000</v>
      </c>
      <c r="AE263" s="447">
        <v>4866666.666666667</v>
      </c>
      <c r="AF263" s="447">
        <v>5402000</v>
      </c>
      <c r="AG263" s="437">
        <v>75000</v>
      </c>
      <c r="AH263" s="443" t="s">
        <v>2098</v>
      </c>
    </row>
    <row r="264" spans="1:36">
      <c r="A264" s="350">
        <v>119</v>
      </c>
      <c r="B264" s="352" t="s">
        <v>915</v>
      </c>
      <c r="C264" s="352" t="s">
        <v>704</v>
      </c>
      <c r="D264" s="355" t="s">
        <v>705</v>
      </c>
      <c r="E264" s="376" t="s">
        <v>916</v>
      </c>
      <c r="F264" s="361">
        <v>45018</v>
      </c>
      <c r="G264" s="361">
        <v>45018</v>
      </c>
      <c r="H264" s="361">
        <v>45018</v>
      </c>
      <c r="I264" s="394">
        <v>45037</v>
      </c>
      <c r="J264" s="387" t="s">
        <v>897</v>
      </c>
      <c r="K264" s="436" t="s">
        <v>723</v>
      </c>
      <c r="L264" s="408">
        <v>1</v>
      </c>
      <c r="M264" s="352" t="s">
        <v>724</v>
      </c>
      <c r="N264" s="409">
        <v>45000</v>
      </c>
      <c r="O264" s="404">
        <v>45000</v>
      </c>
      <c r="P264" s="421">
        <v>4</v>
      </c>
      <c r="Q264" s="492" t="s">
        <v>144</v>
      </c>
      <c r="R264" s="437">
        <v>25000</v>
      </c>
      <c r="S264" s="438">
        <f t="shared" si="36"/>
        <v>47000</v>
      </c>
      <c r="T264" s="439" t="s">
        <v>538</v>
      </c>
      <c r="U264" s="460" t="str">
        <f t="shared" si="37"/>
        <v/>
      </c>
      <c r="V264" s="439" t="s">
        <v>539</v>
      </c>
      <c r="W264" s="439" t="s">
        <v>540</v>
      </c>
      <c r="X264" s="439" t="s">
        <v>709</v>
      </c>
      <c r="Y264" s="275" t="s">
        <v>710</v>
      </c>
      <c r="Z264" s="616" t="s">
        <v>710</v>
      </c>
      <c r="AA264" s="440" t="s">
        <v>753</v>
      </c>
      <c r="AB264" s="441">
        <f t="shared" si="38"/>
        <v>40540.54054054054</v>
      </c>
      <c r="AC264" s="442">
        <f t="shared" si="39"/>
        <v>40540.54054054054</v>
      </c>
      <c r="AD264" s="437">
        <v>25000</v>
      </c>
      <c r="AE264" s="447">
        <v>4866666.666666667</v>
      </c>
      <c r="AF264" s="447">
        <v>5402000</v>
      </c>
      <c r="AG264" s="437">
        <v>25000</v>
      </c>
      <c r="AH264" s="443" t="s">
        <v>2098</v>
      </c>
    </row>
    <row r="265" spans="1:36">
      <c r="A265" s="350">
        <v>119</v>
      </c>
      <c r="B265" s="352" t="s">
        <v>915</v>
      </c>
      <c r="C265" s="352" t="s">
        <v>704</v>
      </c>
      <c r="D265" s="355" t="s">
        <v>705</v>
      </c>
      <c r="E265" s="376" t="s">
        <v>916</v>
      </c>
      <c r="F265" s="361">
        <v>45018</v>
      </c>
      <c r="G265" s="361">
        <v>45018</v>
      </c>
      <c r="H265" s="361">
        <v>45018</v>
      </c>
      <c r="I265" s="394">
        <v>45037</v>
      </c>
      <c r="J265" s="390" t="s">
        <v>254</v>
      </c>
      <c r="K265" s="262" t="s">
        <v>254</v>
      </c>
      <c r="L265" s="408">
        <v>4</v>
      </c>
      <c r="M265" s="352" t="s">
        <v>488</v>
      </c>
      <c r="N265" s="409">
        <v>35000</v>
      </c>
      <c r="O265" s="404">
        <v>140000</v>
      </c>
      <c r="P265" s="421">
        <v>4</v>
      </c>
      <c r="Q265" s="492" t="s">
        <v>148</v>
      </c>
      <c r="R265" s="437">
        <v>35000</v>
      </c>
      <c r="S265" s="438">
        <f t="shared" si="36"/>
        <v>148000</v>
      </c>
      <c r="T265" s="439" t="s">
        <v>538</v>
      </c>
      <c r="U265" s="460" t="str">
        <f t="shared" si="37"/>
        <v/>
      </c>
      <c r="V265" s="439" t="s">
        <v>539</v>
      </c>
      <c r="W265" s="439" t="s">
        <v>540</v>
      </c>
      <c r="X265" s="439" t="s">
        <v>709</v>
      </c>
      <c r="Y265" s="275" t="s">
        <v>710</v>
      </c>
      <c r="Z265" s="616" t="s">
        <v>710</v>
      </c>
      <c r="AA265" s="440" t="s">
        <v>488</v>
      </c>
      <c r="AB265" s="441">
        <f t="shared" si="38"/>
        <v>31531.531531531531</v>
      </c>
      <c r="AC265" s="442">
        <f t="shared" si="39"/>
        <v>126126.12612612612</v>
      </c>
      <c r="AD265" s="437">
        <v>35000</v>
      </c>
      <c r="AE265" s="447">
        <v>4866666.666666667</v>
      </c>
      <c r="AF265" s="447">
        <v>5402000</v>
      </c>
      <c r="AG265" s="437">
        <v>35000</v>
      </c>
      <c r="AH265" s="443" t="s">
        <v>2098</v>
      </c>
    </row>
    <row r="266" spans="1:36">
      <c r="A266" s="350">
        <v>119</v>
      </c>
      <c r="B266" s="352" t="s">
        <v>915</v>
      </c>
      <c r="C266" s="352" t="s">
        <v>704</v>
      </c>
      <c r="D266" s="355" t="s">
        <v>705</v>
      </c>
      <c r="E266" s="376" t="s">
        <v>916</v>
      </c>
      <c r="F266" s="361">
        <v>45018</v>
      </c>
      <c r="G266" s="361">
        <v>45018</v>
      </c>
      <c r="H266" s="361">
        <v>45018</v>
      </c>
      <c r="I266" s="394">
        <v>45037</v>
      </c>
      <c r="J266" s="387" t="s">
        <v>264</v>
      </c>
      <c r="K266" s="352" t="s">
        <v>882</v>
      </c>
      <c r="L266" s="793">
        <v>1</v>
      </c>
      <c r="M266" s="352" t="s">
        <v>753</v>
      </c>
      <c r="N266" s="409">
        <v>42000</v>
      </c>
      <c r="O266" s="404">
        <v>42000</v>
      </c>
      <c r="P266" s="421">
        <v>4</v>
      </c>
      <c r="Q266" s="492" t="s">
        <v>104</v>
      </c>
      <c r="R266" s="437">
        <v>17000</v>
      </c>
      <c r="S266" s="438">
        <f t="shared" si="36"/>
        <v>44000</v>
      </c>
      <c r="T266" s="439" t="s">
        <v>538</v>
      </c>
      <c r="U266" s="460" t="str">
        <f t="shared" si="37"/>
        <v/>
      </c>
      <c r="V266" s="439" t="s">
        <v>539</v>
      </c>
      <c r="W266" s="439" t="s">
        <v>540</v>
      </c>
      <c r="X266" s="439" t="s">
        <v>709</v>
      </c>
      <c r="Y266" s="275" t="s">
        <v>710</v>
      </c>
      <c r="Z266" s="616" t="s">
        <v>710</v>
      </c>
      <c r="AA266" s="440" t="s">
        <v>735</v>
      </c>
      <c r="AB266" s="441">
        <f t="shared" si="38"/>
        <v>37837.83783783784</v>
      </c>
      <c r="AC266" s="442">
        <f t="shared" si="39"/>
        <v>37837.83783783784</v>
      </c>
      <c r="AD266" s="437">
        <v>17000</v>
      </c>
      <c r="AE266" s="447">
        <v>4866666.666666667</v>
      </c>
      <c r="AF266" s="447">
        <v>5402000</v>
      </c>
      <c r="AG266" s="437">
        <v>17000</v>
      </c>
      <c r="AH266" s="443" t="s">
        <v>2098</v>
      </c>
    </row>
    <row r="267" spans="1:36">
      <c r="A267" s="350">
        <v>119</v>
      </c>
      <c r="B267" s="352" t="s">
        <v>915</v>
      </c>
      <c r="C267" s="352" t="s">
        <v>704</v>
      </c>
      <c r="D267" s="355" t="s">
        <v>705</v>
      </c>
      <c r="E267" s="376" t="s">
        <v>916</v>
      </c>
      <c r="F267" s="361">
        <v>45018</v>
      </c>
      <c r="G267" s="361">
        <v>45018</v>
      </c>
      <c r="H267" s="361">
        <v>45018</v>
      </c>
      <c r="I267" s="394">
        <v>45037</v>
      </c>
      <c r="J267" s="387" t="s">
        <v>919</v>
      </c>
      <c r="K267" s="388" t="s">
        <v>920</v>
      </c>
      <c r="L267" s="408">
        <v>19</v>
      </c>
      <c r="M267" s="352" t="s">
        <v>488</v>
      </c>
      <c r="N267" s="409">
        <v>20000</v>
      </c>
      <c r="O267" s="404">
        <v>380000</v>
      </c>
      <c r="P267" s="421">
        <v>4</v>
      </c>
      <c r="Q267" s="492" t="s">
        <v>127</v>
      </c>
      <c r="R267" s="437">
        <v>270000</v>
      </c>
      <c r="S267" s="438">
        <f t="shared" si="36"/>
        <v>418000</v>
      </c>
      <c r="T267" s="439" t="s">
        <v>538</v>
      </c>
      <c r="U267" s="460" t="str">
        <f t="shared" si="37"/>
        <v/>
      </c>
      <c r="V267" s="439" t="s">
        <v>539</v>
      </c>
      <c r="W267" s="439" t="s">
        <v>540</v>
      </c>
      <c r="X267" s="439" t="s">
        <v>709</v>
      </c>
      <c r="Y267" s="275" t="s">
        <v>710</v>
      </c>
      <c r="Z267" s="616" t="s">
        <v>710</v>
      </c>
      <c r="AA267" s="440" t="s">
        <v>551</v>
      </c>
      <c r="AB267" s="441">
        <f t="shared" si="38"/>
        <v>18018.018018018018</v>
      </c>
      <c r="AC267" s="442">
        <f t="shared" si="39"/>
        <v>342342.34234234237</v>
      </c>
      <c r="AD267" s="437">
        <v>270000</v>
      </c>
      <c r="AE267" s="447">
        <v>4866666.666666667</v>
      </c>
      <c r="AF267" s="447">
        <v>5402000</v>
      </c>
      <c r="AG267" s="437">
        <v>270000</v>
      </c>
      <c r="AH267" s="443" t="s">
        <v>2098</v>
      </c>
    </row>
    <row r="268" spans="1:36">
      <c r="A268" s="350">
        <v>119</v>
      </c>
      <c r="B268" s="352" t="s">
        <v>915</v>
      </c>
      <c r="C268" s="352" t="s">
        <v>704</v>
      </c>
      <c r="D268" s="355" t="s">
        <v>705</v>
      </c>
      <c r="E268" s="376" t="s">
        <v>916</v>
      </c>
      <c r="F268" s="361">
        <v>45018</v>
      </c>
      <c r="G268" s="361">
        <v>45018</v>
      </c>
      <c r="H268" s="361">
        <v>45018</v>
      </c>
      <c r="I268" s="394">
        <v>45037</v>
      </c>
      <c r="J268" s="387" t="s">
        <v>256</v>
      </c>
      <c r="K268" s="436" t="s">
        <v>727</v>
      </c>
      <c r="L268" s="408">
        <v>1</v>
      </c>
      <c r="M268" s="352" t="s">
        <v>728</v>
      </c>
      <c r="N268" s="409">
        <v>21000</v>
      </c>
      <c r="O268" s="404">
        <v>21000</v>
      </c>
      <c r="P268" s="421">
        <v>4</v>
      </c>
      <c r="Q268" s="492" t="s">
        <v>117</v>
      </c>
      <c r="R268" s="437">
        <v>95000</v>
      </c>
      <c r="S268" s="438">
        <f t="shared" si="36"/>
        <v>23000</v>
      </c>
      <c r="T268" s="439" t="s">
        <v>538</v>
      </c>
      <c r="U268" s="460" t="str">
        <f t="shared" si="37"/>
        <v/>
      </c>
      <c r="V268" s="439" t="s">
        <v>539</v>
      </c>
      <c r="W268" s="439" t="s">
        <v>540</v>
      </c>
      <c r="X268" s="439" t="s">
        <v>709</v>
      </c>
      <c r="Y268" s="275" t="s">
        <v>710</v>
      </c>
      <c r="Z268" s="616" t="s">
        <v>710</v>
      </c>
      <c r="AA268" s="440" t="s">
        <v>488</v>
      </c>
      <c r="AB268" s="441">
        <f t="shared" si="38"/>
        <v>18918.91891891892</v>
      </c>
      <c r="AC268" s="442">
        <f t="shared" si="39"/>
        <v>18918.91891891892</v>
      </c>
      <c r="AD268" s="437">
        <v>95000</v>
      </c>
      <c r="AE268" s="447">
        <v>4866666.666666667</v>
      </c>
      <c r="AF268" s="447">
        <v>5402000</v>
      </c>
      <c r="AG268" s="437">
        <v>95000</v>
      </c>
      <c r="AH268" s="443" t="s">
        <v>2098</v>
      </c>
    </row>
    <row r="269" spans="1:36">
      <c r="A269" s="350">
        <v>119</v>
      </c>
      <c r="B269" s="352" t="s">
        <v>915</v>
      </c>
      <c r="C269" s="352" t="s">
        <v>704</v>
      </c>
      <c r="D269" s="355" t="s">
        <v>705</v>
      </c>
      <c r="E269" s="376" t="s">
        <v>916</v>
      </c>
      <c r="F269" s="361">
        <v>45018</v>
      </c>
      <c r="G269" s="361">
        <v>45018</v>
      </c>
      <c r="H269" s="361">
        <v>45018</v>
      </c>
      <c r="I269" s="394">
        <v>45037</v>
      </c>
      <c r="J269" s="387" t="s">
        <v>892</v>
      </c>
      <c r="K269" s="387" t="s">
        <v>892</v>
      </c>
      <c r="L269" s="408">
        <v>24</v>
      </c>
      <c r="M269" s="352" t="s">
        <v>488</v>
      </c>
      <c r="N269" s="409">
        <v>10000</v>
      </c>
      <c r="O269" s="404">
        <v>240000</v>
      </c>
      <c r="P269" s="421">
        <v>4</v>
      </c>
      <c r="Q269" s="439" t="s">
        <v>575</v>
      </c>
      <c r="R269" s="437">
        <v>4764600</v>
      </c>
      <c r="S269" s="438">
        <f t="shared" si="36"/>
        <v>288000</v>
      </c>
      <c r="T269" s="439" t="s">
        <v>538</v>
      </c>
      <c r="U269" s="460" t="str">
        <f t="shared" si="37"/>
        <v/>
      </c>
      <c r="V269" s="439" t="s">
        <v>539</v>
      </c>
      <c r="W269" s="439" t="s">
        <v>540</v>
      </c>
      <c r="X269" s="615" t="s">
        <v>541</v>
      </c>
      <c r="Y269" s="439" t="str">
        <f>J269</f>
        <v>Buku Catatan Kelas</v>
      </c>
      <c r="Z269" s="449" t="str">
        <f>K269</f>
        <v>Buku Catatan Kelas</v>
      </c>
      <c r="AA269" s="485" t="s">
        <v>1557</v>
      </c>
      <c r="AB269" s="441">
        <f t="shared" si="38"/>
        <v>9009.0090090090089</v>
      </c>
      <c r="AC269" s="442">
        <f t="shared" si="39"/>
        <v>216216.21621621621</v>
      </c>
      <c r="AD269" s="437">
        <v>300</v>
      </c>
      <c r="AE269" s="447">
        <v>4292432.4324324327</v>
      </c>
      <c r="AF269" s="447">
        <v>4764600</v>
      </c>
      <c r="AG269" s="437">
        <v>4764600</v>
      </c>
      <c r="AH269" s="443" t="s">
        <v>2098</v>
      </c>
    </row>
    <row r="270" spans="1:36">
      <c r="A270" s="350">
        <v>119</v>
      </c>
      <c r="B270" s="352" t="s">
        <v>915</v>
      </c>
      <c r="C270" s="352" t="s">
        <v>704</v>
      </c>
      <c r="D270" s="355" t="s">
        <v>705</v>
      </c>
      <c r="E270" s="376" t="s">
        <v>916</v>
      </c>
      <c r="F270" s="361">
        <v>45018</v>
      </c>
      <c r="G270" s="361">
        <v>45018</v>
      </c>
      <c r="H270" s="361">
        <v>45018</v>
      </c>
      <c r="I270" s="394">
        <v>45037</v>
      </c>
      <c r="J270" s="387" t="s">
        <v>747</v>
      </c>
      <c r="K270" s="388" t="s">
        <v>886</v>
      </c>
      <c r="L270" s="408">
        <v>1</v>
      </c>
      <c r="M270" s="352" t="s">
        <v>488</v>
      </c>
      <c r="N270" s="409">
        <v>5000</v>
      </c>
      <c r="O270" s="404">
        <v>5000</v>
      </c>
      <c r="P270" s="421">
        <v>4</v>
      </c>
      <c r="Q270" s="439" t="s">
        <v>575</v>
      </c>
      <c r="R270" s="437">
        <v>1050000</v>
      </c>
      <c r="S270" s="438">
        <f t="shared" si="36"/>
        <v>7000</v>
      </c>
      <c r="T270" s="439" t="s">
        <v>538</v>
      </c>
      <c r="U270" s="460" t="str">
        <f t="shared" si="37"/>
        <v/>
      </c>
      <c r="V270" s="439" t="s">
        <v>539</v>
      </c>
      <c r="W270" s="439" t="s">
        <v>540</v>
      </c>
      <c r="X270" s="615" t="s">
        <v>541</v>
      </c>
      <c r="Y270" s="439" t="str">
        <f>J270</f>
        <v>Buku Agenda</v>
      </c>
      <c r="Z270" s="449" t="str">
        <f>K270</f>
        <v>Buku Agenda Kiky</v>
      </c>
      <c r="AA270" s="485" t="s">
        <v>1557</v>
      </c>
      <c r="AB270" s="441">
        <f t="shared" si="38"/>
        <v>4504.5045045045044</v>
      </c>
      <c r="AC270" s="442">
        <f t="shared" si="39"/>
        <v>4504.5045045045044</v>
      </c>
      <c r="AD270" s="437">
        <v>300</v>
      </c>
      <c r="AE270" s="447">
        <v>945945.94594594592</v>
      </c>
      <c r="AF270" s="447">
        <v>1050000</v>
      </c>
      <c r="AG270" s="437">
        <v>1050000</v>
      </c>
      <c r="AH270" s="443" t="s">
        <v>2098</v>
      </c>
    </row>
    <row r="271" spans="1:36">
      <c r="A271" s="350">
        <v>119</v>
      </c>
      <c r="B271" s="352" t="s">
        <v>915</v>
      </c>
      <c r="C271" s="352" t="s">
        <v>704</v>
      </c>
      <c r="D271" s="355" t="s">
        <v>705</v>
      </c>
      <c r="E271" s="376" t="s">
        <v>916</v>
      </c>
      <c r="F271" s="361">
        <v>45018</v>
      </c>
      <c r="G271" s="361">
        <v>45018</v>
      </c>
      <c r="H271" s="361">
        <v>45018</v>
      </c>
      <c r="I271" s="394">
        <v>45037</v>
      </c>
      <c r="J271" s="387" t="s">
        <v>257</v>
      </c>
      <c r="K271" s="388" t="s">
        <v>922</v>
      </c>
      <c r="L271" s="408">
        <v>10</v>
      </c>
      <c r="M271" s="352" t="s">
        <v>488</v>
      </c>
      <c r="N271" s="409">
        <v>10000</v>
      </c>
      <c r="O271" s="404">
        <v>100000</v>
      </c>
      <c r="P271" s="421">
        <v>4</v>
      </c>
      <c r="Q271" s="630" t="s">
        <v>537</v>
      </c>
      <c r="R271" s="437">
        <v>240000</v>
      </c>
      <c r="S271" s="438">
        <f t="shared" si="36"/>
        <v>120000</v>
      </c>
      <c r="T271" s="439" t="s">
        <v>538</v>
      </c>
      <c r="U271" s="460" t="str">
        <f t="shared" si="37"/>
        <v/>
      </c>
      <c r="V271" s="439" t="s">
        <v>539</v>
      </c>
      <c r="W271" s="439" t="s">
        <v>540</v>
      </c>
      <c r="X271" s="615" t="s">
        <v>541</v>
      </c>
      <c r="Y271" s="439" t="s">
        <v>542</v>
      </c>
      <c r="Z271" s="449" t="s">
        <v>542</v>
      </c>
      <c r="AA271" s="440" t="s">
        <v>551</v>
      </c>
      <c r="AB271" s="441">
        <f t="shared" si="38"/>
        <v>9009.0090090090089</v>
      </c>
      <c r="AC271" s="442">
        <f t="shared" si="39"/>
        <v>90090.090090090089</v>
      </c>
      <c r="AD271" s="437">
        <v>240000</v>
      </c>
      <c r="AE271" s="447">
        <v>297297.29729729734</v>
      </c>
      <c r="AF271" s="447">
        <v>330000</v>
      </c>
      <c r="AG271" s="437">
        <v>240000</v>
      </c>
      <c r="AH271" s="443" t="s">
        <v>2098</v>
      </c>
      <c r="AI271" s="448">
        <f>SUM(AC271:AC272)</f>
        <v>103603.60360360361</v>
      </c>
      <c r="AJ271" s="448">
        <f>SUM(AD271:AD272)</f>
        <v>330000</v>
      </c>
    </row>
    <row r="272" spans="1:36">
      <c r="A272" s="350">
        <v>119</v>
      </c>
      <c r="B272" s="352" t="s">
        <v>915</v>
      </c>
      <c r="C272" s="352" t="s">
        <v>704</v>
      </c>
      <c r="D272" s="355" t="s">
        <v>705</v>
      </c>
      <c r="E272" s="376" t="s">
        <v>916</v>
      </c>
      <c r="F272" s="361">
        <v>45018</v>
      </c>
      <c r="G272" s="361">
        <v>45018</v>
      </c>
      <c r="H272" s="361">
        <v>45018</v>
      </c>
      <c r="I272" s="394">
        <v>45037</v>
      </c>
      <c r="J272" s="387" t="s">
        <v>758</v>
      </c>
      <c r="K272" s="387" t="s">
        <v>758</v>
      </c>
      <c r="L272" s="408">
        <v>3</v>
      </c>
      <c r="M272" s="352" t="s">
        <v>488</v>
      </c>
      <c r="N272" s="409">
        <v>5000</v>
      </c>
      <c r="O272" s="404">
        <v>15000</v>
      </c>
      <c r="P272" s="421">
        <v>4</v>
      </c>
      <c r="Q272" s="629" t="s">
        <v>668</v>
      </c>
      <c r="R272" s="437">
        <v>90000</v>
      </c>
      <c r="S272" s="438">
        <f t="shared" si="36"/>
        <v>21000</v>
      </c>
      <c r="T272" s="439" t="s">
        <v>538</v>
      </c>
      <c r="U272" s="460" t="str">
        <f t="shared" si="37"/>
        <v/>
      </c>
      <c r="V272" s="439" t="s">
        <v>539</v>
      </c>
      <c r="W272" s="439" t="s">
        <v>540</v>
      </c>
      <c r="X272" s="615" t="s">
        <v>541</v>
      </c>
      <c r="Y272" s="439" t="s">
        <v>542</v>
      </c>
      <c r="Z272" s="449" t="s">
        <v>542</v>
      </c>
      <c r="AA272" s="440" t="s">
        <v>756</v>
      </c>
      <c r="AB272" s="441">
        <f t="shared" si="38"/>
        <v>4504.5045045045044</v>
      </c>
      <c r="AC272" s="442">
        <f t="shared" si="39"/>
        <v>13513.513513513513</v>
      </c>
      <c r="AD272" s="437">
        <v>90000</v>
      </c>
      <c r="AE272" s="447">
        <v>297297.29729729734</v>
      </c>
      <c r="AF272" s="447">
        <v>330000</v>
      </c>
      <c r="AG272" s="437">
        <v>90000</v>
      </c>
      <c r="AH272" s="443" t="s">
        <v>2098</v>
      </c>
    </row>
    <row r="273" spans="1:37">
      <c r="A273" s="350">
        <v>119</v>
      </c>
      <c r="B273" s="352" t="s">
        <v>915</v>
      </c>
      <c r="C273" s="352" t="s">
        <v>704</v>
      </c>
      <c r="D273" s="355" t="s">
        <v>705</v>
      </c>
      <c r="E273" s="376" t="s">
        <v>916</v>
      </c>
      <c r="F273" s="361">
        <v>45018</v>
      </c>
      <c r="G273" s="361">
        <v>45018</v>
      </c>
      <c r="H273" s="361">
        <v>45018</v>
      </c>
      <c r="I273" s="394">
        <v>45037</v>
      </c>
      <c r="J273" s="387" t="s">
        <v>923</v>
      </c>
      <c r="K273" s="387" t="s">
        <v>923</v>
      </c>
      <c r="L273" s="408">
        <v>2</v>
      </c>
      <c r="M273" s="352" t="s">
        <v>488</v>
      </c>
      <c r="N273" s="409">
        <v>20000</v>
      </c>
      <c r="O273" s="404">
        <v>40000</v>
      </c>
      <c r="P273" s="421">
        <v>4</v>
      </c>
      <c r="Q273" s="439"/>
      <c r="R273" s="437">
        <v>1000000</v>
      </c>
      <c r="S273" s="438">
        <f t="shared" si="36"/>
        <v>44000</v>
      </c>
      <c r="T273" s="439" t="s">
        <v>538</v>
      </c>
      <c r="U273" s="460" t="str">
        <f t="shared" si="37"/>
        <v/>
      </c>
      <c r="V273" s="439" t="s">
        <v>539</v>
      </c>
      <c r="W273" s="439" t="s">
        <v>540</v>
      </c>
      <c r="X273" s="439"/>
      <c r="Y273" s="439" t="s">
        <v>799</v>
      </c>
      <c r="Z273" s="449" t="s">
        <v>799</v>
      </c>
      <c r="AA273" s="440" t="s">
        <v>868</v>
      </c>
      <c r="AB273" s="441">
        <f t="shared" si="38"/>
        <v>18018.018018018018</v>
      </c>
      <c r="AC273" s="442">
        <f t="shared" si="39"/>
        <v>36036.036036036036</v>
      </c>
      <c r="AD273" s="437">
        <v>1000000</v>
      </c>
      <c r="AE273" s="447">
        <v>900900.90090090095</v>
      </c>
      <c r="AF273" s="447">
        <v>1000000</v>
      </c>
      <c r="AG273" s="437">
        <v>1000000</v>
      </c>
      <c r="AH273" s="443" t="s">
        <v>2098</v>
      </c>
    </row>
    <row r="274" spans="1:37">
      <c r="A274" s="350">
        <v>119</v>
      </c>
      <c r="B274" s="352" t="s">
        <v>915</v>
      </c>
      <c r="C274" s="352" t="s">
        <v>704</v>
      </c>
      <c r="D274" s="355" t="s">
        <v>705</v>
      </c>
      <c r="E274" s="376" t="s">
        <v>916</v>
      </c>
      <c r="F274" s="361">
        <v>45018</v>
      </c>
      <c r="G274" s="361">
        <v>45018</v>
      </c>
      <c r="H274" s="361">
        <v>45018</v>
      </c>
      <c r="I274" s="394">
        <v>45037</v>
      </c>
      <c r="J274" s="387" t="s">
        <v>241</v>
      </c>
      <c r="K274" s="352" t="s">
        <v>767</v>
      </c>
      <c r="L274" s="408">
        <v>2</v>
      </c>
      <c r="M274" s="352" t="s">
        <v>597</v>
      </c>
      <c r="N274" s="409">
        <v>5500</v>
      </c>
      <c r="O274" s="404">
        <v>11000</v>
      </c>
      <c r="P274" s="421">
        <v>4</v>
      </c>
      <c r="Q274" s="439"/>
      <c r="R274" s="437">
        <v>600000</v>
      </c>
      <c r="S274" s="438">
        <f t="shared" si="36"/>
        <v>15000</v>
      </c>
      <c r="T274" s="439" t="s">
        <v>538</v>
      </c>
      <c r="U274" s="460" t="str">
        <f t="shared" si="37"/>
        <v/>
      </c>
      <c r="V274" s="439" t="s">
        <v>539</v>
      </c>
      <c r="W274" s="439" t="s">
        <v>540</v>
      </c>
      <c r="X274" s="439"/>
      <c r="Y274" s="439" t="s">
        <v>806</v>
      </c>
      <c r="Z274" s="449" t="s">
        <v>806</v>
      </c>
      <c r="AA274" s="440" t="s">
        <v>774</v>
      </c>
      <c r="AB274" s="441">
        <f>100/111*N274</f>
        <v>4954.9549549549547</v>
      </c>
      <c r="AC274" s="442">
        <f t="shared" si="39"/>
        <v>9909.9099099099094</v>
      </c>
      <c r="AD274" s="450">
        <v>300000</v>
      </c>
      <c r="AE274" s="447">
        <v>2971171.1711711707</v>
      </c>
      <c r="AF274" s="447">
        <v>3298000</v>
      </c>
      <c r="AG274" s="437">
        <v>600000</v>
      </c>
      <c r="AH274" s="443" t="s">
        <v>2098</v>
      </c>
      <c r="AI274" s="448">
        <f>SUM(AC274:AC281)</f>
        <v>565315.31531531527</v>
      </c>
      <c r="AJ274" s="448">
        <f>SUM(AD274:AD281)</f>
        <v>1906000</v>
      </c>
      <c r="AK274" s="451">
        <f>SUM(O274:O281)</f>
        <v>627500</v>
      </c>
    </row>
    <row r="275" spans="1:37">
      <c r="A275" s="350">
        <v>119</v>
      </c>
      <c r="B275" s="352" t="s">
        <v>915</v>
      </c>
      <c r="C275" s="352" t="s">
        <v>704</v>
      </c>
      <c r="D275" s="355" t="s">
        <v>705</v>
      </c>
      <c r="E275" s="376" t="s">
        <v>916</v>
      </c>
      <c r="F275" s="361">
        <v>45018</v>
      </c>
      <c r="G275" s="361">
        <v>45018</v>
      </c>
      <c r="H275" s="361">
        <v>45018</v>
      </c>
      <c r="I275" s="394">
        <v>45037</v>
      </c>
      <c r="J275" s="387" t="s">
        <v>253</v>
      </c>
      <c r="K275" s="352" t="s">
        <v>719</v>
      </c>
      <c r="L275" s="408">
        <v>1</v>
      </c>
      <c r="M275" s="352" t="s">
        <v>720</v>
      </c>
      <c r="N275" s="409">
        <v>20000</v>
      </c>
      <c r="O275" s="404">
        <v>20000</v>
      </c>
      <c r="P275" s="421">
        <v>4</v>
      </c>
      <c r="Q275" s="439"/>
      <c r="R275" s="437">
        <v>668000</v>
      </c>
      <c r="S275" s="438">
        <f t="shared" si="36"/>
        <v>22000</v>
      </c>
      <c r="T275" s="439" t="s">
        <v>538</v>
      </c>
      <c r="U275" s="460" t="str">
        <f t="shared" si="37"/>
        <v/>
      </c>
      <c r="V275" s="439" t="s">
        <v>539</v>
      </c>
      <c r="W275" s="439" t="s">
        <v>540</v>
      </c>
      <c r="X275" s="439"/>
      <c r="Y275" s="439" t="s">
        <v>806</v>
      </c>
      <c r="Z275" s="449" t="s">
        <v>806</v>
      </c>
      <c r="AA275" s="440" t="s">
        <v>792</v>
      </c>
      <c r="AB275" s="441">
        <f t="shared" si="38"/>
        <v>18018.018018018018</v>
      </c>
      <c r="AC275" s="442">
        <f t="shared" si="39"/>
        <v>18018.018018018018</v>
      </c>
      <c r="AD275" s="450">
        <v>334000</v>
      </c>
      <c r="AE275" s="447">
        <v>2971171.1711711707</v>
      </c>
      <c r="AF275" s="447">
        <v>3298000</v>
      </c>
      <c r="AG275" s="437">
        <v>668000</v>
      </c>
      <c r="AH275" s="443" t="s">
        <v>2098</v>
      </c>
    </row>
    <row r="276" spans="1:37" ht="25">
      <c r="A276" s="350">
        <v>119</v>
      </c>
      <c r="B276" s="352" t="s">
        <v>915</v>
      </c>
      <c r="C276" s="352" t="s">
        <v>704</v>
      </c>
      <c r="D276" s="355" t="s">
        <v>705</v>
      </c>
      <c r="E276" s="376" t="s">
        <v>916</v>
      </c>
      <c r="F276" s="361">
        <v>45018</v>
      </c>
      <c r="G276" s="361">
        <v>45018</v>
      </c>
      <c r="H276" s="361">
        <v>45018</v>
      </c>
      <c r="I276" s="394">
        <v>45037</v>
      </c>
      <c r="J276" s="387" t="s">
        <v>781</v>
      </c>
      <c r="K276" s="387" t="s">
        <v>781</v>
      </c>
      <c r="L276" s="408">
        <v>2</v>
      </c>
      <c r="M276" s="352" t="s">
        <v>551</v>
      </c>
      <c r="N276" s="409">
        <v>95000</v>
      </c>
      <c r="O276" s="404">
        <v>190000</v>
      </c>
      <c r="P276" s="421">
        <v>4</v>
      </c>
      <c r="Q276" s="439"/>
      <c r="R276" s="437">
        <v>173000</v>
      </c>
      <c r="S276" s="438">
        <f t="shared" si="36"/>
        <v>194000</v>
      </c>
      <c r="T276" s="439" t="s">
        <v>538</v>
      </c>
      <c r="U276" s="460" t="str">
        <f t="shared" si="37"/>
        <v/>
      </c>
      <c r="V276" s="439" t="s">
        <v>539</v>
      </c>
      <c r="W276" s="439" t="s">
        <v>540</v>
      </c>
      <c r="X276" s="439"/>
      <c r="Y276" s="439" t="s">
        <v>806</v>
      </c>
      <c r="Z276" s="449" t="s">
        <v>806</v>
      </c>
      <c r="AA276" s="440" t="s">
        <v>231</v>
      </c>
      <c r="AB276" s="441">
        <f t="shared" si="38"/>
        <v>85585.585585585592</v>
      </c>
      <c r="AC276" s="442">
        <f t="shared" si="39"/>
        <v>171171.17117117118</v>
      </c>
      <c r="AD276" s="450">
        <v>173000</v>
      </c>
      <c r="AE276" s="447">
        <v>2971171.1711711707</v>
      </c>
      <c r="AF276" s="447">
        <v>3298000</v>
      </c>
      <c r="AG276" s="437">
        <v>173000</v>
      </c>
      <c r="AH276" s="443" t="s">
        <v>2098</v>
      </c>
    </row>
    <row r="277" spans="1:37">
      <c r="A277" s="350">
        <v>119</v>
      </c>
      <c r="B277" s="352" t="s">
        <v>915</v>
      </c>
      <c r="C277" s="352" t="s">
        <v>704</v>
      </c>
      <c r="D277" s="355" t="s">
        <v>705</v>
      </c>
      <c r="E277" s="376" t="s">
        <v>916</v>
      </c>
      <c r="F277" s="361">
        <v>45018</v>
      </c>
      <c r="G277" s="361">
        <v>45018</v>
      </c>
      <c r="H277" s="361">
        <v>45018</v>
      </c>
      <c r="I277" s="394">
        <v>45037</v>
      </c>
      <c r="J277" s="387" t="s">
        <v>260</v>
      </c>
      <c r="K277" s="388" t="s">
        <v>891</v>
      </c>
      <c r="L277" s="408">
        <v>5</v>
      </c>
      <c r="M277" s="352" t="s">
        <v>753</v>
      </c>
      <c r="N277" s="409">
        <v>65000</v>
      </c>
      <c r="O277" s="404">
        <v>325000</v>
      </c>
      <c r="P277" s="421">
        <v>4</v>
      </c>
      <c r="Q277" s="439"/>
      <c r="R277" s="437">
        <v>372000</v>
      </c>
      <c r="S277" s="438">
        <f t="shared" si="36"/>
        <v>335000</v>
      </c>
      <c r="T277" s="439" t="s">
        <v>538</v>
      </c>
      <c r="U277" s="460" t="str">
        <f t="shared" si="37"/>
        <v/>
      </c>
      <c r="V277" s="439" t="s">
        <v>539</v>
      </c>
      <c r="W277" s="439" t="s">
        <v>540</v>
      </c>
      <c r="X277" s="439" t="s">
        <v>805</v>
      </c>
      <c r="Y277" s="439" t="s">
        <v>806</v>
      </c>
      <c r="Z277" s="449" t="s">
        <v>806</v>
      </c>
      <c r="AA277" s="440" t="s">
        <v>488</v>
      </c>
      <c r="AB277" s="441">
        <f t="shared" si="38"/>
        <v>58558.558558558558</v>
      </c>
      <c r="AC277" s="442">
        <f t="shared" si="39"/>
        <v>292792.79279279278</v>
      </c>
      <c r="AD277" s="450">
        <v>124000</v>
      </c>
      <c r="AE277" s="447">
        <v>2971171.1711711707</v>
      </c>
      <c r="AF277" s="447">
        <v>3298000</v>
      </c>
      <c r="AG277" s="437">
        <v>372000</v>
      </c>
      <c r="AH277" s="443" t="s">
        <v>2098</v>
      </c>
    </row>
    <row r="278" spans="1:37">
      <c r="A278" s="350">
        <v>119</v>
      </c>
      <c r="B278" s="352" t="s">
        <v>915</v>
      </c>
      <c r="C278" s="352" t="s">
        <v>704</v>
      </c>
      <c r="D278" s="355" t="s">
        <v>705</v>
      </c>
      <c r="E278" s="376" t="s">
        <v>916</v>
      </c>
      <c r="F278" s="361">
        <v>45018</v>
      </c>
      <c r="G278" s="361">
        <v>45018</v>
      </c>
      <c r="H278" s="361">
        <v>45018</v>
      </c>
      <c r="I278" s="394">
        <v>45037</v>
      </c>
      <c r="J278" s="387" t="s">
        <v>258</v>
      </c>
      <c r="K278" s="352" t="s">
        <v>924</v>
      </c>
      <c r="L278" s="408">
        <v>2</v>
      </c>
      <c r="M278" s="352" t="s">
        <v>488</v>
      </c>
      <c r="N278" s="409">
        <v>15000</v>
      </c>
      <c r="O278" s="404">
        <v>30000</v>
      </c>
      <c r="P278" s="421">
        <v>4</v>
      </c>
      <c r="Q278" s="439"/>
      <c r="R278" s="437">
        <v>900000</v>
      </c>
      <c r="S278" s="438">
        <f t="shared" si="36"/>
        <v>34000</v>
      </c>
      <c r="T278" s="439" t="s">
        <v>538</v>
      </c>
      <c r="U278" s="460" t="str">
        <f t="shared" si="37"/>
        <v/>
      </c>
      <c r="V278" s="439" t="s">
        <v>539</v>
      </c>
      <c r="W278" s="439" t="s">
        <v>540</v>
      </c>
      <c r="X278" s="439" t="s">
        <v>805</v>
      </c>
      <c r="Y278" s="439" t="s">
        <v>806</v>
      </c>
      <c r="Z278" s="449" t="s">
        <v>806</v>
      </c>
      <c r="AA278" s="440" t="s">
        <v>229</v>
      </c>
      <c r="AB278" s="441">
        <f t="shared" si="38"/>
        <v>13513.513513513513</v>
      </c>
      <c r="AC278" s="442">
        <f t="shared" si="39"/>
        <v>27027.027027027027</v>
      </c>
      <c r="AD278" s="450">
        <v>450000</v>
      </c>
      <c r="AE278" s="447">
        <v>2971171.1711711707</v>
      </c>
      <c r="AF278" s="447">
        <v>3298000</v>
      </c>
      <c r="AG278" s="437">
        <v>900000</v>
      </c>
      <c r="AH278" s="443" t="s">
        <v>2098</v>
      </c>
    </row>
    <row r="279" spans="1:37">
      <c r="A279" s="350">
        <v>119</v>
      </c>
      <c r="B279" s="352" t="s">
        <v>915</v>
      </c>
      <c r="C279" s="352" t="s">
        <v>704</v>
      </c>
      <c r="D279" s="355" t="s">
        <v>705</v>
      </c>
      <c r="E279" s="376" t="s">
        <v>916</v>
      </c>
      <c r="F279" s="361">
        <v>45018</v>
      </c>
      <c r="G279" s="361">
        <v>45018</v>
      </c>
      <c r="H279" s="361">
        <v>45018</v>
      </c>
      <c r="I279" s="394">
        <v>45037</v>
      </c>
      <c r="J279" s="387" t="s">
        <v>237</v>
      </c>
      <c r="K279" s="436" t="s">
        <v>717</v>
      </c>
      <c r="L279" s="408">
        <v>2</v>
      </c>
      <c r="M279" s="352" t="s">
        <v>597</v>
      </c>
      <c r="N279" s="409">
        <v>7500</v>
      </c>
      <c r="O279" s="404">
        <v>15000</v>
      </c>
      <c r="P279" s="421">
        <v>4</v>
      </c>
      <c r="Q279" s="439"/>
      <c r="R279" s="437">
        <v>120000</v>
      </c>
      <c r="S279" s="438">
        <f t="shared" si="36"/>
        <v>19000</v>
      </c>
      <c r="T279" s="439" t="s">
        <v>538</v>
      </c>
      <c r="U279" s="460" t="str">
        <f t="shared" si="37"/>
        <v/>
      </c>
      <c r="V279" s="439" t="s">
        <v>539</v>
      </c>
      <c r="W279" s="439" t="s">
        <v>540</v>
      </c>
      <c r="X279" s="439" t="s">
        <v>805</v>
      </c>
      <c r="Y279" s="439" t="s">
        <v>806</v>
      </c>
      <c r="Z279" s="449" t="s">
        <v>806</v>
      </c>
      <c r="AA279" s="440" t="s">
        <v>792</v>
      </c>
      <c r="AB279" s="441">
        <f t="shared" si="38"/>
        <v>6756.7567567567567</v>
      </c>
      <c r="AC279" s="442">
        <f t="shared" si="39"/>
        <v>13513.513513513513</v>
      </c>
      <c r="AD279" s="450">
        <v>60000</v>
      </c>
      <c r="AE279" s="447">
        <v>2971171.1711711707</v>
      </c>
      <c r="AF279" s="447">
        <v>3298000</v>
      </c>
      <c r="AG279" s="437">
        <v>120000</v>
      </c>
      <c r="AH279" s="443" t="s">
        <v>2098</v>
      </c>
    </row>
    <row r="280" spans="1:37">
      <c r="A280" s="350">
        <v>119</v>
      </c>
      <c r="B280" s="352" t="s">
        <v>915</v>
      </c>
      <c r="C280" s="352" t="s">
        <v>704</v>
      </c>
      <c r="D280" s="355" t="s">
        <v>705</v>
      </c>
      <c r="E280" s="376" t="s">
        <v>916</v>
      </c>
      <c r="F280" s="361">
        <v>45018</v>
      </c>
      <c r="G280" s="361">
        <v>45018</v>
      </c>
      <c r="H280" s="361">
        <v>45018</v>
      </c>
      <c r="I280" s="394">
        <v>45037</v>
      </c>
      <c r="J280" s="387" t="s">
        <v>239</v>
      </c>
      <c r="K280" s="352" t="s">
        <v>239</v>
      </c>
      <c r="L280" s="408">
        <v>1</v>
      </c>
      <c r="M280" s="352" t="s">
        <v>597</v>
      </c>
      <c r="N280" s="409">
        <v>16500</v>
      </c>
      <c r="O280" s="404">
        <v>16500</v>
      </c>
      <c r="P280" s="421">
        <v>4</v>
      </c>
      <c r="Q280" s="439"/>
      <c r="R280" s="437">
        <v>155000</v>
      </c>
      <c r="S280" s="438">
        <f t="shared" si="36"/>
        <v>18500</v>
      </c>
      <c r="T280" s="439" t="s">
        <v>538</v>
      </c>
      <c r="U280" s="460" t="str">
        <f t="shared" si="37"/>
        <v/>
      </c>
      <c r="V280" s="439" t="s">
        <v>539</v>
      </c>
      <c r="W280" s="439" t="s">
        <v>540</v>
      </c>
      <c r="X280" s="439"/>
      <c r="Y280" s="439" t="s">
        <v>806</v>
      </c>
      <c r="Z280" s="449" t="s">
        <v>806</v>
      </c>
      <c r="AA280" s="440" t="s">
        <v>774</v>
      </c>
      <c r="AB280" s="441">
        <f t="shared" si="38"/>
        <v>14864.864864864865</v>
      </c>
      <c r="AC280" s="442">
        <f t="shared" si="39"/>
        <v>14864.864864864865</v>
      </c>
      <c r="AD280" s="450">
        <v>155000</v>
      </c>
      <c r="AE280" s="447">
        <v>2971171.1711711707</v>
      </c>
      <c r="AF280" s="447">
        <v>3298000</v>
      </c>
      <c r="AG280" s="437">
        <v>155000</v>
      </c>
      <c r="AH280" s="443" t="s">
        <v>2098</v>
      </c>
    </row>
    <row r="281" spans="1:37">
      <c r="A281" s="350">
        <v>119</v>
      </c>
      <c r="B281" s="352" t="s">
        <v>915</v>
      </c>
      <c r="C281" s="352" t="s">
        <v>704</v>
      </c>
      <c r="D281" s="355" t="s">
        <v>705</v>
      </c>
      <c r="E281" s="376" t="s">
        <v>916</v>
      </c>
      <c r="F281" s="361">
        <v>45018</v>
      </c>
      <c r="G281" s="361">
        <v>45018</v>
      </c>
      <c r="H281" s="361">
        <v>45018</v>
      </c>
      <c r="I281" s="394">
        <v>45037</v>
      </c>
      <c r="J281" s="387" t="s">
        <v>711</v>
      </c>
      <c r="K281" s="352" t="s">
        <v>738</v>
      </c>
      <c r="L281" s="408">
        <v>1</v>
      </c>
      <c r="M281" s="352" t="s">
        <v>488</v>
      </c>
      <c r="N281" s="409">
        <v>20000</v>
      </c>
      <c r="O281" s="404">
        <v>20000</v>
      </c>
      <c r="P281" s="421">
        <v>4</v>
      </c>
      <c r="Q281" s="439"/>
      <c r="R281" s="437">
        <v>310000</v>
      </c>
      <c r="S281" s="438">
        <f t="shared" si="36"/>
        <v>22000</v>
      </c>
      <c r="T281" s="439" t="s">
        <v>538</v>
      </c>
      <c r="U281" s="460" t="str">
        <f t="shared" si="37"/>
        <v/>
      </c>
      <c r="V281" s="439" t="s">
        <v>539</v>
      </c>
      <c r="W281" s="439" t="s">
        <v>540</v>
      </c>
      <c r="X281" s="439"/>
      <c r="Y281" s="439" t="s">
        <v>806</v>
      </c>
      <c r="Z281" s="449" t="s">
        <v>806</v>
      </c>
      <c r="AA281" s="440" t="s">
        <v>574</v>
      </c>
      <c r="AB281" s="441">
        <f t="shared" si="38"/>
        <v>18018.018018018018</v>
      </c>
      <c r="AC281" s="442">
        <f t="shared" si="39"/>
        <v>18018.018018018018</v>
      </c>
      <c r="AD281" s="437">
        <v>310000</v>
      </c>
      <c r="AE281" s="447">
        <v>2971171.1711711707</v>
      </c>
      <c r="AF281" s="447">
        <v>3298000</v>
      </c>
      <c r="AG281" s="437">
        <v>310000</v>
      </c>
      <c r="AH281" s="443" t="s">
        <v>2098</v>
      </c>
    </row>
    <row r="282" spans="1:37">
      <c r="A282" s="350">
        <v>119</v>
      </c>
      <c r="B282" s="352" t="s">
        <v>915</v>
      </c>
      <c r="C282" s="352" t="s">
        <v>704</v>
      </c>
      <c r="D282" s="355" t="s">
        <v>705</v>
      </c>
      <c r="E282" s="376" t="s">
        <v>916</v>
      </c>
      <c r="F282" s="361">
        <v>45018</v>
      </c>
      <c r="G282" s="361">
        <v>45018</v>
      </c>
      <c r="H282" s="361">
        <v>45018</v>
      </c>
      <c r="I282" s="394">
        <v>45037</v>
      </c>
      <c r="J282" s="389" t="s">
        <v>755</v>
      </c>
      <c r="K282" s="352" t="s">
        <v>242</v>
      </c>
      <c r="L282" s="408">
        <v>1</v>
      </c>
      <c r="M282" s="352" t="s">
        <v>756</v>
      </c>
      <c r="N282" s="409">
        <v>26000</v>
      </c>
      <c r="O282" s="404">
        <v>26000</v>
      </c>
      <c r="P282" s="421">
        <v>4</v>
      </c>
      <c r="Q282" s="439"/>
      <c r="R282" s="437">
        <v>200000</v>
      </c>
      <c r="S282" s="438">
        <f t="shared" si="36"/>
        <v>28000</v>
      </c>
      <c r="T282" s="439" t="s">
        <v>538</v>
      </c>
      <c r="U282" s="460" t="str">
        <f t="shared" si="37"/>
        <v/>
      </c>
      <c r="V282" s="439" t="s">
        <v>539</v>
      </c>
      <c r="W282" s="439" t="s">
        <v>540</v>
      </c>
      <c r="X282" s="439"/>
      <c r="Y282" s="439" t="s">
        <v>1007</v>
      </c>
      <c r="Z282" s="449" t="s">
        <v>1007</v>
      </c>
      <c r="AA282" s="440" t="s">
        <v>720</v>
      </c>
      <c r="AB282" s="441">
        <f t="shared" si="38"/>
        <v>23423.423423423425</v>
      </c>
      <c r="AC282" s="442">
        <f t="shared" si="39"/>
        <v>23423.423423423425</v>
      </c>
      <c r="AD282" s="437">
        <v>200000</v>
      </c>
      <c r="AE282" s="447">
        <v>247747.74774774775</v>
      </c>
      <c r="AF282" s="447">
        <v>275000</v>
      </c>
      <c r="AG282" s="437">
        <v>200000</v>
      </c>
      <c r="AH282" s="443" t="s">
        <v>2098</v>
      </c>
      <c r="AI282" s="448">
        <f>SUM(AC282:AC283)</f>
        <v>338738.73873873876</v>
      </c>
      <c r="AJ282" s="448">
        <f>SUM(AD282:AD283)</f>
        <v>275000</v>
      </c>
    </row>
    <row r="283" spans="1:37">
      <c r="A283" s="350">
        <v>119</v>
      </c>
      <c r="B283" s="352" t="s">
        <v>915</v>
      </c>
      <c r="C283" s="352" t="s">
        <v>704</v>
      </c>
      <c r="D283" s="355" t="s">
        <v>705</v>
      </c>
      <c r="E283" s="376" t="s">
        <v>916</v>
      </c>
      <c r="F283" s="361">
        <v>45018</v>
      </c>
      <c r="G283" s="361">
        <v>45018</v>
      </c>
      <c r="H283" s="361">
        <v>45018</v>
      </c>
      <c r="I283" s="394">
        <v>45037</v>
      </c>
      <c r="J283" s="387" t="s">
        <v>925</v>
      </c>
      <c r="K283" s="352" t="s">
        <v>239</v>
      </c>
      <c r="L283" s="408">
        <v>10</v>
      </c>
      <c r="M283" s="352" t="s">
        <v>488</v>
      </c>
      <c r="N283" s="409">
        <v>35000</v>
      </c>
      <c r="O283" s="404">
        <v>350000</v>
      </c>
      <c r="P283" s="421">
        <v>4</v>
      </c>
      <c r="Q283" s="439"/>
      <c r="R283" s="437">
        <v>75000</v>
      </c>
      <c r="S283" s="438">
        <f t="shared" si="36"/>
        <v>370000</v>
      </c>
      <c r="T283" s="439" t="s">
        <v>538</v>
      </c>
      <c r="U283" s="460" t="str">
        <f t="shared" si="37"/>
        <v/>
      </c>
      <c r="V283" s="439" t="s">
        <v>539</v>
      </c>
      <c r="W283" s="439" t="s">
        <v>540</v>
      </c>
      <c r="X283" s="439"/>
      <c r="Y283" s="439" t="s">
        <v>1007</v>
      </c>
      <c r="Z283" s="449" t="s">
        <v>1007</v>
      </c>
      <c r="AA283" s="440" t="s">
        <v>1015</v>
      </c>
      <c r="AB283" s="441">
        <f t="shared" si="38"/>
        <v>31531.531531531531</v>
      </c>
      <c r="AC283" s="442">
        <f t="shared" si="39"/>
        <v>315315.31531531533</v>
      </c>
      <c r="AD283" s="437">
        <v>75000</v>
      </c>
      <c r="AE283" s="447">
        <v>247747.74774774775</v>
      </c>
      <c r="AF283" s="447">
        <v>275000</v>
      </c>
      <c r="AG283" s="437">
        <v>75000</v>
      </c>
      <c r="AH283" s="443" t="s">
        <v>2098</v>
      </c>
    </row>
    <row r="284" spans="1:37">
      <c r="A284" s="350">
        <v>119</v>
      </c>
      <c r="B284" s="352" t="s">
        <v>915</v>
      </c>
      <c r="C284" s="352" t="s">
        <v>704</v>
      </c>
      <c r="D284" s="355" t="s">
        <v>705</v>
      </c>
      <c r="E284" s="376" t="s">
        <v>916</v>
      </c>
      <c r="F284" s="361">
        <v>45018</v>
      </c>
      <c r="G284" s="361">
        <v>45018</v>
      </c>
      <c r="H284" s="361">
        <v>45018</v>
      </c>
      <c r="I284" s="394">
        <v>45037</v>
      </c>
      <c r="J284" s="387" t="s">
        <v>762</v>
      </c>
      <c r="K284" s="387" t="s">
        <v>762</v>
      </c>
      <c r="L284" s="408">
        <v>1</v>
      </c>
      <c r="M284" s="352" t="s">
        <v>488</v>
      </c>
      <c r="N284" s="409">
        <v>15000</v>
      </c>
      <c r="O284" s="404">
        <v>15000</v>
      </c>
      <c r="P284" s="421">
        <v>4</v>
      </c>
      <c r="Q284" s="494" t="s">
        <v>163</v>
      </c>
      <c r="R284" s="437">
        <v>400000</v>
      </c>
      <c r="S284" s="438">
        <f t="shared" si="36"/>
        <v>17000</v>
      </c>
      <c r="T284" s="439" t="s">
        <v>538</v>
      </c>
      <c r="U284" s="460" t="str">
        <f t="shared" si="37"/>
        <v/>
      </c>
      <c r="V284" s="439" t="s">
        <v>539</v>
      </c>
      <c r="W284" s="439" t="s">
        <v>540</v>
      </c>
      <c r="X284" s="439" t="s">
        <v>474</v>
      </c>
      <c r="Y284" s="275" t="e">
        <f>#REF!</f>
        <v>#REF!</v>
      </c>
      <c r="Z284" s="449" t="s">
        <v>1545</v>
      </c>
      <c r="AA284" s="440" t="s">
        <v>472</v>
      </c>
      <c r="AB284" s="441">
        <f t="shared" si="38"/>
        <v>13513.513513513513</v>
      </c>
      <c r="AC284" s="442">
        <f t="shared" si="39"/>
        <v>13513.513513513513</v>
      </c>
      <c r="AD284" s="437">
        <v>2300000</v>
      </c>
      <c r="AE284" s="447">
        <v>2198198.1981981979</v>
      </c>
      <c r="AF284" s="447">
        <v>2440000</v>
      </c>
      <c r="AG284" s="437">
        <v>2300000</v>
      </c>
      <c r="AH284" s="271" t="s">
        <v>2098</v>
      </c>
      <c r="AI284" s="277">
        <f>SUM(AC284:AC285)</f>
        <v>31531.531531531531</v>
      </c>
      <c r="AJ284" s="277">
        <f>SUM(AD284:AD285)</f>
        <v>2440000</v>
      </c>
    </row>
    <row r="285" spans="1:37">
      <c r="A285" s="350">
        <v>119</v>
      </c>
      <c r="B285" s="352" t="s">
        <v>915</v>
      </c>
      <c r="C285" s="352" t="s">
        <v>704</v>
      </c>
      <c r="D285" s="355" t="s">
        <v>705</v>
      </c>
      <c r="E285" s="376" t="s">
        <v>916</v>
      </c>
      <c r="F285" s="361">
        <v>45018</v>
      </c>
      <c r="G285" s="361">
        <v>45018</v>
      </c>
      <c r="H285" s="361">
        <v>45018</v>
      </c>
      <c r="I285" s="394">
        <v>45037</v>
      </c>
      <c r="J285" s="387" t="s">
        <v>240</v>
      </c>
      <c r="K285" s="436" t="s">
        <v>731</v>
      </c>
      <c r="L285" s="408">
        <v>1</v>
      </c>
      <c r="M285" s="352" t="s">
        <v>597</v>
      </c>
      <c r="N285" s="794">
        <v>20000</v>
      </c>
      <c r="O285" s="404">
        <v>20000</v>
      </c>
      <c r="P285" s="421">
        <v>4</v>
      </c>
      <c r="Q285" s="425" t="s">
        <v>164</v>
      </c>
      <c r="R285" s="437">
        <v>140000</v>
      </c>
      <c r="S285" s="274">
        <f t="shared" si="36"/>
        <v>22000</v>
      </c>
      <c r="T285" s="439" t="s">
        <v>538</v>
      </c>
      <c r="U285" s="460" t="str">
        <f t="shared" si="37"/>
        <v/>
      </c>
      <c r="V285" s="439" t="s">
        <v>539</v>
      </c>
      <c r="W285" s="439" t="s">
        <v>540</v>
      </c>
      <c r="X285" s="439" t="s">
        <v>474</v>
      </c>
      <c r="Y285" s="275" t="str">
        <f>J285</f>
        <v>Binder Klip  nomor 260</v>
      </c>
      <c r="Z285" s="449" t="s">
        <v>1545</v>
      </c>
      <c r="AA285" s="440" t="s">
        <v>597</v>
      </c>
      <c r="AB285" s="441">
        <f t="shared" si="38"/>
        <v>18018.018018018018</v>
      </c>
      <c r="AC285" s="442">
        <f t="shared" si="39"/>
        <v>18018.018018018018</v>
      </c>
      <c r="AD285" s="437">
        <v>140000</v>
      </c>
      <c r="AE285" s="447">
        <v>2198198.1981981979</v>
      </c>
      <c r="AF285" s="447">
        <v>2440000</v>
      </c>
      <c r="AG285" s="437">
        <v>140000</v>
      </c>
      <c r="AH285" s="271" t="s">
        <v>2098</v>
      </c>
    </row>
    <row r="286" spans="1:37">
      <c r="A286" s="350">
        <v>119</v>
      </c>
      <c r="B286" s="352" t="s">
        <v>915</v>
      </c>
      <c r="C286" s="352" t="s">
        <v>704</v>
      </c>
      <c r="D286" s="355" t="s">
        <v>705</v>
      </c>
      <c r="E286" s="376" t="s">
        <v>916</v>
      </c>
      <c r="F286" s="361">
        <v>45018</v>
      </c>
      <c r="G286" s="361">
        <v>45018</v>
      </c>
      <c r="H286" s="361">
        <v>45018</v>
      </c>
      <c r="I286" s="394">
        <v>45037</v>
      </c>
      <c r="J286" s="389" t="s">
        <v>233</v>
      </c>
      <c r="K286" s="435" t="s">
        <v>233</v>
      </c>
      <c r="L286" s="408">
        <v>1</v>
      </c>
      <c r="M286" s="352" t="s">
        <v>714</v>
      </c>
      <c r="N286" s="409">
        <v>97000</v>
      </c>
      <c r="O286" s="404">
        <v>97000</v>
      </c>
      <c r="P286" s="421">
        <v>4</v>
      </c>
      <c r="Q286" s="275"/>
      <c r="R286" s="437">
        <v>760000</v>
      </c>
      <c r="S286" s="274">
        <f t="shared" si="36"/>
        <v>99000</v>
      </c>
      <c r="T286" s="439" t="s">
        <v>538</v>
      </c>
      <c r="U286" s="460" t="str">
        <f t="shared" si="37"/>
        <v/>
      </c>
      <c r="V286" s="439" t="s">
        <v>539</v>
      </c>
      <c r="W286" s="439" t="s">
        <v>540</v>
      </c>
      <c r="X286" s="439"/>
      <c r="Y286" s="275" t="s">
        <v>806</v>
      </c>
      <c r="Z286" s="449" t="s">
        <v>806</v>
      </c>
      <c r="AA286" s="440" t="s">
        <v>488</v>
      </c>
      <c r="AB286" s="441">
        <f t="shared" si="38"/>
        <v>87387.387387387382</v>
      </c>
      <c r="AC286" s="442">
        <f t="shared" si="39"/>
        <v>87387.387387387382</v>
      </c>
      <c r="AD286" s="437">
        <v>760000</v>
      </c>
      <c r="AE286" s="447">
        <v>1045045.0450450451</v>
      </c>
      <c r="AF286" s="447">
        <v>1160000</v>
      </c>
      <c r="AG286" s="437">
        <v>760000</v>
      </c>
      <c r="AH286" s="271" t="s">
        <v>2098</v>
      </c>
      <c r="AI286" s="277">
        <f>SUM(AC286:AC287)</f>
        <v>100000</v>
      </c>
      <c r="AJ286" s="277">
        <f>SUM(AD286:AD287)</f>
        <v>1160000</v>
      </c>
    </row>
    <row r="287" spans="1:37">
      <c r="A287" s="350">
        <v>119</v>
      </c>
      <c r="B287" s="352" t="s">
        <v>915</v>
      </c>
      <c r="C287" s="352" t="s">
        <v>704</v>
      </c>
      <c r="D287" s="355" t="s">
        <v>705</v>
      </c>
      <c r="E287" s="376" t="s">
        <v>916</v>
      </c>
      <c r="F287" s="361">
        <v>45018</v>
      </c>
      <c r="G287" s="361">
        <v>45018</v>
      </c>
      <c r="H287" s="361">
        <v>45018</v>
      </c>
      <c r="I287" s="394">
        <v>45037</v>
      </c>
      <c r="J287" s="387" t="s">
        <v>711</v>
      </c>
      <c r="K287" s="352" t="s">
        <v>712</v>
      </c>
      <c r="L287" s="408">
        <v>1</v>
      </c>
      <c r="M287" s="352" t="s">
        <v>488</v>
      </c>
      <c r="N287" s="409">
        <v>14000</v>
      </c>
      <c r="O287" s="404">
        <v>14000</v>
      </c>
      <c r="P287" s="421">
        <v>4</v>
      </c>
      <c r="Q287" s="275"/>
      <c r="R287" s="437">
        <v>400000</v>
      </c>
      <c r="S287" s="274">
        <f t="shared" si="36"/>
        <v>16000</v>
      </c>
      <c r="T287" s="439" t="s">
        <v>538</v>
      </c>
      <c r="U287" s="460" t="str">
        <f t="shared" si="37"/>
        <v/>
      </c>
      <c r="V287" s="439" t="s">
        <v>539</v>
      </c>
      <c r="W287" s="439" t="s">
        <v>540</v>
      </c>
      <c r="X287" s="439"/>
      <c r="Y287" s="275" t="s">
        <v>806</v>
      </c>
      <c r="Z287" s="449" t="s">
        <v>806</v>
      </c>
      <c r="AA287" s="440" t="s">
        <v>792</v>
      </c>
      <c r="AB287" s="441">
        <f t="shared" si="38"/>
        <v>12612.612612612613</v>
      </c>
      <c r="AC287" s="442">
        <f t="shared" si="39"/>
        <v>12612.612612612613</v>
      </c>
      <c r="AD287" s="437">
        <v>400000</v>
      </c>
      <c r="AE287" s="447">
        <v>1045045.0450450451</v>
      </c>
      <c r="AF287" s="447">
        <v>1160000</v>
      </c>
      <c r="AG287" s="437">
        <v>400000</v>
      </c>
      <c r="AH287" s="271" t="s">
        <v>2098</v>
      </c>
    </row>
    <row r="288" spans="1:37">
      <c r="A288" s="350">
        <v>119</v>
      </c>
      <c r="B288" s="352" t="s">
        <v>915</v>
      </c>
      <c r="C288" s="352" t="s">
        <v>704</v>
      </c>
      <c r="D288" s="355" t="s">
        <v>705</v>
      </c>
      <c r="E288" s="376" t="s">
        <v>916</v>
      </c>
      <c r="F288" s="361">
        <v>45018</v>
      </c>
      <c r="G288" s="361">
        <v>45018</v>
      </c>
      <c r="H288" s="361">
        <v>45018</v>
      </c>
      <c r="I288" s="394">
        <v>45037</v>
      </c>
      <c r="J288" s="387" t="s">
        <v>242</v>
      </c>
      <c r="K288" s="436" t="s">
        <v>760</v>
      </c>
      <c r="L288" s="408">
        <v>1</v>
      </c>
      <c r="M288" s="352" t="s">
        <v>488</v>
      </c>
      <c r="N288" s="409">
        <v>26000</v>
      </c>
      <c r="O288" s="404">
        <v>26000</v>
      </c>
      <c r="P288" s="421">
        <v>4</v>
      </c>
      <c r="Q288" s="275"/>
      <c r="R288" s="437">
        <v>502000</v>
      </c>
      <c r="S288" s="274">
        <f t="shared" si="36"/>
        <v>28000</v>
      </c>
      <c r="T288" s="439" t="s">
        <v>538</v>
      </c>
      <c r="U288" s="460" t="str">
        <f t="shared" si="37"/>
        <v/>
      </c>
      <c r="V288" s="439" t="s">
        <v>539</v>
      </c>
      <c r="W288" s="439" t="s">
        <v>540</v>
      </c>
      <c r="X288" s="439"/>
      <c r="Y288" s="275" t="s">
        <v>806</v>
      </c>
      <c r="Z288" s="449" t="s">
        <v>806</v>
      </c>
      <c r="AA288" s="440" t="s">
        <v>1019</v>
      </c>
      <c r="AB288" s="441">
        <f t="shared" si="38"/>
        <v>23423.423423423425</v>
      </c>
      <c r="AC288" s="442">
        <f t="shared" si="39"/>
        <v>23423.423423423425</v>
      </c>
      <c r="AD288" s="437">
        <v>502000</v>
      </c>
      <c r="AE288" s="447">
        <v>452252.25225225225</v>
      </c>
      <c r="AF288" s="447">
        <v>502000</v>
      </c>
      <c r="AG288" s="437">
        <v>502000</v>
      </c>
      <c r="AH288" s="271" t="s">
        <v>2098</v>
      </c>
    </row>
    <row r="289" spans="1:36" ht="15.5">
      <c r="A289" s="350">
        <v>119</v>
      </c>
      <c r="B289" s="352" t="s">
        <v>915</v>
      </c>
      <c r="C289" s="352" t="s">
        <v>704</v>
      </c>
      <c r="D289" s="355" t="s">
        <v>705</v>
      </c>
      <c r="E289" s="376" t="s">
        <v>916</v>
      </c>
      <c r="F289" s="361">
        <v>45018</v>
      </c>
      <c r="G289" s="361">
        <v>45018</v>
      </c>
      <c r="H289" s="361">
        <v>45018</v>
      </c>
      <c r="I289" s="394">
        <v>45037</v>
      </c>
      <c r="J289" s="387" t="s">
        <v>263</v>
      </c>
      <c r="K289" s="388" t="s">
        <v>885</v>
      </c>
      <c r="L289" s="408">
        <v>5</v>
      </c>
      <c r="M289" s="352" t="s">
        <v>753</v>
      </c>
      <c r="N289" s="409">
        <v>12000</v>
      </c>
      <c r="O289" s="404">
        <v>60000</v>
      </c>
      <c r="P289" s="421">
        <v>4</v>
      </c>
      <c r="Q289" s="426" t="s">
        <v>81</v>
      </c>
      <c r="R289" s="437">
        <v>1925000</v>
      </c>
      <c r="S289" s="274">
        <f t="shared" si="36"/>
        <v>70000</v>
      </c>
      <c r="T289" s="439" t="s">
        <v>538</v>
      </c>
      <c r="U289" s="460" t="str">
        <f t="shared" si="37"/>
        <v/>
      </c>
      <c r="V289" s="439" t="s">
        <v>539</v>
      </c>
      <c r="W289" s="439" t="s">
        <v>540</v>
      </c>
      <c r="X289" s="439" t="s">
        <v>468</v>
      </c>
      <c r="Y289" s="275" t="str">
        <f t="shared" ref="Y289:Y300" si="40">J289</f>
        <v>Stofmap Kertas</v>
      </c>
      <c r="Z289" s="449" t="s">
        <v>8</v>
      </c>
      <c r="AA289" s="440" t="s">
        <v>472</v>
      </c>
      <c r="AB289" s="441">
        <f t="shared" si="38"/>
        <v>10810.810810810812</v>
      </c>
      <c r="AC289" s="442">
        <f t="shared" si="39"/>
        <v>54054.054054054061</v>
      </c>
      <c r="AD289" s="437">
        <v>1925000</v>
      </c>
      <c r="AE289" s="447">
        <v>1734234.2342342343</v>
      </c>
      <c r="AF289" s="447">
        <v>1925000</v>
      </c>
      <c r="AG289" s="437">
        <v>1925000</v>
      </c>
      <c r="AH289" s="271" t="s">
        <v>2098</v>
      </c>
    </row>
    <row r="290" spans="1:36">
      <c r="A290" s="350">
        <v>119</v>
      </c>
      <c r="B290" s="352" t="s">
        <v>915</v>
      </c>
      <c r="C290" s="352" t="s">
        <v>704</v>
      </c>
      <c r="D290" s="355" t="s">
        <v>705</v>
      </c>
      <c r="E290" s="376" t="s">
        <v>916</v>
      </c>
      <c r="F290" s="361">
        <v>45018</v>
      </c>
      <c r="G290" s="361">
        <v>45018</v>
      </c>
      <c r="H290" s="361">
        <v>45018</v>
      </c>
      <c r="I290" s="394">
        <v>45037</v>
      </c>
      <c r="J290" s="387" t="s">
        <v>740</v>
      </c>
      <c r="K290" s="388" t="s">
        <v>741</v>
      </c>
      <c r="L290" s="408">
        <v>2</v>
      </c>
      <c r="M290" s="352" t="s">
        <v>488</v>
      </c>
      <c r="N290" s="409">
        <v>5500</v>
      </c>
      <c r="O290" s="404">
        <v>11000</v>
      </c>
      <c r="P290" s="421">
        <v>4</v>
      </c>
      <c r="Q290" s="425" t="s">
        <v>164</v>
      </c>
      <c r="R290" s="437">
        <v>210000</v>
      </c>
      <c r="S290" s="274">
        <f t="shared" si="36"/>
        <v>15000</v>
      </c>
      <c r="T290" s="439" t="s">
        <v>538</v>
      </c>
      <c r="U290" s="460" t="str">
        <f t="shared" si="37"/>
        <v/>
      </c>
      <c r="V290" s="439" t="s">
        <v>539</v>
      </c>
      <c r="W290" s="439" t="s">
        <v>540</v>
      </c>
      <c r="X290" s="439" t="s">
        <v>474</v>
      </c>
      <c r="Y290" s="275" t="str">
        <f t="shared" si="40"/>
        <v>Buku Nota</v>
      </c>
      <c r="Z290" s="449" t="s">
        <v>1545</v>
      </c>
      <c r="AA290" s="440" t="s">
        <v>472</v>
      </c>
      <c r="AB290" s="441">
        <f t="shared" si="38"/>
        <v>4954.9549549549547</v>
      </c>
      <c r="AC290" s="442">
        <f t="shared" si="39"/>
        <v>9909.9099099099094</v>
      </c>
      <c r="AD290" s="437">
        <v>210000</v>
      </c>
      <c r="AE290" s="447">
        <v>189189.18918918917</v>
      </c>
      <c r="AF290" s="447">
        <v>210000</v>
      </c>
      <c r="AG290" s="437">
        <v>210000</v>
      </c>
      <c r="AH290" s="271" t="s">
        <v>2098</v>
      </c>
    </row>
    <row r="291" spans="1:36">
      <c r="A291" s="350">
        <v>119</v>
      </c>
      <c r="B291" s="352" t="s">
        <v>915</v>
      </c>
      <c r="C291" s="352" t="s">
        <v>704</v>
      </c>
      <c r="D291" s="355" t="s">
        <v>705</v>
      </c>
      <c r="E291" s="376" t="s">
        <v>916</v>
      </c>
      <c r="F291" s="361">
        <v>45018</v>
      </c>
      <c r="G291" s="361">
        <v>45018</v>
      </c>
      <c r="H291" s="361">
        <v>45018</v>
      </c>
      <c r="I291" s="394">
        <v>45037</v>
      </c>
      <c r="J291" s="387" t="s">
        <v>904</v>
      </c>
      <c r="K291" s="388" t="s">
        <v>905</v>
      </c>
      <c r="L291" s="408">
        <v>2</v>
      </c>
      <c r="M291" s="352" t="s">
        <v>488</v>
      </c>
      <c r="N291" s="409">
        <v>15500</v>
      </c>
      <c r="O291" s="404">
        <v>31000</v>
      </c>
      <c r="P291" s="421">
        <v>4</v>
      </c>
      <c r="Q291" s="425" t="s">
        <v>164</v>
      </c>
      <c r="R291" s="437">
        <v>140000</v>
      </c>
      <c r="S291" s="274">
        <f t="shared" si="36"/>
        <v>35000</v>
      </c>
      <c r="T291" s="439" t="s">
        <v>538</v>
      </c>
      <c r="U291" s="460" t="str">
        <f t="shared" si="37"/>
        <v/>
      </c>
      <c r="V291" s="439" t="s">
        <v>539</v>
      </c>
      <c r="W291" s="439" t="s">
        <v>540</v>
      </c>
      <c r="X291" s="439" t="s">
        <v>474</v>
      </c>
      <c r="Y291" s="439" t="str">
        <f t="shared" si="40"/>
        <v>Gunting Besar</v>
      </c>
      <c r="Z291" s="449" t="s">
        <v>1545</v>
      </c>
      <c r="AA291" s="440" t="s">
        <v>488</v>
      </c>
      <c r="AB291" s="441">
        <f t="shared" si="38"/>
        <v>13963.963963963964</v>
      </c>
      <c r="AC291" s="442">
        <f t="shared" si="39"/>
        <v>27927.927927927929</v>
      </c>
      <c r="AD291" s="437">
        <v>140000</v>
      </c>
      <c r="AE291" s="447">
        <v>342342.34234234237</v>
      </c>
      <c r="AF291" s="447">
        <v>380000</v>
      </c>
      <c r="AG291" s="437">
        <v>140000</v>
      </c>
      <c r="AH291" s="271" t="s">
        <v>2098</v>
      </c>
      <c r="AI291" s="277">
        <f>SUM(AC291:AC292)</f>
        <v>38288.288288288291</v>
      </c>
      <c r="AJ291" s="277">
        <f>SUM(AD291:AD292)</f>
        <v>380000</v>
      </c>
    </row>
    <row r="292" spans="1:36">
      <c r="A292" s="350">
        <v>119</v>
      </c>
      <c r="B292" s="352" t="s">
        <v>915</v>
      </c>
      <c r="C292" s="352" t="s">
        <v>704</v>
      </c>
      <c r="D292" s="355" t="s">
        <v>705</v>
      </c>
      <c r="E292" s="376" t="s">
        <v>916</v>
      </c>
      <c r="F292" s="361">
        <v>45018</v>
      </c>
      <c r="G292" s="361">
        <v>45018</v>
      </c>
      <c r="H292" s="361">
        <v>45018</v>
      </c>
      <c r="I292" s="394">
        <v>45037</v>
      </c>
      <c r="J292" s="387" t="s">
        <v>711</v>
      </c>
      <c r="K292" s="352" t="s">
        <v>746</v>
      </c>
      <c r="L292" s="408">
        <v>1</v>
      </c>
      <c r="M292" s="352" t="s">
        <v>488</v>
      </c>
      <c r="N292" s="409">
        <v>11500</v>
      </c>
      <c r="O292" s="404">
        <v>11500</v>
      </c>
      <c r="P292" s="421">
        <v>4</v>
      </c>
      <c r="Q292" s="425" t="s">
        <v>165</v>
      </c>
      <c r="R292" s="437">
        <v>240000</v>
      </c>
      <c r="S292" s="274">
        <f t="shared" si="36"/>
        <v>13500</v>
      </c>
      <c r="T292" s="439" t="s">
        <v>538</v>
      </c>
      <c r="U292" s="460" t="str">
        <f t="shared" si="37"/>
        <v/>
      </c>
      <c r="V292" s="439" t="s">
        <v>539</v>
      </c>
      <c r="W292" s="439" t="s">
        <v>540</v>
      </c>
      <c r="X292" s="439" t="s">
        <v>490</v>
      </c>
      <c r="Y292" s="439" t="str">
        <f t="shared" si="40"/>
        <v>Lakban Kain Warna Hitam</v>
      </c>
      <c r="Z292" s="449" t="s">
        <v>280</v>
      </c>
      <c r="AA292" s="440" t="s">
        <v>472</v>
      </c>
      <c r="AB292" s="441">
        <f t="shared" si="38"/>
        <v>10360.360360360361</v>
      </c>
      <c r="AC292" s="442">
        <f t="shared" si="39"/>
        <v>10360.360360360361</v>
      </c>
      <c r="AD292" s="437">
        <v>240000</v>
      </c>
      <c r="AE292" s="447">
        <v>342342.34234234237</v>
      </c>
      <c r="AF292" s="447">
        <v>380000</v>
      </c>
      <c r="AG292" s="437">
        <v>240000</v>
      </c>
      <c r="AH292" s="271" t="s">
        <v>2098</v>
      </c>
    </row>
    <row r="293" spans="1:36">
      <c r="A293" s="350">
        <v>119</v>
      </c>
      <c r="B293" s="352" t="s">
        <v>915</v>
      </c>
      <c r="C293" s="352" t="s">
        <v>704</v>
      </c>
      <c r="D293" s="355" t="s">
        <v>705</v>
      </c>
      <c r="E293" s="376" t="s">
        <v>916</v>
      </c>
      <c r="F293" s="361">
        <v>45018</v>
      </c>
      <c r="G293" s="361">
        <v>45018</v>
      </c>
      <c r="H293" s="361">
        <v>45018</v>
      </c>
      <c r="I293" s="394">
        <v>45037</v>
      </c>
      <c r="J293" s="387" t="s">
        <v>779</v>
      </c>
      <c r="K293" s="388" t="s">
        <v>906</v>
      </c>
      <c r="L293" s="408">
        <v>1</v>
      </c>
      <c r="M293" s="352" t="s">
        <v>753</v>
      </c>
      <c r="N293" s="409">
        <v>75000</v>
      </c>
      <c r="O293" s="404">
        <v>75000</v>
      </c>
      <c r="P293" s="421">
        <v>4</v>
      </c>
      <c r="Q293" s="425" t="s">
        <v>164</v>
      </c>
      <c r="R293" s="437">
        <v>70000</v>
      </c>
      <c r="S293" s="274">
        <f t="shared" si="36"/>
        <v>77000</v>
      </c>
      <c r="T293" s="439" t="s">
        <v>538</v>
      </c>
      <c r="U293" s="460" t="str">
        <f t="shared" si="37"/>
        <v/>
      </c>
      <c r="V293" s="439" t="s">
        <v>539</v>
      </c>
      <c r="W293" s="439" t="s">
        <v>540</v>
      </c>
      <c r="X293" s="439" t="s">
        <v>474</v>
      </c>
      <c r="Y293" s="439" t="str">
        <f t="shared" si="40"/>
        <v>Kertas Buffalo</v>
      </c>
      <c r="Z293" s="449" t="s">
        <v>1545</v>
      </c>
      <c r="AA293" s="440" t="s">
        <v>488</v>
      </c>
      <c r="AB293" s="441">
        <f t="shared" si="38"/>
        <v>67567.567567567574</v>
      </c>
      <c r="AC293" s="442">
        <f t="shared" si="39"/>
        <v>67567.567567567574</v>
      </c>
      <c r="AD293" s="437">
        <v>70000</v>
      </c>
      <c r="AE293" s="447">
        <v>207207.20720720722</v>
      </c>
      <c r="AF293" s="447">
        <v>230000</v>
      </c>
      <c r="AG293" s="437">
        <v>70000</v>
      </c>
      <c r="AH293" s="271" t="s">
        <v>2098</v>
      </c>
      <c r="AI293" s="277">
        <f>SUM(AC293:AC294)</f>
        <v>90090.090090090089</v>
      </c>
      <c r="AJ293" s="277">
        <f>SUM(AD293:AD294)</f>
        <v>230000</v>
      </c>
    </row>
    <row r="294" spans="1:36">
      <c r="A294" s="350">
        <v>119</v>
      </c>
      <c r="B294" s="352" t="s">
        <v>915</v>
      </c>
      <c r="C294" s="352" t="s">
        <v>704</v>
      </c>
      <c r="D294" s="355" t="s">
        <v>705</v>
      </c>
      <c r="E294" s="376" t="s">
        <v>916</v>
      </c>
      <c r="F294" s="361">
        <v>45018</v>
      </c>
      <c r="G294" s="361">
        <v>45018</v>
      </c>
      <c r="H294" s="361">
        <v>45018</v>
      </c>
      <c r="I294" s="394">
        <v>45037</v>
      </c>
      <c r="J294" s="387" t="s">
        <v>255</v>
      </c>
      <c r="K294" s="388" t="s">
        <v>889</v>
      </c>
      <c r="L294" s="408">
        <v>1</v>
      </c>
      <c r="M294" s="352" t="s">
        <v>728</v>
      </c>
      <c r="N294" s="409">
        <v>25000</v>
      </c>
      <c r="O294" s="404">
        <v>25000</v>
      </c>
      <c r="P294" s="421">
        <v>4</v>
      </c>
      <c r="Q294" s="425" t="s">
        <v>165</v>
      </c>
      <c r="R294" s="437">
        <v>160000</v>
      </c>
      <c r="S294" s="274">
        <f t="shared" si="36"/>
        <v>27000</v>
      </c>
      <c r="T294" s="439" t="s">
        <v>538</v>
      </c>
      <c r="U294" s="460" t="str">
        <f t="shared" si="37"/>
        <v/>
      </c>
      <c r="V294" s="439" t="s">
        <v>539</v>
      </c>
      <c r="W294" s="439" t="s">
        <v>540</v>
      </c>
      <c r="X294" s="439" t="s">
        <v>490</v>
      </c>
      <c r="Y294" s="439" t="str">
        <f t="shared" si="40"/>
        <v>PAPER CLIP  Paper Clip No 1</v>
      </c>
      <c r="Z294" s="449" t="s">
        <v>280</v>
      </c>
      <c r="AA294" s="440" t="s">
        <v>231</v>
      </c>
      <c r="AB294" s="441">
        <f t="shared" si="38"/>
        <v>22522.522522522522</v>
      </c>
      <c r="AC294" s="442">
        <f t="shared" si="39"/>
        <v>22522.522522522522</v>
      </c>
      <c r="AD294" s="437">
        <v>160000</v>
      </c>
      <c r="AE294" s="447">
        <v>207207.20720720722</v>
      </c>
      <c r="AF294" s="447">
        <v>230000</v>
      </c>
      <c r="AG294" s="437">
        <v>160000</v>
      </c>
      <c r="AH294" s="271" t="s">
        <v>2098</v>
      </c>
    </row>
    <row r="295" spans="1:36">
      <c r="A295" s="350">
        <v>119</v>
      </c>
      <c r="B295" s="352" t="s">
        <v>915</v>
      </c>
      <c r="C295" s="352" t="s">
        <v>704</v>
      </c>
      <c r="D295" s="355" t="s">
        <v>705</v>
      </c>
      <c r="E295" s="376" t="s">
        <v>916</v>
      </c>
      <c r="F295" s="361">
        <v>45018</v>
      </c>
      <c r="G295" s="361">
        <v>45018</v>
      </c>
      <c r="H295" s="361">
        <v>45018</v>
      </c>
      <c r="I295" s="394">
        <v>45037</v>
      </c>
      <c r="J295" s="387" t="s">
        <v>259</v>
      </c>
      <c r="K295" s="436" t="s">
        <v>752</v>
      </c>
      <c r="L295" s="408">
        <v>1</v>
      </c>
      <c r="M295" s="352" t="s">
        <v>753</v>
      </c>
      <c r="N295" s="409">
        <v>35000</v>
      </c>
      <c r="O295" s="404">
        <v>35000</v>
      </c>
      <c r="P295" s="421">
        <v>4</v>
      </c>
      <c r="Q295" s="425" t="s">
        <v>164</v>
      </c>
      <c r="R295" s="437">
        <v>350000</v>
      </c>
      <c r="S295" s="274">
        <f t="shared" si="36"/>
        <v>37000</v>
      </c>
      <c r="T295" s="439" t="s">
        <v>538</v>
      </c>
      <c r="U295" s="460" t="str">
        <f t="shared" si="37"/>
        <v/>
      </c>
      <c r="V295" s="439" t="s">
        <v>539</v>
      </c>
      <c r="W295" s="439" t="s">
        <v>540</v>
      </c>
      <c r="X295" s="439" t="s">
        <v>474</v>
      </c>
      <c r="Y295" s="439" t="str">
        <f t="shared" si="40"/>
        <v>Plastik Mika</v>
      </c>
      <c r="Z295" s="449" t="s">
        <v>1545</v>
      </c>
      <c r="AA295" s="440" t="s">
        <v>472</v>
      </c>
      <c r="AB295" s="441">
        <f t="shared" si="38"/>
        <v>31531.531531531531</v>
      </c>
      <c r="AC295" s="442">
        <f t="shared" si="39"/>
        <v>31531.531531531531</v>
      </c>
      <c r="AD295" s="437">
        <v>350000</v>
      </c>
      <c r="AE295" s="447">
        <v>315315.31531531533</v>
      </c>
      <c r="AF295" s="447">
        <v>350000</v>
      </c>
      <c r="AG295" s="437">
        <v>350000</v>
      </c>
      <c r="AH295" s="271" t="s">
        <v>2098</v>
      </c>
      <c r="AI295" s="277"/>
      <c r="AJ295" s="277"/>
    </row>
    <row r="296" spans="1:36">
      <c r="A296" s="350">
        <v>119</v>
      </c>
      <c r="B296" s="352" t="s">
        <v>915</v>
      </c>
      <c r="C296" s="352" t="s">
        <v>704</v>
      </c>
      <c r="D296" s="355" t="s">
        <v>705</v>
      </c>
      <c r="E296" s="376" t="s">
        <v>916</v>
      </c>
      <c r="F296" s="361">
        <v>45018</v>
      </c>
      <c r="G296" s="361">
        <v>45018</v>
      </c>
      <c r="H296" s="361">
        <v>45018</v>
      </c>
      <c r="I296" s="394">
        <v>45037</v>
      </c>
      <c r="J296" s="387" t="s">
        <v>235</v>
      </c>
      <c r="K296" s="388" t="s">
        <v>884</v>
      </c>
      <c r="L296" s="408">
        <v>1</v>
      </c>
      <c r="M296" s="352" t="s">
        <v>488</v>
      </c>
      <c r="N296" s="409">
        <v>17000</v>
      </c>
      <c r="O296" s="404">
        <v>17000</v>
      </c>
      <c r="P296" s="421">
        <v>4</v>
      </c>
      <c r="Q296" s="427" t="s">
        <v>163</v>
      </c>
      <c r="R296" s="437">
        <v>400000</v>
      </c>
      <c r="S296" s="274">
        <f t="shared" si="36"/>
        <v>19000</v>
      </c>
      <c r="T296" s="439" t="s">
        <v>538</v>
      </c>
      <c r="U296" s="460" t="str">
        <f t="shared" si="37"/>
        <v/>
      </c>
      <c r="V296" s="439" t="s">
        <v>539</v>
      </c>
      <c r="W296" s="439" t="s">
        <v>540</v>
      </c>
      <c r="X296" s="439" t="s">
        <v>474</v>
      </c>
      <c r="Y296" s="439" t="str">
        <f t="shared" si="40"/>
        <v>Bantalan Cap Besar</v>
      </c>
      <c r="Z296" s="449" t="s">
        <v>1545</v>
      </c>
      <c r="AA296" s="440" t="s">
        <v>488</v>
      </c>
      <c r="AB296" s="441">
        <f t="shared" si="38"/>
        <v>15315.315315315316</v>
      </c>
      <c r="AC296" s="442">
        <f t="shared" si="39"/>
        <v>15315.315315315316</v>
      </c>
      <c r="AD296" s="437">
        <v>400000</v>
      </c>
      <c r="AE296" s="447">
        <v>2630630.6306306301</v>
      </c>
      <c r="AF296" s="447">
        <v>2920000</v>
      </c>
      <c r="AG296" s="437">
        <v>400000</v>
      </c>
      <c r="AH296" s="271" t="s">
        <v>2098</v>
      </c>
      <c r="AI296" s="277">
        <f>SUM(AC296:AC298)</f>
        <v>344144.14414414414</v>
      </c>
      <c r="AJ296" s="282">
        <f>SUM(AD296:AD298)</f>
        <v>2920000</v>
      </c>
    </row>
    <row r="297" spans="1:36" ht="25">
      <c r="A297" s="350">
        <v>119</v>
      </c>
      <c r="B297" s="352" t="s">
        <v>915</v>
      </c>
      <c r="C297" s="352" t="s">
        <v>704</v>
      </c>
      <c r="D297" s="355" t="s">
        <v>705</v>
      </c>
      <c r="E297" s="376" t="s">
        <v>916</v>
      </c>
      <c r="F297" s="361">
        <v>45018</v>
      </c>
      <c r="G297" s="361">
        <v>45018</v>
      </c>
      <c r="H297" s="361">
        <v>45018</v>
      </c>
      <c r="I297" s="394">
        <v>45037</v>
      </c>
      <c r="J297" s="387" t="s">
        <v>733</v>
      </c>
      <c r="K297" s="388" t="s">
        <v>734</v>
      </c>
      <c r="L297" s="793">
        <v>5</v>
      </c>
      <c r="M297" s="352" t="s">
        <v>735</v>
      </c>
      <c r="N297" s="409">
        <v>54000</v>
      </c>
      <c r="O297" s="404">
        <v>270000</v>
      </c>
      <c r="P297" s="421">
        <v>4</v>
      </c>
      <c r="Q297" s="425" t="s">
        <v>165</v>
      </c>
      <c r="R297" s="437">
        <v>1680000</v>
      </c>
      <c r="S297" s="274">
        <f t="shared" si="36"/>
        <v>280000</v>
      </c>
      <c r="T297" s="439" t="s">
        <v>538</v>
      </c>
      <c r="U297" s="460" t="str">
        <f t="shared" si="37"/>
        <v/>
      </c>
      <c r="V297" s="439" t="s">
        <v>539</v>
      </c>
      <c r="W297" s="439" t="s">
        <v>540</v>
      </c>
      <c r="X297" s="439" t="s">
        <v>490</v>
      </c>
      <c r="Y297" s="439" t="str">
        <f t="shared" si="40"/>
        <v>Kertas HVS 60 gram Merk : GOLD Ukuran F4</v>
      </c>
      <c r="Z297" s="449" t="s">
        <v>280</v>
      </c>
      <c r="AA297" s="440" t="s">
        <v>472</v>
      </c>
      <c r="AB297" s="441">
        <f t="shared" si="38"/>
        <v>48648.648648648646</v>
      </c>
      <c r="AC297" s="442">
        <f>AB297*L297</f>
        <v>243243.24324324323</v>
      </c>
      <c r="AD297" s="437">
        <v>1680000</v>
      </c>
      <c r="AE297" s="447">
        <v>2630630.6306306301</v>
      </c>
      <c r="AF297" s="447">
        <v>2920000</v>
      </c>
      <c r="AG297" s="437">
        <v>1680000</v>
      </c>
      <c r="AH297" s="271" t="s">
        <v>2098</v>
      </c>
    </row>
    <row r="298" spans="1:36" ht="25">
      <c r="A298" s="350">
        <v>119</v>
      </c>
      <c r="B298" s="352" t="s">
        <v>915</v>
      </c>
      <c r="C298" s="352" t="s">
        <v>704</v>
      </c>
      <c r="D298" s="355" t="s">
        <v>705</v>
      </c>
      <c r="E298" s="376" t="s">
        <v>916</v>
      </c>
      <c r="F298" s="361">
        <v>45018</v>
      </c>
      <c r="G298" s="361">
        <v>45018</v>
      </c>
      <c r="H298" s="361">
        <v>45018</v>
      </c>
      <c r="I298" s="394">
        <v>45037</v>
      </c>
      <c r="J298" s="387" t="s">
        <v>243</v>
      </c>
      <c r="K298" s="387" t="s">
        <v>243</v>
      </c>
      <c r="L298" s="793">
        <v>1</v>
      </c>
      <c r="M298" s="352" t="s">
        <v>551</v>
      </c>
      <c r="N298" s="409">
        <v>95000</v>
      </c>
      <c r="O298" s="404">
        <v>95000</v>
      </c>
      <c r="P298" s="421">
        <v>4</v>
      </c>
      <c r="Q298" s="425" t="s">
        <v>164</v>
      </c>
      <c r="R298" s="437">
        <v>840000</v>
      </c>
      <c r="S298" s="274">
        <f t="shared" si="36"/>
        <v>97000</v>
      </c>
      <c r="T298" s="439" t="s">
        <v>538</v>
      </c>
      <c r="U298" s="460" t="str">
        <f t="shared" si="37"/>
        <v/>
      </c>
      <c r="V298" s="439" t="s">
        <v>539</v>
      </c>
      <c r="W298" s="439" t="s">
        <v>540</v>
      </c>
      <c r="X298" s="439" t="s">
        <v>474</v>
      </c>
      <c r="Y298" s="439" t="str">
        <f t="shared" si="40"/>
        <v>C. Tinta Printer EPSON Tinta Printer Epson Blue</v>
      </c>
      <c r="Z298" s="449" t="s">
        <v>1545</v>
      </c>
      <c r="AA298" s="440" t="s">
        <v>587</v>
      </c>
      <c r="AB298" s="441">
        <f t="shared" si="38"/>
        <v>85585.585585585592</v>
      </c>
      <c r="AC298" s="442">
        <f t="shared" si="39"/>
        <v>85585.585585585592</v>
      </c>
      <c r="AD298" s="437">
        <v>840000</v>
      </c>
      <c r="AE298" s="447">
        <v>2630630.6306306301</v>
      </c>
      <c r="AF298" s="447">
        <v>2920000</v>
      </c>
      <c r="AG298" s="437">
        <v>840000</v>
      </c>
      <c r="AH298" s="271" t="s">
        <v>2098</v>
      </c>
    </row>
    <row r="299" spans="1:36" ht="15.5">
      <c r="A299" s="350">
        <v>120</v>
      </c>
      <c r="B299" s="352" t="s">
        <v>963</v>
      </c>
      <c r="C299" s="352" t="s">
        <v>818</v>
      </c>
      <c r="D299" s="355" t="s">
        <v>571</v>
      </c>
      <c r="E299" s="377">
        <v>45023</v>
      </c>
      <c r="F299" s="363" t="s">
        <v>964</v>
      </c>
      <c r="G299" s="361">
        <v>45024</v>
      </c>
      <c r="H299" s="361">
        <v>45024</v>
      </c>
      <c r="I299" s="394">
        <v>45044</v>
      </c>
      <c r="J299" s="387" t="s">
        <v>9</v>
      </c>
      <c r="K299" s="352" t="s">
        <v>819</v>
      </c>
      <c r="L299" s="408">
        <v>15882</v>
      </c>
      <c r="M299" s="352" t="s">
        <v>574</v>
      </c>
      <c r="N299" s="410">
        <v>300</v>
      </c>
      <c r="O299" s="404">
        <v>4764600</v>
      </c>
      <c r="P299" s="421">
        <v>4</v>
      </c>
      <c r="Q299" s="426" t="s">
        <v>81</v>
      </c>
      <c r="R299" s="437">
        <v>700000</v>
      </c>
      <c r="S299" s="274">
        <f t="shared" si="36"/>
        <v>36528600</v>
      </c>
      <c r="T299" s="439" t="s">
        <v>538</v>
      </c>
      <c r="U299" s="460" t="str">
        <f t="shared" si="37"/>
        <v/>
      </c>
      <c r="V299" s="439" t="s">
        <v>539</v>
      </c>
      <c r="W299" s="439" t="s">
        <v>540</v>
      </c>
      <c r="X299" s="439" t="s">
        <v>468</v>
      </c>
      <c r="Y299" s="439" t="str">
        <f t="shared" si="40"/>
        <v>Foto Copy Filio dan Kuarto</v>
      </c>
      <c r="Z299" s="449" t="s">
        <v>8</v>
      </c>
      <c r="AA299" s="440" t="s">
        <v>472</v>
      </c>
      <c r="AB299" s="441">
        <f t="shared" si="38"/>
        <v>270.27027027027026</v>
      </c>
      <c r="AC299" s="442">
        <f t="shared" si="39"/>
        <v>4292432.4324324327</v>
      </c>
      <c r="AD299" s="437">
        <v>700000</v>
      </c>
      <c r="AE299" s="447">
        <v>630630.63063063065</v>
      </c>
      <c r="AF299" s="447">
        <v>700000</v>
      </c>
      <c r="AG299" s="437">
        <v>700000</v>
      </c>
      <c r="AH299" s="271" t="s">
        <v>2098</v>
      </c>
    </row>
    <row r="300" spans="1:36">
      <c r="A300" s="350">
        <v>121</v>
      </c>
      <c r="B300" s="352" t="s">
        <v>996</v>
      </c>
      <c r="C300" s="352" t="s">
        <v>570</v>
      </c>
      <c r="D300" s="355" t="s">
        <v>571</v>
      </c>
      <c r="E300" s="377">
        <f>F300-1</f>
        <v>45020</v>
      </c>
      <c r="F300" s="361">
        <v>45021</v>
      </c>
      <c r="G300" s="361">
        <v>45036</v>
      </c>
      <c r="H300" s="361">
        <v>45036</v>
      </c>
      <c r="I300" s="394">
        <v>45044</v>
      </c>
      <c r="J300" s="387" t="s">
        <v>9</v>
      </c>
      <c r="K300" s="352" t="s">
        <v>573</v>
      </c>
      <c r="L300" s="408">
        <v>3500</v>
      </c>
      <c r="M300" s="352" t="s">
        <v>574</v>
      </c>
      <c r="N300" s="410">
        <v>300</v>
      </c>
      <c r="O300" s="404">
        <v>1050000</v>
      </c>
      <c r="P300" s="421">
        <v>4</v>
      </c>
      <c r="Q300" s="275"/>
      <c r="R300" s="437">
        <v>360000</v>
      </c>
      <c r="S300" s="274">
        <f t="shared" si="36"/>
        <v>8050000</v>
      </c>
      <c r="T300" s="439" t="s">
        <v>538</v>
      </c>
      <c r="U300" s="460" t="str">
        <f t="shared" si="37"/>
        <v/>
      </c>
      <c r="V300" s="439" t="s">
        <v>539</v>
      </c>
      <c r="W300" s="439" t="s">
        <v>540</v>
      </c>
      <c r="X300" s="439"/>
      <c r="Y300" s="439" t="str">
        <f t="shared" si="40"/>
        <v>Foto Copy Filio dan Kuarto</v>
      </c>
      <c r="Z300" s="449" t="s">
        <v>1555</v>
      </c>
      <c r="AA300" s="440" t="s">
        <v>587</v>
      </c>
      <c r="AB300" s="441">
        <f t="shared" si="38"/>
        <v>270.27027027027026</v>
      </c>
      <c r="AC300" s="442">
        <f t="shared" si="39"/>
        <v>945945.94594594592</v>
      </c>
      <c r="AD300" s="437">
        <v>360000</v>
      </c>
      <c r="AE300" s="447">
        <v>324324.32432432432</v>
      </c>
      <c r="AF300" s="447">
        <v>360000</v>
      </c>
      <c r="AG300" s="437">
        <v>360000</v>
      </c>
      <c r="AH300" s="271" t="s">
        <v>2098</v>
      </c>
    </row>
    <row r="301" spans="1:36">
      <c r="A301" s="350">
        <v>123</v>
      </c>
      <c r="B301" s="352" t="s">
        <v>927</v>
      </c>
      <c r="C301" s="352" t="s">
        <v>532</v>
      </c>
      <c r="D301" s="355" t="s">
        <v>533</v>
      </c>
      <c r="E301" s="376" t="s">
        <v>928</v>
      </c>
      <c r="F301" s="361">
        <v>45021</v>
      </c>
      <c r="G301" s="361">
        <v>45021</v>
      </c>
      <c r="H301" s="361">
        <v>45021</v>
      </c>
      <c r="I301" s="394">
        <v>45037</v>
      </c>
      <c r="J301" s="387" t="s">
        <v>669</v>
      </c>
      <c r="K301" s="352" t="s">
        <v>536</v>
      </c>
      <c r="L301" s="408">
        <v>20</v>
      </c>
      <c r="M301" s="352" t="s">
        <v>488</v>
      </c>
      <c r="N301" s="409">
        <v>12000</v>
      </c>
      <c r="O301" s="404">
        <v>240000</v>
      </c>
      <c r="P301" s="421">
        <v>4</v>
      </c>
      <c r="Q301" s="275"/>
      <c r="R301" s="437">
        <v>600000</v>
      </c>
      <c r="S301" s="274">
        <f t="shared" si="36"/>
        <v>280000</v>
      </c>
      <c r="T301" s="439" t="s">
        <v>538</v>
      </c>
      <c r="U301" s="460" t="str">
        <f t="shared" si="37"/>
        <v/>
      </c>
      <c r="V301" s="439" t="s">
        <v>539</v>
      </c>
      <c r="W301" s="439" t="s">
        <v>540</v>
      </c>
      <c r="X301" s="439"/>
      <c r="Y301" s="439" t="s">
        <v>1024</v>
      </c>
      <c r="Z301" s="449" t="s">
        <v>1024</v>
      </c>
      <c r="AA301" s="440" t="s">
        <v>574</v>
      </c>
      <c r="AB301" s="441">
        <f t="shared" si="38"/>
        <v>10810.810810810812</v>
      </c>
      <c r="AC301" s="442">
        <f t="shared" si="39"/>
        <v>216216.21621621624</v>
      </c>
      <c r="AD301" s="437">
        <v>600000</v>
      </c>
      <c r="AE301" s="447">
        <v>540540.54054054059</v>
      </c>
      <c r="AF301" s="447">
        <v>600000</v>
      </c>
      <c r="AG301" s="437">
        <v>600000</v>
      </c>
      <c r="AH301" s="271" t="s">
        <v>2098</v>
      </c>
    </row>
    <row r="302" spans="1:36">
      <c r="A302" s="350">
        <v>123</v>
      </c>
      <c r="B302" s="352" t="s">
        <v>927</v>
      </c>
      <c r="C302" s="352" t="s">
        <v>532</v>
      </c>
      <c r="D302" s="355" t="s">
        <v>533</v>
      </c>
      <c r="E302" s="377">
        <v>45020</v>
      </c>
      <c r="F302" s="361">
        <v>45021</v>
      </c>
      <c r="G302" s="361">
        <v>45021</v>
      </c>
      <c r="H302" s="361">
        <v>45021</v>
      </c>
      <c r="I302" s="394">
        <v>45037</v>
      </c>
      <c r="J302" s="387" t="s">
        <v>276</v>
      </c>
      <c r="K302" s="352" t="s">
        <v>276</v>
      </c>
      <c r="L302" s="408">
        <v>5</v>
      </c>
      <c r="M302" s="352" t="s">
        <v>551</v>
      </c>
      <c r="N302" s="409">
        <v>18000</v>
      </c>
      <c r="O302" s="404">
        <v>90000</v>
      </c>
      <c r="P302" s="421">
        <v>4</v>
      </c>
      <c r="Q302" s="275"/>
      <c r="R302" s="437">
        <v>1000000</v>
      </c>
      <c r="S302" s="274">
        <f t="shared" si="36"/>
        <v>100000</v>
      </c>
      <c r="T302" s="439" t="s">
        <v>538</v>
      </c>
      <c r="U302" s="460" t="str">
        <f t="shared" si="37"/>
        <v/>
      </c>
      <c r="V302" s="439" t="s">
        <v>539</v>
      </c>
      <c r="W302" s="439" t="s">
        <v>540</v>
      </c>
      <c r="X302" s="439"/>
      <c r="Y302" s="439" t="str">
        <f>J302</f>
        <v>vixal 500ml</v>
      </c>
      <c r="Z302" s="449" t="s">
        <v>1558</v>
      </c>
      <c r="AA302" s="421"/>
      <c r="AB302" s="441">
        <f t="shared" si="38"/>
        <v>16216.216216216217</v>
      </c>
      <c r="AC302" s="442">
        <f t="shared" si="39"/>
        <v>81081.08108108108</v>
      </c>
      <c r="AD302" s="437">
        <v>1000000</v>
      </c>
      <c r="AE302" s="447">
        <v>900900.90090090083</v>
      </c>
      <c r="AF302" s="447">
        <v>1000000</v>
      </c>
      <c r="AG302" s="437">
        <v>1000000</v>
      </c>
      <c r="AH302" s="271" t="s">
        <v>2098</v>
      </c>
      <c r="AI302" s="277">
        <f>SUM(AC302:AC303)</f>
        <v>981981.98198198201</v>
      </c>
    </row>
    <row r="303" spans="1:36">
      <c r="A303" s="350">
        <v>128</v>
      </c>
      <c r="B303" s="352" t="s">
        <v>929</v>
      </c>
      <c r="C303" s="352" t="s">
        <v>795</v>
      </c>
      <c r="D303" s="355" t="s">
        <v>796</v>
      </c>
      <c r="E303" s="377">
        <f>F303-1</f>
        <v>45023</v>
      </c>
      <c r="F303" s="361">
        <v>45024</v>
      </c>
      <c r="G303" s="361">
        <v>45021</v>
      </c>
      <c r="H303" s="361">
        <v>45021</v>
      </c>
      <c r="I303" s="394">
        <v>45037</v>
      </c>
      <c r="J303" s="387" t="s">
        <v>930</v>
      </c>
      <c r="K303" s="352" t="s">
        <v>931</v>
      </c>
      <c r="L303" s="408">
        <v>2</v>
      </c>
      <c r="M303" s="352" t="s">
        <v>756</v>
      </c>
      <c r="N303" s="409">
        <v>500000</v>
      </c>
      <c r="O303" s="404">
        <v>1000000</v>
      </c>
      <c r="P303" s="421">
        <v>5</v>
      </c>
      <c r="Q303" s="275"/>
      <c r="R303" s="437">
        <v>46800000</v>
      </c>
      <c r="S303" s="274">
        <f t="shared" si="36"/>
        <v>1004000</v>
      </c>
      <c r="T303" s="439" t="s">
        <v>12</v>
      </c>
      <c r="U303" s="460" t="str">
        <f t="shared" si="37"/>
        <v/>
      </c>
      <c r="V303" s="599" t="s">
        <v>13</v>
      </c>
      <c r="W303" s="439" t="s">
        <v>804</v>
      </c>
      <c r="X303" s="439"/>
      <c r="Y303" s="439" t="str">
        <f>J303</f>
        <v>Kabel Listrik</v>
      </c>
      <c r="Z303" s="449"/>
      <c r="AA303" s="421"/>
      <c r="AB303" s="441">
        <f t="shared" si="38"/>
        <v>450450.45045045047</v>
      </c>
      <c r="AC303" s="442">
        <f t="shared" si="39"/>
        <v>900900.90090090095</v>
      </c>
      <c r="AD303" s="437">
        <v>46800000</v>
      </c>
      <c r="AE303" s="447">
        <v>42162162.162162162</v>
      </c>
      <c r="AF303" s="447">
        <v>46800000</v>
      </c>
      <c r="AG303" s="437">
        <v>46800000</v>
      </c>
      <c r="AH303" s="271" t="s">
        <v>2099</v>
      </c>
    </row>
    <row r="304" spans="1:36">
      <c r="A304" s="350">
        <v>129</v>
      </c>
      <c r="B304" s="352" t="s">
        <v>946</v>
      </c>
      <c r="C304" s="352" t="s">
        <v>504</v>
      </c>
      <c r="D304" s="355" t="s">
        <v>801</v>
      </c>
      <c r="E304" s="377">
        <v>45023</v>
      </c>
      <c r="F304" s="361">
        <v>45024</v>
      </c>
      <c r="G304" s="361">
        <v>45024</v>
      </c>
      <c r="H304" s="361">
        <v>45024</v>
      </c>
      <c r="I304" s="394">
        <v>45044</v>
      </c>
      <c r="J304" s="387" t="s">
        <v>947</v>
      </c>
      <c r="K304" s="388" t="s">
        <v>948</v>
      </c>
      <c r="L304" s="408">
        <v>2</v>
      </c>
      <c r="M304" s="352" t="s">
        <v>774</v>
      </c>
      <c r="N304" s="409">
        <v>300000</v>
      </c>
      <c r="O304" s="404">
        <v>600000</v>
      </c>
      <c r="P304" s="421">
        <v>5</v>
      </c>
      <c r="Q304" s="429" t="s">
        <v>131</v>
      </c>
      <c r="R304" s="437">
        <v>21000</v>
      </c>
      <c r="S304" s="274">
        <f t="shared" si="36"/>
        <v>604000</v>
      </c>
      <c r="T304" s="439" t="s">
        <v>12</v>
      </c>
      <c r="U304" s="460" t="str">
        <f t="shared" si="37"/>
        <v/>
      </c>
      <c r="V304" s="599" t="s">
        <v>13</v>
      </c>
      <c r="W304" s="439" t="s">
        <v>804</v>
      </c>
      <c r="X304" s="445" t="s">
        <v>541</v>
      </c>
      <c r="Y304" s="439" t="s">
        <v>710</v>
      </c>
      <c r="Z304" s="449" t="s">
        <v>710</v>
      </c>
      <c r="AA304" s="440" t="s">
        <v>551</v>
      </c>
      <c r="AB304" s="441">
        <f t="shared" si="38"/>
        <v>270270.2702702703</v>
      </c>
      <c r="AC304" s="442">
        <f t="shared" si="39"/>
        <v>540540.54054054059</v>
      </c>
      <c r="AD304" s="437">
        <v>21000</v>
      </c>
      <c r="AE304" s="447">
        <v>3185585.5855855853</v>
      </c>
      <c r="AF304" s="447">
        <v>3536000</v>
      </c>
      <c r="AG304" s="437">
        <v>21000</v>
      </c>
      <c r="AH304" s="271" t="s">
        <v>2099</v>
      </c>
      <c r="AI304" s="277">
        <f>SUM(AC304:AC339)</f>
        <v>56910810.810810812</v>
      </c>
      <c r="AJ304" s="277">
        <f>SUM(AD304:AD339)</f>
        <v>3536000</v>
      </c>
    </row>
    <row r="305" spans="1:34">
      <c r="A305" s="350">
        <v>129</v>
      </c>
      <c r="B305" s="352" t="s">
        <v>946</v>
      </c>
      <c r="C305" s="352" t="s">
        <v>504</v>
      </c>
      <c r="D305" s="355" t="s">
        <v>801</v>
      </c>
      <c r="E305" s="377">
        <v>45023</v>
      </c>
      <c r="F305" s="361">
        <v>45024</v>
      </c>
      <c r="G305" s="361">
        <v>45024</v>
      </c>
      <c r="H305" s="361">
        <v>45024</v>
      </c>
      <c r="I305" s="394">
        <v>45044</v>
      </c>
      <c r="J305" s="387" t="s">
        <v>949</v>
      </c>
      <c r="K305" s="388" t="s">
        <v>950</v>
      </c>
      <c r="L305" s="408">
        <v>2</v>
      </c>
      <c r="M305" s="352" t="s">
        <v>774</v>
      </c>
      <c r="N305" s="409">
        <v>334000</v>
      </c>
      <c r="O305" s="404">
        <v>668000</v>
      </c>
      <c r="P305" s="421">
        <v>5</v>
      </c>
      <c r="Q305" s="429" t="s">
        <v>161</v>
      </c>
      <c r="R305" s="437">
        <v>30000</v>
      </c>
      <c r="S305" s="274">
        <f t="shared" si="36"/>
        <v>672000</v>
      </c>
      <c r="T305" s="439" t="s">
        <v>12</v>
      </c>
      <c r="U305" s="460" t="str">
        <f t="shared" si="37"/>
        <v/>
      </c>
      <c r="V305" s="599" t="s">
        <v>13</v>
      </c>
      <c r="W305" s="439" t="s">
        <v>804</v>
      </c>
      <c r="X305" s="445" t="s">
        <v>541</v>
      </c>
      <c r="Y305" s="439" t="s">
        <v>710</v>
      </c>
      <c r="Z305" s="449" t="s">
        <v>710</v>
      </c>
      <c r="AA305" s="440" t="s">
        <v>772</v>
      </c>
      <c r="AB305" s="441">
        <f t="shared" si="38"/>
        <v>300900.90090090089</v>
      </c>
      <c r="AC305" s="442">
        <f t="shared" si="39"/>
        <v>601801.80180180178</v>
      </c>
      <c r="AD305" s="437">
        <v>30000</v>
      </c>
      <c r="AE305" s="447">
        <v>3185585.5855855853</v>
      </c>
      <c r="AF305" s="447">
        <v>3536000</v>
      </c>
      <c r="AG305" s="437">
        <v>30000</v>
      </c>
      <c r="AH305" s="271" t="s">
        <v>2099</v>
      </c>
    </row>
    <row r="306" spans="1:34">
      <c r="A306" s="350">
        <v>129</v>
      </c>
      <c r="B306" s="352" t="s">
        <v>946</v>
      </c>
      <c r="C306" s="352" t="s">
        <v>504</v>
      </c>
      <c r="D306" s="355" t="s">
        <v>801</v>
      </c>
      <c r="E306" s="377">
        <v>45023</v>
      </c>
      <c r="F306" s="361">
        <v>45024</v>
      </c>
      <c r="G306" s="361">
        <v>45024</v>
      </c>
      <c r="H306" s="361">
        <v>45024</v>
      </c>
      <c r="I306" s="394">
        <v>45044</v>
      </c>
      <c r="J306" s="387" t="s">
        <v>951</v>
      </c>
      <c r="K306" s="388" t="s">
        <v>952</v>
      </c>
      <c r="L306" s="408">
        <v>1</v>
      </c>
      <c r="M306" s="352" t="s">
        <v>792</v>
      </c>
      <c r="N306" s="409">
        <v>173000</v>
      </c>
      <c r="O306" s="404">
        <v>173000</v>
      </c>
      <c r="P306" s="421">
        <v>5</v>
      </c>
      <c r="Q306" s="429" t="s">
        <v>106</v>
      </c>
      <c r="R306" s="437">
        <v>260000</v>
      </c>
      <c r="S306" s="274">
        <f t="shared" si="36"/>
        <v>175000</v>
      </c>
      <c r="T306" s="439" t="s">
        <v>12</v>
      </c>
      <c r="U306" s="460" t="str">
        <f t="shared" si="37"/>
        <v/>
      </c>
      <c r="V306" s="599" t="s">
        <v>13</v>
      </c>
      <c r="W306" s="439" t="s">
        <v>804</v>
      </c>
      <c r="X306" s="445" t="s">
        <v>541</v>
      </c>
      <c r="Y306" s="439" t="s">
        <v>710</v>
      </c>
      <c r="Z306" s="449" t="s">
        <v>710</v>
      </c>
      <c r="AA306" s="440" t="s">
        <v>597</v>
      </c>
      <c r="AB306" s="441">
        <f t="shared" si="38"/>
        <v>155855.85585585586</v>
      </c>
      <c r="AC306" s="442">
        <f t="shared" si="39"/>
        <v>155855.85585585586</v>
      </c>
      <c r="AD306" s="437">
        <v>260000</v>
      </c>
      <c r="AE306" s="447">
        <v>3185585.5855855853</v>
      </c>
      <c r="AF306" s="447">
        <v>3536000</v>
      </c>
      <c r="AG306" s="437">
        <v>260000</v>
      </c>
      <c r="AH306" s="271" t="s">
        <v>2099</v>
      </c>
    </row>
    <row r="307" spans="1:34">
      <c r="A307" s="350">
        <v>129</v>
      </c>
      <c r="B307" s="352" t="s">
        <v>946</v>
      </c>
      <c r="C307" s="352" t="s">
        <v>504</v>
      </c>
      <c r="D307" s="355" t="s">
        <v>801</v>
      </c>
      <c r="E307" s="377">
        <v>45023</v>
      </c>
      <c r="F307" s="361">
        <v>45024</v>
      </c>
      <c r="G307" s="361">
        <v>45024</v>
      </c>
      <c r="H307" s="361">
        <v>45024</v>
      </c>
      <c r="I307" s="394">
        <v>45044</v>
      </c>
      <c r="J307" s="387" t="s">
        <v>953</v>
      </c>
      <c r="K307" s="352" t="s">
        <v>954</v>
      </c>
      <c r="L307" s="408">
        <v>3</v>
      </c>
      <c r="M307" s="352" t="s">
        <v>231</v>
      </c>
      <c r="N307" s="409">
        <v>124000</v>
      </c>
      <c r="O307" s="404">
        <v>372000</v>
      </c>
      <c r="P307" s="421">
        <v>5</v>
      </c>
      <c r="Q307" s="429" t="s">
        <v>110</v>
      </c>
      <c r="R307" s="437">
        <v>16500</v>
      </c>
      <c r="S307" s="274">
        <f t="shared" si="36"/>
        <v>378000</v>
      </c>
      <c r="T307" s="439" t="s">
        <v>12</v>
      </c>
      <c r="U307" s="460" t="str">
        <f t="shared" si="37"/>
        <v/>
      </c>
      <c r="V307" s="599" t="s">
        <v>13</v>
      </c>
      <c r="W307" s="439" t="s">
        <v>804</v>
      </c>
      <c r="X307" s="445" t="s">
        <v>541</v>
      </c>
      <c r="Y307" s="439" t="s">
        <v>710</v>
      </c>
      <c r="Z307" s="449" t="s">
        <v>710</v>
      </c>
      <c r="AA307" s="440" t="s">
        <v>753</v>
      </c>
      <c r="AB307" s="441">
        <f t="shared" si="38"/>
        <v>111711.71171171172</v>
      </c>
      <c r="AC307" s="442">
        <f t="shared" si="39"/>
        <v>335135.13513513515</v>
      </c>
      <c r="AD307" s="437">
        <v>16500</v>
      </c>
      <c r="AE307" s="447">
        <v>3185585.5855855853</v>
      </c>
      <c r="AF307" s="447">
        <v>3536000</v>
      </c>
      <c r="AG307" s="437">
        <v>16500</v>
      </c>
      <c r="AH307" s="271" t="s">
        <v>2099</v>
      </c>
    </row>
    <row r="308" spans="1:34">
      <c r="A308" s="350">
        <v>129</v>
      </c>
      <c r="B308" s="352" t="s">
        <v>946</v>
      </c>
      <c r="C308" s="352" t="s">
        <v>504</v>
      </c>
      <c r="D308" s="355" t="s">
        <v>801</v>
      </c>
      <c r="E308" s="377">
        <v>45023</v>
      </c>
      <c r="F308" s="361">
        <v>45024</v>
      </c>
      <c r="G308" s="361">
        <v>45024</v>
      </c>
      <c r="H308" s="361">
        <v>45024</v>
      </c>
      <c r="I308" s="394">
        <v>45044</v>
      </c>
      <c r="J308" s="387" t="s">
        <v>955</v>
      </c>
      <c r="K308" s="352" t="s">
        <v>956</v>
      </c>
      <c r="L308" s="408">
        <v>2</v>
      </c>
      <c r="M308" s="352" t="s">
        <v>488</v>
      </c>
      <c r="N308" s="409">
        <v>450000</v>
      </c>
      <c r="O308" s="404">
        <v>900000</v>
      </c>
      <c r="P308" s="421">
        <v>5</v>
      </c>
      <c r="Q308" s="429" t="s">
        <v>156</v>
      </c>
      <c r="R308" s="437">
        <v>60000</v>
      </c>
      <c r="S308" s="274">
        <f t="shared" si="36"/>
        <v>904000</v>
      </c>
      <c r="T308" s="439" t="s">
        <v>12</v>
      </c>
      <c r="U308" s="460" t="str">
        <f t="shared" si="37"/>
        <v/>
      </c>
      <c r="V308" s="599" t="s">
        <v>13</v>
      </c>
      <c r="W308" s="439" t="s">
        <v>804</v>
      </c>
      <c r="X308" s="445" t="s">
        <v>541</v>
      </c>
      <c r="Y308" s="439" t="s">
        <v>710</v>
      </c>
      <c r="Z308" s="449" t="s">
        <v>710</v>
      </c>
      <c r="AA308" s="440" t="s">
        <v>753</v>
      </c>
      <c r="AB308" s="441">
        <f t="shared" si="38"/>
        <v>405405.40540540538</v>
      </c>
      <c r="AC308" s="442">
        <f t="shared" si="39"/>
        <v>810810.81081081077</v>
      </c>
      <c r="AD308" s="437">
        <v>60000</v>
      </c>
      <c r="AE308" s="447">
        <v>3185585.5855855853</v>
      </c>
      <c r="AF308" s="447">
        <v>3536000</v>
      </c>
      <c r="AG308" s="437">
        <v>60000</v>
      </c>
      <c r="AH308" s="271" t="s">
        <v>2099</v>
      </c>
    </row>
    <row r="309" spans="1:34">
      <c r="A309" s="350">
        <v>129</v>
      </c>
      <c r="B309" s="352" t="s">
        <v>946</v>
      </c>
      <c r="C309" s="352" t="s">
        <v>504</v>
      </c>
      <c r="D309" s="355" t="s">
        <v>801</v>
      </c>
      <c r="E309" s="377">
        <v>45023</v>
      </c>
      <c r="F309" s="361">
        <v>45024</v>
      </c>
      <c r="G309" s="361">
        <v>45024</v>
      </c>
      <c r="H309" s="361">
        <v>45024</v>
      </c>
      <c r="I309" s="394">
        <v>45044</v>
      </c>
      <c r="J309" s="387" t="s">
        <v>957</v>
      </c>
      <c r="K309" s="352" t="s">
        <v>958</v>
      </c>
      <c r="L309" s="408">
        <v>2</v>
      </c>
      <c r="M309" s="352" t="s">
        <v>229</v>
      </c>
      <c r="N309" s="409">
        <v>60000</v>
      </c>
      <c r="O309" s="404">
        <v>120000</v>
      </c>
      <c r="P309" s="421">
        <v>5</v>
      </c>
      <c r="Q309" s="429" t="s">
        <v>149</v>
      </c>
      <c r="R309" s="437">
        <v>325000</v>
      </c>
      <c r="S309" s="274">
        <f t="shared" si="36"/>
        <v>124000</v>
      </c>
      <c r="T309" s="439" t="s">
        <v>12</v>
      </c>
      <c r="U309" s="460" t="str">
        <f t="shared" si="37"/>
        <v/>
      </c>
      <c r="V309" s="599" t="s">
        <v>13</v>
      </c>
      <c r="W309" s="439" t="s">
        <v>804</v>
      </c>
      <c r="X309" s="615" t="s">
        <v>541</v>
      </c>
      <c r="Y309" s="439" t="s">
        <v>710</v>
      </c>
      <c r="Z309" s="449" t="s">
        <v>710</v>
      </c>
      <c r="AA309" s="440" t="s">
        <v>724</v>
      </c>
      <c r="AB309" s="441">
        <f t="shared" si="38"/>
        <v>54054.054054054053</v>
      </c>
      <c r="AC309" s="442">
        <f t="shared" si="39"/>
        <v>108108.10810810811</v>
      </c>
      <c r="AD309" s="437">
        <v>325000</v>
      </c>
      <c r="AE309" s="447">
        <v>3185585.5855855853</v>
      </c>
      <c r="AF309" s="447">
        <v>3536000</v>
      </c>
      <c r="AG309" s="437">
        <v>325000</v>
      </c>
      <c r="AH309" s="271" t="s">
        <v>2099</v>
      </c>
    </row>
    <row r="310" spans="1:34">
      <c r="A310" s="350">
        <v>129</v>
      </c>
      <c r="B310" s="352" t="s">
        <v>946</v>
      </c>
      <c r="C310" s="352" t="s">
        <v>504</v>
      </c>
      <c r="D310" s="355" t="s">
        <v>801</v>
      </c>
      <c r="E310" s="377">
        <v>45023</v>
      </c>
      <c r="F310" s="361">
        <v>45024</v>
      </c>
      <c r="G310" s="361">
        <v>45024</v>
      </c>
      <c r="H310" s="361">
        <v>45024</v>
      </c>
      <c r="I310" s="394">
        <v>45044</v>
      </c>
      <c r="J310" s="387" t="s">
        <v>959</v>
      </c>
      <c r="K310" s="388" t="s">
        <v>960</v>
      </c>
      <c r="L310" s="408">
        <v>1</v>
      </c>
      <c r="M310" s="352" t="s">
        <v>792</v>
      </c>
      <c r="N310" s="409">
        <v>155000</v>
      </c>
      <c r="O310" s="404">
        <v>155000</v>
      </c>
      <c r="P310" s="421">
        <v>5</v>
      </c>
      <c r="Q310" s="492" t="s">
        <v>914</v>
      </c>
      <c r="R310" s="437">
        <v>45000</v>
      </c>
      <c r="S310" s="274">
        <f t="shared" si="36"/>
        <v>157000</v>
      </c>
      <c r="T310" s="439" t="s">
        <v>12</v>
      </c>
      <c r="U310" s="460" t="str">
        <f t="shared" si="37"/>
        <v/>
      </c>
      <c r="V310" s="599" t="s">
        <v>13</v>
      </c>
      <c r="W310" s="439" t="s">
        <v>804</v>
      </c>
      <c r="X310" s="445" t="s">
        <v>541</v>
      </c>
      <c r="Y310" s="439" t="s">
        <v>710</v>
      </c>
      <c r="Z310" s="449" t="s">
        <v>710</v>
      </c>
      <c r="AA310" s="440" t="s">
        <v>728</v>
      </c>
      <c r="AB310" s="441">
        <f t="shared" si="38"/>
        <v>139639.63963963964</v>
      </c>
      <c r="AC310" s="442">
        <f t="shared" si="39"/>
        <v>139639.63963963964</v>
      </c>
      <c r="AD310" s="437">
        <v>45000</v>
      </c>
      <c r="AE310" s="447">
        <v>3185585.5855855853</v>
      </c>
      <c r="AF310" s="447">
        <v>3536000</v>
      </c>
      <c r="AG310" s="437">
        <v>45000</v>
      </c>
      <c r="AH310" s="271" t="s">
        <v>2099</v>
      </c>
    </row>
    <row r="311" spans="1:34">
      <c r="A311" s="350">
        <v>129</v>
      </c>
      <c r="B311" s="352" t="s">
        <v>946</v>
      </c>
      <c r="C311" s="352" t="s">
        <v>504</v>
      </c>
      <c r="D311" s="355" t="s">
        <v>801</v>
      </c>
      <c r="E311" s="377">
        <v>45023</v>
      </c>
      <c r="F311" s="361">
        <v>45024</v>
      </c>
      <c r="G311" s="361">
        <v>45024</v>
      </c>
      <c r="H311" s="361">
        <v>45024</v>
      </c>
      <c r="I311" s="394">
        <v>45044</v>
      </c>
      <c r="J311" s="387" t="s">
        <v>961</v>
      </c>
      <c r="K311" s="388" t="s">
        <v>962</v>
      </c>
      <c r="L311" s="408">
        <v>2</v>
      </c>
      <c r="M311" s="352" t="s">
        <v>774</v>
      </c>
      <c r="N311" s="409">
        <v>155000</v>
      </c>
      <c r="O311" s="404">
        <v>310000</v>
      </c>
      <c r="P311" s="421">
        <v>5</v>
      </c>
      <c r="Q311" s="429" t="s">
        <v>96</v>
      </c>
      <c r="R311" s="437">
        <v>40000</v>
      </c>
      <c r="S311" s="274">
        <f t="shared" si="36"/>
        <v>314000</v>
      </c>
      <c r="T311" s="439" t="s">
        <v>12</v>
      </c>
      <c r="U311" s="460" t="str">
        <f t="shared" si="37"/>
        <v/>
      </c>
      <c r="V311" s="599" t="s">
        <v>13</v>
      </c>
      <c r="W311" s="439" t="s">
        <v>804</v>
      </c>
      <c r="X311" s="445" t="s">
        <v>541</v>
      </c>
      <c r="Y311" s="439" t="s">
        <v>710</v>
      </c>
      <c r="Z311" s="449" t="s">
        <v>710</v>
      </c>
      <c r="AA311" s="440" t="s">
        <v>753</v>
      </c>
      <c r="AB311" s="441">
        <f t="shared" si="38"/>
        <v>139639.63963963964</v>
      </c>
      <c r="AC311" s="442">
        <f t="shared" si="39"/>
        <v>279279.27927927929</v>
      </c>
      <c r="AD311" s="437">
        <v>40000</v>
      </c>
      <c r="AE311" s="447">
        <v>3185585.5855855853</v>
      </c>
      <c r="AF311" s="447">
        <v>3536000</v>
      </c>
      <c r="AG311" s="437">
        <v>40000</v>
      </c>
      <c r="AH311" s="271" t="s">
        <v>2099</v>
      </c>
    </row>
    <row r="312" spans="1:34">
      <c r="A312" s="350">
        <v>130</v>
      </c>
      <c r="B312" s="352" t="s">
        <v>1003</v>
      </c>
      <c r="C312" s="352" t="s">
        <v>1004</v>
      </c>
      <c r="D312" s="355" t="s">
        <v>1005</v>
      </c>
      <c r="E312" s="377">
        <f t="shared" ref="E312:E320" si="41">F312-1</f>
        <v>45023</v>
      </c>
      <c r="F312" s="363" t="s">
        <v>999</v>
      </c>
      <c r="G312" s="361">
        <v>45046</v>
      </c>
      <c r="H312" s="361">
        <v>45046</v>
      </c>
      <c r="I312" s="394">
        <v>45045</v>
      </c>
      <c r="J312" s="387" t="s">
        <v>278</v>
      </c>
      <c r="K312" s="352" t="s">
        <v>1006</v>
      </c>
      <c r="L312" s="793">
        <v>1</v>
      </c>
      <c r="M312" s="352" t="s">
        <v>753</v>
      </c>
      <c r="N312" s="409">
        <v>200000</v>
      </c>
      <c r="O312" s="404">
        <v>200000</v>
      </c>
      <c r="P312" s="421">
        <v>5</v>
      </c>
      <c r="Q312" s="429" t="s">
        <v>157</v>
      </c>
      <c r="R312" s="437">
        <v>84000</v>
      </c>
      <c r="S312" s="274">
        <f t="shared" si="36"/>
        <v>202000</v>
      </c>
      <c r="T312" s="275"/>
      <c r="U312" s="460" t="str">
        <f t="shared" si="37"/>
        <v/>
      </c>
      <c r="V312" s="439"/>
      <c r="W312" s="439"/>
      <c r="X312" s="445" t="s">
        <v>541</v>
      </c>
      <c r="Y312" s="439" t="s">
        <v>710</v>
      </c>
      <c r="Z312" s="449" t="s">
        <v>710</v>
      </c>
      <c r="AA312" s="440" t="s">
        <v>714</v>
      </c>
      <c r="AB312" s="441">
        <f t="shared" si="38"/>
        <v>180180.18018018018</v>
      </c>
      <c r="AC312" s="442">
        <f t="shared" si="39"/>
        <v>180180.18018018018</v>
      </c>
      <c r="AD312" s="437">
        <v>84000</v>
      </c>
      <c r="AE312" s="447">
        <v>3185585.5855855853</v>
      </c>
      <c r="AF312" s="447">
        <v>3536000</v>
      </c>
      <c r="AG312" s="437">
        <v>84000</v>
      </c>
    </row>
    <row r="313" spans="1:34">
      <c r="A313" s="350">
        <v>130</v>
      </c>
      <c r="B313" s="352" t="s">
        <v>1003</v>
      </c>
      <c r="C313" s="352" t="s">
        <v>1004</v>
      </c>
      <c r="D313" s="355" t="s">
        <v>1005</v>
      </c>
      <c r="E313" s="377">
        <f t="shared" si="41"/>
        <v>45023</v>
      </c>
      <c r="F313" s="363" t="s">
        <v>999</v>
      </c>
      <c r="G313" s="361">
        <v>45046</v>
      </c>
      <c r="H313" s="361">
        <v>45046</v>
      </c>
      <c r="I313" s="394">
        <v>45045</v>
      </c>
      <c r="J313" s="387" t="s">
        <v>1008</v>
      </c>
      <c r="K313" s="388" t="s">
        <v>1009</v>
      </c>
      <c r="L313" s="408">
        <v>2</v>
      </c>
      <c r="M313" s="352" t="s">
        <v>720</v>
      </c>
      <c r="N313" s="409">
        <v>37500</v>
      </c>
      <c r="O313" s="404">
        <v>75000</v>
      </c>
      <c r="P313" s="421">
        <v>5</v>
      </c>
      <c r="Q313" s="429" t="s">
        <v>102</v>
      </c>
      <c r="R313" s="437">
        <v>225000</v>
      </c>
      <c r="S313" s="274">
        <f t="shared" si="36"/>
        <v>79000</v>
      </c>
      <c r="T313" s="275"/>
      <c r="U313" s="460" t="str">
        <f t="shared" si="37"/>
        <v/>
      </c>
      <c r="V313" s="439"/>
      <c r="W313" s="439"/>
      <c r="X313" s="445" t="s">
        <v>541</v>
      </c>
      <c r="Y313" s="439" t="s">
        <v>710</v>
      </c>
      <c r="Z313" s="449" t="s">
        <v>710</v>
      </c>
      <c r="AA313" s="440" t="s">
        <v>488</v>
      </c>
      <c r="AB313" s="441">
        <f t="shared" si="38"/>
        <v>33783.783783783787</v>
      </c>
      <c r="AC313" s="442">
        <f t="shared" si="39"/>
        <v>67567.567567567574</v>
      </c>
      <c r="AD313" s="437">
        <v>225000</v>
      </c>
      <c r="AE313" s="447">
        <v>3185585.5855855853</v>
      </c>
      <c r="AF313" s="447">
        <v>3536000</v>
      </c>
      <c r="AG313" s="437">
        <v>225000</v>
      </c>
    </row>
    <row r="314" spans="1:34">
      <c r="A314" s="350">
        <v>131</v>
      </c>
      <c r="B314" s="352" t="s">
        <v>965</v>
      </c>
      <c r="C314" s="352" t="s">
        <v>492</v>
      </c>
      <c r="D314" s="355" t="s">
        <v>464</v>
      </c>
      <c r="E314" s="377">
        <f t="shared" si="41"/>
        <v>45022</v>
      </c>
      <c r="F314" s="363" t="s">
        <v>966</v>
      </c>
      <c r="G314" s="361">
        <v>45024</v>
      </c>
      <c r="H314" s="361">
        <v>45024</v>
      </c>
      <c r="I314" s="394">
        <v>45044</v>
      </c>
      <c r="J314" s="387" t="s">
        <v>496</v>
      </c>
      <c r="K314" s="352" t="s">
        <v>484</v>
      </c>
      <c r="L314" s="408">
        <v>8</v>
      </c>
      <c r="M314" s="352" t="s">
        <v>472</v>
      </c>
      <c r="N314" s="409">
        <v>50000</v>
      </c>
      <c r="O314" s="404">
        <v>400000</v>
      </c>
      <c r="P314" s="421">
        <v>5</v>
      </c>
      <c r="Q314" s="429" t="s">
        <v>113</v>
      </c>
      <c r="R314" s="437">
        <v>26000</v>
      </c>
      <c r="S314" s="274">
        <f t="shared" si="36"/>
        <v>416000</v>
      </c>
      <c r="T314" s="439" t="s">
        <v>10</v>
      </c>
      <c r="U314" s="460" t="str">
        <f t="shared" si="37"/>
        <v/>
      </c>
      <c r="V314" s="439" t="s">
        <v>11</v>
      </c>
      <c r="W314" s="439" t="s">
        <v>473</v>
      </c>
      <c r="X314" s="445" t="s">
        <v>541</v>
      </c>
      <c r="Y314" s="439" t="s">
        <v>710</v>
      </c>
      <c r="Z314" s="449" t="s">
        <v>710</v>
      </c>
      <c r="AA314" s="440" t="s">
        <v>728</v>
      </c>
      <c r="AB314" s="441">
        <f t="shared" si="38"/>
        <v>45045.045045045044</v>
      </c>
      <c r="AC314" s="442">
        <f t="shared" si="39"/>
        <v>360360.36036036036</v>
      </c>
      <c r="AD314" s="437">
        <v>26000</v>
      </c>
      <c r="AE314" s="447">
        <v>3185585.5855855853</v>
      </c>
      <c r="AF314" s="447">
        <v>3536000</v>
      </c>
      <c r="AG314" s="437">
        <v>26000</v>
      </c>
      <c r="AH314" s="271" t="s">
        <v>2092</v>
      </c>
    </row>
    <row r="315" spans="1:34" ht="25">
      <c r="A315" s="350">
        <v>131</v>
      </c>
      <c r="B315" s="352" t="s">
        <v>967</v>
      </c>
      <c r="C315" s="352" t="s">
        <v>498</v>
      </c>
      <c r="D315" s="355" t="s">
        <v>464</v>
      </c>
      <c r="E315" s="377">
        <f t="shared" si="41"/>
        <v>45022</v>
      </c>
      <c r="F315" s="363" t="s">
        <v>966</v>
      </c>
      <c r="G315" s="361">
        <v>45024</v>
      </c>
      <c r="H315" s="361">
        <v>45024</v>
      </c>
      <c r="I315" s="394">
        <v>45044</v>
      </c>
      <c r="J315" s="387" t="s">
        <v>502</v>
      </c>
      <c r="K315" s="352" t="s">
        <v>484</v>
      </c>
      <c r="L315" s="408">
        <v>8</v>
      </c>
      <c r="M315" s="352" t="s">
        <v>472</v>
      </c>
      <c r="N315" s="409">
        <v>50000</v>
      </c>
      <c r="O315" s="404">
        <v>400000</v>
      </c>
      <c r="P315" s="421">
        <v>5</v>
      </c>
      <c r="Q315" s="429" t="s">
        <v>144</v>
      </c>
      <c r="R315" s="437">
        <v>25000</v>
      </c>
      <c r="S315" s="274">
        <f t="shared" si="36"/>
        <v>416000</v>
      </c>
      <c r="T315" s="439" t="s">
        <v>10</v>
      </c>
      <c r="U315" s="460" t="str">
        <f t="shared" si="37"/>
        <v/>
      </c>
      <c r="V315" s="439" t="s">
        <v>11</v>
      </c>
      <c r="W315" s="439" t="s">
        <v>473</v>
      </c>
      <c r="X315" s="445" t="s">
        <v>541</v>
      </c>
      <c r="Y315" s="439" t="s">
        <v>710</v>
      </c>
      <c r="Z315" s="449" t="s">
        <v>710</v>
      </c>
      <c r="AA315" s="440" t="s">
        <v>753</v>
      </c>
      <c r="AB315" s="441">
        <f t="shared" si="38"/>
        <v>45045.045045045044</v>
      </c>
      <c r="AC315" s="442">
        <f t="shared" si="39"/>
        <v>360360.36036036036</v>
      </c>
      <c r="AD315" s="437">
        <v>25000</v>
      </c>
      <c r="AE315" s="447">
        <v>3185585.5855855853</v>
      </c>
      <c r="AF315" s="447">
        <v>3536000</v>
      </c>
      <c r="AG315" s="437">
        <v>25000</v>
      </c>
      <c r="AH315" s="271" t="s">
        <v>2092</v>
      </c>
    </row>
    <row r="316" spans="1:34" ht="25">
      <c r="A316" s="350">
        <v>131</v>
      </c>
      <c r="B316" s="352" t="s">
        <v>968</v>
      </c>
      <c r="C316" s="352" t="s">
        <v>504</v>
      </c>
      <c r="D316" s="355" t="s">
        <v>464</v>
      </c>
      <c r="E316" s="377">
        <f t="shared" si="41"/>
        <v>45022</v>
      </c>
      <c r="F316" s="363" t="s">
        <v>966</v>
      </c>
      <c r="G316" s="361">
        <v>45024</v>
      </c>
      <c r="H316" s="361">
        <v>45024</v>
      </c>
      <c r="I316" s="394">
        <v>45044</v>
      </c>
      <c r="J316" s="387" t="s">
        <v>505</v>
      </c>
      <c r="K316" s="352" t="s">
        <v>484</v>
      </c>
      <c r="L316" s="408">
        <v>8</v>
      </c>
      <c r="M316" s="352" t="s">
        <v>472</v>
      </c>
      <c r="N316" s="409">
        <v>50000</v>
      </c>
      <c r="O316" s="404">
        <v>400000</v>
      </c>
      <c r="P316" s="421">
        <v>5</v>
      </c>
      <c r="Q316" s="429" t="s">
        <v>130</v>
      </c>
      <c r="R316" s="437">
        <v>75000</v>
      </c>
      <c r="S316" s="274">
        <f t="shared" si="36"/>
        <v>416000</v>
      </c>
      <c r="T316" s="439" t="s">
        <v>10</v>
      </c>
      <c r="U316" s="460" t="str">
        <f t="shared" si="37"/>
        <v/>
      </c>
      <c r="V316" s="439" t="s">
        <v>11</v>
      </c>
      <c r="W316" s="439" t="s">
        <v>473</v>
      </c>
      <c r="X316" s="445" t="s">
        <v>541</v>
      </c>
      <c r="Y316" s="439" t="s">
        <v>710</v>
      </c>
      <c r="Z316" s="449" t="s">
        <v>710</v>
      </c>
      <c r="AA316" s="440" t="s">
        <v>488</v>
      </c>
      <c r="AB316" s="441">
        <f t="shared" si="38"/>
        <v>45045.045045045044</v>
      </c>
      <c r="AC316" s="442">
        <f t="shared" si="39"/>
        <v>360360.36036036036</v>
      </c>
      <c r="AD316" s="437">
        <v>75000</v>
      </c>
      <c r="AE316" s="447">
        <v>3185585.5855855853</v>
      </c>
      <c r="AF316" s="447">
        <v>3536000</v>
      </c>
      <c r="AG316" s="437">
        <v>75000</v>
      </c>
      <c r="AH316" s="271" t="s">
        <v>2092</v>
      </c>
    </row>
    <row r="317" spans="1:34">
      <c r="A317" s="350">
        <v>131</v>
      </c>
      <c r="B317" s="352" t="s">
        <v>969</v>
      </c>
      <c r="C317" s="352" t="s">
        <v>507</v>
      </c>
      <c r="D317" s="355" t="s">
        <v>464</v>
      </c>
      <c r="E317" s="377">
        <f t="shared" si="41"/>
        <v>45022</v>
      </c>
      <c r="F317" s="363" t="s">
        <v>966</v>
      </c>
      <c r="G317" s="361">
        <v>45024</v>
      </c>
      <c r="H317" s="361">
        <v>45024</v>
      </c>
      <c r="I317" s="394">
        <v>45044</v>
      </c>
      <c r="J317" s="387" t="s">
        <v>510</v>
      </c>
      <c r="K317" s="352" t="s">
        <v>484</v>
      </c>
      <c r="L317" s="408">
        <v>8</v>
      </c>
      <c r="M317" s="352" t="s">
        <v>472</v>
      </c>
      <c r="N317" s="409">
        <v>50000</v>
      </c>
      <c r="O317" s="404">
        <v>400000</v>
      </c>
      <c r="P317" s="421">
        <v>5</v>
      </c>
      <c r="Q317" s="429" t="s">
        <v>1033</v>
      </c>
      <c r="R317" s="437">
        <v>11500</v>
      </c>
      <c r="S317" s="274">
        <f t="shared" si="36"/>
        <v>416000</v>
      </c>
      <c r="T317" s="439" t="s">
        <v>10</v>
      </c>
      <c r="U317" s="460" t="str">
        <f t="shared" si="37"/>
        <v/>
      </c>
      <c r="V317" s="439" t="s">
        <v>11</v>
      </c>
      <c r="W317" s="439" t="s">
        <v>473</v>
      </c>
      <c r="X317" s="445" t="s">
        <v>541</v>
      </c>
      <c r="Y317" s="439" t="s">
        <v>710</v>
      </c>
      <c r="Z317" s="449" t="s">
        <v>710</v>
      </c>
      <c r="AA317" s="440" t="s">
        <v>597</v>
      </c>
      <c r="AB317" s="441">
        <f t="shared" si="38"/>
        <v>45045.045045045044</v>
      </c>
      <c r="AC317" s="442">
        <f t="shared" si="39"/>
        <v>360360.36036036036</v>
      </c>
      <c r="AD317" s="437">
        <v>11500</v>
      </c>
      <c r="AE317" s="447">
        <v>3185585.5855855853</v>
      </c>
      <c r="AF317" s="447">
        <v>3536000</v>
      </c>
      <c r="AG317" s="437">
        <v>11500</v>
      </c>
      <c r="AH317" s="271" t="s">
        <v>2092</v>
      </c>
    </row>
    <row r="318" spans="1:34">
      <c r="A318" s="350">
        <v>131</v>
      </c>
      <c r="B318" s="352" t="s">
        <v>970</v>
      </c>
      <c r="C318" s="352" t="s">
        <v>512</v>
      </c>
      <c r="D318" s="355" t="s">
        <v>464</v>
      </c>
      <c r="E318" s="377">
        <f t="shared" si="41"/>
        <v>45022</v>
      </c>
      <c r="F318" s="363" t="s">
        <v>966</v>
      </c>
      <c r="G318" s="361">
        <v>45024</v>
      </c>
      <c r="H318" s="361">
        <v>45024</v>
      </c>
      <c r="I318" s="394">
        <v>45044</v>
      </c>
      <c r="J318" s="387" t="s">
        <v>513</v>
      </c>
      <c r="K318" s="352" t="s">
        <v>484</v>
      </c>
      <c r="L318" s="408">
        <v>4</v>
      </c>
      <c r="M318" s="352" t="s">
        <v>472</v>
      </c>
      <c r="N318" s="409">
        <v>50000</v>
      </c>
      <c r="O318" s="404">
        <v>200000</v>
      </c>
      <c r="P318" s="421">
        <v>5</v>
      </c>
      <c r="Q318" s="429" t="s">
        <v>111</v>
      </c>
      <c r="R318" s="437">
        <v>20000</v>
      </c>
      <c r="S318" s="274">
        <f t="shared" si="36"/>
        <v>208000</v>
      </c>
      <c r="T318" s="439" t="s">
        <v>10</v>
      </c>
      <c r="U318" s="460" t="str">
        <f t="shared" si="37"/>
        <v/>
      </c>
      <c r="V318" s="439" t="s">
        <v>11</v>
      </c>
      <c r="W318" s="439" t="s">
        <v>473</v>
      </c>
      <c r="X318" s="445" t="s">
        <v>541</v>
      </c>
      <c r="Y318" s="439" t="s">
        <v>710</v>
      </c>
      <c r="Z318" s="449" t="s">
        <v>710</v>
      </c>
      <c r="AA318" s="440" t="s">
        <v>597</v>
      </c>
      <c r="AB318" s="441">
        <f t="shared" si="38"/>
        <v>45045.045045045044</v>
      </c>
      <c r="AC318" s="442">
        <f t="shared" si="39"/>
        <v>180180.18018018018</v>
      </c>
      <c r="AD318" s="437">
        <v>20000</v>
      </c>
      <c r="AE318" s="447">
        <v>3185585.5855855853</v>
      </c>
      <c r="AF318" s="447">
        <v>3536000</v>
      </c>
      <c r="AG318" s="437">
        <v>20000</v>
      </c>
      <c r="AH318" s="271" t="s">
        <v>2092</v>
      </c>
    </row>
    <row r="319" spans="1:34" ht="25">
      <c r="A319" s="350">
        <v>131</v>
      </c>
      <c r="B319" s="352" t="s">
        <v>971</v>
      </c>
      <c r="C319" s="352" t="s">
        <v>517</v>
      </c>
      <c r="D319" s="355" t="s">
        <v>464</v>
      </c>
      <c r="E319" s="377">
        <f t="shared" si="41"/>
        <v>45022</v>
      </c>
      <c r="F319" s="363" t="s">
        <v>966</v>
      </c>
      <c r="G319" s="361">
        <v>45024</v>
      </c>
      <c r="H319" s="361">
        <v>45024</v>
      </c>
      <c r="I319" s="394">
        <v>45044</v>
      </c>
      <c r="J319" s="387" t="s">
        <v>518</v>
      </c>
      <c r="K319" s="352" t="s">
        <v>484</v>
      </c>
      <c r="L319" s="408">
        <v>10</v>
      </c>
      <c r="M319" s="352" t="s">
        <v>472</v>
      </c>
      <c r="N319" s="794">
        <v>50000</v>
      </c>
      <c r="O319" s="404">
        <v>500000</v>
      </c>
      <c r="P319" s="421">
        <v>5</v>
      </c>
      <c r="Q319" s="429" t="s">
        <v>112</v>
      </c>
      <c r="R319" s="437">
        <v>11000</v>
      </c>
      <c r="S319" s="274">
        <f t="shared" si="36"/>
        <v>520000</v>
      </c>
      <c r="T319" s="439" t="s">
        <v>10</v>
      </c>
      <c r="U319" s="460" t="str">
        <f t="shared" si="37"/>
        <v/>
      </c>
      <c r="V319" s="439" t="s">
        <v>11</v>
      </c>
      <c r="W319" s="439" t="s">
        <v>473</v>
      </c>
      <c r="X319" s="445" t="s">
        <v>541</v>
      </c>
      <c r="Y319" s="439" t="s">
        <v>710</v>
      </c>
      <c r="Z319" s="449" t="s">
        <v>710</v>
      </c>
      <c r="AA319" s="440" t="s">
        <v>597</v>
      </c>
      <c r="AB319" s="441">
        <f t="shared" si="38"/>
        <v>45045.045045045044</v>
      </c>
      <c r="AC319" s="442">
        <f t="shared" si="39"/>
        <v>450450.45045045041</v>
      </c>
      <c r="AD319" s="437">
        <v>11000</v>
      </c>
      <c r="AE319" s="447">
        <v>3185585.5855855853</v>
      </c>
      <c r="AF319" s="447">
        <v>3536000</v>
      </c>
      <c r="AG319" s="437">
        <v>11000</v>
      </c>
      <c r="AH319" s="271" t="s">
        <v>2092</v>
      </c>
    </row>
    <row r="320" spans="1:34" ht="25">
      <c r="A320" s="350">
        <v>131</v>
      </c>
      <c r="B320" s="352" t="s">
        <v>972</v>
      </c>
      <c r="C320" s="352" t="s">
        <v>827</v>
      </c>
      <c r="D320" s="355" t="s">
        <v>464</v>
      </c>
      <c r="E320" s="377">
        <f t="shared" si="41"/>
        <v>45022</v>
      </c>
      <c r="F320" s="363" t="s">
        <v>966</v>
      </c>
      <c r="G320" s="361">
        <v>45024</v>
      </c>
      <c r="H320" s="361">
        <v>45024</v>
      </c>
      <c r="I320" s="394">
        <v>45044</v>
      </c>
      <c r="J320" s="387" t="s">
        <v>828</v>
      </c>
      <c r="K320" s="352" t="s">
        <v>471</v>
      </c>
      <c r="L320" s="408">
        <v>2</v>
      </c>
      <c r="M320" s="352" t="s">
        <v>472</v>
      </c>
      <c r="N320" s="409">
        <v>70000</v>
      </c>
      <c r="O320" s="404">
        <v>140000</v>
      </c>
      <c r="P320" s="421">
        <v>5</v>
      </c>
      <c r="Q320" s="429" t="s">
        <v>109</v>
      </c>
      <c r="R320" s="437">
        <v>22000</v>
      </c>
      <c r="S320" s="274">
        <f t="shared" si="36"/>
        <v>144000</v>
      </c>
      <c r="T320" s="439" t="s">
        <v>10</v>
      </c>
      <c r="U320" s="460" t="str">
        <f t="shared" si="37"/>
        <v>UD. USAHA JAYA</v>
      </c>
      <c r="V320" s="275" t="s">
        <v>11</v>
      </c>
      <c r="W320" s="439" t="s">
        <v>473</v>
      </c>
      <c r="X320" s="445" t="s">
        <v>541</v>
      </c>
      <c r="Y320" s="439" t="s">
        <v>710</v>
      </c>
      <c r="Z320" s="449" t="s">
        <v>710</v>
      </c>
      <c r="AA320" s="440" t="s">
        <v>551</v>
      </c>
      <c r="AB320" s="441">
        <f t="shared" si="38"/>
        <v>63063.063063063062</v>
      </c>
      <c r="AC320" s="442">
        <f t="shared" si="39"/>
        <v>126126.12612612612</v>
      </c>
      <c r="AD320" s="437">
        <v>22000</v>
      </c>
      <c r="AE320" s="447">
        <v>3185585.5855855853</v>
      </c>
      <c r="AF320" s="447">
        <v>3536000</v>
      </c>
      <c r="AG320" s="437">
        <v>22000</v>
      </c>
      <c r="AH320" s="271" t="s">
        <v>2092</v>
      </c>
    </row>
    <row r="321" spans="1:34">
      <c r="A321" s="350">
        <v>132</v>
      </c>
      <c r="B321" s="352" t="s">
        <v>1010</v>
      </c>
      <c r="C321" s="352" t="s">
        <v>504</v>
      </c>
      <c r="D321" s="355" t="s">
        <v>1011</v>
      </c>
      <c r="E321" s="376" t="s">
        <v>1012</v>
      </c>
      <c r="F321" s="363" t="s">
        <v>999</v>
      </c>
      <c r="G321" s="361">
        <v>45045</v>
      </c>
      <c r="H321" s="361">
        <v>45045</v>
      </c>
      <c r="I321" s="394">
        <v>45045</v>
      </c>
      <c r="J321" s="387" t="s">
        <v>1013</v>
      </c>
      <c r="K321" s="388" t="s">
        <v>1014</v>
      </c>
      <c r="L321" s="408">
        <v>2</v>
      </c>
      <c r="M321" s="352" t="s">
        <v>1015</v>
      </c>
      <c r="N321" s="409">
        <v>380000</v>
      </c>
      <c r="O321" s="404">
        <v>760000</v>
      </c>
      <c r="P321" s="421">
        <v>5</v>
      </c>
      <c r="Q321" s="429" t="s">
        <v>120</v>
      </c>
      <c r="R321" s="437">
        <v>190000</v>
      </c>
      <c r="S321" s="274">
        <f t="shared" si="36"/>
        <v>764000</v>
      </c>
      <c r="T321" s="439" t="s">
        <v>12</v>
      </c>
      <c r="U321" s="460" t="str">
        <f t="shared" si="37"/>
        <v/>
      </c>
      <c r="V321" s="439" t="s">
        <v>13</v>
      </c>
      <c r="W321" s="439" t="s">
        <v>804</v>
      </c>
      <c r="X321" s="615" t="s">
        <v>541</v>
      </c>
      <c r="Y321" s="275" t="s">
        <v>710</v>
      </c>
      <c r="Z321" s="616" t="s">
        <v>710</v>
      </c>
      <c r="AA321" s="440" t="s">
        <v>667</v>
      </c>
      <c r="AB321" s="441">
        <f t="shared" si="38"/>
        <v>342342.34234234237</v>
      </c>
      <c r="AC321" s="442">
        <f t="shared" si="39"/>
        <v>684684.68468468473</v>
      </c>
      <c r="AD321" s="437">
        <v>190000</v>
      </c>
      <c r="AE321" s="447">
        <v>3185585.5855855853</v>
      </c>
      <c r="AF321" s="447">
        <v>3536000</v>
      </c>
      <c r="AG321" s="437">
        <v>190000</v>
      </c>
      <c r="AH321" s="271" t="s">
        <v>2099</v>
      </c>
    </row>
    <row r="322" spans="1:34">
      <c r="A322" s="350">
        <v>132</v>
      </c>
      <c r="B322" s="352" t="s">
        <v>1010</v>
      </c>
      <c r="C322" s="352" t="s">
        <v>504</v>
      </c>
      <c r="D322" s="355" t="s">
        <v>1011</v>
      </c>
      <c r="E322" s="376" t="s">
        <v>1012</v>
      </c>
      <c r="F322" s="363" t="s">
        <v>999</v>
      </c>
      <c r="G322" s="361">
        <v>45045</v>
      </c>
      <c r="H322" s="361">
        <v>45045</v>
      </c>
      <c r="I322" s="394">
        <v>45045</v>
      </c>
      <c r="J322" s="387" t="s">
        <v>1018</v>
      </c>
      <c r="K322" s="387" t="s">
        <v>1018</v>
      </c>
      <c r="L322" s="408">
        <v>2</v>
      </c>
      <c r="M322" s="352" t="s">
        <v>1019</v>
      </c>
      <c r="N322" s="409">
        <v>200000</v>
      </c>
      <c r="O322" s="404">
        <v>400000</v>
      </c>
      <c r="P322" s="421">
        <v>5</v>
      </c>
      <c r="Q322" s="429" t="s">
        <v>150</v>
      </c>
      <c r="R322" s="437">
        <v>240000</v>
      </c>
      <c r="S322" s="274">
        <f t="shared" si="36"/>
        <v>404000</v>
      </c>
      <c r="T322" s="439" t="s">
        <v>12</v>
      </c>
      <c r="U322" s="460" t="str">
        <f t="shared" si="37"/>
        <v/>
      </c>
      <c r="V322" s="439" t="s">
        <v>13</v>
      </c>
      <c r="W322" s="439" t="s">
        <v>804</v>
      </c>
      <c r="X322" s="615" t="s">
        <v>541</v>
      </c>
      <c r="Y322" s="275" t="s">
        <v>710</v>
      </c>
      <c r="Z322" s="616" t="s">
        <v>710</v>
      </c>
      <c r="AA322" s="440" t="s">
        <v>488</v>
      </c>
      <c r="AB322" s="441">
        <f t="shared" si="38"/>
        <v>180180.18018018018</v>
      </c>
      <c r="AC322" s="442">
        <f t="shared" si="39"/>
        <v>360360.36036036036</v>
      </c>
      <c r="AD322" s="437">
        <v>240000</v>
      </c>
      <c r="AE322" s="447">
        <v>3185585.5855855853</v>
      </c>
      <c r="AF322" s="447">
        <v>3536000</v>
      </c>
      <c r="AG322" s="437">
        <v>240000</v>
      </c>
      <c r="AH322" s="271" t="s">
        <v>2099</v>
      </c>
    </row>
    <row r="323" spans="1:34">
      <c r="A323" s="350">
        <v>133</v>
      </c>
      <c r="B323" s="352" t="s">
        <v>1010</v>
      </c>
      <c r="C323" s="352" t="s">
        <v>504</v>
      </c>
      <c r="D323" s="355" t="s">
        <v>1011</v>
      </c>
      <c r="E323" s="376" t="s">
        <v>1012</v>
      </c>
      <c r="F323" s="363" t="s">
        <v>999</v>
      </c>
      <c r="G323" s="361">
        <v>45045</v>
      </c>
      <c r="H323" s="361">
        <v>45045</v>
      </c>
      <c r="I323" s="394">
        <v>45045</v>
      </c>
      <c r="J323" s="387" t="s">
        <v>1016</v>
      </c>
      <c r="K323" s="388" t="s">
        <v>1017</v>
      </c>
      <c r="L323" s="408">
        <v>4</v>
      </c>
      <c r="M323" s="352" t="s">
        <v>488</v>
      </c>
      <c r="N323" s="409">
        <v>125500</v>
      </c>
      <c r="O323" s="404">
        <v>502000</v>
      </c>
      <c r="P323" s="421">
        <v>5</v>
      </c>
      <c r="Q323" s="429" t="s">
        <v>909</v>
      </c>
      <c r="R323" s="437">
        <v>5000</v>
      </c>
      <c r="S323" s="274">
        <f t="shared" ref="S323:S386" si="42">L323*(N323+2000)</f>
        <v>510000</v>
      </c>
      <c r="T323" s="439" t="s">
        <v>12</v>
      </c>
      <c r="U323" s="460" t="str">
        <f t="shared" ref="U323:U386" si="43">IF(K323="Nasi Kotak","Resto JFC Esther",IF(K323="Aqua Botol 600 ml","UD. USAHA JAYA",""))</f>
        <v/>
      </c>
      <c r="V323" s="439" t="s">
        <v>13</v>
      </c>
      <c r="W323" s="439" t="s">
        <v>804</v>
      </c>
      <c r="X323" s="615" t="s">
        <v>541</v>
      </c>
      <c r="Y323" s="275" t="s">
        <v>710</v>
      </c>
      <c r="Z323" s="616" t="s">
        <v>710</v>
      </c>
      <c r="AA323" s="440" t="s">
        <v>488</v>
      </c>
      <c r="AB323" s="441">
        <f t="shared" ref="AB323:AB386" si="44">100/111*N323</f>
        <v>113063.06306306306</v>
      </c>
      <c r="AC323" s="442">
        <f t="shared" ref="AC323:AC386" si="45">AB323*L323</f>
        <v>452252.25225225225</v>
      </c>
      <c r="AD323" s="437">
        <v>5000</v>
      </c>
      <c r="AE323" s="447">
        <v>3185585.5855855853</v>
      </c>
      <c r="AF323" s="447">
        <v>3536000</v>
      </c>
      <c r="AG323" s="437">
        <v>5000</v>
      </c>
      <c r="AH323" s="271" t="s">
        <v>2099</v>
      </c>
    </row>
    <row r="324" spans="1:34">
      <c r="A324" s="350">
        <v>138</v>
      </c>
      <c r="B324" s="352" t="s">
        <v>973</v>
      </c>
      <c r="C324" s="352" t="s">
        <v>974</v>
      </c>
      <c r="D324" s="355" t="s">
        <v>464</v>
      </c>
      <c r="E324" s="377">
        <f>F324-1</f>
        <v>45041</v>
      </c>
      <c r="F324" s="361">
        <v>45042</v>
      </c>
      <c r="G324" s="361">
        <v>45024</v>
      </c>
      <c r="H324" s="361">
        <v>45024</v>
      </c>
      <c r="I324" s="394">
        <v>45044</v>
      </c>
      <c r="J324" s="387" t="s">
        <v>975</v>
      </c>
      <c r="K324" s="352" t="s">
        <v>467</v>
      </c>
      <c r="L324" s="408">
        <v>55</v>
      </c>
      <c r="M324" s="352" t="s">
        <v>597</v>
      </c>
      <c r="N324" s="409">
        <v>35000</v>
      </c>
      <c r="O324" s="404">
        <v>1925000</v>
      </c>
      <c r="P324" s="421">
        <v>5</v>
      </c>
      <c r="Q324" s="429" t="s">
        <v>903</v>
      </c>
      <c r="R324" s="437">
        <v>11000</v>
      </c>
      <c r="S324" s="274">
        <f t="shared" si="42"/>
        <v>2035000</v>
      </c>
      <c r="T324" s="444" t="s">
        <v>282</v>
      </c>
      <c r="U324" s="460" t="str">
        <f t="shared" si="43"/>
        <v>Resto JFC Esther</v>
      </c>
      <c r="V324" s="444" t="s">
        <v>1258</v>
      </c>
      <c r="W324" s="444" t="s">
        <v>468</v>
      </c>
      <c r="X324" s="615" t="s">
        <v>541</v>
      </c>
      <c r="Y324" s="275" t="s">
        <v>710</v>
      </c>
      <c r="Z324" s="616" t="s">
        <v>710</v>
      </c>
      <c r="AA324" s="440" t="s">
        <v>597</v>
      </c>
      <c r="AB324" s="441">
        <f t="shared" si="44"/>
        <v>31531.531531531531</v>
      </c>
      <c r="AC324" s="442">
        <f t="shared" si="45"/>
        <v>1734234.2342342343</v>
      </c>
      <c r="AD324" s="437">
        <v>11000</v>
      </c>
      <c r="AE324" s="447">
        <v>3185585.5855855853</v>
      </c>
      <c r="AF324" s="447">
        <v>3536000</v>
      </c>
      <c r="AG324" s="437">
        <v>11000</v>
      </c>
      <c r="AH324" s="271" t="s">
        <v>2091</v>
      </c>
    </row>
    <row r="325" spans="1:34">
      <c r="A325" s="350">
        <v>139</v>
      </c>
      <c r="B325" s="352" t="s">
        <v>976</v>
      </c>
      <c r="C325" s="352" t="s">
        <v>974</v>
      </c>
      <c r="D325" s="355" t="s">
        <v>464</v>
      </c>
      <c r="E325" s="377">
        <v>45023</v>
      </c>
      <c r="F325" s="361">
        <v>45024</v>
      </c>
      <c r="G325" s="361">
        <v>45024</v>
      </c>
      <c r="H325" s="361">
        <v>45024</v>
      </c>
      <c r="I325" s="394">
        <v>45044</v>
      </c>
      <c r="J325" s="387" t="s">
        <v>977</v>
      </c>
      <c r="K325" s="352" t="s">
        <v>471</v>
      </c>
      <c r="L325" s="408">
        <v>3</v>
      </c>
      <c r="M325" s="352" t="s">
        <v>472</v>
      </c>
      <c r="N325" s="409">
        <v>70000</v>
      </c>
      <c r="O325" s="404">
        <v>210000</v>
      </c>
      <c r="P325" s="421">
        <v>5</v>
      </c>
      <c r="Q325" s="429" t="s">
        <v>108</v>
      </c>
      <c r="R325" s="437">
        <v>15000</v>
      </c>
      <c r="S325" s="274">
        <f t="shared" si="42"/>
        <v>216000</v>
      </c>
      <c r="T325" s="439" t="s">
        <v>10</v>
      </c>
      <c r="U325" s="460" t="str">
        <f t="shared" si="43"/>
        <v>UD. USAHA JAYA</v>
      </c>
      <c r="V325" s="439" t="s">
        <v>11</v>
      </c>
      <c r="W325" s="439" t="s">
        <v>473</v>
      </c>
      <c r="X325" s="615" t="s">
        <v>541</v>
      </c>
      <c r="Y325" s="275" t="s">
        <v>710</v>
      </c>
      <c r="Z325" s="616" t="s">
        <v>710</v>
      </c>
      <c r="AA325" s="440" t="s">
        <v>753</v>
      </c>
      <c r="AB325" s="441">
        <f t="shared" si="44"/>
        <v>63063.063063063062</v>
      </c>
      <c r="AC325" s="442">
        <f t="shared" si="45"/>
        <v>189189.18918918917</v>
      </c>
      <c r="AD325" s="437">
        <v>15000</v>
      </c>
      <c r="AE325" s="447">
        <v>3185585.5855855853</v>
      </c>
      <c r="AF325" s="447">
        <v>3536000</v>
      </c>
      <c r="AG325" s="437">
        <v>15000</v>
      </c>
      <c r="AH325" s="271" t="s">
        <v>2092</v>
      </c>
    </row>
    <row r="326" spans="1:34" ht="25">
      <c r="A326" s="350">
        <v>140</v>
      </c>
      <c r="B326" s="352" t="s">
        <v>978</v>
      </c>
      <c r="C326" s="352" t="s">
        <v>562</v>
      </c>
      <c r="D326" s="355" t="s">
        <v>464</v>
      </c>
      <c r="E326" s="377">
        <v>45023</v>
      </c>
      <c r="F326" s="361">
        <v>45024</v>
      </c>
      <c r="G326" s="361">
        <v>45024</v>
      </c>
      <c r="H326" s="361">
        <v>45024</v>
      </c>
      <c r="I326" s="394">
        <v>45044</v>
      </c>
      <c r="J326" s="387" t="s">
        <v>566</v>
      </c>
      <c r="K326" s="352" t="s">
        <v>471</v>
      </c>
      <c r="L326" s="408">
        <v>2</v>
      </c>
      <c r="M326" s="352" t="s">
        <v>472</v>
      </c>
      <c r="N326" s="409">
        <v>70000</v>
      </c>
      <c r="O326" s="404">
        <v>140000</v>
      </c>
      <c r="P326" s="421">
        <v>5</v>
      </c>
      <c r="Q326" s="429" t="s">
        <v>148</v>
      </c>
      <c r="R326" s="437">
        <v>35000</v>
      </c>
      <c r="S326" s="274">
        <f t="shared" si="42"/>
        <v>144000</v>
      </c>
      <c r="T326" s="439" t="s">
        <v>10</v>
      </c>
      <c r="U326" s="460" t="str">
        <f t="shared" si="43"/>
        <v>UD. USAHA JAYA</v>
      </c>
      <c r="V326" s="439" t="s">
        <v>11</v>
      </c>
      <c r="W326" s="439" t="s">
        <v>473</v>
      </c>
      <c r="X326" s="615" t="s">
        <v>541</v>
      </c>
      <c r="Y326" s="275" t="s">
        <v>710</v>
      </c>
      <c r="Z326" s="616" t="s">
        <v>710</v>
      </c>
      <c r="AA326" s="440" t="s">
        <v>488</v>
      </c>
      <c r="AB326" s="441">
        <f t="shared" si="44"/>
        <v>63063.063063063062</v>
      </c>
      <c r="AC326" s="442">
        <f t="shared" si="45"/>
        <v>126126.12612612612</v>
      </c>
      <c r="AD326" s="437">
        <v>35000</v>
      </c>
      <c r="AE326" s="447">
        <v>3185585.5855855853</v>
      </c>
      <c r="AF326" s="447">
        <v>3536000</v>
      </c>
      <c r="AG326" s="437">
        <v>35000</v>
      </c>
      <c r="AH326" s="271" t="s">
        <v>2092</v>
      </c>
    </row>
    <row r="327" spans="1:34">
      <c r="A327" s="350">
        <v>140</v>
      </c>
      <c r="B327" s="352" t="s">
        <v>979</v>
      </c>
      <c r="C327" s="352" t="s">
        <v>562</v>
      </c>
      <c r="D327" s="355" t="s">
        <v>464</v>
      </c>
      <c r="E327" s="377">
        <v>45023</v>
      </c>
      <c r="F327" s="361">
        <v>45024</v>
      </c>
      <c r="G327" s="361">
        <v>45024</v>
      </c>
      <c r="H327" s="361">
        <v>45024</v>
      </c>
      <c r="I327" s="394">
        <v>45044</v>
      </c>
      <c r="J327" s="387" t="s">
        <v>568</v>
      </c>
      <c r="K327" s="352" t="s">
        <v>487</v>
      </c>
      <c r="L327" s="408">
        <v>30</v>
      </c>
      <c r="M327" s="352" t="s">
        <v>488</v>
      </c>
      <c r="N327" s="409">
        <v>8000</v>
      </c>
      <c r="O327" s="404">
        <v>240000</v>
      </c>
      <c r="P327" s="421">
        <v>5</v>
      </c>
      <c r="Q327" s="429" t="s">
        <v>141</v>
      </c>
      <c r="R327" s="437">
        <v>15000</v>
      </c>
      <c r="S327" s="274">
        <f t="shared" si="42"/>
        <v>300000</v>
      </c>
      <c r="T327" s="439" t="s">
        <v>10</v>
      </c>
      <c r="U327" s="460" t="str">
        <f t="shared" si="43"/>
        <v/>
      </c>
      <c r="V327" s="439" t="s">
        <v>11</v>
      </c>
      <c r="W327" s="439" t="s">
        <v>473</v>
      </c>
      <c r="X327" s="615" t="s">
        <v>541</v>
      </c>
      <c r="Y327" s="275" t="s">
        <v>710</v>
      </c>
      <c r="Z327" s="616" t="s">
        <v>710</v>
      </c>
      <c r="AA327" s="440" t="s">
        <v>488</v>
      </c>
      <c r="AB327" s="441">
        <f t="shared" si="44"/>
        <v>7207.2072072072069</v>
      </c>
      <c r="AC327" s="442">
        <f t="shared" si="45"/>
        <v>216216.21621621621</v>
      </c>
      <c r="AD327" s="437">
        <v>15000</v>
      </c>
      <c r="AE327" s="447">
        <v>3185585.5855855853</v>
      </c>
      <c r="AF327" s="447">
        <v>3536000</v>
      </c>
      <c r="AG327" s="437">
        <v>15000</v>
      </c>
      <c r="AH327" s="271" t="s">
        <v>2092</v>
      </c>
    </row>
    <row r="328" spans="1:34" ht="37.5">
      <c r="A328" s="350">
        <v>142</v>
      </c>
      <c r="B328" s="352" t="s">
        <v>980</v>
      </c>
      <c r="C328" s="352" t="s">
        <v>981</v>
      </c>
      <c r="D328" s="355" t="s">
        <v>464</v>
      </c>
      <c r="E328" s="377">
        <f>F328-1</f>
        <v>45042</v>
      </c>
      <c r="F328" s="361">
        <v>45043</v>
      </c>
      <c r="G328" s="361">
        <v>45024</v>
      </c>
      <c r="H328" s="361">
        <v>45024</v>
      </c>
      <c r="I328" s="394">
        <v>45044</v>
      </c>
      <c r="J328" s="387" t="s">
        <v>982</v>
      </c>
      <c r="K328" s="352" t="s">
        <v>471</v>
      </c>
      <c r="L328" s="793">
        <v>1</v>
      </c>
      <c r="M328" s="352" t="s">
        <v>472</v>
      </c>
      <c r="N328" s="409">
        <v>70000</v>
      </c>
      <c r="O328" s="404">
        <v>70000</v>
      </c>
      <c r="P328" s="421">
        <v>5</v>
      </c>
      <c r="Q328" s="429" t="s">
        <v>139</v>
      </c>
      <c r="R328" s="437">
        <v>20000</v>
      </c>
      <c r="S328" s="274">
        <f t="shared" si="42"/>
        <v>72000</v>
      </c>
      <c r="T328" s="439" t="s">
        <v>10</v>
      </c>
      <c r="U328" s="460" t="str">
        <f t="shared" si="43"/>
        <v>UD. USAHA JAYA</v>
      </c>
      <c r="V328" s="439" t="s">
        <v>11</v>
      </c>
      <c r="W328" s="439" t="s">
        <v>473</v>
      </c>
      <c r="X328" s="615" t="s">
        <v>541</v>
      </c>
      <c r="Y328" s="275" t="s">
        <v>710</v>
      </c>
      <c r="Z328" s="616" t="s">
        <v>710</v>
      </c>
      <c r="AA328" s="440" t="s">
        <v>720</v>
      </c>
      <c r="AB328" s="441">
        <f t="shared" si="44"/>
        <v>63063.063063063062</v>
      </c>
      <c r="AC328" s="442">
        <f t="shared" si="45"/>
        <v>63063.063063063062</v>
      </c>
      <c r="AD328" s="437">
        <v>20000</v>
      </c>
      <c r="AE328" s="447">
        <v>3185585.5855855853</v>
      </c>
      <c r="AF328" s="447">
        <v>3536000</v>
      </c>
      <c r="AG328" s="437">
        <v>20000</v>
      </c>
      <c r="AH328" s="271" t="s">
        <v>2092</v>
      </c>
    </row>
    <row r="329" spans="1:34" ht="37.5">
      <c r="A329" s="350">
        <v>142</v>
      </c>
      <c r="B329" s="352" t="s">
        <v>983</v>
      </c>
      <c r="C329" s="352" t="s">
        <v>981</v>
      </c>
      <c r="D329" s="355" t="s">
        <v>464</v>
      </c>
      <c r="E329" s="377">
        <f>F329-1</f>
        <v>45042</v>
      </c>
      <c r="F329" s="361">
        <v>45043</v>
      </c>
      <c r="G329" s="361">
        <v>45024</v>
      </c>
      <c r="H329" s="361">
        <v>45024</v>
      </c>
      <c r="I329" s="394">
        <v>45044</v>
      </c>
      <c r="J329" s="387" t="s">
        <v>984</v>
      </c>
      <c r="K329" s="352" t="s">
        <v>487</v>
      </c>
      <c r="L329" s="408">
        <v>20</v>
      </c>
      <c r="M329" s="352" t="s">
        <v>488</v>
      </c>
      <c r="N329" s="409">
        <v>8000</v>
      </c>
      <c r="O329" s="404">
        <v>160000</v>
      </c>
      <c r="P329" s="421">
        <v>5</v>
      </c>
      <c r="Q329" s="429" t="s">
        <v>140</v>
      </c>
      <c r="R329" s="437">
        <v>20000</v>
      </c>
      <c r="S329" s="274">
        <f t="shared" si="42"/>
        <v>200000</v>
      </c>
      <c r="T329" s="439" t="s">
        <v>10</v>
      </c>
      <c r="U329" s="460" t="str">
        <f t="shared" si="43"/>
        <v/>
      </c>
      <c r="V329" s="439" t="s">
        <v>11</v>
      </c>
      <c r="W329" s="439" t="s">
        <v>473</v>
      </c>
      <c r="X329" s="615" t="s">
        <v>541</v>
      </c>
      <c r="Y329" s="275" t="s">
        <v>710</v>
      </c>
      <c r="Z329" s="616" t="s">
        <v>710</v>
      </c>
      <c r="AA329" s="440" t="s">
        <v>735</v>
      </c>
      <c r="AB329" s="441">
        <f t="shared" si="44"/>
        <v>7207.2072072072069</v>
      </c>
      <c r="AC329" s="442">
        <f t="shared" si="45"/>
        <v>144144.14414414414</v>
      </c>
      <c r="AD329" s="437">
        <v>20000</v>
      </c>
      <c r="AE329" s="447">
        <v>3185585.5855855853</v>
      </c>
      <c r="AF329" s="447">
        <v>3536000</v>
      </c>
      <c r="AG329" s="437">
        <v>20000</v>
      </c>
      <c r="AH329" s="271" t="s">
        <v>2092</v>
      </c>
    </row>
    <row r="330" spans="1:34">
      <c r="A330" s="350">
        <v>143</v>
      </c>
      <c r="B330" s="352" t="s">
        <v>987</v>
      </c>
      <c r="C330" s="352" t="s">
        <v>594</v>
      </c>
      <c r="D330" s="355" t="s">
        <v>464</v>
      </c>
      <c r="E330" s="377">
        <v>45041</v>
      </c>
      <c r="F330" s="361">
        <v>45042</v>
      </c>
      <c r="G330" s="361">
        <v>45024</v>
      </c>
      <c r="H330" s="361">
        <v>45024</v>
      </c>
      <c r="I330" s="394">
        <v>45044</v>
      </c>
      <c r="J330" s="387" t="s">
        <v>599</v>
      </c>
      <c r="K330" s="352" t="s">
        <v>471</v>
      </c>
      <c r="L330" s="408">
        <v>5</v>
      </c>
      <c r="M330" s="352" t="s">
        <v>472</v>
      </c>
      <c r="N330" s="409">
        <v>70000</v>
      </c>
      <c r="O330" s="404">
        <v>350000</v>
      </c>
      <c r="P330" s="421">
        <v>5</v>
      </c>
      <c r="Q330" s="429" t="s">
        <v>133</v>
      </c>
      <c r="R330" s="437">
        <v>70000</v>
      </c>
      <c r="S330" s="274">
        <f t="shared" si="42"/>
        <v>360000</v>
      </c>
      <c r="T330" s="439" t="s">
        <v>10</v>
      </c>
      <c r="U330" s="460" t="str">
        <f t="shared" si="43"/>
        <v>UD. USAHA JAYA</v>
      </c>
      <c r="V330" s="439" t="s">
        <v>11</v>
      </c>
      <c r="W330" s="439" t="s">
        <v>473</v>
      </c>
      <c r="X330" s="615" t="s">
        <v>541</v>
      </c>
      <c r="Y330" s="275" t="s">
        <v>710</v>
      </c>
      <c r="Z330" s="616" t="s">
        <v>710</v>
      </c>
      <c r="AA330" s="440" t="s">
        <v>488</v>
      </c>
      <c r="AB330" s="441">
        <f t="shared" si="44"/>
        <v>63063.063063063062</v>
      </c>
      <c r="AC330" s="442">
        <f t="shared" si="45"/>
        <v>315315.31531531533</v>
      </c>
      <c r="AD330" s="437">
        <v>70000</v>
      </c>
      <c r="AE330" s="447">
        <v>3185585.5855855853</v>
      </c>
      <c r="AF330" s="447">
        <v>3536000</v>
      </c>
      <c r="AG330" s="437">
        <v>70000</v>
      </c>
      <c r="AH330" s="271" t="s">
        <v>2092</v>
      </c>
    </row>
    <row r="331" spans="1:34" ht="25">
      <c r="A331" s="350">
        <v>143</v>
      </c>
      <c r="B331" s="352" t="s">
        <v>988</v>
      </c>
      <c r="C331" s="352" t="s">
        <v>616</v>
      </c>
      <c r="D331" s="355" t="s">
        <v>464</v>
      </c>
      <c r="E331" s="377">
        <v>45041</v>
      </c>
      <c r="F331" s="361">
        <v>45042</v>
      </c>
      <c r="G331" s="361">
        <v>45024</v>
      </c>
      <c r="H331" s="361">
        <v>45024</v>
      </c>
      <c r="I331" s="394">
        <v>45044</v>
      </c>
      <c r="J331" s="387" t="s">
        <v>619</v>
      </c>
      <c r="K331" s="352" t="s">
        <v>484</v>
      </c>
      <c r="L331" s="408">
        <v>8</v>
      </c>
      <c r="M331" s="352" t="s">
        <v>472</v>
      </c>
      <c r="N331" s="409">
        <v>50000</v>
      </c>
      <c r="O331" s="404">
        <v>400000</v>
      </c>
      <c r="P331" s="459">
        <v>5</v>
      </c>
      <c r="Q331" s="429" t="s">
        <v>911</v>
      </c>
      <c r="R331" s="437">
        <v>15000</v>
      </c>
      <c r="S331" s="274">
        <f t="shared" si="42"/>
        <v>416000</v>
      </c>
      <c r="T331" s="439" t="s">
        <v>10</v>
      </c>
      <c r="U331" s="460" t="str">
        <f t="shared" si="43"/>
        <v/>
      </c>
      <c r="V331" s="439" t="s">
        <v>11</v>
      </c>
      <c r="W331" s="439" t="s">
        <v>473</v>
      </c>
      <c r="X331" s="615" t="s">
        <v>541</v>
      </c>
      <c r="Y331" s="275" t="s">
        <v>710</v>
      </c>
      <c r="Z331" s="616" t="s">
        <v>710</v>
      </c>
      <c r="AA331" s="440" t="s">
        <v>735</v>
      </c>
      <c r="AB331" s="441">
        <f t="shared" si="44"/>
        <v>45045.045045045044</v>
      </c>
      <c r="AC331" s="442">
        <f t="shared" si="45"/>
        <v>360360.36036036036</v>
      </c>
      <c r="AD331" s="437">
        <v>15000</v>
      </c>
      <c r="AE331" s="447">
        <v>3185585.5855855853</v>
      </c>
      <c r="AF331" s="447">
        <v>3536000</v>
      </c>
      <c r="AG331" s="437">
        <v>15000</v>
      </c>
      <c r="AH331" s="271" t="s">
        <v>2092</v>
      </c>
    </row>
    <row r="332" spans="1:34">
      <c r="A332" s="350">
        <v>143</v>
      </c>
      <c r="B332" s="352" t="s">
        <v>989</v>
      </c>
      <c r="C332" s="352" t="s">
        <v>851</v>
      </c>
      <c r="D332" s="355" t="s">
        <v>464</v>
      </c>
      <c r="E332" s="377">
        <v>45041</v>
      </c>
      <c r="F332" s="361">
        <v>45042</v>
      </c>
      <c r="G332" s="361">
        <v>45024</v>
      </c>
      <c r="H332" s="361">
        <v>45024</v>
      </c>
      <c r="I332" s="394">
        <v>45044</v>
      </c>
      <c r="J332" s="387" t="s">
        <v>990</v>
      </c>
      <c r="K332" s="352" t="s">
        <v>487</v>
      </c>
      <c r="L332" s="408">
        <v>210</v>
      </c>
      <c r="M332" s="352" t="s">
        <v>488</v>
      </c>
      <c r="N332" s="409">
        <v>8000</v>
      </c>
      <c r="O332" s="404">
        <v>1680000</v>
      </c>
      <c r="P332" s="421">
        <v>5</v>
      </c>
      <c r="Q332" s="429" t="s">
        <v>128</v>
      </c>
      <c r="R332" s="437">
        <v>1000000</v>
      </c>
      <c r="S332" s="274">
        <f t="shared" si="42"/>
        <v>2100000</v>
      </c>
      <c r="T332" s="275" t="s">
        <v>10</v>
      </c>
      <c r="U332" s="460" t="str">
        <f t="shared" si="43"/>
        <v/>
      </c>
      <c r="V332" s="439" t="s">
        <v>11</v>
      </c>
      <c r="W332" s="439" t="s">
        <v>473</v>
      </c>
      <c r="X332" s="615" t="s">
        <v>541</v>
      </c>
      <c r="Y332" s="275" t="s">
        <v>710</v>
      </c>
      <c r="Z332" s="616" t="s">
        <v>710</v>
      </c>
      <c r="AA332" s="440" t="s">
        <v>714</v>
      </c>
      <c r="AB332" s="441">
        <f t="shared" si="44"/>
        <v>7207.2072072072069</v>
      </c>
      <c r="AC332" s="442">
        <f t="shared" si="45"/>
        <v>1513513.5135135134</v>
      </c>
      <c r="AD332" s="437">
        <v>1000000</v>
      </c>
      <c r="AE332" s="447">
        <v>3185585.5855855853</v>
      </c>
      <c r="AF332" s="447">
        <v>3536000</v>
      </c>
      <c r="AG332" s="437">
        <v>1000000</v>
      </c>
      <c r="AH332" s="271" t="s">
        <v>2092</v>
      </c>
    </row>
    <row r="333" spans="1:34" ht="25">
      <c r="A333" s="350">
        <v>143</v>
      </c>
      <c r="B333" s="352" t="s">
        <v>991</v>
      </c>
      <c r="C333" s="352" t="s">
        <v>851</v>
      </c>
      <c r="D333" s="355" t="s">
        <v>464</v>
      </c>
      <c r="E333" s="377">
        <v>45041</v>
      </c>
      <c r="F333" s="361">
        <v>45042</v>
      </c>
      <c r="G333" s="361">
        <v>45024</v>
      </c>
      <c r="H333" s="361">
        <v>45024</v>
      </c>
      <c r="I333" s="394">
        <v>45044</v>
      </c>
      <c r="J333" s="387" t="s">
        <v>992</v>
      </c>
      <c r="K333" s="352" t="s">
        <v>471</v>
      </c>
      <c r="L333" s="408">
        <v>12</v>
      </c>
      <c r="M333" s="352" t="s">
        <v>472</v>
      </c>
      <c r="N333" s="409">
        <v>70000</v>
      </c>
      <c r="O333" s="404">
        <v>840000</v>
      </c>
      <c r="P333" s="421">
        <v>5</v>
      </c>
      <c r="Q333" s="429" t="s">
        <v>151</v>
      </c>
      <c r="R333" s="437">
        <v>150000</v>
      </c>
      <c r="S333" s="274">
        <f t="shared" si="42"/>
        <v>864000</v>
      </c>
      <c r="T333" s="439" t="s">
        <v>10</v>
      </c>
      <c r="U333" s="460" t="str">
        <f t="shared" si="43"/>
        <v>UD. USAHA JAYA</v>
      </c>
      <c r="V333" s="439" t="s">
        <v>11</v>
      </c>
      <c r="W333" s="439" t="s">
        <v>473</v>
      </c>
      <c r="X333" s="615" t="s">
        <v>541</v>
      </c>
      <c r="Y333" s="275" t="s">
        <v>710</v>
      </c>
      <c r="Z333" s="616" t="s">
        <v>710</v>
      </c>
      <c r="AA333" s="440" t="s">
        <v>735</v>
      </c>
      <c r="AB333" s="441">
        <f t="shared" si="44"/>
        <v>63063.063063063062</v>
      </c>
      <c r="AC333" s="442">
        <f t="shared" si="45"/>
        <v>756756.75675675669</v>
      </c>
      <c r="AD333" s="437">
        <v>150000</v>
      </c>
      <c r="AE333" s="447">
        <v>3185585.5855855853</v>
      </c>
      <c r="AF333" s="447">
        <v>3536000</v>
      </c>
      <c r="AG333" s="437">
        <v>150000</v>
      </c>
      <c r="AH333" s="271" t="s">
        <v>2092</v>
      </c>
    </row>
    <row r="334" spans="1:34" ht="37.5">
      <c r="A334" s="350">
        <v>144</v>
      </c>
      <c r="B334" s="352" t="s">
        <v>985</v>
      </c>
      <c r="C334" s="352" t="s">
        <v>981</v>
      </c>
      <c r="D334" s="355" t="s">
        <v>464</v>
      </c>
      <c r="E334" s="377">
        <f>F334-1</f>
        <v>45042</v>
      </c>
      <c r="F334" s="361">
        <v>45043</v>
      </c>
      <c r="G334" s="361">
        <v>45024</v>
      </c>
      <c r="H334" s="361">
        <v>45024</v>
      </c>
      <c r="I334" s="394">
        <v>45044</v>
      </c>
      <c r="J334" s="387" t="s">
        <v>986</v>
      </c>
      <c r="K334" s="262" t="s">
        <v>467</v>
      </c>
      <c r="L334" s="408">
        <v>20</v>
      </c>
      <c r="M334" s="262" t="s">
        <v>231</v>
      </c>
      <c r="N334" s="409">
        <v>35000</v>
      </c>
      <c r="O334" s="404">
        <v>700000</v>
      </c>
      <c r="P334" s="421">
        <v>5</v>
      </c>
      <c r="Q334" s="429" t="s">
        <v>127</v>
      </c>
      <c r="R334" s="437">
        <v>270000</v>
      </c>
      <c r="S334" s="274">
        <f t="shared" si="42"/>
        <v>740000</v>
      </c>
      <c r="T334" s="444" t="s">
        <v>282</v>
      </c>
      <c r="U334" s="460" t="str">
        <f t="shared" si="43"/>
        <v>Resto JFC Esther</v>
      </c>
      <c r="V334" s="444" t="s">
        <v>1258</v>
      </c>
      <c r="W334" s="444" t="s">
        <v>468</v>
      </c>
      <c r="X334" s="615" t="s">
        <v>541</v>
      </c>
      <c r="Y334" s="275" t="s">
        <v>710</v>
      </c>
      <c r="Z334" s="616" t="s">
        <v>710</v>
      </c>
      <c r="AA334" s="440" t="s">
        <v>728</v>
      </c>
      <c r="AB334" s="441">
        <f t="shared" si="44"/>
        <v>31531.531531531531</v>
      </c>
      <c r="AC334" s="442">
        <f t="shared" si="45"/>
        <v>630630.63063063065</v>
      </c>
      <c r="AD334" s="437">
        <v>270000</v>
      </c>
      <c r="AE334" s="447">
        <v>3185585.5855855853</v>
      </c>
      <c r="AF334" s="447">
        <v>3536000</v>
      </c>
      <c r="AG334" s="437">
        <v>270000</v>
      </c>
      <c r="AH334" s="271" t="s">
        <v>2091</v>
      </c>
    </row>
    <row r="335" spans="1:34">
      <c r="A335" s="350">
        <v>146</v>
      </c>
      <c r="B335" s="352" t="s">
        <v>998</v>
      </c>
      <c r="C335" s="352" t="s">
        <v>639</v>
      </c>
      <c r="D335" s="355" t="s">
        <v>464</v>
      </c>
      <c r="E335" s="377">
        <f>F335-1</f>
        <v>45023</v>
      </c>
      <c r="F335" s="363" t="s">
        <v>999</v>
      </c>
      <c r="G335" s="361">
        <v>45041</v>
      </c>
      <c r="H335" s="361">
        <v>45041</v>
      </c>
      <c r="I335" s="394">
        <v>45045</v>
      </c>
      <c r="J335" s="387" t="s">
        <v>640</v>
      </c>
      <c r="K335" s="352" t="s">
        <v>641</v>
      </c>
      <c r="L335" s="408">
        <v>72</v>
      </c>
      <c r="M335" s="352" t="s">
        <v>488</v>
      </c>
      <c r="N335" s="409">
        <v>5000</v>
      </c>
      <c r="O335" s="404">
        <v>360000</v>
      </c>
      <c r="P335" s="421">
        <v>5</v>
      </c>
      <c r="Q335" s="492" t="s">
        <v>145</v>
      </c>
      <c r="R335" s="437">
        <v>21000</v>
      </c>
      <c r="S335" s="274">
        <f t="shared" si="42"/>
        <v>504000</v>
      </c>
      <c r="T335" s="439"/>
      <c r="U335" s="460" t="str">
        <f t="shared" si="43"/>
        <v/>
      </c>
      <c r="V335" s="439"/>
      <c r="W335" s="439"/>
      <c r="X335" s="615" t="s">
        <v>541</v>
      </c>
      <c r="Y335" s="275" t="s">
        <v>710</v>
      </c>
      <c r="Z335" s="616" t="s">
        <v>710</v>
      </c>
      <c r="AA335" s="440" t="s">
        <v>756</v>
      </c>
      <c r="AB335" s="441">
        <f t="shared" si="44"/>
        <v>4504.5045045045044</v>
      </c>
      <c r="AC335" s="442">
        <f t="shared" si="45"/>
        <v>324324.32432432432</v>
      </c>
      <c r="AD335" s="437">
        <v>21000</v>
      </c>
      <c r="AE335" s="447">
        <v>3185585.5855855853</v>
      </c>
      <c r="AF335" s="447">
        <v>3536000</v>
      </c>
      <c r="AG335" s="437">
        <v>21000</v>
      </c>
    </row>
    <row r="336" spans="1:34">
      <c r="A336" s="350">
        <v>151</v>
      </c>
      <c r="B336" s="352" t="s">
        <v>1020</v>
      </c>
      <c r="C336" s="352" t="s">
        <v>507</v>
      </c>
      <c r="D336" s="355" t="s">
        <v>1021</v>
      </c>
      <c r="E336" s="377">
        <v>45044</v>
      </c>
      <c r="F336" s="361">
        <v>45045</v>
      </c>
      <c r="G336" s="361">
        <v>45046</v>
      </c>
      <c r="H336" s="361">
        <v>45046</v>
      </c>
      <c r="I336" s="394">
        <v>45045</v>
      </c>
      <c r="J336" s="387" t="s">
        <v>1022</v>
      </c>
      <c r="K336" s="388" t="s">
        <v>1023</v>
      </c>
      <c r="L336" s="408">
        <v>3</v>
      </c>
      <c r="M336" s="352" t="s">
        <v>792</v>
      </c>
      <c r="N336" s="409">
        <v>200000</v>
      </c>
      <c r="O336" s="404">
        <v>600000</v>
      </c>
      <c r="P336" s="421">
        <v>5</v>
      </c>
      <c r="Q336" s="492" t="s">
        <v>100</v>
      </c>
      <c r="R336" s="437">
        <v>26000</v>
      </c>
      <c r="S336" s="274">
        <f t="shared" si="42"/>
        <v>606000</v>
      </c>
      <c r="T336" s="439" t="s">
        <v>12</v>
      </c>
      <c r="U336" s="460" t="str">
        <f t="shared" si="43"/>
        <v/>
      </c>
      <c r="V336" s="439" t="s">
        <v>13</v>
      </c>
      <c r="W336" s="439" t="s">
        <v>804</v>
      </c>
      <c r="X336" s="615" t="s">
        <v>541</v>
      </c>
      <c r="Y336" s="275" t="s">
        <v>710</v>
      </c>
      <c r="Z336" s="616" t="s">
        <v>710</v>
      </c>
      <c r="AA336" s="440" t="s">
        <v>488</v>
      </c>
      <c r="AB336" s="441">
        <f t="shared" si="44"/>
        <v>180180.18018018018</v>
      </c>
      <c r="AC336" s="442">
        <f t="shared" si="45"/>
        <v>540540.54054054059</v>
      </c>
      <c r="AD336" s="437">
        <v>26000</v>
      </c>
      <c r="AE336" s="447">
        <v>3185585.5855855853</v>
      </c>
      <c r="AF336" s="447">
        <v>3536000</v>
      </c>
      <c r="AG336" s="437">
        <v>26000</v>
      </c>
      <c r="AH336" s="271" t="s">
        <v>2099</v>
      </c>
    </row>
    <row r="337" spans="1:36">
      <c r="A337" s="350">
        <v>152</v>
      </c>
      <c r="B337" s="352" t="s">
        <v>1025</v>
      </c>
      <c r="C337" s="352" t="s">
        <v>1026</v>
      </c>
      <c r="D337" s="355" t="s">
        <v>1027</v>
      </c>
      <c r="E337" s="377">
        <v>45045</v>
      </c>
      <c r="F337" s="361">
        <v>45046</v>
      </c>
      <c r="G337" s="361">
        <v>45046</v>
      </c>
      <c r="H337" s="361">
        <v>45046</v>
      </c>
      <c r="I337" s="394">
        <v>45045</v>
      </c>
      <c r="J337" s="387" t="s">
        <v>1028</v>
      </c>
      <c r="K337" s="387" t="s">
        <v>1029</v>
      </c>
      <c r="L337" s="408">
        <v>100</v>
      </c>
      <c r="M337" s="352" t="s">
        <v>574</v>
      </c>
      <c r="N337" s="409">
        <v>10000</v>
      </c>
      <c r="O337" s="404">
        <v>1000000</v>
      </c>
      <c r="P337" s="421">
        <v>5</v>
      </c>
      <c r="Q337" s="429" t="s">
        <v>1034</v>
      </c>
      <c r="R337" s="437">
        <v>14000</v>
      </c>
      <c r="S337" s="274">
        <f t="shared" si="42"/>
        <v>1200000</v>
      </c>
      <c r="T337" s="439" t="s">
        <v>538</v>
      </c>
      <c r="U337" s="460" t="str">
        <f t="shared" si="43"/>
        <v/>
      </c>
      <c r="V337" s="439" t="s">
        <v>539</v>
      </c>
      <c r="W337" s="439" t="s">
        <v>540</v>
      </c>
      <c r="X337" s="615" t="s">
        <v>541</v>
      </c>
      <c r="Y337" s="275" t="s">
        <v>710</v>
      </c>
      <c r="Z337" s="616" t="s">
        <v>710</v>
      </c>
      <c r="AA337" s="440" t="s">
        <v>753</v>
      </c>
      <c r="AB337" s="441">
        <f t="shared" si="44"/>
        <v>9009.0090090090089</v>
      </c>
      <c r="AC337" s="442">
        <f t="shared" si="45"/>
        <v>900900.90090090083</v>
      </c>
      <c r="AD337" s="437">
        <v>14000</v>
      </c>
      <c r="AE337" s="447">
        <v>3185585.5855855853</v>
      </c>
      <c r="AF337" s="447">
        <v>3536000</v>
      </c>
      <c r="AG337" s="437">
        <v>14000</v>
      </c>
      <c r="AH337" s="271" t="s">
        <v>2098</v>
      </c>
    </row>
    <row r="338" spans="1:36">
      <c r="A338" s="350">
        <v>152</v>
      </c>
      <c r="B338" s="352" t="s">
        <v>1125</v>
      </c>
      <c r="C338" s="352" t="s">
        <v>1126</v>
      </c>
      <c r="D338" s="355" t="s">
        <v>1127</v>
      </c>
      <c r="E338" s="377">
        <v>45026</v>
      </c>
      <c r="F338" s="361">
        <v>45028</v>
      </c>
      <c r="G338" s="361">
        <v>45077</v>
      </c>
      <c r="H338" s="361">
        <v>45077</v>
      </c>
      <c r="I338" s="394">
        <v>45077</v>
      </c>
      <c r="J338" s="388" t="s">
        <v>1128</v>
      </c>
      <c r="K338" s="387" t="s">
        <v>1129</v>
      </c>
      <c r="L338" s="408">
        <v>72</v>
      </c>
      <c r="M338" s="352" t="s">
        <v>792</v>
      </c>
      <c r="N338" s="409">
        <v>650000</v>
      </c>
      <c r="O338" s="404">
        <v>46800000</v>
      </c>
      <c r="P338" s="421">
        <v>5</v>
      </c>
      <c r="Q338" s="492" t="s">
        <v>918</v>
      </c>
      <c r="R338" s="437">
        <v>25000</v>
      </c>
      <c r="S338" s="274">
        <f t="shared" si="42"/>
        <v>46944000</v>
      </c>
      <c r="T338" s="439"/>
      <c r="U338" s="460" t="str">
        <f t="shared" si="43"/>
        <v/>
      </c>
      <c r="V338" s="439"/>
      <c r="W338" s="439"/>
      <c r="X338" s="615" t="s">
        <v>541</v>
      </c>
      <c r="Y338" s="275" t="s">
        <v>710</v>
      </c>
      <c r="Z338" s="616" t="s">
        <v>710</v>
      </c>
      <c r="AA338" s="440" t="s">
        <v>714</v>
      </c>
      <c r="AB338" s="441">
        <f t="shared" si="44"/>
        <v>585585.58558558556</v>
      </c>
      <c r="AC338" s="442">
        <f t="shared" si="45"/>
        <v>42162162.162162162</v>
      </c>
      <c r="AD338" s="437">
        <v>25000</v>
      </c>
      <c r="AE338" s="447">
        <v>3185585.5855855853</v>
      </c>
      <c r="AF338" s="447">
        <v>3536000</v>
      </c>
      <c r="AG338" s="437">
        <v>25000</v>
      </c>
    </row>
    <row r="339" spans="1:36">
      <c r="A339" s="350">
        <v>158</v>
      </c>
      <c r="B339" s="352" t="s">
        <v>1030</v>
      </c>
      <c r="C339" s="354" t="s">
        <v>704</v>
      </c>
      <c r="D339" s="355" t="s">
        <v>705</v>
      </c>
      <c r="E339" s="376" t="s">
        <v>1031</v>
      </c>
      <c r="F339" s="363" t="s">
        <v>1032</v>
      </c>
      <c r="G339" s="363" t="s">
        <v>1032</v>
      </c>
      <c r="H339" s="363" t="s">
        <v>1032</v>
      </c>
      <c r="I339" s="394">
        <v>45049</v>
      </c>
      <c r="J339" s="354" t="s">
        <v>249</v>
      </c>
      <c r="K339" s="387" t="s">
        <v>888</v>
      </c>
      <c r="L339" s="402">
        <v>1</v>
      </c>
      <c r="M339" s="352" t="s">
        <v>749</v>
      </c>
      <c r="N339" s="403">
        <v>21000</v>
      </c>
      <c r="O339" s="404">
        <v>21000</v>
      </c>
      <c r="P339" s="421">
        <v>5</v>
      </c>
      <c r="Q339" s="429" t="s">
        <v>101</v>
      </c>
      <c r="R339" s="437">
        <v>97000</v>
      </c>
      <c r="S339" s="274">
        <f t="shared" si="42"/>
        <v>23000</v>
      </c>
      <c r="T339" s="439" t="s">
        <v>538</v>
      </c>
      <c r="U339" s="460" t="str">
        <f t="shared" si="43"/>
        <v/>
      </c>
      <c r="V339" s="439" t="s">
        <v>539</v>
      </c>
      <c r="W339" s="439" t="s">
        <v>540</v>
      </c>
      <c r="X339" s="615" t="s">
        <v>541</v>
      </c>
      <c r="Y339" s="275" t="s">
        <v>710</v>
      </c>
      <c r="Z339" s="616" t="s">
        <v>710</v>
      </c>
      <c r="AA339" s="440" t="s">
        <v>574</v>
      </c>
      <c r="AB339" s="441">
        <f t="shared" si="44"/>
        <v>18918.91891891892</v>
      </c>
      <c r="AC339" s="442">
        <f t="shared" si="45"/>
        <v>18918.91891891892</v>
      </c>
      <c r="AD339" s="437">
        <v>97000</v>
      </c>
      <c r="AE339" s="447">
        <v>3185585.5855855853</v>
      </c>
      <c r="AF339" s="447">
        <v>3536000</v>
      </c>
      <c r="AG339" s="437">
        <v>97000</v>
      </c>
      <c r="AH339" s="271" t="s">
        <v>2098</v>
      </c>
    </row>
    <row r="340" spans="1:36">
      <c r="A340" s="350">
        <v>158</v>
      </c>
      <c r="B340" s="352" t="s">
        <v>1030</v>
      </c>
      <c r="C340" s="354" t="s">
        <v>704</v>
      </c>
      <c r="D340" s="355" t="s">
        <v>705</v>
      </c>
      <c r="E340" s="376" t="s">
        <v>1031</v>
      </c>
      <c r="F340" s="363" t="s">
        <v>1032</v>
      </c>
      <c r="G340" s="363" t="s">
        <v>1032</v>
      </c>
      <c r="H340" s="363" t="s">
        <v>1032</v>
      </c>
      <c r="I340" s="394">
        <v>45049</v>
      </c>
      <c r="J340" s="354" t="s">
        <v>265</v>
      </c>
      <c r="K340" s="388" t="s">
        <v>890</v>
      </c>
      <c r="L340" s="402">
        <v>1</v>
      </c>
      <c r="M340" s="352" t="s">
        <v>551</v>
      </c>
      <c r="N340" s="403">
        <v>30000</v>
      </c>
      <c r="O340" s="404">
        <v>30000</v>
      </c>
      <c r="P340" s="421">
        <v>5</v>
      </c>
      <c r="Q340" s="429" t="s">
        <v>296</v>
      </c>
      <c r="R340" s="437">
        <v>1200000</v>
      </c>
      <c r="S340" s="274">
        <f t="shared" si="42"/>
        <v>32000</v>
      </c>
      <c r="T340" s="439" t="s">
        <v>538</v>
      </c>
      <c r="U340" s="460" t="str">
        <f t="shared" si="43"/>
        <v/>
      </c>
      <c r="V340" s="439" t="s">
        <v>539</v>
      </c>
      <c r="W340" s="439" t="s">
        <v>540</v>
      </c>
      <c r="X340" s="439"/>
      <c r="Y340" s="439" t="str">
        <f>J340</f>
        <v>Tinta Stempel</v>
      </c>
      <c r="Z340" s="449"/>
      <c r="AA340" s="440" t="s">
        <v>792</v>
      </c>
      <c r="AB340" s="441">
        <f t="shared" si="44"/>
        <v>27027.027027027027</v>
      </c>
      <c r="AC340" s="442">
        <f t="shared" si="45"/>
        <v>27027.027027027027</v>
      </c>
      <c r="AD340" s="437">
        <v>1200000</v>
      </c>
      <c r="AE340" s="447">
        <v>1081081.0810810812</v>
      </c>
      <c r="AF340" s="447">
        <v>1200000</v>
      </c>
      <c r="AG340" s="437">
        <v>1200000</v>
      </c>
      <c r="AH340" s="271" t="s">
        <v>2098</v>
      </c>
    </row>
    <row r="341" spans="1:36">
      <c r="A341" s="350">
        <v>158</v>
      </c>
      <c r="B341" s="352" t="s">
        <v>1030</v>
      </c>
      <c r="C341" s="354" t="s">
        <v>704</v>
      </c>
      <c r="D341" s="355" t="s">
        <v>705</v>
      </c>
      <c r="E341" s="376" t="s">
        <v>1031</v>
      </c>
      <c r="F341" s="363" t="s">
        <v>1032</v>
      </c>
      <c r="G341" s="363" t="s">
        <v>1032</v>
      </c>
      <c r="H341" s="363" t="s">
        <v>1032</v>
      </c>
      <c r="I341" s="394">
        <v>45049</v>
      </c>
      <c r="J341" s="354" t="s">
        <v>236</v>
      </c>
      <c r="K341" s="389" t="s">
        <v>771</v>
      </c>
      <c r="L341" s="402">
        <v>4</v>
      </c>
      <c r="M341" s="352" t="s">
        <v>772</v>
      </c>
      <c r="N341" s="403">
        <v>65000</v>
      </c>
      <c r="O341" s="404">
        <v>260000</v>
      </c>
      <c r="P341" s="421">
        <v>5</v>
      </c>
      <c r="Q341" s="275"/>
      <c r="R341" s="437">
        <v>2800000</v>
      </c>
      <c r="S341" s="274">
        <f t="shared" si="42"/>
        <v>268000</v>
      </c>
      <c r="T341" s="439" t="s">
        <v>538</v>
      </c>
      <c r="U341" s="460" t="str">
        <f t="shared" si="43"/>
        <v/>
      </c>
      <c r="V341" s="439" t="s">
        <v>539</v>
      </c>
      <c r="W341" s="439" t="s">
        <v>540</v>
      </c>
      <c r="X341" s="439"/>
      <c r="Y341" s="439" t="s">
        <v>806</v>
      </c>
      <c r="Z341" s="449" t="s">
        <v>806</v>
      </c>
      <c r="AA341" s="440" t="s">
        <v>774</v>
      </c>
      <c r="AB341" s="441">
        <f t="shared" si="44"/>
        <v>58558.558558558558</v>
      </c>
      <c r="AC341" s="442">
        <f t="shared" si="45"/>
        <v>234234.23423423423</v>
      </c>
      <c r="AD341" s="437">
        <v>2800000</v>
      </c>
      <c r="AE341" s="447">
        <v>4183783.7837837841</v>
      </c>
      <c r="AF341" s="447">
        <v>4644000</v>
      </c>
      <c r="AG341" s="437">
        <v>2800000</v>
      </c>
      <c r="AH341" s="271" t="s">
        <v>2098</v>
      </c>
      <c r="AI341" s="277">
        <f>SUM(AC341:AC343)</f>
        <v>303153.15315315314</v>
      </c>
      <c r="AJ341" s="277">
        <f>SUM(AD341:AD343)</f>
        <v>4644000</v>
      </c>
    </row>
    <row r="342" spans="1:36">
      <c r="A342" s="350">
        <v>158</v>
      </c>
      <c r="B342" s="352" t="s">
        <v>1030</v>
      </c>
      <c r="C342" s="354" t="s">
        <v>704</v>
      </c>
      <c r="D342" s="355" t="s">
        <v>705</v>
      </c>
      <c r="E342" s="376" t="s">
        <v>1031</v>
      </c>
      <c r="F342" s="363" t="s">
        <v>1032</v>
      </c>
      <c r="G342" s="363" t="s">
        <v>1032</v>
      </c>
      <c r="H342" s="363" t="s">
        <v>1032</v>
      </c>
      <c r="I342" s="394">
        <v>45049</v>
      </c>
      <c r="J342" s="354" t="s">
        <v>239</v>
      </c>
      <c r="K342" s="387" t="s">
        <v>239</v>
      </c>
      <c r="L342" s="402">
        <v>1</v>
      </c>
      <c r="M342" s="352" t="s">
        <v>597</v>
      </c>
      <c r="N342" s="403">
        <v>16500</v>
      </c>
      <c r="O342" s="404">
        <v>16500</v>
      </c>
      <c r="P342" s="421">
        <v>5</v>
      </c>
      <c r="Q342" s="275"/>
      <c r="R342" s="437">
        <v>500000</v>
      </c>
      <c r="S342" s="274">
        <f t="shared" si="42"/>
        <v>18500</v>
      </c>
      <c r="T342" s="439" t="s">
        <v>538</v>
      </c>
      <c r="U342" s="460" t="str">
        <f t="shared" si="43"/>
        <v/>
      </c>
      <c r="V342" s="439" t="s">
        <v>539</v>
      </c>
      <c r="W342" s="439" t="s">
        <v>540</v>
      </c>
      <c r="X342" s="439"/>
      <c r="Y342" s="439" t="s">
        <v>806</v>
      </c>
      <c r="Z342" s="449" t="s">
        <v>806</v>
      </c>
      <c r="AA342" s="440" t="s">
        <v>792</v>
      </c>
      <c r="AB342" s="441">
        <f t="shared" si="44"/>
        <v>14864.864864864865</v>
      </c>
      <c r="AC342" s="442">
        <f t="shared" si="45"/>
        <v>14864.864864864865</v>
      </c>
      <c r="AD342" s="437">
        <v>500000</v>
      </c>
      <c r="AE342" s="447">
        <v>4183783.7837837841</v>
      </c>
      <c r="AF342" s="447">
        <v>4644000</v>
      </c>
      <c r="AG342" s="437">
        <v>500000</v>
      </c>
      <c r="AH342" s="271" t="s">
        <v>2098</v>
      </c>
    </row>
    <row r="343" spans="1:36">
      <c r="A343" s="350">
        <v>158</v>
      </c>
      <c r="B343" s="352" t="s">
        <v>1030</v>
      </c>
      <c r="C343" s="354" t="s">
        <v>704</v>
      </c>
      <c r="D343" s="355" t="s">
        <v>705</v>
      </c>
      <c r="E343" s="376" t="s">
        <v>1031</v>
      </c>
      <c r="F343" s="363" t="s">
        <v>1032</v>
      </c>
      <c r="G343" s="363" t="s">
        <v>1032</v>
      </c>
      <c r="H343" s="363" t="s">
        <v>1032</v>
      </c>
      <c r="I343" s="394">
        <v>45049</v>
      </c>
      <c r="J343" s="354" t="s">
        <v>263</v>
      </c>
      <c r="K343" s="388" t="s">
        <v>885</v>
      </c>
      <c r="L343" s="402">
        <v>5</v>
      </c>
      <c r="M343" s="352" t="s">
        <v>753</v>
      </c>
      <c r="N343" s="403">
        <v>12000</v>
      </c>
      <c r="O343" s="404">
        <v>60000</v>
      </c>
      <c r="P343" s="421">
        <v>5</v>
      </c>
      <c r="Q343" s="275"/>
      <c r="R343" s="437">
        <v>1344000</v>
      </c>
      <c r="S343" s="274">
        <f t="shared" si="42"/>
        <v>70000</v>
      </c>
      <c r="T343" s="439" t="s">
        <v>538</v>
      </c>
      <c r="U343" s="460" t="str">
        <f t="shared" si="43"/>
        <v/>
      </c>
      <c r="V343" s="439" t="s">
        <v>539</v>
      </c>
      <c r="W343" s="439" t="s">
        <v>540</v>
      </c>
      <c r="X343" s="439"/>
      <c r="Y343" s="439" t="s">
        <v>806</v>
      </c>
      <c r="Z343" s="449" t="s">
        <v>806</v>
      </c>
      <c r="AA343" s="440" t="s">
        <v>551</v>
      </c>
      <c r="AB343" s="441">
        <f t="shared" si="44"/>
        <v>10810.810810810812</v>
      </c>
      <c r="AC343" s="442">
        <f t="shared" si="45"/>
        <v>54054.054054054061</v>
      </c>
      <c r="AD343" s="437">
        <v>1344000</v>
      </c>
      <c r="AE343" s="447">
        <v>4183783.7837837841</v>
      </c>
      <c r="AF343" s="447">
        <v>4644000</v>
      </c>
      <c r="AG343" s="437">
        <v>1344000</v>
      </c>
      <c r="AH343" s="271" t="s">
        <v>2098</v>
      </c>
    </row>
    <row r="344" spans="1:36">
      <c r="A344" s="350">
        <v>158</v>
      </c>
      <c r="B344" s="352" t="s">
        <v>1030</v>
      </c>
      <c r="C344" s="354" t="s">
        <v>704</v>
      </c>
      <c r="D344" s="355" t="s">
        <v>705</v>
      </c>
      <c r="E344" s="376" t="s">
        <v>1031</v>
      </c>
      <c r="F344" s="363" t="s">
        <v>1032</v>
      </c>
      <c r="G344" s="363" t="s">
        <v>1032</v>
      </c>
      <c r="H344" s="363" t="s">
        <v>1032</v>
      </c>
      <c r="I344" s="394">
        <v>45049</v>
      </c>
      <c r="J344" s="354" t="s">
        <v>260</v>
      </c>
      <c r="K344" s="388" t="s">
        <v>891</v>
      </c>
      <c r="L344" s="402">
        <v>5</v>
      </c>
      <c r="M344" s="352" t="s">
        <v>753</v>
      </c>
      <c r="N344" s="403">
        <v>65000</v>
      </c>
      <c r="O344" s="404">
        <v>325000</v>
      </c>
      <c r="P344" s="421">
        <v>5</v>
      </c>
      <c r="Q344" s="430" t="s">
        <v>668</v>
      </c>
      <c r="R344" s="437">
        <v>90000</v>
      </c>
      <c r="S344" s="274">
        <f t="shared" si="42"/>
        <v>335000</v>
      </c>
      <c r="T344" s="439" t="s">
        <v>538</v>
      </c>
      <c r="U344" s="460" t="str">
        <f t="shared" si="43"/>
        <v/>
      </c>
      <c r="V344" s="439" t="s">
        <v>539</v>
      </c>
      <c r="W344" s="439" t="s">
        <v>540</v>
      </c>
      <c r="X344" s="615" t="s">
        <v>541</v>
      </c>
      <c r="Y344" s="439" t="s">
        <v>542</v>
      </c>
      <c r="Z344" s="449" t="s">
        <v>542</v>
      </c>
      <c r="AA344" s="440" t="s">
        <v>488</v>
      </c>
      <c r="AB344" s="441">
        <f t="shared" si="44"/>
        <v>58558.558558558558</v>
      </c>
      <c r="AC344" s="442">
        <f t="shared" si="45"/>
        <v>292792.79279279278</v>
      </c>
      <c r="AD344" s="437">
        <v>90000</v>
      </c>
      <c r="AE344" s="447">
        <v>297297.29729729734</v>
      </c>
      <c r="AF344" s="447">
        <v>330000</v>
      </c>
      <c r="AG344" s="437">
        <v>90000</v>
      </c>
      <c r="AH344" s="271" t="s">
        <v>2098</v>
      </c>
      <c r="AI344" s="277">
        <f>SUM(AC344:AC345)</f>
        <v>333333.33333333331</v>
      </c>
      <c r="AJ344" s="277">
        <f>SUM(AD344:AD345)</f>
        <v>330000</v>
      </c>
    </row>
    <row r="345" spans="1:36">
      <c r="A345" s="350">
        <v>158</v>
      </c>
      <c r="B345" s="352" t="s">
        <v>1030</v>
      </c>
      <c r="C345" s="354" t="s">
        <v>704</v>
      </c>
      <c r="D345" s="355" t="s">
        <v>705</v>
      </c>
      <c r="E345" s="376" t="s">
        <v>1031</v>
      </c>
      <c r="F345" s="363" t="s">
        <v>1032</v>
      </c>
      <c r="G345" s="363" t="s">
        <v>1032</v>
      </c>
      <c r="H345" s="363" t="s">
        <v>1032</v>
      </c>
      <c r="I345" s="394">
        <v>45049</v>
      </c>
      <c r="J345" s="354" t="s">
        <v>897</v>
      </c>
      <c r="K345" s="388" t="s">
        <v>723</v>
      </c>
      <c r="L345" s="402">
        <v>1</v>
      </c>
      <c r="M345" s="352" t="s">
        <v>724</v>
      </c>
      <c r="N345" s="403">
        <v>45000</v>
      </c>
      <c r="O345" s="404">
        <v>45000</v>
      </c>
      <c r="P345" s="421">
        <v>5</v>
      </c>
      <c r="Q345" s="431" t="s">
        <v>537</v>
      </c>
      <c r="R345" s="273">
        <v>240000</v>
      </c>
      <c r="S345" s="274">
        <f t="shared" si="42"/>
        <v>47000</v>
      </c>
      <c r="T345" s="439" t="s">
        <v>538</v>
      </c>
      <c r="U345" s="460" t="str">
        <f t="shared" si="43"/>
        <v/>
      </c>
      <c r="V345" s="439" t="s">
        <v>539</v>
      </c>
      <c r="W345" s="439" t="s">
        <v>540</v>
      </c>
      <c r="X345" s="615" t="s">
        <v>541</v>
      </c>
      <c r="Y345" s="439" t="s">
        <v>542</v>
      </c>
      <c r="Z345" s="449" t="s">
        <v>542</v>
      </c>
      <c r="AA345" s="440" t="s">
        <v>792</v>
      </c>
      <c r="AB345" s="441">
        <f t="shared" si="44"/>
        <v>40540.54054054054</v>
      </c>
      <c r="AC345" s="442">
        <f t="shared" si="45"/>
        <v>40540.54054054054</v>
      </c>
      <c r="AD345" s="273">
        <v>240000</v>
      </c>
      <c r="AE345" s="447">
        <v>297297.29729729734</v>
      </c>
      <c r="AF345" s="447">
        <v>330000</v>
      </c>
      <c r="AG345" s="437">
        <v>240000</v>
      </c>
      <c r="AH345" s="271" t="s">
        <v>2098</v>
      </c>
    </row>
    <row r="346" spans="1:36" ht="25">
      <c r="A346" s="350">
        <v>158</v>
      </c>
      <c r="B346" s="352" t="s">
        <v>1030</v>
      </c>
      <c r="C346" s="354" t="s">
        <v>704</v>
      </c>
      <c r="D346" s="355" t="s">
        <v>705</v>
      </c>
      <c r="E346" s="376" t="s">
        <v>1031</v>
      </c>
      <c r="F346" s="363" t="s">
        <v>1032</v>
      </c>
      <c r="G346" s="363" t="s">
        <v>1032</v>
      </c>
      <c r="H346" s="363" t="s">
        <v>1032</v>
      </c>
      <c r="I346" s="394">
        <v>45049</v>
      </c>
      <c r="J346" s="354" t="s">
        <v>230</v>
      </c>
      <c r="K346" s="387" t="s">
        <v>230</v>
      </c>
      <c r="L346" s="402">
        <v>1</v>
      </c>
      <c r="M346" s="352" t="s">
        <v>728</v>
      </c>
      <c r="N346" s="403">
        <v>40000</v>
      </c>
      <c r="O346" s="404">
        <v>40000</v>
      </c>
      <c r="P346" s="421">
        <v>5</v>
      </c>
      <c r="Q346" s="439" t="s">
        <v>575</v>
      </c>
      <c r="R346" s="437">
        <v>75000</v>
      </c>
      <c r="S346" s="274">
        <f t="shared" si="42"/>
        <v>42000</v>
      </c>
      <c r="T346" s="439" t="s">
        <v>538</v>
      </c>
      <c r="U346" s="460" t="str">
        <f t="shared" si="43"/>
        <v/>
      </c>
      <c r="V346" s="439" t="s">
        <v>539</v>
      </c>
      <c r="W346" s="439" t="s">
        <v>540</v>
      </c>
      <c r="X346" s="615" t="s">
        <v>541</v>
      </c>
      <c r="Y346" s="439" t="str">
        <f>J346</f>
        <v>Amplop Coklat Merk : GSU Ukuran : 1/2 folio, bergaris</v>
      </c>
      <c r="Z346" s="449" t="str">
        <f>K346</f>
        <v>Amplop Coklat Merk : GSU Ukuran : 1/2 folio, bergaris</v>
      </c>
      <c r="AA346" s="440" t="s">
        <v>614</v>
      </c>
      <c r="AB346" s="441">
        <f t="shared" si="44"/>
        <v>36036.036036036036</v>
      </c>
      <c r="AC346" s="442">
        <f t="shared" si="45"/>
        <v>36036.036036036036</v>
      </c>
      <c r="AD346" s="437">
        <v>75000</v>
      </c>
      <c r="AE346" s="447">
        <v>1013513.5135135135</v>
      </c>
      <c r="AF346" s="447">
        <v>1125000</v>
      </c>
      <c r="AG346" s="437">
        <v>75000</v>
      </c>
      <c r="AH346" s="271" t="s">
        <v>2098</v>
      </c>
      <c r="AI346" s="277">
        <f>SUM(AC346:AC347)</f>
        <v>111711.71171171172</v>
      </c>
      <c r="AJ346" s="277">
        <f>SUM(AD346:AD347)</f>
        <v>1125000</v>
      </c>
    </row>
    <row r="347" spans="1:36">
      <c r="A347" s="350">
        <v>158</v>
      </c>
      <c r="B347" s="352" t="s">
        <v>1030</v>
      </c>
      <c r="C347" s="354" t="s">
        <v>704</v>
      </c>
      <c r="D347" s="355" t="s">
        <v>705</v>
      </c>
      <c r="E347" s="376" t="s">
        <v>1031</v>
      </c>
      <c r="F347" s="363" t="s">
        <v>1032</v>
      </c>
      <c r="G347" s="363" t="s">
        <v>1032</v>
      </c>
      <c r="H347" s="363" t="s">
        <v>1032</v>
      </c>
      <c r="I347" s="394">
        <v>45049</v>
      </c>
      <c r="J347" s="354" t="s">
        <v>264</v>
      </c>
      <c r="K347" s="387" t="s">
        <v>882</v>
      </c>
      <c r="L347" s="402">
        <v>2</v>
      </c>
      <c r="M347" s="352" t="s">
        <v>753</v>
      </c>
      <c r="N347" s="403">
        <v>42000</v>
      </c>
      <c r="O347" s="404">
        <v>84000</v>
      </c>
      <c r="P347" s="421">
        <v>5</v>
      </c>
      <c r="Q347" s="439" t="s">
        <v>575</v>
      </c>
      <c r="R347" s="437">
        <v>1050000</v>
      </c>
      <c r="S347" s="274">
        <f t="shared" si="42"/>
        <v>88000</v>
      </c>
      <c r="T347" s="439" t="s">
        <v>538</v>
      </c>
      <c r="U347" s="460" t="str">
        <f t="shared" si="43"/>
        <v/>
      </c>
      <c r="V347" s="439" t="s">
        <v>539</v>
      </c>
      <c r="W347" s="439" t="s">
        <v>540</v>
      </c>
      <c r="X347" s="615" t="s">
        <v>541</v>
      </c>
      <c r="Y347" s="439" t="str">
        <f>J347</f>
        <v>Stofmap Transparan</v>
      </c>
      <c r="Z347" s="449" t="str">
        <f>K347</f>
        <v>Stofmap Transparan Kiky</v>
      </c>
      <c r="AA347" s="440" t="s">
        <v>587</v>
      </c>
      <c r="AB347" s="441">
        <f t="shared" si="44"/>
        <v>37837.83783783784</v>
      </c>
      <c r="AC347" s="442">
        <f t="shared" si="45"/>
        <v>75675.67567567568</v>
      </c>
      <c r="AD347" s="437">
        <v>1050000</v>
      </c>
      <c r="AE347" s="447">
        <v>1013513.5135135135</v>
      </c>
      <c r="AF347" s="447">
        <v>1125000</v>
      </c>
      <c r="AG347" s="437">
        <v>1050000</v>
      </c>
      <c r="AH347" s="271" t="s">
        <v>2098</v>
      </c>
    </row>
    <row r="348" spans="1:36">
      <c r="A348" s="350">
        <v>158</v>
      </c>
      <c r="B348" s="352" t="s">
        <v>1030</v>
      </c>
      <c r="C348" s="354" t="s">
        <v>704</v>
      </c>
      <c r="D348" s="355" t="s">
        <v>705</v>
      </c>
      <c r="E348" s="376" t="s">
        <v>1031</v>
      </c>
      <c r="F348" s="363" t="s">
        <v>1032</v>
      </c>
      <c r="G348" s="363" t="s">
        <v>1032</v>
      </c>
      <c r="H348" s="363" t="s">
        <v>1032</v>
      </c>
      <c r="I348" s="394">
        <v>45049</v>
      </c>
      <c r="J348" s="391" t="s">
        <v>234</v>
      </c>
      <c r="K348" s="389" t="s">
        <v>234</v>
      </c>
      <c r="L348" s="402">
        <v>1</v>
      </c>
      <c r="M348" s="352" t="s">
        <v>714</v>
      </c>
      <c r="N348" s="403">
        <v>225000</v>
      </c>
      <c r="O348" s="404">
        <v>225000</v>
      </c>
      <c r="P348" s="421">
        <v>5</v>
      </c>
      <c r="Q348" s="275"/>
      <c r="R348" s="437">
        <v>1350000</v>
      </c>
      <c r="S348" s="274">
        <f t="shared" si="42"/>
        <v>227000</v>
      </c>
      <c r="T348" s="439" t="s">
        <v>538</v>
      </c>
      <c r="U348" s="460" t="str">
        <f t="shared" si="43"/>
        <v/>
      </c>
      <c r="V348" s="439" t="s">
        <v>539</v>
      </c>
      <c r="W348" s="439" t="s">
        <v>540</v>
      </c>
      <c r="X348" s="439"/>
      <c r="Y348" s="439" t="str">
        <f t="shared" ref="Y348:Y353" si="46">J348</f>
        <v>Ballpoint Pilot G2</v>
      </c>
      <c r="Z348" s="449" t="s">
        <v>1559</v>
      </c>
      <c r="AA348" s="440" t="s">
        <v>792</v>
      </c>
      <c r="AB348" s="441">
        <f t="shared" si="44"/>
        <v>202702.70270270269</v>
      </c>
      <c r="AC348" s="442">
        <f t="shared" si="45"/>
        <v>202702.70270270269</v>
      </c>
      <c r="AD348" s="437">
        <v>1350000</v>
      </c>
      <c r="AE348" s="447">
        <v>3198198.1981981983</v>
      </c>
      <c r="AF348" s="447">
        <v>3550000</v>
      </c>
      <c r="AG348" s="437">
        <v>1350000</v>
      </c>
      <c r="AH348" s="271" t="s">
        <v>2098</v>
      </c>
      <c r="AI348" s="277">
        <f>SUM(AC348:AC349)</f>
        <v>226126.12612612612</v>
      </c>
      <c r="AJ348" s="277">
        <f>SUM(AD348:AD349)</f>
        <v>3550000</v>
      </c>
    </row>
    <row r="349" spans="1:36">
      <c r="A349" s="350">
        <v>158</v>
      </c>
      <c r="B349" s="352" t="s">
        <v>1030</v>
      </c>
      <c r="C349" s="354" t="s">
        <v>704</v>
      </c>
      <c r="D349" s="355" t="s">
        <v>705</v>
      </c>
      <c r="E349" s="376" t="s">
        <v>1031</v>
      </c>
      <c r="F349" s="363" t="s">
        <v>1032</v>
      </c>
      <c r="G349" s="363" t="s">
        <v>1032</v>
      </c>
      <c r="H349" s="363" t="s">
        <v>1032</v>
      </c>
      <c r="I349" s="394">
        <v>45049</v>
      </c>
      <c r="J349" s="354" t="s">
        <v>242</v>
      </c>
      <c r="K349" s="388" t="s">
        <v>760</v>
      </c>
      <c r="L349" s="402">
        <v>1</v>
      </c>
      <c r="M349" s="352" t="s">
        <v>488</v>
      </c>
      <c r="N349" s="403">
        <v>26000</v>
      </c>
      <c r="O349" s="404">
        <v>26000</v>
      </c>
      <c r="P349" s="421">
        <v>5</v>
      </c>
      <c r="Q349" s="275"/>
      <c r="R349" s="437">
        <v>2200000</v>
      </c>
      <c r="S349" s="274">
        <f t="shared" si="42"/>
        <v>28000</v>
      </c>
      <c r="T349" s="439" t="s">
        <v>538</v>
      </c>
      <c r="U349" s="460" t="str">
        <f t="shared" si="43"/>
        <v/>
      </c>
      <c r="V349" s="439" t="s">
        <v>539</v>
      </c>
      <c r="W349" s="439" t="s">
        <v>540</v>
      </c>
      <c r="X349" s="439"/>
      <c r="Y349" s="439" t="str">
        <f t="shared" si="46"/>
        <v>Binder Klip Ordner</v>
      </c>
      <c r="Z349" s="449" t="s">
        <v>1559</v>
      </c>
      <c r="AA349" s="440" t="s">
        <v>472</v>
      </c>
      <c r="AB349" s="441">
        <f t="shared" si="44"/>
        <v>23423.423423423425</v>
      </c>
      <c r="AC349" s="442">
        <f t="shared" si="45"/>
        <v>23423.423423423425</v>
      </c>
      <c r="AD349" s="437">
        <v>2200000</v>
      </c>
      <c r="AE349" s="447">
        <v>3198198.1981981983</v>
      </c>
      <c r="AF349" s="447">
        <v>3550000</v>
      </c>
      <c r="AG349" s="437">
        <v>2200000</v>
      </c>
      <c r="AH349" s="271" t="s">
        <v>2098</v>
      </c>
    </row>
    <row r="350" spans="1:36">
      <c r="A350" s="350">
        <v>158</v>
      </c>
      <c r="B350" s="352" t="s">
        <v>1030</v>
      </c>
      <c r="C350" s="354" t="s">
        <v>704</v>
      </c>
      <c r="D350" s="355" t="s">
        <v>705</v>
      </c>
      <c r="E350" s="376" t="s">
        <v>1031</v>
      </c>
      <c r="F350" s="363" t="s">
        <v>1032</v>
      </c>
      <c r="G350" s="363" t="s">
        <v>1032</v>
      </c>
      <c r="H350" s="363" t="s">
        <v>1032</v>
      </c>
      <c r="I350" s="394">
        <v>45049</v>
      </c>
      <c r="J350" s="354" t="s">
        <v>255</v>
      </c>
      <c r="K350" s="388" t="s">
        <v>889</v>
      </c>
      <c r="L350" s="402">
        <v>1</v>
      </c>
      <c r="M350" s="352" t="s">
        <v>728</v>
      </c>
      <c r="N350" s="403">
        <v>25000</v>
      </c>
      <c r="O350" s="404">
        <v>25000</v>
      </c>
      <c r="P350" s="421">
        <v>5</v>
      </c>
      <c r="Q350" s="427" t="s">
        <v>163</v>
      </c>
      <c r="R350" s="437">
        <v>500000</v>
      </c>
      <c r="S350" s="274">
        <f t="shared" si="42"/>
        <v>27000</v>
      </c>
      <c r="T350" s="439" t="s">
        <v>538</v>
      </c>
      <c r="U350" s="460" t="str">
        <f t="shared" si="43"/>
        <v/>
      </c>
      <c r="V350" s="439" t="s">
        <v>539</v>
      </c>
      <c r="W350" s="439" t="s">
        <v>540</v>
      </c>
      <c r="X350" s="439" t="s">
        <v>474</v>
      </c>
      <c r="Y350" s="439" t="str">
        <f t="shared" si="46"/>
        <v>PAPER CLIP  Paper Clip No 1</v>
      </c>
      <c r="Z350" s="449" t="s">
        <v>1545</v>
      </c>
      <c r="AA350" s="440" t="s">
        <v>472</v>
      </c>
      <c r="AB350" s="441">
        <f t="shared" si="44"/>
        <v>22522.522522522522</v>
      </c>
      <c r="AC350" s="442">
        <f t="shared" si="45"/>
        <v>22522.522522522522</v>
      </c>
      <c r="AD350" s="437">
        <v>1700000</v>
      </c>
      <c r="AE350" s="447">
        <v>3318918.9189189188</v>
      </c>
      <c r="AF350" s="447">
        <v>3684000</v>
      </c>
      <c r="AG350" s="437">
        <v>1700000</v>
      </c>
      <c r="AH350" s="271" t="s">
        <v>2098</v>
      </c>
      <c r="AI350" s="277">
        <f>SUM(AC350:AC351)</f>
        <v>90090.090090090089</v>
      </c>
      <c r="AJ350" s="277">
        <f>SUM(AD350:AD351)</f>
        <v>3684000</v>
      </c>
    </row>
    <row r="351" spans="1:36">
      <c r="A351" s="350">
        <v>158</v>
      </c>
      <c r="B351" s="352" t="s">
        <v>1030</v>
      </c>
      <c r="C351" s="352" t="s">
        <v>704</v>
      </c>
      <c r="D351" s="355" t="s">
        <v>705</v>
      </c>
      <c r="E351" s="376" t="s">
        <v>1031</v>
      </c>
      <c r="F351" s="363" t="s">
        <v>1032</v>
      </c>
      <c r="G351" s="363" t="s">
        <v>1032</v>
      </c>
      <c r="H351" s="363" t="s">
        <v>1032</v>
      </c>
      <c r="I351" s="394">
        <v>45049</v>
      </c>
      <c r="J351" s="387" t="s">
        <v>779</v>
      </c>
      <c r="K351" s="388" t="s">
        <v>906</v>
      </c>
      <c r="L351" s="402">
        <v>1</v>
      </c>
      <c r="M351" s="352" t="s">
        <v>753</v>
      </c>
      <c r="N351" s="403">
        <v>75000</v>
      </c>
      <c r="O351" s="404">
        <v>75000</v>
      </c>
      <c r="P351" s="421">
        <v>5</v>
      </c>
      <c r="Q351" s="425" t="s">
        <v>165</v>
      </c>
      <c r="R351" s="437">
        <v>1984000</v>
      </c>
      <c r="S351" s="274">
        <f t="shared" si="42"/>
        <v>77000</v>
      </c>
      <c r="T351" s="439" t="s">
        <v>538</v>
      </c>
      <c r="U351" s="460" t="str">
        <f t="shared" si="43"/>
        <v/>
      </c>
      <c r="V351" s="439" t="s">
        <v>539</v>
      </c>
      <c r="W351" s="439" t="s">
        <v>540</v>
      </c>
      <c r="X351" s="439" t="s">
        <v>490</v>
      </c>
      <c r="Y351" s="439" t="str">
        <f t="shared" si="46"/>
        <v>Kertas Buffalo</v>
      </c>
      <c r="Z351" s="449" t="s">
        <v>280</v>
      </c>
      <c r="AA351" s="440" t="s">
        <v>472</v>
      </c>
      <c r="AB351" s="441">
        <f t="shared" si="44"/>
        <v>67567.567567567574</v>
      </c>
      <c r="AC351" s="442">
        <f t="shared" si="45"/>
        <v>67567.567567567574</v>
      </c>
      <c r="AD351" s="437">
        <v>1984000</v>
      </c>
      <c r="AE351" s="447">
        <v>3318918.9189189188</v>
      </c>
      <c r="AF351" s="447">
        <v>3684000</v>
      </c>
      <c r="AG351" s="437">
        <v>1984000</v>
      </c>
      <c r="AH351" s="271" t="s">
        <v>2098</v>
      </c>
    </row>
    <row r="352" spans="1:36">
      <c r="A352" s="350">
        <v>158</v>
      </c>
      <c r="B352" s="352" t="s">
        <v>1030</v>
      </c>
      <c r="C352" s="352" t="s">
        <v>704</v>
      </c>
      <c r="D352" s="355" t="s">
        <v>705</v>
      </c>
      <c r="E352" s="376" t="s">
        <v>1031</v>
      </c>
      <c r="F352" s="363" t="s">
        <v>1032</v>
      </c>
      <c r="G352" s="363" t="s">
        <v>1032</v>
      </c>
      <c r="H352" s="363" t="s">
        <v>1032</v>
      </c>
      <c r="I352" s="394">
        <v>45049</v>
      </c>
      <c r="J352" s="387" t="s">
        <v>711</v>
      </c>
      <c r="K352" s="387" t="s">
        <v>746</v>
      </c>
      <c r="L352" s="402">
        <v>1</v>
      </c>
      <c r="M352" s="352" t="s">
        <v>488</v>
      </c>
      <c r="N352" s="403">
        <v>11500</v>
      </c>
      <c r="O352" s="404">
        <v>11500</v>
      </c>
      <c r="P352" s="421">
        <v>5</v>
      </c>
      <c r="Q352" s="427" t="s">
        <v>163</v>
      </c>
      <c r="R352" s="437">
        <v>400000</v>
      </c>
      <c r="S352" s="274">
        <f t="shared" si="42"/>
        <v>13500</v>
      </c>
      <c r="T352" s="439" t="s">
        <v>538</v>
      </c>
      <c r="U352" s="460" t="str">
        <f t="shared" si="43"/>
        <v/>
      </c>
      <c r="V352" s="439" t="s">
        <v>539</v>
      </c>
      <c r="W352" s="439" t="s">
        <v>540</v>
      </c>
      <c r="X352" s="439" t="s">
        <v>474</v>
      </c>
      <c r="Y352" s="439" t="str">
        <f t="shared" si="46"/>
        <v>Lakban Kain Warna Hitam</v>
      </c>
      <c r="Z352" s="449" t="s">
        <v>1545</v>
      </c>
      <c r="AA352" s="440" t="s">
        <v>472</v>
      </c>
      <c r="AB352" s="441">
        <f t="shared" si="44"/>
        <v>10360.360360360361</v>
      </c>
      <c r="AC352" s="442">
        <f>AB352*L352</f>
        <v>10360.360360360361</v>
      </c>
      <c r="AD352" s="437">
        <v>1300000</v>
      </c>
      <c r="AE352" s="483">
        <v>1990990.9909909908</v>
      </c>
      <c r="AF352" s="447">
        <v>2210000</v>
      </c>
      <c r="AG352" s="437">
        <v>1300000</v>
      </c>
      <c r="AH352" s="271" t="s">
        <v>2098</v>
      </c>
      <c r="AI352" s="277">
        <f>SUM(AC352:AC353)</f>
        <v>28378.37837837838</v>
      </c>
      <c r="AJ352" s="277">
        <f>SUM(AG352:AG353)</f>
        <v>2210000</v>
      </c>
    </row>
    <row r="353" spans="1:36" ht="15" customHeight="1">
      <c r="A353" s="350">
        <v>158</v>
      </c>
      <c r="B353" s="352" t="s">
        <v>1030</v>
      </c>
      <c r="C353" s="352" t="s">
        <v>704</v>
      </c>
      <c r="D353" s="355" t="s">
        <v>705</v>
      </c>
      <c r="E353" s="376" t="s">
        <v>1031</v>
      </c>
      <c r="F353" s="363" t="s">
        <v>1032</v>
      </c>
      <c r="G353" s="363" t="s">
        <v>1032</v>
      </c>
      <c r="H353" s="363" t="s">
        <v>1032</v>
      </c>
      <c r="I353" s="394">
        <v>45049</v>
      </c>
      <c r="J353" s="387" t="s">
        <v>240</v>
      </c>
      <c r="K353" s="388" t="s">
        <v>731</v>
      </c>
      <c r="L353" s="402">
        <v>1</v>
      </c>
      <c r="M353" s="352" t="s">
        <v>597</v>
      </c>
      <c r="N353" s="403">
        <v>20000</v>
      </c>
      <c r="O353" s="404">
        <v>20000</v>
      </c>
      <c r="P353" s="421">
        <v>5</v>
      </c>
      <c r="Q353" s="425" t="s">
        <v>164</v>
      </c>
      <c r="R353" s="437">
        <v>420000</v>
      </c>
      <c r="S353" s="274">
        <f t="shared" si="42"/>
        <v>22000</v>
      </c>
      <c r="T353" s="439" t="s">
        <v>538</v>
      </c>
      <c r="U353" s="460" t="str">
        <f t="shared" si="43"/>
        <v/>
      </c>
      <c r="V353" s="439" t="s">
        <v>539</v>
      </c>
      <c r="W353" s="439" t="s">
        <v>540</v>
      </c>
      <c r="X353" s="439" t="s">
        <v>474</v>
      </c>
      <c r="Y353" s="439" t="str">
        <f t="shared" si="46"/>
        <v>Binder Klip  nomor 260</v>
      </c>
      <c r="Z353" s="449" t="s">
        <v>1545</v>
      </c>
      <c r="AA353" s="440" t="s">
        <v>472</v>
      </c>
      <c r="AB353" s="441">
        <f t="shared" si="44"/>
        <v>18018.018018018018</v>
      </c>
      <c r="AC353" s="442">
        <f t="shared" si="45"/>
        <v>18018.018018018018</v>
      </c>
      <c r="AD353" s="437">
        <v>910000</v>
      </c>
      <c r="AE353" s="483">
        <v>1990990.9909909908</v>
      </c>
      <c r="AF353" s="447">
        <v>2210000</v>
      </c>
      <c r="AG353" s="437">
        <v>910000</v>
      </c>
      <c r="AH353" s="271" t="s">
        <v>2098</v>
      </c>
    </row>
    <row r="354" spans="1:36">
      <c r="A354" s="350">
        <v>158</v>
      </c>
      <c r="B354" s="352" t="s">
        <v>1030</v>
      </c>
      <c r="C354" s="352" t="s">
        <v>704</v>
      </c>
      <c r="D354" s="355" t="s">
        <v>705</v>
      </c>
      <c r="E354" s="376" t="s">
        <v>1031</v>
      </c>
      <c r="F354" s="363" t="s">
        <v>1032</v>
      </c>
      <c r="G354" s="363" t="s">
        <v>1032</v>
      </c>
      <c r="H354" s="363" t="s">
        <v>1032</v>
      </c>
      <c r="I354" s="394">
        <v>45049</v>
      </c>
      <c r="J354" s="387" t="s">
        <v>241</v>
      </c>
      <c r="K354" s="387" t="s">
        <v>767</v>
      </c>
      <c r="L354" s="402">
        <v>2</v>
      </c>
      <c r="M354" s="352" t="s">
        <v>597</v>
      </c>
      <c r="N354" s="403">
        <v>5500</v>
      </c>
      <c r="O354" s="404">
        <v>11000</v>
      </c>
      <c r="P354" s="421">
        <v>5</v>
      </c>
      <c r="Q354" s="275"/>
      <c r="R354" s="437">
        <v>250000</v>
      </c>
      <c r="S354" s="274">
        <f t="shared" si="42"/>
        <v>15000</v>
      </c>
      <c r="T354" s="439" t="s">
        <v>538</v>
      </c>
      <c r="U354" s="460" t="str">
        <f t="shared" si="43"/>
        <v/>
      </c>
      <c r="V354" s="439" t="s">
        <v>539</v>
      </c>
      <c r="W354" s="439" t="s">
        <v>540</v>
      </c>
      <c r="X354" s="439"/>
      <c r="Y354" s="439" t="s">
        <v>698</v>
      </c>
      <c r="Z354" s="449" t="s">
        <v>698</v>
      </c>
      <c r="AA354" s="440" t="s">
        <v>488</v>
      </c>
      <c r="AB354" s="441">
        <f t="shared" si="44"/>
        <v>4954.9549549549547</v>
      </c>
      <c r="AC354" s="442">
        <f t="shared" si="45"/>
        <v>9909.9099099099094</v>
      </c>
      <c r="AD354" s="437">
        <v>250000</v>
      </c>
      <c r="AE354" s="447">
        <v>611711.71171171172</v>
      </c>
      <c r="AF354" s="447">
        <v>679000</v>
      </c>
      <c r="AG354" s="437">
        <v>250000</v>
      </c>
      <c r="AH354" s="271" t="s">
        <v>2098</v>
      </c>
      <c r="AI354" s="277">
        <f>SUM(AC354:AC357)</f>
        <v>417117.11711711716</v>
      </c>
      <c r="AJ354" s="277">
        <f>SUM(AD354:AD357)</f>
        <v>679000</v>
      </c>
    </row>
    <row r="355" spans="1:36">
      <c r="A355" s="350">
        <v>158</v>
      </c>
      <c r="B355" s="352" t="s">
        <v>1030</v>
      </c>
      <c r="C355" s="352" t="s">
        <v>704</v>
      </c>
      <c r="D355" s="355" t="s">
        <v>705</v>
      </c>
      <c r="E355" s="376" t="s">
        <v>1031</v>
      </c>
      <c r="F355" s="363" t="s">
        <v>1032</v>
      </c>
      <c r="G355" s="363" t="s">
        <v>1032</v>
      </c>
      <c r="H355" s="363" t="s">
        <v>1032</v>
      </c>
      <c r="I355" s="394">
        <v>45049</v>
      </c>
      <c r="J355" s="387" t="s">
        <v>238</v>
      </c>
      <c r="K355" s="387" t="s">
        <v>238</v>
      </c>
      <c r="L355" s="402">
        <v>2</v>
      </c>
      <c r="M355" s="352" t="s">
        <v>597</v>
      </c>
      <c r="N355" s="403">
        <v>11000</v>
      </c>
      <c r="O355" s="404">
        <v>22000</v>
      </c>
      <c r="P355" s="421">
        <v>5</v>
      </c>
      <c r="Q355" s="275"/>
      <c r="R355" s="437">
        <v>285000</v>
      </c>
      <c r="S355" s="274">
        <f t="shared" si="42"/>
        <v>26000</v>
      </c>
      <c r="T355" s="439" t="s">
        <v>538</v>
      </c>
      <c r="U355" s="460" t="str">
        <f t="shared" si="43"/>
        <v/>
      </c>
      <c r="V355" s="439" t="s">
        <v>539</v>
      </c>
      <c r="W355" s="439" t="s">
        <v>540</v>
      </c>
      <c r="X355" s="439"/>
      <c r="Y355" s="439" t="s">
        <v>698</v>
      </c>
      <c r="Z355" s="449" t="s">
        <v>698</v>
      </c>
      <c r="AA355" s="440" t="s">
        <v>488</v>
      </c>
      <c r="AB355" s="441">
        <f t="shared" si="44"/>
        <v>9909.9099099099094</v>
      </c>
      <c r="AC355" s="442">
        <f t="shared" si="45"/>
        <v>19819.819819819819</v>
      </c>
      <c r="AD355" s="437">
        <v>285000</v>
      </c>
      <c r="AE355" s="447">
        <v>611711.71171171172</v>
      </c>
      <c r="AF355" s="447">
        <v>679000</v>
      </c>
      <c r="AG355" s="437">
        <v>285000</v>
      </c>
      <c r="AH355" s="271" t="s">
        <v>2098</v>
      </c>
    </row>
    <row r="356" spans="1:36" ht="25">
      <c r="A356" s="350">
        <v>158</v>
      </c>
      <c r="B356" s="352" t="s">
        <v>1030</v>
      </c>
      <c r="C356" s="352" t="s">
        <v>704</v>
      </c>
      <c r="D356" s="355" t="s">
        <v>705</v>
      </c>
      <c r="E356" s="376" t="s">
        <v>1031</v>
      </c>
      <c r="F356" s="363" t="s">
        <v>1032</v>
      </c>
      <c r="G356" s="363" t="s">
        <v>1032</v>
      </c>
      <c r="H356" s="363" t="s">
        <v>1032</v>
      </c>
      <c r="I356" s="394">
        <v>45049</v>
      </c>
      <c r="J356" s="387" t="s">
        <v>781</v>
      </c>
      <c r="K356" s="387" t="s">
        <v>781</v>
      </c>
      <c r="L356" s="402">
        <v>2</v>
      </c>
      <c r="M356" s="352" t="s">
        <v>551</v>
      </c>
      <c r="N356" s="403">
        <v>95000</v>
      </c>
      <c r="O356" s="404">
        <v>190000</v>
      </c>
      <c r="P356" s="421">
        <v>5</v>
      </c>
      <c r="Q356" s="275"/>
      <c r="R356" s="437">
        <v>80000</v>
      </c>
      <c r="S356" s="274">
        <f t="shared" si="42"/>
        <v>194000</v>
      </c>
      <c r="T356" s="439" t="s">
        <v>538</v>
      </c>
      <c r="U356" s="460" t="str">
        <f t="shared" si="43"/>
        <v/>
      </c>
      <c r="V356" s="439" t="s">
        <v>539</v>
      </c>
      <c r="W356" s="439" t="s">
        <v>540</v>
      </c>
      <c r="X356" s="439"/>
      <c r="Y356" s="439" t="s">
        <v>698</v>
      </c>
      <c r="Z356" s="449" t="s">
        <v>698</v>
      </c>
      <c r="AA356" s="440" t="s">
        <v>488</v>
      </c>
      <c r="AB356" s="441">
        <f t="shared" si="44"/>
        <v>85585.585585585592</v>
      </c>
      <c r="AC356" s="442">
        <f t="shared" si="45"/>
        <v>171171.17117117118</v>
      </c>
      <c r="AD356" s="437">
        <v>80000</v>
      </c>
      <c r="AE356" s="447">
        <v>611711.71171171172</v>
      </c>
      <c r="AF356" s="447">
        <v>679000</v>
      </c>
      <c r="AG356" s="437">
        <v>80000</v>
      </c>
      <c r="AH356" s="271" t="s">
        <v>2098</v>
      </c>
    </row>
    <row r="357" spans="1:36" ht="25">
      <c r="A357" s="350">
        <v>158</v>
      </c>
      <c r="B357" s="352" t="s">
        <v>1030</v>
      </c>
      <c r="C357" s="352" t="s">
        <v>704</v>
      </c>
      <c r="D357" s="355" t="s">
        <v>705</v>
      </c>
      <c r="E357" s="376" t="s">
        <v>1031</v>
      </c>
      <c r="F357" s="363" t="s">
        <v>1032</v>
      </c>
      <c r="G357" s="363" t="s">
        <v>1032</v>
      </c>
      <c r="H357" s="363" t="s">
        <v>1032</v>
      </c>
      <c r="I357" s="394">
        <v>45049</v>
      </c>
      <c r="J357" s="387" t="s">
        <v>261</v>
      </c>
      <c r="K357" s="387" t="s">
        <v>261</v>
      </c>
      <c r="L357" s="402">
        <v>12</v>
      </c>
      <c r="M357" s="352" t="s">
        <v>667</v>
      </c>
      <c r="N357" s="403">
        <v>20000</v>
      </c>
      <c r="O357" s="404">
        <v>240000</v>
      </c>
      <c r="P357" s="421">
        <v>5</v>
      </c>
      <c r="Q357" s="275"/>
      <c r="R357" s="437">
        <v>64000</v>
      </c>
      <c r="S357" s="274">
        <f t="shared" si="42"/>
        <v>264000</v>
      </c>
      <c r="T357" s="439" t="s">
        <v>538</v>
      </c>
      <c r="U357" s="460" t="str">
        <f t="shared" si="43"/>
        <v/>
      </c>
      <c r="V357" s="439" t="s">
        <v>539</v>
      </c>
      <c r="W357" s="439" t="s">
        <v>540</v>
      </c>
      <c r="X357" s="439"/>
      <c r="Y357" s="439" t="s">
        <v>698</v>
      </c>
      <c r="Z357" s="449" t="s">
        <v>698</v>
      </c>
      <c r="AA357" s="440" t="s">
        <v>587</v>
      </c>
      <c r="AB357" s="441">
        <f t="shared" si="44"/>
        <v>18018.018018018018</v>
      </c>
      <c r="AC357" s="442">
        <f t="shared" si="45"/>
        <v>216216.21621621621</v>
      </c>
      <c r="AD357" s="437">
        <v>64000</v>
      </c>
      <c r="AE357" s="447">
        <v>611711.71171171172</v>
      </c>
      <c r="AF357" s="447">
        <v>679000</v>
      </c>
      <c r="AG357" s="437">
        <v>64000</v>
      </c>
      <c r="AH357" s="271" t="s">
        <v>2098</v>
      </c>
    </row>
    <row r="358" spans="1:36">
      <c r="A358" s="350">
        <v>158</v>
      </c>
      <c r="B358" s="352" t="s">
        <v>1030</v>
      </c>
      <c r="C358" s="352" t="s">
        <v>704</v>
      </c>
      <c r="D358" s="355" t="s">
        <v>705</v>
      </c>
      <c r="E358" s="376" t="s">
        <v>1031</v>
      </c>
      <c r="F358" s="363" t="s">
        <v>1032</v>
      </c>
      <c r="G358" s="363" t="s">
        <v>1032</v>
      </c>
      <c r="H358" s="363" t="s">
        <v>1032</v>
      </c>
      <c r="I358" s="394">
        <v>45049</v>
      </c>
      <c r="J358" s="387" t="s">
        <v>747</v>
      </c>
      <c r="K358" s="388" t="s">
        <v>886</v>
      </c>
      <c r="L358" s="791">
        <v>1</v>
      </c>
      <c r="M358" s="352" t="s">
        <v>488</v>
      </c>
      <c r="N358" s="403">
        <v>5000</v>
      </c>
      <c r="O358" s="404">
        <v>5000</v>
      </c>
      <c r="P358" s="421">
        <v>5</v>
      </c>
      <c r="Q358" s="425" t="s">
        <v>165</v>
      </c>
      <c r="R358" s="437">
        <v>1050000</v>
      </c>
      <c r="S358" s="274">
        <f t="shared" si="42"/>
        <v>7000</v>
      </c>
      <c r="T358" s="439" t="s">
        <v>538</v>
      </c>
      <c r="U358" s="460" t="str">
        <f t="shared" si="43"/>
        <v/>
      </c>
      <c r="V358" s="439" t="s">
        <v>539</v>
      </c>
      <c r="W358" s="439" t="s">
        <v>540</v>
      </c>
      <c r="X358" s="439" t="s">
        <v>490</v>
      </c>
      <c r="Y358" s="439" t="str">
        <f>J358</f>
        <v>Buku Agenda</v>
      </c>
      <c r="Z358" s="449" t="s">
        <v>280</v>
      </c>
      <c r="AA358" s="440" t="s">
        <v>472</v>
      </c>
      <c r="AB358" s="441">
        <f t="shared" si="44"/>
        <v>4504.5045045045044</v>
      </c>
      <c r="AC358" s="442">
        <f t="shared" si="45"/>
        <v>4504.5045045045044</v>
      </c>
      <c r="AD358" s="437">
        <v>1050000</v>
      </c>
      <c r="AE358" s="447">
        <v>1198198.1981981981</v>
      </c>
      <c r="AF358" s="447">
        <v>1330000</v>
      </c>
      <c r="AG358" s="437">
        <v>1050000</v>
      </c>
      <c r="AH358" s="271" t="s">
        <v>2098</v>
      </c>
      <c r="AI358" s="277">
        <f>SUM(AC358:AC359)</f>
        <v>14414.414414414414</v>
      </c>
      <c r="AJ358" s="277">
        <f>SUM(AD358:AD359)</f>
        <v>1330000</v>
      </c>
    </row>
    <row r="359" spans="1:36">
      <c r="A359" s="350">
        <v>158</v>
      </c>
      <c r="B359" s="352" t="s">
        <v>1030</v>
      </c>
      <c r="C359" s="352" t="s">
        <v>704</v>
      </c>
      <c r="D359" s="355" t="s">
        <v>705</v>
      </c>
      <c r="E359" s="376" t="s">
        <v>1031</v>
      </c>
      <c r="F359" s="363" t="s">
        <v>1032</v>
      </c>
      <c r="G359" s="363" t="s">
        <v>1032</v>
      </c>
      <c r="H359" s="363" t="s">
        <v>1032</v>
      </c>
      <c r="I359" s="394">
        <v>45049</v>
      </c>
      <c r="J359" s="387" t="s">
        <v>740</v>
      </c>
      <c r="K359" s="388" t="s">
        <v>741</v>
      </c>
      <c r="L359" s="402">
        <v>2</v>
      </c>
      <c r="M359" s="352" t="s">
        <v>488</v>
      </c>
      <c r="N359" s="403">
        <v>5500</v>
      </c>
      <c r="O359" s="404">
        <v>11000</v>
      </c>
      <c r="P359" s="421">
        <v>5</v>
      </c>
      <c r="Q359" s="425" t="s">
        <v>164</v>
      </c>
      <c r="R359" s="437">
        <v>280000</v>
      </c>
      <c r="S359" s="274">
        <f t="shared" si="42"/>
        <v>15000</v>
      </c>
      <c r="T359" s="439" t="s">
        <v>538</v>
      </c>
      <c r="U359" s="460" t="str">
        <f t="shared" si="43"/>
        <v/>
      </c>
      <c r="V359" s="439" t="s">
        <v>539</v>
      </c>
      <c r="W359" s="439" t="s">
        <v>540</v>
      </c>
      <c r="X359" s="439" t="s">
        <v>474</v>
      </c>
      <c r="Y359" s="439" t="str">
        <f>J359</f>
        <v>Buku Nota</v>
      </c>
      <c r="Z359" s="449" t="s">
        <v>1545</v>
      </c>
      <c r="AA359" s="440" t="s">
        <v>574</v>
      </c>
      <c r="AB359" s="441">
        <f t="shared" si="44"/>
        <v>4954.9549549549547</v>
      </c>
      <c r="AC359" s="442">
        <f t="shared" si="45"/>
        <v>9909.9099099099094</v>
      </c>
      <c r="AD359" s="437">
        <v>280000</v>
      </c>
      <c r="AE359" s="447">
        <v>1198198.1981981981</v>
      </c>
      <c r="AF359" s="447">
        <v>1330000</v>
      </c>
      <c r="AG359" s="437">
        <v>280000</v>
      </c>
      <c r="AH359" s="271" t="s">
        <v>2098</v>
      </c>
    </row>
    <row r="360" spans="1:36">
      <c r="A360" s="350">
        <v>158</v>
      </c>
      <c r="B360" s="352" t="s">
        <v>1030</v>
      </c>
      <c r="C360" s="352" t="s">
        <v>704</v>
      </c>
      <c r="D360" s="355" t="s">
        <v>705</v>
      </c>
      <c r="E360" s="376" t="s">
        <v>1031</v>
      </c>
      <c r="F360" s="363" t="s">
        <v>1032</v>
      </c>
      <c r="G360" s="363" t="s">
        <v>1032</v>
      </c>
      <c r="H360" s="363" t="s">
        <v>1032</v>
      </c>
      <c r="I360" s="394">
        <v>45049</v>
      </c>
      <c r="J360" s="387" t="s">
        <v>237</v>
      </c>
      <c r="K360" s="388" t="s">
        <v>717</v>
      </c>
      <c r="L360" s="791">
        <v>2</v>
      </c>
      <c r="M360" s="352" t="s">
        <v>597</v>
      </c>
      <c r="N360" s="403">
        <v>7500</v>
      </c>
      <c r="O360" s="404">
        <v>15000</v>
      </c>
      <c r="P360" s="421">
        <v>5</v>
      </c>
      <c r="Q360" s="275"/>
      <c r="R360" s="437">
        <v>300000</v>
      </c>
      <c r="S360" s="438">
        <f t="shared" si="42"/>
        <v>19000</v>
      </c>
      <c r="T360" s="439" t="s">
        <v>538</v>
      </c>
      <c r="U360" s="460" t="str">
        <f t="shared" si="43"/>
        <v/>
      </c>
      <c r="V360" s="439" t="s">
        <v>539</v>
      </c>
      <c r="W360" s="439" t="s">
        <v>540</v>
      </c>
      <c r="X360" s="615" t="s">
        <v>541</v>
      </c>
      <c r="Y360" s="439" t="str">
        <f>J360</f>
        <v>Binder Klip  nomor 107</v>
      </c>
      <c r="Z360" s="449"/>
      <c r="AA360" s="440" t="s">
        <v>574</v>
      </c>
      <c r="AB360" s="441">
        <f t="shared" si="44"/>
        <v>6756.7567567567567</v>
      </c>
      <c r="AC360" s="442">
        <f t="shared" si="45"/>
        <v>13513.513513513513</v>
      </c>
      <c r="AD360" s="437">
        <v>300000</v>
      </c>
      <c r="AE360" s="447">
        <v>518018.01801801799</v>
      </c>
      <c r="AF360" s="447">
        <v>575000</v>
      </c>
      <c r="AG360" s="437">
        <v>300000</v>
      </c>
      <c r="AH360" s="443" t="s">
        <v>2098</v>
      </c>
      <c r="AI360" s="453">
        <f>SUM(AC360:AC361)</f>
        <v>45045.045045045044</v>
      </c>
      <c r="AJ360" s="453">
        <f>SUM(AD360:AD361)</f>
        <v>575000</v>
      </c>
    </row>
    <row r="361" spans="1:36">
      <c r="A361" s="350">
        <v>158</v>
      </c>
      <c r="B361" s="352" t="s">
        <v>1030</v>
      </c>
      <c r="C361" s="352" t="s">
        <v>704</v>
      </c>
      <c r="D361" s="355" t="s">
        <v>705</v>
      </c>
      <c r="E361" s="376" t="s">
        <v>1031</v>
      </c>
      <c r="F361" s="363" t="s">
        <v>1032</v>
      </c>
      <c r="G361" s="363" t="s">
        <v>1032</v>
      </c>
      <c r="H361" s="363" t="s">
        <v>1032</v>
      </c>
      <c r="I361" s="394">
        <v>45049</v>
      </c>
      <c r="J361" s="387" t="s">
        <v>259</v>
      </c>
      <c r="K361" s="388" t="s">
        <v>752</v>
      </c>
      <c r="L361" s="791">
        <v>1</v>
      </c>
      <c r="M361" s="352" t="s">
        <v>753</v>
      </c>
      <c r="N361" s="403">
        <v>35000</v>
      </c>
      <c r="O361" s="404">
        <v>35000</v>
      </c>
      <c r="P361" s="421">
        <v>5</v>
      </c>
      <c r="Q361" s="275"/>
      <c r="R361" s="437">
        <v>275000</v>
      </c>
      <c r="S361" s="438">
        <f t="shared" si="42"/>
        <v>37000</v>
      </c>
      <c r="T361" s="439" t="s">
        <v>538</v>
      </c>
      <c r="U361" s="460" t="str">
        <f t="shared" si="43"/>
        <v/>
      </c>
      <c r="V361" s="439" t="s">
        <v>539</v>
      </c>
      <c r="W361" s="439" t="s">
        <v>540</v>
      </c>
      <c r="X361" s="439"/>
      <c r="Y361" s="439" t="str">
        <f>J361</f>
        <v>Plastik Mika</v>
      </c>
      <c r="Z361" s="449"/>
      <c r="AA361" s="440" t="s">
        <v>753</v>
      </c>
      <c r="AB361" s="441">
        <f t="shared" si="44"/>
        <v>31531.531531531531</v>
      </c>
      <c r="AC361" s="442">
        <f t="shared" si="45"/>
        <v>31531.531531531531</v>
      </c>
      <c r="AD361" s="437">
        <v>275000</v>
      </c>
      <c r="AE361" s="447">
        <v>518018.01801801799</v>
      </c>
      <c r="AF361" s="447">
        <v>575000</v>
      </c>
      <c r="AG361" s="437">
        <v>275000</v>
      </c>
      <c r="AH361" s="443" t="s">
        <v>2098</v>
      </c>
    </row>
    <row r="362" spans="1:36">
      <c r="A362" s="350">
        <v>158</v>
      </c>
      <c r="B362" s="352" t="s">
        <v>1030</v>
      </c>
      <c r="C362" s="352" t="s">
        <v>704</v>
      </c>
      <c r="D362" s="355" t="s">
        <v>705</v>
      </c>
      <c r="E362" s="376" t="s">
        <v>1031</v>
      </c>
      <c r="F362" s="363" t="s">
        <v>1032</v>
      </c>
      <c r="G362" s="363" t="s">
        <v>1032</v>
      </c>
      <c r="H362" s="363" t="s">
        <v>1032</v>
      </c>
      <c r="I362" s="394">
        <v>45049</v>
      </c>
      <c r="J362" s="387" t="s">
        <v>762</v>
      </c>
      <c r="K362" s="387" t="s">
        <v>762</v>
      </c>
      <c r="L362" s="402">
        <v>1</v>
      </c>
      <c r="M362" s="352" t="s">
        <v>488</v>
      </c>
      <c r="N362" s="403">
        <v>15000</v>
      </c>
      <c r="O362" s="404">
        <v>15000</v>
      </c>
      <c r="P362" s="421">
        <v>6</v>
      </c>
      <c r="Q362" s="275"/>
      <c r="R362" s="437">
        <v>4550000</v>
      </c>
      <c r="S362" s="438">
        <f t="shared" si="42"/>
        <v>17000</v>
      </c>
      <c r="T362" s="439" t="s">
        <v>538</v>
      </c>
      <c r="U362" s="460" t="str">
        <f t="shared" si="43"/>
        <v/>
      </c>
      <c r="V362" s="439" t="s">
        <v>539</v>
      </c>
      <c r="W362" s="439" t="s">
        <v>540</v>
      </c>
      <c r="X362" s="439"/>
      <c r="Y362" s="439" t="s">
        <v>698</v>
      </c>
      <c r="Z362" s="449" t="s">
        <v>698</v>
      </c>
      <c r="AA362" s="440" t="s">
        <v>1133</v>
      </c>
      <c r="AB362" s="441">
        <f t="shared" si="44"/>
        <v>13513.513513513513</v>
      </c>
      <c r="AC362" s="442">
        <f t="shared" si="45"/>
        <v>13513.513513513513</v>
      </c>
      <c r="AD362" s="437">
        <v>4550000</v>
      </c>
      <c r="AE362" s="447">
        <v>7027027.0270270277</v>
      </c>
      <c r="AF362" s="447">
        <v>7800000</v>
      </c>
      <c r="AG362" s="437">
        <v>4550000</v>
      </c>
      <c r="AH362" s="443" t="s">
        <v>2098</v>
      </c>
      <c r="AI362" s="448">
        <f>SUM(AC362:AC365)</f>
        <v>112612.6126126126</v>
      </c>
      <c r="AJ362" s="448">
        <f>SUM(AD362:AD365)</f>
        <v>7800000</v>
      </c>
    </row>
    <row r="363" spans="1:36">
      <c r="A363" s="350">
        <v>158</v>
      </c>
      <c r="B363" s="352" t="s">
        <v>1030</v>
      </c>
      <c r="C363" s="352" t="s">
        <v>704</v>
      </c>
      <c r="D363" s="355" t="s">
        <v>705</v>
      </c>
      <c r="E363" s="376" t="s">
        <v>1031</v>
      </c>
      <c r="F363" s="363" t="s">
        <v>1032</v>
      </c>
      <c r="G363" s="363" t="s">
        <v>1032</v>
      </c>
      <c r="H363" s="363" t="s">
        <v>1032</v>
      </c>
      <c r="I363" s="394">
        <v>45049</v>
      </c>
      <c r="J363" s="387" t="s">
        <v>711</v>
      </c>
      <c r="K363" s="387" t="s">
        <v>738</v>
      </c>
      <c r="L363" s="402">
        <v>1</v>
      </c>
      <c r="M363" s="352" t="s">
        <v>488</v>
      </c>
      <c r="N363" s="403">
        <v>20000</v>
      </c>
      <c r="O363" s="404">
        <v>20000</v>
      </c>
      <c r="P363" s="421">
        <v>6</v>
      </c>
      <c r="Q363" s="439"/>
      <c r="R363" s="437">
        <v>1600000</v>
      </c>
      <c r="S363" s="438">
        <f t="shared" si="42"/>
        <v>22000</v>
      </c>
      <c r="T363" s="439" t="s">
        <v>538</v>
      </c>
      <c r="U363" s="460" t="str">
        <f t="shared" si="43"/>
        <v/>
      </c>
      <c r="V363" s="439" t="s">
        <v>539</v>
      </c>
      <c r="W363" s="439" t="s">
        <v>540</v>
      </c>
      <c r="X363" s="439"/>
      <c r="Y363" s="439" t="s">
        <v>698</v>
      </c>
      <c r="Z363" s="449" t="s">
        <v>698</v>
      </c>
      <c r="AA363" s="440" t="s">
        <v>1138</v>
      </c>
      <c r="AB363" s="441">
        <f t="shared" si="44"/>
        <v>18018.018018018018</v>
      </c>
      <c r="AC363" s="442">
        <f t="shared" si="45"/>
        <v>18018.018018018018</v>
      </c>
      <c r="AD363" s="437">
        <v>1600000</v>
      </c>
      <c r="AE363" s="447">
        <v>7027027.0270270277</v>
      </c>
      <c r="AF363" s="447">
        <v>7800000</v>
      </c>
      <c r="AG363" s="437">
        <v>1600000</v>
      </c>
      <c r="AH363" s="443" t="s">
        <v>2098</v>
      </c>
    </row>
    <row r="364" spans="1:36">
      <c r="A364" s="350">
        <v>158</v>
      </c>
      <c r="B364" s="352" t="s">
        <v>1030</v>
      </c>
      <c r="C364" s="352" t="s">
        <v>704</v>
      </c>
      <c r="D364" s="355" t="s">
        <v>705</v>
      </c>
      <c r="E364" s="376" t="s">
        <v>1031</v>
      </c>
      <c r="F364" s="363" t="s">
        <v>1032</v>
      </c>
      <c r="G364" s="363" t="s">
        <v>1032</v>
      </c>
      <c r="H364" s="363" t="s">
        <v>1032</v>
      </c>
      <c r="I364" s="394">
        <v>45049</v>
      </c>
      <c r="J364" s="387" t="s">
        <v>253</v>
      </c>
      <c r="K364" s="387" t="s">
        <v>719</v>
      </c>
      <c r="L364" s="402">
        <v>1</v>
      </c>
      <c r="M364" s="352" t="s">
        <v>720</v>
      </c>
      <c r="N364" s="403">
        <v>20000</v>
      </c>
      <c r="O364" s="404">
        <v>20000</v>
      </c>
      <c r="P364" s="421">
        <v>6</v>
      </c>
      <c r="Q364" s="275"/>
      <c r="R364" s="437">
        <v>1050000</v>
      </c>
      <c r="S364" s="438">
        <f t="shared" si="42"/>
        <v>22000</v>
      </c>
      <c r="T364" s="439" t="s">
        <v>538</v>
      </c>
      <c r="U364" s="460" t="str">
        <f t="shared" si="43"/>
        <v/>
      </c>
      <c r="V364" s="439" t="s">
        <v>539</v>
      </c>
      <c r="W364" s="439" t="s">
        <v>540</v>
      </c>
      <c r="X364" s="439"/>
      <c r="Y364" s="439" t="s">
        <v>698</v>
      </c>
      <c r="Z364" s="449" t="s">
        <v>698</v>
      </c>
      <c r="AA364" s="440" t="s">
        <v>1138</v>
      </c>
      <c r="AB364" s="441">
        <f t="shared" si="44"/>
        <v>18018.018018018018</v>
      </c>
      <c r="AC364" s="442">
        <f t="shared" si="45"/>
        <v>18018.018018018018</v>
      </c>
      <c r="AD364" s="437">
        <v>1050000</v>
      </c>
      <c r="AE364" s="447">
        <v>7027027.0270270277</v>
      </c>
      <c r="AF364" s="447">
        <v>7800000</v>
      </c>
      <c r="AG364" s="437">
        <v>1050000</v>
      </c>
      <c r="AH364" s="443" t="s">
        <v>2098</v>
      </c>
    </row>
    <row r="365" spans="1:36" ht="25">
      <c r="A365" s="350">
        <v>158</v>
      </c>
      <c r="B365" s="352" t="s">
        <v>1030</v>
      </c>
      <c r="C365" s="352" t="s">
        <v>704</v>
      </c>
      <c r="D365" s="355" t="s">
        <v>705</v>
      </c>
      <c r="E365" s="376" t="s">
        <v>1031</v>
      </c>
      <c r="F365" s="363" t="s">
        <v>1032</v>
      </c>
      <c r="G365" s="363" t="s">
        <v>1032</v>
      </c>
      <c r="H365" s="363" t="s">
        <v>1032</v>
      </c>
      <c r="I365" s="394">
        <v>45049</v>
      </c>
      <c r="J365" s="387" t="s">
        <v>251</v>
      </c>
      <c r="K365" s="388" t="s">
        <v>907</v>
      </c>
      <c r="L365" s="402">
        <v>1</v>
      </c>
      <c r="M365" s="352" t="s">
        <v>735</v>
      </c>
      <c r="N365" s="403">
        <v>70000</v>
      </c>
      <c r="O365" s="404">
        <v>70000</v>
      </c>
      <c r="P365" s="421">
        <v>6</v>
      </c>
      <c r="Q365" s="275"/>
      <c r="R365" s="437">
        <v>600000</v>
      </c>
      <c r="S365" s="438">
        <f t="shared" si="42"/>
        <v>72000</v>
      </c>
      <c r="T365" s="439" t="s">
        <v>538</v>
      </c>
      <c r="U365" s="460" t="str">
        <f t="shared" si="43"/>
        <v/>
      </c>
      <c r="V365" s="439" t="s">
        <v>539</v>
      </c>
      <c r="W365" s="439" t="s">
        <v>540</v>
      </c>
      <c r="X365" s="439"/>
      <c r="Y365" s="439" t="s">
        <v>698</v>
      </c>
      <c r="Z365" s="449" t="s">
        <v>698</v>
      </c>
      <c r="AA365" s="440" t="s">
        <v>528</v>
      </c>
      <c r="AB365" s="441">
        <f t="shared" si="44"/>
        <v>63063.063063063062</v>
      </c>
      <c r="AC365" s="442">
        <f t="shared" si="45"/>
        <v>63063.063063063062</v>
      </c>
      <c r="AD365" s="437">
        <v>600000</v>
      </c>
      <c r="AE365" s="447">
        <v>7027027.0270270277</v>
      </c>
      <c r="AF365" s="447">
        <v>7800000</v>
      </c>
      <c r="AG365" s="437">
        <v>600000</v>
      </c>
      <c r="AH365" s="443" t="s">
        <v>2098</v>
      </c>
      <c r="AI365" s="424"/>
      <c r="AJ365" s="424"/>
    </row>
    <row r="366" spans="1:36">
      <c r="A366" s="350">
        <v>158</v>
      </c>
      <c r="B366" s="352" t="s">
        <v>1030</v>
      </c>
      <c r="C366" s="352" t="s">
        <v>704</v>
      </c>
      <c r="D366" s="355" t="s">
        <v>705</v>
      </c>
      <c r="E366" s="376" t="s">
        <v>1031</v>
      </c>
      <c r="F366" s="363" t="s">
        <v>1032</v>
      </c>
      <c r="G366" s="363" t="s">
        <v>1032</v>
      </c>
      <c r="H366" s="363" t="s">
        <v>1032</v>
      </c>
      <c r="I366" s="394">
        <v>45049</v>
      </c>
      <c r="J366" s="387" t="s">
        <v>758</v>
      </c>
      <c r="K366" s="387" t="s">
        <v>758</v>
      </c>
      <c r="L366" s="402">
        <v>3</v>
      </c>
      <c r="M366" s="352" t="s">
        <v>488</v>
      </c>
      <c r="N366" s="266">
        <v>5000</v>
      </c>
      <c r="O366" s="404">
        <v>15000</v>
      </c>
      <c r="P366" s="421">
        <v>6</v>
      </c>
      <c r="Q366" s="429" t="s">
        <v>144</v>
      </c>
      <c r="R366" s="437">
        <v>25000</v>
      </c>
      <c r="S366" s="438">
        <f t="shared" si="42"/>
        <v>21000</v>
      </c>
      <c r="T366" s="439" t="s">
        <v>538</v>
      </c>
      <c r="U366" s="460" t="str">
        <f t="shared" si="43"/>
        <v/>
      </c>
      <c r="V366" s="439" t="s">
        <v>539</v>
      </c>
      <c r="W366" s="439" t="s">
        <v>540</v>
      </c>
      <c r="X366" s="615" t="s">
        <v>541</v>
      </c>
      <c r="Y366" s="439" t="s">
        <v>710</v>
      </c>
      <c r="Z366" s="616" t="s">
        <v>710</v>
      </c>
      <c r="AA366" s="440" t="s">
        <v>772</v>
      </c>
      <c r="AB366" s="441">
        <f t="shared" si="44"/>
        <v>4504.5045045045044</v>
      </c>
      <c r="AC366" s="442">
        <f t="shared" si="45"/>
        <v>13513.513513513513</v>
      </c>
      <c r="AD366" s="437">
        <v>25000</v>
      </c>
      <c r="AE366" s="447">
        <v>3752702.702702702</v>
      </c>
      <c r="AF366" s="447">
        <v>4165500</v>
      </c>
      <c r="AG366" s="437">
        <v>25000</v>
      </c>
      <c r="AH366" s="443" t="s">
        <v>2098</v>
      </c>
      <c r="AI366" s="448">
        <f>SUM(AC366:AC401)</f>
        <v>17279279.279279277</v>
      </c>
      <c r="AJ366" s="448">
        <f>SUM(AD366:AD401)</f>
        <v>4165500</v>
      </c>
    </row>
    <row r="367" spans="1:36" ht="37.5">
      <c r="A367" s="350">
        <v>158</v>
      </c>
      <c r="B367" s="352" t="s">
        <v>1030</v>
      </c>
      <c r="C367" s="352" t="s">
        <v>704</v>
      </c>
      <c r="D367" s="355" t="s">
        <v>705</v>
      </c>
      <c r="E367" s="376" t="s">
        <v>1031</v>
      </c>
      <c r="F367" s="363" t="s">
        <v>1032</v>
      </c>
      <c r="G367" s="363" t="s">
        <v>1032</v>
      </c>
      <c r="H367" s="363" t="s">
        <v>1032</v>
      </c>
      <c r="I367" s="394">
        <v>45049</v>
      </c>
      <c r="J367" s="387" t="s">
        <v>247</v>
      </c>
      <c r="K367" s="387" t="s">
        <v>247</v>
      </c>
      <c r="L367" s="402">
        <v>20</v>
      </c>
      <c r="M367" s="352" t="s">
        <v>735</v>
      </c>
      <c r="N367" s="403">
        <v>50000</v>
      </c>
      <c r="O367" s="404">
        <v>1000000</v>
      </c>
      <c r="P367" s="421">
        <v>6</v>
      </c>
      <c r="Q367" s="429" t="s">
        <v>106</v>
      </c>
      <c r="R367" s="437">
        <v>260000</v>
      </c>
      <c r="S367" s="438">
        <f t="shared" si="42"/>
        <v>1040000</v>
      </c>
      <c r="T367" s="439" t="s">
        <v>538</v>
      </c>
      <c r="U367" s="460" t="str">
        <f t="shared" si="43"/>
        <v/>
      </c>
      <c r="V367" s="439" t="s">
        <v>539</v>
      </c>
      <c r="W367" s="439" t="s">
        <v>540</v>
      </c>
      <c r="X367" s="615" t="s">
        <v>541</v>
      </c>
      <c r="Y367" s="439" t="s">
        <v>710</v>
      </c>
      <c r="Z367" s="616" t="s">
        <v>710</v>
      </c>
      <c r="AA367" s="440" t="s">
        <v>720</v>
      </c>
      <c r="AB367" s="441">
        <f t="shared" si="44"/>
        <v>45045.045045045044</v>
      </c>
      <c r="AC367" s="442">
        <f t="shared" si="45"/>
        <v>900900.90090090083</v>
      </c>
      <c r="AD367" s="437">
        <v>260000</v>
      </c>
      <c r="AE367" s="447">
        <v>3752702.702702702</v>
      </c>
      <c r="AF367" s="447">
        <v>4165500</v>
      </c>
      <c r="AG367" s="437">
        <v>260000</v>
      </c>
      <c r="AH367" s="443" t="s">
        <v>2098</v>
      </c>
    </row>
    <row r="368" spans="1:36">
      <c r="A368" s="350">
        <v>158</v>
      </c>
      <c r="B368" s="352" t="s">
        <v>1030</v>
      </c>
      <c r="C368" s="352" t="s">
        <v>704</v>
      </c>
      <c r="D368" s="355" t="s">
        <v>705</v>
      </c>
      <c r="E368" s="376" t="s">
        <v>1031</v>
      </c>
      <c r="F368" s="363" t="s">
        <v>1032</v>
      </c>
      <c r="G368" s="363" t="s">
        <v>1032</v>
      </c>
      <c r="H368" s="363" t="s">
        <v>1032</v>
      </c>
      <c r="I368" s="394">
        <v>45049</v>
      </c>
      <c r="J368" s="387" t="s">
        <v>262</v>
      </c>
      <c r="K368" s="388" t="s">
        <v>744</v>
      </c>
      <c r="L368" s="791">
        <v>1</v>
      </c>
      <c r="M368" s="352" t="s">
        <v>714</v>
      </c>
      <c r="N368" s="403">
        <v>150000</v>
      </c>
      <c r="O368" s="404">
        <v>150000</v>
      </c>
      <c r="P368" s="421">
        <v>6</v>
      </c>
      <c r="Q368" s="429" t="s">
        <v>140</v>
      </c>
      <c r="R368" s="437">
        <v>40000</v>
      </c>
      <c r="S368" s="438">
        <f t="shared" si="42"/>
        <v>152000</v>
      </c>
      <c r="T368" s="439" t="s">
        <v>538</v>
      </c>
      <c r="U368" s="460" t="str">
        <f t="shared" si="43"/>
        <v/>
      </c>
      <c r="V368" s="439" t="s">
        <v>539</v>
      </c>
      <c r="W368" s="439" t="s">
        <v>540</v>
      </c>
      <c r="X368" s="615" t="s">
        <v>541</v>
      </c>
      <c r="Y368" s="439" t="s">
        <v>710</v>
      </c>
      <c r="Z368" s="616" t="s">
        <v>710</v>
      </c>
      <c r="AA368" s="440" t="s">
        <v>753</v>
      </c>
      <c r="AB368" s="441">
        <f t="shared" si="44"/>
        <v>135135.13513513515</v>
      </c>
      <c r="AC368" s="442">
        <f t="shared" si="45"/>
        <v>135135.13513513515</v>
      </c>
      <c r="AD368" s="437">
        <v>40000</v>
      </c>
      <c r="AE368" s="447">
        <v>3752702.702702702</v>
      </c>
      <c r="AF368" s="447">
        <v>4165500</v>
      </c>
      <c r="AG368" s="437">
        <v>40000</v>
      </c>
      <c r="AH368" s="443" t="s">
        <v>2098</v>
      </c>
    </row>
    <row r="369" spans="1:36" ht="25">
      <c r="A369" s="350">
        <v>158</v>
      </c>
      <c r="B369" s="352" t="s">
        <v>1030</v>
      </c>
      <c r="C369" s="352" t="s">
        <v>704</v>
      </c>
      <c r="D369" s="355" t="s">
        <v>705</v>
      </c>
      <c r="E369" s="376" t="s">
        <v>1031</v>
      </c>
      <c r="F369" s="363" t="s">
        <v>1032</v>
      </c>
      <c r="G369" s="363" t="s">
        <v>1032</v>
      </c>
      <c r="H369" s="363" t="s">
        <v>1032</v>
      </c>
      <c r="I369" s="394">
        <v>45049</v>
      </c>
      <c r="J369" s="387" t="s">
        <v>733</v>
      </c>
      <c r="K369" s="388" t="s">
        <v>734</v>
      </c>
      <c r="L369" s="402">
        <v>5</v>
      </c>
      <c r="M369" s="352" t="s">
        <v>735</v>
      </c>
      <c r="N369" s="403">
        <v>54000</v>
      </c>
      <c r="O369" s="404">
        <v>270000</v>
      </c>
      <c r="P369" s="421">
        <v>6</v>
      </c>
      <c r="Q369" s="429" t="s">
        <v>130</v>
      </c>
      <c r="R369" s="437">
        <v>75000</v>
      </c>
      <c r="S369" s="438">
        <f t="shared" si="42"/>
        <v>280000</v>
      </c>
      <c r="T369" s="439" t="s">
        <v>538</v>
      </c>
      <c r="U369" s="460" t="str">
        <f t="shared" si="43"/>
        <v/>
      </c>
      <c r="V369" s="439" t="s">
        <v>539</v>
      </c>
      <c r="W369" s="439" t="s">
        <v>540</v>
      </c>
      <c r="X369" s="615" t="s">
        <v>541</v>
      </c>
      <c r="Y369" s="439" t="s">
        <v>710</v>
      </c>
      <c r="Z369" s="616" t="s">
        <v>710</v>
      </c>
      <c r="AA369" s="440" t="s">
        <v>753</v>
      </c>
      <c r="AB369" s="441">
        <f t="shared" si="44"/>
        <v>48648.648648648646</v>
      </c>
      <c r="AC369" s="442">
        <f t="shared" si="45"/>
        <v>243243.24324324323</v>
      </c>
      <c r="AD369" s="437">
        <v>75000</v>
      </c>
      <c r="AE369" s="447">
        <v>3752702.702702702</v>
      </c>
      <c r="AF369" s="447">
        <v>4165500</v>
      </c>
      <c r="AG369" s="437">
        <v>75000</v>
      </c>
      <c r="AH369" s="443" t="s">
        <v>2098</v>
      </c>
      <c r="AI369" s="424"/>
      <c r="AJ369" s="424"/>
    </row>
    <row r="370" spans="1:36">
      <c r="A370" s="350">
        <v>158</v>
      </c>
      <c r="B370" s="352" t="s">
        <v>1030</v>
      </c>
      <c r="C370" s="352" t="s">
        <v>704</v>
      </c>
      <c r="D370" s="355" t="s">
        <v>705</v>
      </c>
      <c r="E370" s="376" t="s">
        <v>1031</v>
      </c>
      <c r="F370" s="363" t="s">
        <v>1032</v>
      </c>
      <c r="G370" s="363" t="s">
        <v>1032</v>
      </c>
      <c r="H370" s="363" t="s">
        <v>1032</v>
      </c>
      <c r="I370" s="394">
        <v>45049</v>
      </c>
      <c r="J370" s="387" t="s">
        <v>256</v>
      </c>
      <c r="K370" s="388" t="s">
        <v>727</v>
      </c>
      <c r="L370" s="402">
        <v>1</v>
      </c>
      <c r="M370" s="352" t="s">
        <v>728</v>
      </c>
      <c r="N370" s="403">
        <v>21000</v>
      </c>
      <c r="O370" s="404">
        <v>21000</v>
      </c>
      <c r="P370" s="421">
        <v>6</v>
      </c>
      <c r="Q370" s="429" t="s">
        <v>918</v>
      </c>
      <c r="R370" s="437">
        <v>50000</v>
      </c>
      <c r="S370" s="438">
        <f t="shared" si="42"/>
        <v>23000</v>
      </c>
      <c r="T370" s="439" t="s">
        <v>538</v>
      </c>
      <c r="U370" s="460" t="str">
        <f t="shared" si="43"/>
        <v/>
      </c>
      <c r="V370" s="439" t="s">
        <v>539</v>
      </c>
      <c r="W370" s="439" t="s">
        <v>540</v>
      </c>
      <c r="X370" s="615" t="s">
        <v>541</v>
      </c>
      <c r="Y370" s="439" t="s">
        <v>710</v>
      </c>
      <c r="Z370" s="616" t="s">
        <v>710</v>
      </c>
      <c r="AA370" s="440" t="s">
        <v>597</v>
      </c>
      <c r="AB370" s="441">
        <f t="shared" si="44"/>
        <v>18918.91891891892</v>
      </c>
      <c r="AC370" s="442">
        <f t="shared" si="45"/>
        <v>18918.91891891892</v>
      </c>
      <c r="AD370" s="437">
        <v>50000</v>
      </c>
      <c r="AE370" s="447">
        <v>3752702.702702702</v>
      </c>
      <c r="AF370" s="447">
        <v>4165500</v>
      </c>
      <c r="AG370" s="437">
        <v>50000</v>
      </c>
      <c r="AH370" s="443" t="s">
        <v>2098</v>
      </c>
    </row>
    <row r="371" spans="1:36">
      <c r="A371" s="350">
        <v>158</v>
      </c>
      <c r="B371" s="352" t="s">
        <v>1030</v>
      </c>
      <c r="C371" s="352" t="s">
        <v>704</v>
      </c>
      <c r="D371" s="355" t="s">
        <v>705</v>
      </c>
      <c r="E371" s="376" t="s">
        <v>1031</v>
      </c>
      <c r="F371" s="363" t="s">
        <v>1032</v>
      </c>
      <c r="G371" s="363" t="s">
        <v>1032</v>
      </c>
      <c r="H371" s="363" t="s">
        <v>1032</v>
      </c>
      <c r="I371" s="394">
        <v>45049</v>
      </c>
      <c r="J371" s="389" t="s">
        <v>755</v>
      </c>
      <c r="K371" s="389" t="s">
        <v>755</v>
      </c>
      <c r="L371" s="402">
        <v>1</v>
      </c>
      <c r="M371" s="352" t="s">
        <v>756</v>
      </c>
      <c r="N371" s="403">
        <v>26000</v>
      </c>
      <c r="O371" s="404">
        <v>26000</v>
      </c>
      <c r="P371" s="421">
        <v>6</v>
      </c>
      <c r="Q371" s="429" t="s">
        <v>110</v>
      </c>
      <c r="R371" s="437">
        <v>16500</v>
      </c>
      <c r="S371" s="438">
        <f t="shared" si="42"/>
        <v>28000</v>
      </c>
      <c r="T371" s="439" t="s">
        <v>538</v>
      </c>
      <c r="U371" s="460" t="str">
        <f t="shared" si="43"/>
        <v/>
      </c>
      <c r="V371" s="439" t="s">
        <v>539</v>
      </c>
      <c r="W371" s="439" t="s">
        <v>540</v>
      </c>
      <c r="X371" s="615" t="s">
        <v>541</v>
      </c>
      <c r="Y371" s="439" t="s">
        <v>710</v>
      </c>
      <c r="Z371" s="449" t="s">
        <v>710</v>
      </c>
      <c r="AA371" s="440" t="s">
        <v>735</v>
      </c>
      <c r="AB371" s="441">
        <f t="shared" si="44"/>
        <v>23423.423423423425</v>
      </c>
      <c r="AC371" s="442">
        <f t="shared" si="45"/>
        <v>23423.423423423425</v>
      </c>
      <c r="AD371" s="437">
        <v>16500</v>
      </c>
      <c r="AE371" s="447">
        <v>3752702.702702702</v>
      </c>
      <c r="AF371" s="447">
        <v>4165500</v>
      </c>
      <c r="AG371" s="437">
        <v>16500</v>
      </c>
      <c r="AH371" s="443" t="s">
        <v>2098</v>
      </c>
    </row>
    <row r="372" spans="1:36">
      <c r="A372" s="350">
        <v>158</v>
      </c>
      <c r="B372" s="352" t="s">
        <v>1030</v>
      </c>
      <c r="C372" s="352" t="s">
        <v>704</v>
      </c>
      <c r="D372" s="355" t="s">
        <v>705</v>
      </c>
      <c r="E372" s="376" t="s">
        <v>1031</v>
      </c>
      <c r="F372" s="363" t="s">
        <v>1032</v>
      </c>
      <c r="G372" s="363" t="s">
        <v>1032</v>
      </c>
      <c r="H372" s="363" t="s">
        <v>1032</v>
      </c>
      <c r="I372" s="394">
        <v>45049</v>
      </c>
      <c r="J372" s="387" t="s">
        <v>711</v>
      </c>
      <c r="K372" s="387" t="s">
        <v>712</v>
      </c>
      <c r="L372" s="402">
        <v>1</v>
      </c>
      <c r="M372" s="352" t="s">
        <v>488</v>
      </c>
      <c r="N372" s="403">
        <v>14000</v>
      </c>
      <c r="O372" s="404">
        <v>14000</v>
      </c>
      <c r="P372" s="421">
        <v>6</v>
      </c>
      <c r="Q372" s="429" t="s">
        <v>127</v>
      </c>
      <c r="R372" s="437">
        <v>270000</v>
      </c>
      <c r="S372" s="274">
        <f t="shared" si="42"/>
        <v>16000</v>
      </c>
      <c r="T372" s="439" t="s">
        <v>538</v>
      </c>
      <c r="U372" s="460" t="str">
        <f t="shared" si="43"/>
        <v/>
      </c>
      <c r="V372" s="439" t="s">
        <v>539</v>
      </c>
      <c r="W372" s="439" t="s">
        <v>540</v>
      </c>
      <c r="X372" s="615" t="s">
        <v>541</v>
      </c>
      <c r="Y372" s="439" t="s">
        <v>710</v>
      </c>
      <c r="Z372" s="449" t="s">
        <v>710</v>
      </c>
      <c r="AA372" s="440" t="s">
        <v>714</v>
      </c>
      <c r="AB372" s="441">
        <f t="shared" si="44"/>
        <v>12612.612612612613</v>
      </c>
      <c r="AC372" s="442">
        <f t="shared" si="45"/>
        <v>12612.612612612613</v>
      </c>
      <c r="AD372" s="437">
        <v>270000</v>
      </c>
      <c r="AE372" s="447">
        <v>3752702.702702702</v>
      </c>
      <c r="AF372" s="447">
        <v>4165500</v>
      </c>
      <c r="AG372" s="437">
        <v>270000</v>
      </c>
      <c r="AH372" s="271" t="s">
        <v>2098</v>
      </c>
    </row>
    <row r="373" spans="1:36">
      <c r="A373" s="350">
        <v>158</v>
      </c>
      <c r="B373" s="352" t="s">
        <v>1030</v>
      </c>
      <c r="C373" s="352" t="s">
        <v>704</v>
      </c>
      <c r="D373" s="355" t="s">
        <v>705</v>
      </c>
      <c r="E373" s="376" t="s">
        <v>1031</v>
      </c>
      <c r="F373" s="363" t="s">
        <v>1032</v>
      </c>
      <c r="G373" s="363" t="s">
        <v>1032</v>
      </c>
      <c r="H373" s="363" t="s">
        <v>1032</v>
      </c>
      <c r="I373" s="394">
        <v>45049</v>
      </c>
      <c r="J373" s="387" t="s">
        <v>252</v>
      </c>
      <c r="K373" s="387" t="s">
        <v>786</v>
      </c>
      <c r="L373" s="402">
        <v>1</v>
      </c>
      <c r="M373" s="352" t="s">
        <v>753</v>
      </c>
      <c r="N373" s="403">
        <v>25000</v>
      </c>
      <c r="O373" s="404">
        <v>25000</v>
      </c>
      <c r="P373" s="421">
        <v>6</v>
      </c>
      <c r="Q373" s="429" t="s">
        <v>102</v>
      </c>
      <c r="R373" s="437">
        <v>225000</v>
      </c>
      <c r="S373" s="274">
        <f t="shared" si="42"/>
        <v>27000</v>
      </c>
      <c r="T373" s="439" t="s">
        <v>538</v>
      </c>
      <c r="U373" s="460" t="str">
        <f t="shared" si="43"/>
        <v/>
      </c>
      <c r="V373" s="439" t="s">
        <v>539</v>
      </c>
      <c r="W373" s="439" t="s">
        <v>540</v>
      </c>
      <c r="X373" s="615" t="s">
        <v>541</v>
      </c>
      <c r="Y373" s="439" t="s">
        <v>710</v>
      </c>
      <c r="Z373" s="449" t="s">
        <v>710</v>
      </c>
      <c r="AA373" s="440" t="s">
        <v>597</v>
      </c>
      <c r="AB373" s="441">
        <f t="shared" si="44"/>
        <v>22522.522522522522</v>
      </c>
      <c r="AC373" s="442">
        <f t="shared" si="45"/>
        <v>22522.522522522522</v>
      </c>
      <c r="AD373" s="437">
        <v>225000</v>
      </c>
      <c r="AE373" s="447">
        <v>3752702.702702702</v>
      </c>
      <c r="AF373" s="447">
        <v>4165500</v>
      </c>
      <c r="AG373" s="437">
        <v>225000</v>
      </c>
      <c r="AH373" s="271" t="s">
        <v>2098</v>
      </c>
    </row>
    <row r="374" spans="1:36">
      <c r="A374" s="350">
        <v>158</v>
      </c>
      <c r="B374" s="352" t="s">
        <v>1030</v>
      </c>
      <c r="C374" s="352" t="s">
        <v>704</v>
      </c>
      <c r="D374" s="355" t="s">
        <v>705</v>
      </c>
      <c r="E374" s="376" t="s">
        <v>1031</v>
      </c>
      <c r="F374" s="363" t="s">
        <v>1032</v>
      </c>
      <c r="G374" s="363" t="s">
        <v>1032</v>
      </c>
      <c r="H374" s="363" t="s">
        <v>1032</v>
      </c>
      <c r="I374" s="394">
        <v>45049</v>
      </c>
      <c r="J374" s="389" t="s">
        <v>233</v>
      </c>
      <c r="K374" s="389" t="s">
        <v>233</v>
      </c>
      <c r="L374" s="402">
        <v>1</v>
      </c>
      <c r="M374" s="352" t="s">
        <v>714</v>
      </c>
      <c r="N374" s="403">
        <v>97000</v>
      </c>
      <c r="O374" s="404">
        <v>97000</v>
      </c>
      <c r="P374" s="421">
        <v>6</v>
      </c>
      <c r="Q374" s="429" t="s">
        <v>112</v>
      </c>
      <c r="R374" s="437">
        <v>11000</v>
      </c>
      <c r="S374" s="274">
        <f t="shared" si="42"/>
        <v>99000</v>
      </c>
      <c r="T374" s="439" t="s">
        <v>538</v>
      </c>
      <c r="U374" s="460" t="str">
        <f t="shared" si="43"/>
        <v/>
      </c>
      <c r="V374" s="439" t="s">
        <v>539</v>
      </c>
      <c r="W374" s="439" t="s">
        <v>540</v>
      </c>
      <c r="X374" s="615" t="s">
        <v>541</v>
      </c>
      <c r="Y374" s="439" t="s">
        <v>710</v>
      </c>
      <c r="Z374" s="449" t="s">
        <v>710</v>
      </c>
      <c r="AA374" s="440" t="s">
        <v>667</v>
      </c>
      <c r="AB374" s="441">
        <f t="shared" si="44"/>
        <v>87387.387387387382</v>
      </c>
      <c r="AC374" s="442">
        <f t="shared" si="45"/>
        <v>87387.387387387382</v>
      </c>
      <c r="AD374" s="437">
        <v>11000</v>
      </c>
      <c r="AE374" s="447">
        <v>3752702.702702702</v>
      </c>
      <c r="AF374" s="447">
        <v>4165500</v>
      </c>
      <c r="AG374" s="437">
        <v>11000</v>
      </c>
      <c r="AH374" s="271" t="s">
        <v>2098</v>
      </c>
    </row>
    <row r="375" spans="1:36">
      <c r="A375" s="350">
        <v>159</v>
      </c>
      <c r="B375" s="352" t="s">
        <v>1035</v>
      </c>
      <c r="C375" s="352" t="s">
        <v>1036</v>
      </c>
      <c r="D375" s="355" t="s">
        <v>571</v>
      </c>
      <c r="E375" s="376" t="s">
        <v>1037</v>
      </c>
      <c r="F375" s="363" t="s">
        <v>1038</v>
      </c>
      <c r="G375" s="363" t="s">
        <v>1038</v>
      </c>
      <c r="H375" s="363" t="s">
        <v>1038</v>
      </c>
      <c r="I375" s="394">
        <v>45056</v>
      </c>
      <c r="J375" s="387" t="s">
        <v>1039</v>
      </c>
      <c r="K375" s="387" t="s">
        <v>296</v>
      </c>
      <c r="L375" s="402">
        <v>4</v>
      </c>
      <c r="M375" s="352" t="s">
        <v>574</v>
      </c>
      <c r="N375" s="403">
        <v>300000</v>
      </c>
      <c r="O375" s="404">
        <v>1200000</v>
      </c>
      <c r="P375" s="421">
        <v>6</v>
      </c>
      <c r="Q375" s="429" t="s">
        <v>150</v>
      </c>
      <c r="R375" s="437">
        <v>240000</v>
      </c>
      <c r="S375" s="274">
        <f t="shared" si="42"/>
        <v>1208000</v>
      </c>
      <c r="T375" s="439" t="s">
        <v>297</v>
      </c>
      <c r="U375" s="460" t="str">
        <f t="shared" si="43"/>
        <v/>
      </c>
      <c r="V375" s="439" t="s">
        <v>1041</v>
      </c>
      <c r="W375" s="600" t="s">
        <v>2093</v>
      </c>
      <c r="X375" s="615" t="s">
        <v>541</v>
      </c>
      <c r="Y375" s="439" t="s">
        <v>710</v>
      </c>
      <c r="Z375" s="449" t="s">
        <v>710</v>
      </c>
      <c r="AA375" s="440" t="s">
        <v>714</v>
      </c>
      <c r="AB375" s="441">
        <f t="shared" si="44"/>
        <v>270270.2702702703</v>
      </c>
      <c r="AC375" s="442">
        <f t="shared" si="45"/>
        <v>1081081.0810810812</v>
      </c>
      <c r="AD375" s="437">
        <v>240000</v>
      </c>
      <c r="AE375" s="447">
        <v>3752702.702702702</v>
      </c>
      <c r="AF375" s="447">
        <v>4165500</v>
      </c>
      <c r="AG375" s="437">
        <v>240000</v>
      </c>
      <c r="AH375" s="271" t="s">
        <v>2100</v>
      </c>
    </row>
    <row r="376" spans="1:36">
      <c r="A376" s="350">
        <v>160</v>
      </c>
      <c r="B376" s="352" t="s">
        <v>1042</v>
      </c>
      <c r="C376" s="352" t="s">
        <v>504</v>
      </c>
      <c r="D376" s="355" t="s">
        <v>801</v>
      </c>
      <c r="E376" s="376" t="s">
        <v>1037</v>
      </c>
      <c r="F376" s="363" t="s">
        <v>1043</v>
      </c>
      <c r="G376" s="363" t="s">
        <v>1043</v>
      </c>
      <c r="H376" s="363" t="s">
        <v>1043</v>
      </c>
      <c r="I376" s="394">
        <v>45056</v>
      </c>
      <c r="J376" s="387" t="s">
        <v>1044</v>
      </c>
      <c r="K376" s="388" t="s">
        <v>1045</v>
      </c>
      <c r="L376" s="402">
        <v>8</v>
      </c>
      <c r="M376" s="352" t="s">
        <v>792</v>
      </c>
      <c r="N376" s="403">
        <v>350000</v>
      </c>
      <c r="O376" s="404">
        <v>2800000</v>
      </c>
      <c r="P376" s="421">
        <v>6</v>
      </c>
      <c r="Q376" s="429" t="s">
        <v>151</v>
      </c>
      <c r="R376" s="437">
        <v>150000</v>
      </c>
      <c r="S376" s="274">
        <f t="shared" si="42"/>
        <v>2816000</v>
      </c>
      <c r="T376" s="439" t="s">
        <v>12</v>
      </c>
      <c r="U376" s="460" t="str">
        <f t="shared" si="43"/>
        <v/>
      </c>
      <c r="V376" s="439" t="s">
        <v>13</v>
      </c>
      <c r="W376" s="600" t="s">
        <v>540</v>
      </c>
      <c r="X376" s="615" t="s">
        <v>541</v>
      </c>
      <c r="Y376" s="275" t="s">
        <v>710</v>
      </c>
      <c r="Z376" s="449" t="s">
        <v>710</v>
      </c>
      <c r="AA376" s="440" t="s">
        <v>756</v>
      </c>
      <c r="AB376" s="441">
        <f t="shared" si="44"/>
        <v>315315.31531531533</v>
      </c>
      <c r="AC376" s="442">
        <f t="shared" si="45"/>
        <v>2522522.5225225226</v>
      </c>
      <c r="AD376" s="437">
        <v>150000</v>
      </c>
      <c r="AE376" s="447">
        <v>3752702.702702702</v>
      </c>
      <c r="AF376" s="447">
        <v>4165500</v>
      </c>
      <c r="AG376" s="437">
        <v>150000</v>
      </c>
      <c r="AH376" s="271" t="s">
        <v>2099</v>
      </c>
    </row>
    <row r="377" spans="1:36">
      <c r="A377" s="350">
        <v>160</v>
      </c>
      <c r="B377" s="352" t="s">
        <v>1042</v>
      </c>
      <c r="C377" s="352" t="s">
        <v>504</v>
      </c>
      <c r="D377" s="355" t="s">
        <v>801</v>
      </c>
      <c r="E377" s="376" t="s">
        <v>1037</v>
      </c>
      <c r="F377" s="363" t="s">
        <v>1043</v>
      </c>
      <c r="G377" s="363" t="s">
        <v>1043</v>
      </c>
      <c r="H377" s="363" t="s">
        <v>1043</v>
      </c>
      <c r="I377" s="394">
        <v>45056</v>
      </c>
      <c r="J377" s="387" t="s">
        <v>1046</v>
      </c>
      <c r="K377" s="388" t="s">
        <v>1047</v>
      </c>
      <c r="L377" s="402">
        <v>1</v>
      </c>
      <c r="M377" s="352" t="s">
        <v>774</v>
      </c>
      <c r="N377" s="403">
        <v>500000</v>
      </c>
      <c r="O377" s="404">
        <v>500000</v>
      </c>
      <c r="P377" s="421">
        <v>6</v>
      </c>
      <c r="Q377" s="429" t="s">
        <v>100</v>
      </c>
      <c r="R377" s="437">
        <v>52000</v>
      </c>
      <c r="S377" s="274">
        <f t="shared" si="42"/>
        <v>502000</v>
      </c>
      <c r="T377" s="439" t="s">
        <v>12</v>
      </c>
      <c r="U377" s="460" t="str">
        <f t="shared" si="43"/>
        <v/>
      </c>
      <c r="V377" s="439" t="s">
        <v>13</v>
      </c>
      <c r="W377" s="600" t="s">
        <v>540</v>
      </c>
      <c r="X377" s="615" t="s">
        <v>541</v>
      </c>
      <c r="Y377" s="275" t="s">
        <v>710</v>
      </c>
      <c r="Z377" s="449" t="s">
        <v>710</v>
      </c>
      <c r="AA377" s="440" t="s">
        <v>488</v>
      </c>
      <c r="AB377" s="441">
        <f t="shared" si="44"/>
        <v>450450.45045045047</v>
      </c>
      <c r="AC377" s="442">
        <f t="shared" si="45"/>
        <v>450450.45045045047</v>
      </c>
      <c r="AD377" s="437">
        <v>52000</v>
      </c>
      <c r="AE377" s="447">
        <v>3752702.702702702</v>
      </c>
      <c r="AF377" s="447">
        <v>4165500</v>
      </c>
      <c r="AG377" s="437">
        <v>52000</v>
      </c>
      <c r="AH377" s="271" t="s">
        <v>2099</v>
      </c>
    </row>
    <row r="378" spans="1:36">
      <c r="A378" s="350">
        <v>160</v>
      </c>
      <c r="B378" s="352" t="s">
        <v>1042</v>
      </c>
      <c r="C378" s="352" t="s">
        <v>504</v>
      </c>
      <c r="D378" s="355" t="s">
        <v>801</v>
      </c>
      <c r="E378" s="376" t="s">
        <v>1037</v>
      </c>
      <c r="F378" s="363" t="s">
        <v>1043</v>
      </c>
      <c r="G378" s="363" t="s">
        <v>1043</v>
      </c>
      <c r="H378" s="363" t="s">
        <v>1043</v>
      </c>
      <c r="I378" s="394">
        <v>45056</v>
      </c>
      <c r="J378" s="387" t="s">
        <v>1048</v>
      </c>
      <c r="K378" s="388" t="s">
        <v>1049</v>
      </c>
      <c r="L378" s="402">
        <v>8</v>
      </c>
      <c r="M378" s="352" t="s">
        <v>792</v>
      </c>
      <c r="N378" s="403">
        <v>168000</v>
      </c>
      <c r="O378" s="404">
        <v>1344000</v>
      </c>
      <c r="P378" s="421">
        <v>6</v>
      </c>
      <c r="Q378" s="429" t="s">
        <v>139</v>
      </c>
      <c r="R378" s="437">
        <v>40000</v>
      </c>
      <c r="S378" s="274">
        <f t="shared" si="42"/>
        <v>1360000</v>
      </c>
      <c r="T378" s="439" t="s">
        <v>12</v>
      </c>
      <c r="U378" s="460" t="str">
        <f t="shared" si="43"/>
        <v/>
      </c>
      <c r="V378" s="439" t="s">
        <v>13</v>
      </c>
      <c r="W378" s="600" t="s">
        <v>540</v>
      </c>
      <c r="X378" s="615" t="s">
        <v>541</v>
      </c>
      <c r="Y378" s="275" t="s">
        <v>710</v>
      </c>
      <c r="Z378" s="449" t="s">
        <v>710</v>
      </c>
      <c r="AA378" s="440" t="s">
        <v>597</v>
      </c>
      <c r="AB378" s="441">
        <f t="shared" si="44"/>
        <v>151351.35135135136</v>
      </c>
      <c r="AC378" s="442">
        <f t="shared" si="45"/>
        <v>1210810.8108108109</v>
      </c>
      <c r="AD378" s="437">
        <v>40000</v>
      </c>
      <c r="AE378" s="447">
        <v>3752702.702702702</v>
      </c>
      <c r="AF378" s="447">
        <v>4165500</v>
      </c>
      <c r="AG378" s="437">
        <v>40000</v>
      </c>
      <c r="AH378" s="271" t="s">
        <v>2099</v>
      </c>
    </row>
    <row r="379" spans="1:36">
      <c r="A379" s="350">
        <v>162</v>
      </c>
      <c r="B379" s="352" t="s">
        <v>1050</v>
      </c>
      <c r="C379" s="352" t="s">
        <v>532</v>
      </c>
      <c r="D379" s="355" t="s">
        <v>533</v>
      </c>
      <c r="E379" s="376" t="s">
        <v>1051</v>
      </c>
      <c r="F379" s="361" t="s">
        <v>1052</v>
      </c>
      <c r="G379" s="361" t="s">
        <v>1052</v>
      </c>
      <c r="H379" s="361" t="s">
        <v>1052</v>
      </c>
      <c r="I379" s="394">
        <v>45057</v>
      </c>
      <c r="J379" s="387" t="s">
        <v>276</v>
      </c>
      <c r="K379" s="352" t="s">
        <v>276</v>
      </c>
      <c r="L379" s="402">
        <v>5</v>
      </c>
      <c r="M379" s="352" t="s">
        <v>551</v>
      </c>
      <c r="N379" s="403">
        <v>18000</v>
      </c>
      <c r="O379" s="404">
        <v>90000</v>
      </c>
      <c r="P379" s="421">
        <v>6</v>
      </c>
      <c r="Q379" s="429" t="s">
        <v>111</v>
      </c>
      <c r="R379" s="437">
        <v>20000</v>
      </c>
      <c r="S379" s="274">
        <f t="shared" si="42"/>
        <v>100000</v>
      </c>
      <c r="T379" s="275" t="s">
        <v>227</v>
      </c>
      <c r="U379" s="460" t="str">
        <f t="shared" si="43"/>
        <v/>
      </c>
      <c r="V379" s="439" t="s">
        <v>1248</v>
      </c>
      <c r="W379" s="600" t="s">
        <v>540</v>
      </c>
      <c r="X379" s="615" t="s">
        <v>541</v>
      </c>
      <c r="Y379" s="275" t="s">
        <v>710</v>
      </c>
      <c r="Z379" s="449" t="s">
        <v>710</v>
      </c>
      <c r="AA379" s="440" t="s">
        <v>597</v>
      </c>
      <c r="AB379" s="441">
        <f t="shared" si="44"/>
        <v>16216.216216216217</v>
      </c>
      <c r="AC379" s="442">
        <f t="shared" si="45"/>
        <v>81081.08108108108</v>
      </c>
      <c r="AD379" s="437">
        <v>20000</v>
      </c>
      <c r="AE379" s="447">
        <v>3752702.702702702</v>
      </c>
      <c r="AF379" s="447">
        <v>4165500</v>
      </c>
      <c r="AG379" s="437">
        <v>20000</v>
      </c>
      <c r="AH379" s="271" t="s">
        <v>2101</v>
      </c>
    </row>
    <row r="380" spans="1:36">
      <c r="A380" s="350">
        <v>162</v>
      </c>
      <c r="B380" s="352" t="s">
        <v>1050</v>
      </c>
      <c r="C380" s="352" t="s">
        <v>532</v>
      </c>
      <c r="D380" s="355" t="s">
        <v>533</v>
      </c>
      <c r="E380" s="376" t="s">
        <v>1051</v>
      </c>
      <c r="F380" s="361" t="s">
        <v>1052</v>
      </c>
      <c r="G380" s="361" t="s">
        <v>1052</v>
      </c>
      <c r="H380" s="361" t="s">
        <v>1052</v>
      </c>
      <c r="I380" s="394">
        <v>45057</v>
      </c>
      <c r="J380" s="387" t="s">
        <v>669</v>
      </c>
      <c r="K380" s="352" t="s">
        <v>536</v>
      </c>
      <c r="L380" s="402">
        <v>20</v>
      </c>
      <c r="M380" s="352" t="s">
        <v>488</v>
      </c>
      <c r="N380" s="403">
        <v>12000</v>
      </c>
      <c r="O380" s="404">
        <v>240000</v>
      </c>
      <c r="P380" s="421">
        <v>6</v>
      </c>
      <c r="Q380" s="429" t="s">
        <v>109</v>
      </c>
      <c r="R380" s="437">
        <v>22000</v>
      </c>
      <c r="S380" s="274">
        <f t="shared" si="42"/>
        <v>280000</v>
      </c>
      <c r="T380" s="275" t="s">
        <v>227</v>
      </c>
      <c r="U380" s="460" t="str">
        <f t="shared" si="43"/>
        <v/>
      </c>
      <c r="V380" s="439" t="s">
        <v>1248</v>
      </c>
      <c r="W380" s="600" t="s">
        <v>540</v>
      </c>
      <c r="X380" s="615" t="s">
        <v>541</v>
      </c>
      <c r="Y380" s="275" t="s">
        <v>710</v>
      </c>
      <c r="Z380" s="449" t="s">
        <v>710</v>
      </c>
      <c r="AA380" s="440" t="s">
        <v>753</v>
      </c>
      <c r="AB380" s="441">
        <f t="shared" si="44"/>
        <v>10810.810810810812</v>
      </c>
      <c r="AC380" s="442">
        <f t="shared" si="45"/>
        <v>216216.21621621624</v>
      </c>
      <c r="AD380" s="437">
        <v>22000</v>
      </c>
      <c r="AE380" s="447">
        <v>3752702.702702702</v>
      </c>
      <c r="AF380" s="447">
        <v>4165500</v>
      </c>
      <c r="AG380" s="437">
        <v>22000</v>
      </c>
      <c r="AH380" s="271" t="s">
        <v>2101</v>
      </c>
    </row>
    <row r="381" spans="1:36">
      <c r="A381" s="350">
        <v>163</v>
      </c>
      <c r="B381" s="352" t="s">
        <v>1118</v>
      </c>
      <c r="C381" s="352" t="s">
        <v>1036</v>
      </c>
      <c r="D381" s="355" t="s">
        <v>571</v>
      </c>
      <c r="E381" s="377">
        <v>45057</v>
      </c>
      <c r="F381" s="361">
        <v>45058</v>
      </c>
      <c r="G381" s="361">
        <v>45058</v>
      </c>
      <c r="H381" s="361">
        <v>45058</v>
      </c>
      <c r="I381" s="394">
        <v>45076</v>
      </c>
      <c r="J381" s="387" t="s">
        <v>9</v>
      </c>
      <c r="K381" s="387" t="s">
        <v>573</v>
      </c>
      <c r="L381" s="402">
        <v>250</v>
      </c>
      <c r="M381" s="352" t="s">
        <v>574</v>
      </c>
      <c r="N381" s="405">
        <v>300</v>
      </c>
      <c r="O381" s="792">
        <v>75000</v>
      </c>
      <c r="P381" s="421">
        <v>6</v>
      </c>
      <c r="Q381" s="492" t="s">
        <v>156</v>
      </c>
      <c r="R381" s="437">
        <v>60000</v>
      </c>
      <c r="S381" s="274">
        <f t="shared" si="42"/>
        <v>575000</v>
      </c>
      <c r="T381" s="275" t="s">
        <v>227</v>
      </c>
      <c r="U381" s="460" t="str">
        <f t="shared" si="43"/>
        <v/>
      </c>
      <c r="V381" s="439" t="s">
        <v>1248</v>
      </c>
      <c r="W381" s="600" t="s">
        <v>540</v>
      </c>
      <c r="X381" s="445" t="s">
        <v>541</v>
      </c>
      <c r="Y381" s="439" t="s">
        <v>710</v>
      </c>
      <c r="Z381" s="616" t="s">
        <v>710</v>
      </c>
      <c r="AA381" s="440" t="s">
        <v>749</v>
      </c>
      <c r="AB381" s="441">
        <f t="shared" si="44"/>
        <v>270.27027027027026</v>
      </c>
      <c r="AC381" s="442">
        <f t="shared" si="45"/>
        <v>67567.567567567559</v>
      </c>
      <c r="AD381" s="437">
        <v>60000</v>
      </c>
      <c r="AE381" s="447">
        <v>3752702.702702702</v>
      </c>
      <c r="AF381" s="447">
        <v>4165500</v>
      </c>
      <c r="AG381" s="437">
        <v>60000</v>
      </c>
      <c r="AH381" s="271" t="s">
        <v>2101</v>
      </c>
    </row>
    <row r="382" spans="1:36">
      <c r="A382" s="350">
        <v>163</v>
      </c>
      <c r="B382" s="352" t="s">
        <v>1121</v>
      </c>
      <c r="C382" s="352" t="s">
        <v>570</v>
      </c>
      <c r="D382" s="355" t="s">
        <v>571</v>
      </c>
      <c r="E382" s="377">
        <v>45057</v>
      </c>
      <c r="F382" s="361">
        <v>45058</v>
      </c>
      <c r="G382" s="361">
        <v>45058</v>
      </c>
      <c r="H382" s="361">
        <v>45058</v>
      </c>
      <c r="I382" s="394">
        <v>45076</v>
      </c>
      <c r="J382" s="387" t="s">
        <v>9</v>
      </c>
      <c r="K382" s="387" t="s">
        <v>573</v>
      </c>
      <c r="L382" s="402">
        <v>3500</v>
      </c>
      <c r="M382" s="352" t="s">
        <v>574</v>
      </c>
      <c r="N382" s="405">
        <v>300</v>
      </c>
      <c r="O382" s="404">
        <v>1050000</v>
      </c>
      <c r="P382" s="421">
        <v>6</v>
      </c>
      <c r="Q382" s="429" t="s">
        <v>131</v>
      </c>
      <c r="R382" s="437">
        <v>21000</v>
      </c>
      <c r="S382" s="274">
        <f t="shared" si="42"/>
        <v>8050000</v>
      </c>
      <c r="T382" s="275" t="s">
        <v>227</v>
      </c>
      <c r="U382" s="460" t="str">
        <f t="shared" si="43"/>
        <v/>
      </c>
      <c r="V382" s="439" t="s">
        <v>1248</v>
      </c>
      <c r="W382" s="600" t="s">
        <v>540</v>
      </c>
      <c r="X382" s="445" t="s">
        <v>541</v>
      </c>
      <c r="Y382" s="439" t="s">
        <v>710</v>
      </c>
      <c r="Z382" s="449" t="s">
        <v>710</v>
      </c>
      <c r="AA382" s="440" t="s">
        <v>488</v>
      </c>
      <c r="AB382" s="441">
        <f t="shared" si="44"/>
        <v>270.27027027027026</v>
      </c>
      <c r="AC382" s="442">
        <f t="shared" si="45"/>
        <v>945945.94594594592</v>
      </c>
      <c r="AD382" s="437">
        <v>21000</v>
      </c>
      <c r="AE382" s="447">
        <v>3752702.702702702</v>
      </c>
      <c r="AF382" s="447">
        <v>4165500</v>
      </c>
      <c r="AG382" s="437">
        <v>21000</v>
      </c>
      <c r="AH382" s="271" t="s">
        <v>2101</v>
      </c>
    </row>
    <row r="383" spans="1:36">
      <c r="A383" s="350">
        <v>165</v>
      </c>
      <c r="B383" s="352" t="s">
        <v>1053</v>
      </c>
      <c r="C383" s="352" t="s">
        <v>603</v>
      </c>
      <c r="D383" s="355" t="s">
        <v>1054</v>
      </c>
      <c r="E383" s="376" t="s">
        <v>1037</v>
      </c>
      <c r="F383" s="361">
        <v>45058</v>
      </c>
      <c r="G383" s="361">
        <v>45058</v>
      </c>
      <c r="H383" s="361">
        <v>45058</v>
      </c>
      <c r="I383" s="394">
        <v>45058</v>
      </c>
      <c r="J383" s="387" t="s">
        <v>1055</v>
      </c>
      <c r="K383" s="387" t="s">
        <v>1056</v>
      </c>
      <c r="L383" s="402">
        <v>3</v>
      </c>
      <c r="M383" s="352" t="s">
        <v>792</v>
      </c>
      <c r="N383" s="403">
        <v>450000</v>
      </c>
      <c r="O383" s="404">
        <v>1350000</v>
      </c>
      <c r="P383" s="421">
        <v>6</v>
      </c>
      <c r="Q383" s="429" t="s">
        <v>141</v>
      </c>
      <c r="R383" s="437">
        <v>15000</v>
      </c>
      <c r="S383" s="274">
        <f t="shared" si="42"/>
        <v>1356000</v>
      </c>
      <c r="T383" s="439" t="s">
        <v>12</v>
      </c>
      <c r="U383" s="460" t="str">
        <f t="shared" si="43"/>
        <v/>
      </c>
      <c r="V383" s="439" t="s">
        <v>13</v>
      </c>
      <c r="W383" s="600" t="s">
        <v>540</v>
      </c>
      <c r="X383" s="615" t="s">
        <v>541</v>
      </c>
      <c r="Y383" s="439" t="s">
        <v>710</v>
      </c>
      <c r="Z383" s="449" t="s">
        <v>710</v>
      </c>
      <c r="AA383" s="440" t="s">
        <v>488</v>
      </c>
      <c r="AB383" s="441">
        <f t="shared" si="44"/>
        <v>405405.40540540538</v>
      </c>
      <c r="AC383" s="442">
        <f t="shared" si="45"/>
        <v>1216216.2162162161</v>
      </c>
      <c r="AD383" s="437">
        <v>15000</v>
      </c>
      <c r="AE383" s="447">
        <v>3752702.702702702</v>
      </c>
      <c r="AF383" s="447">
        <v>4165500</v>
      </c>
      <c r="AG383" s="437">
        <v>15000</v>
      </c>
      <c r="AH383" s="271" t="s">
        <v>2099</v>
      </c>
    </row>
    <row r="384" spans="1:36">
      <c r="A384" s="350">
        <v>165</v>
      </c>
      <c r="B384" s="352" t="s">
        <v>1057</v>
      </c>
      <c r="C384" s="352" t="s">
        <v>603</v>
      </c>
      <c r="D384" s="355" t="s">
        <v>1054</v>
      </c>
      <c r="E384" s="376" t="s">
        <v>1037</v>
      </c>
      <c r="F384" s="361">
        <v>45058</v>
      </c>
      <c r="G384" s="361">
        <v>45058</v>
      </c>
      <c r="H384" s="361">
        <v>45058</v>
      </c>
      <c r="I384" s="394">
        <v>45058</v>
      </c>
      <c r="J384" s="387" t="s">
        <v>1055</v>
      </c>
      <c r="K384" s="387" t="s">
        <v>1058</v>
      </c>
      <c r="L384" s="402">
        <v>1</v>
      </c>
      <c r="M384" s="352" t="s">
        <v>792</v>
      </c>
      <c r="N384" s="403">
        <v>2200000</v>
      </c>
      <c r="O384" s="404">
        <v>2200000</v>
      </c>
      <c r="P384" s="421">
        <v>6</v>
      </c>
      <c r="Q384" s="429" t="s">
        <v>909</v>
      </c>
      <c r="R384" s="437">
        <v>5000</v>
      </c>
      <c r="S384" s="274">
        <f t="shared" si="42"/>
        <v>2202000</v>
      </c>
      <c r="T384" s="439" t="s">
        <v>12</v>
      </c>
      <c r="U384" s="460" t="str">
        <f t="shared" si="43"/>
        <v/>
      </c>
      <c r="V384" s="439" t="s">
        <v>13</v>
      </c>
      <c r="W384" s="600" t="s">
        <v>540</v>
      </c>
      <c r="X384" s="445" t="s">
        <v>541</v>
      </c>
      <c r="Y384" s="275" t="s">
        <v>710</v>
      </c>
      <c r="Z384" s="449" t="s">
        <v>710</v>
      </c>
      <c r="AA384" s="440" t="s">
        <v>753</v>
      </c>
      <c r="AB384" s="441">
        <f t="shared" si="44"/>
        <v>1981981.981981982</v>
      </c>
      <c r="AC384" s="442">
        <f t="shared" si="45"/>
        <v>1981981.981981982</v>
      </c>
      <c r="AD384" s="437">
        <v>5000</v>
      </c>
      <c r="AE384" s="447">
        <v>3752702.702702702</v>
      </c>
      <c r="AF384" s="447">
        <v>4165500</v>
      </c>
      <c r="AG384" s="437">
        <v>5000</v>
      </c>
      <c r="AH384" s="271" t="s">
        <v>2099</v>
      </c>
    </row>
    <row r="385" spans="1:34" ht="25">
      <c r="A385" s="350">
        <v>171</v>
      </c>
      <c r="B385" s="352" t="s">
        <v>1059</v>
      </c>
      <c r="C385" s="352" t="s">
        <v>1060</v>
      </c>
      <c r="D385" s="355" t="s">
        <v>464</v>
      </c>
      <c r="E385" s="376" t="s">
        <v>1061</v>
      </c>
      <c r="F385" s="361">
        <v>45061</v>
      </c>
      <c r="G385" s="361">
        <v>45061</v>
      </c>
      <c r="H385" s="361">
        <v>45061</v>
      </c>
      <c r="I385" s="394">
        <v>45062</v>
      </c>
      <c r="J385" s="387" t="s">
        <v>1062</v>
      </c>
      <c r="K385" s="387" t="s">
        <v>484</v>
      </c>
      <c r="L385" s="402">
        <v>10</v>
      </c>
      <c r="M385" s="352" t="s">
        <v>472</v>
      </c>
      <c r="N385" s="403">
        <v>50000</v>
      </c>
      <c r="O385" s="404">
        <v>500000</v>
      </c>
      <c r="P385" s="421">
        <v>6</v>
      </c>
      <c r="Q385" s="429" t="s">
        <v>149</v>
      </c>
      <c r="R385" s="437">
        <v>650000</v>
      </c>
      <c r="S385" s="274">
        <f t="shared" si="42"/>
        <v>520000</v>
      </c>
      <c r="T385" s="439" t="s">
        <v>10</v>
      </c>
      <c r="U385" s="460" t="str">
        <f t="shared" si="43"/>
        <v/>
      </c>
      <c r="V385" s="275" t="s">
        <v>11</v>
      </c>
      <c r="W385" s="600" t="s">
        <v>540</v>
      </c>
      <c r="X385" s="445" t="s">
        <v>541</v>
      </c>
      <c r="Y385" s="439" t="s">
        <v>710</v>
      </c>
      <c r="Z385" s="449" t="s">
        <v>710</v>
      </c>
      <c r="AA385" s="440" t="s">
        <v>728</v>
      </c>
      <c r="AB385" s="441">
        <f t="shared" si="44"/>
        <v>45045.045045045044</v>
      </c>
      <c r="AC385" s="442">
        <f t="shared" si="45"/>
        <v>450450.45045045041</v>
      </c>
      <c r="AD385" s="437">
        <v>650000</v>
      </c>
      <c r="AE385" s="447">
        <v>3752702.702702702</v>
      </c>
      <c r="AF385" s="447">
        <v>4165500</v>
      </c>
      <c r="AG385" s="437">
        <v>650000</v>
      </c>
      <c r="AH385" s="271" t="s">
        <v>2092</v>
      </c>
    </row>
    <row r="386" spans="1:34" ht="25">
      <c r="A386" s="350">
        <v>171</v>
      </c>
      <c r="B386" s="352" t="s">
        <v>1063</v>
      </c>
      <c r="C386" s="352" t="s">
        <v>1060</v>
      </c>
      <c r="D386" s="355" t="s">
        <v>464</v>
      </c>
      <c r="E386" s="376" t="s">
        <v>1061</v>
      </c>
      <c r="F386" s="361">
        <v>45061</v>
      </c>
      <c r="G386" s="361">
        <v>45061</v>
      </c>
      <c r="H386" s="361">
        <v>45061</v>
      </c>
      <c r="I386" s="394">
        <v>45062</v>
      </c>
      <c r="J386" s="387" t="s">
        <v>1064</v>
      </c>
      <c r="K386" s="387" t="s">
        <v>471</v>
      </c>
      <c r="L386" s="402">
        <v>2</v>
      </c>
      <c r="M386" s="352" t="s">
        <v>472</v>
      </c>
      <c r="N386" s="403">
        <v>70000</v>
      </c>
      <c r="O386" s="404">
        <v>140000</v>
      </c>
      <c r="P386" s="421">
        <v>6</v>
      </c>
      <c r="Q386" s="429" t="s">
        <v>96</v>
      </c>
      <c r="R386" s="437">
        <v>40000</v>
      </c>
      <c r="S386" s="274">
        <f t="shared" si="42"/>
        <v>144000</v>
      </c>
      <c r="T386" s="439" t="s">
        <v>10</v>
      </c>
      <c r="U386" s="460" t="str">
        <f t="shared" si="43"/>
        <v>UD. USAHA JAYA</v>
      </c>
      <c r="V386" s="439" t="s">
        <v>11</v>
      </c>
      <c r="W386" s="600" t="s">
        <v>540</v>
      </c>
      <c r="X386" s="445" t="s">
        <v>541</v>
      </c>
      <c r="Y386" s="275" t="s">
        <v>710</v>
      </c>
      <c r="Z386" s="449" t="s">
        <v>710</v>
      </c>
      <c r="AA386" s="440" t="s">
        <v>753</v>
      </c>
      <c r="AB386" s="441">
        <f t="shared" si="44"/>
        <v>63063.063063063062</v>
      </c>
      <c r="AC386" s="442">
        <f t="shared" si="45"/>
        <v>126126.12612612612</v>
      </c>
      <c r="AD386" s="437">
        <v>40000</v>
      </c>
      <c r="AE386" s="447">
        <v>3752702.702702702</v>
      </c>
      <c r="AF386" s="447">
        <v>4165500</v>
      </c>
      <c r="AG386" s="437">
        <v>40000</v>
      </c>
      <c r="AH386" s="271" t="s">
        <v>2092</v>
      </c>
    </row>
    <row r="387" spans="1:34" ht="25">
      <c r="A387" s="350">
        <v>171</v>
      </c>
      <c r="B387" s="352" t="s">
        <v>1065</v>
      </c>
      <c r="C387" s="352" t="s">
        <v>1060</v>
      </c>
      <c r="D387" s="355" t="s">
        <v>464</v>
      </c>
      <c r="E387" s="376" t="s">
        <v>1061</v>
      </c>
      <c r="F387" s="361">
        <v>45061</v>
      </c>
      <c r="G387" s="361">
        <v>45061</v>
      </c>
      <c r="H387" s="361">
        <v>45061</v>
      </c>
      <c r="I387" s="394">
        <v>45062</v>
      </c>
      <c r="J387" s="387" t="s">
        <v>1066</v>
      </c>
      <c r="K387" s="352" t="s">
        <v>487</v>
      </c>
      <c r="L387" s="402">
        <v>248</v>
      </c>
      <c r="M387" s="352" t="s">
        <v>488</v>
      </c>
      <c r="N387" s="403">
        <v>8000</v>
      </c>
      <c r="O387" s="404">
        <v>1984000</v>
      </c>
      <c r="P387" s="421">
        <v>6</v>
      </c>
      <c r="Q387" s="429" t="s">
        <v>148</v>
      </c>
      <c r="R387" s="437">
        <v>35000</v>
      </c>
      <c r="S387" s="274">
        <f t="shared" ref="S387:S450" si="47">L387*(N387+2000)</f>
        <v>2480000</v>
      </c>
      <c r="T387" s="439" t="s">
        <v>10</v>
      </c>
      <c r="U387" s="460" t="str">
        <f t="shared" ref="U387:U450" si="48">IF(K387="Nasi Kotak","Resto JFC Esther",IF(K387="Aqua Botol 600 ml","UD. USAHA JAYA",""))</f>
        <v/>
      </c>
      <c r="V387" s="275" t="s">
        <v>11</v>
      </c>
      <c r="W387" s="600" t="s">
        <v>540</v>
      </c>
      <c r="X387" s="445" t="s">
        <v>541</v>
      </c>
      <c r="Y387" s="439" t="s">
        <v>710</v>
      </c>
      <c r="Z387" s="449" t="s">
        <v>710</v>
      </c>
      <c r="AA387" s="440" t="s">
        <v>488</v>
      </c>
      <c r="AB387" s="441">
        <f t="shared" ref="AB387:AB450" si="49">100/111*N387</f>
        <v>7207.2072072072069</v>
      </c>
      <c r="AC387" s="442">
        <f t="shared" ref="AC387:AC450" si="50">AB387*L387</f>
        <v>1787387.3873873872</v>
      </c>
      <c r="AD387" s="437">
        <v>35000</v>
      </c>
      <c r="AE387" s="447">
        <v>3752702.702702702</v>
      </c>
      <c r="AF387" s="447">
        <v>4165500</v>
      </c>
      <c r="AG387" s="437">
        <v>35000</v>
      </c>
      <c r="AH387" s="271" t="s">
        <v>2092</v>
      </c>
    </row>
    <row r="388" spans="1:34">
      <c r="A388" s="350">
        <v>171</v>
      </c>
      <c r="B388" s="352" t="s">
        <v>1067</v>
      </c>
      <c r="C388" s="352" t="s">
        <v>492</v>
      </c>
      <c r="D388" s="355" t="s">
        <v>464</v>
      </c>
      <c r="E388" s="376" t="s">
        <v>1061</v>
      </c>
      <c r="F388" s="361">
        <v>45061</v>
      </c>
      <c r="G388" s="361">
        <v>45061</v>
      </c>
      <c r="H388" s="361">
        <v>45061</v>
      </c>
      <c r="I388" s="394">
        <v>45062</v>
      </c>
      <c r="J388" s="387" t="s">
        <v>496</v>
      </c>
      <c r="K388" s="387" t="s">
        <v>484</v>
      </c>
      <c r="L388" s="402">
        <v>8</v>
      </c>
      <c r="M388" s="352" t="s">
        <v>472</v>
      </c>
      <c r="N388" s="403">
        <v>50000</v>
      </c>
      <c r="O388" s="404">
        <v>400000</v>
      </c>
      <c r="P388" s="421">
        <v>6</v>
      </c>
      <c r="Q388" s="429" t="s">
        <v>1033</v>
      </c>
      <c r="R388" s="437">
        <v>23000</v>
      </c>
      <c r="S388" s="274">
        <f t="shared" si="47"/>
        <v>416000</v>
      </c>
      <c r="T388" s="439" t="s">
        <v>10</v>
      </c>
      <c r="U388" s="460" t="str">
        <f t="shared" si="48"/>
        <v/>
      </c>
      <c r="V388" s="439" t="s">
        <v>11</v>
      </c>
      <c r="W388" s="600" t="s">
        <v>540</v>
      </c>
      <c r="X388" s="445" t="s">
        <v>541</v>
      </c>
      <c r="Y388" s="275" t="s">
        <v>710</v>
      </c>
      <c r="Z388" s="449" t="s">
        <v>710</v>
      </c>
      <c r="AA388" s="440" t="s">
        <v>753</v>
      </c>
      <c r="AB388" s="441">
        <f t="shared" si="49"/>
        <v>45045.045045045044</v>
      </c>
      <c r="AC388" s="442">
        <f t="shared" si="50"/>
        <v>360360.36036036036</v>
      </c>
      <c r="AD388" s="437">
        <v>23000</v>
      </c>
      <c r="AE388" s="447">
        <v>3752702.702702702</v>
      </c>
      <c r="AF388" s="447">
        <v>4165500</v>
      </c>
      <c r="AG388" s="437">
        <v>23000</v>
      </c>
      <c r="AH388" s="271" t="s">
        <v>2092</v>
      </c>
    </row>
    <row r="389" spans="1:34" ht="25">
      <c r="A389" s="350">
        <v>171</v>
      </c>
      <c r="B389" s="352" t="s">
        <v>1068</v>
      </c>
      <c r="C389" s="352" t="s">
        <v>498</v>
      </c>
      <c r="D389" s="355" t="s">
        <v>464</v>
      </c>
      <c r="E389" s="376" t="s">
        <v>1061</v>
      </c>
      <c r="F389" s="361">
        <v>45061</v>
      </c>
      <c r="G389" s="361">
        <v>45061</v>
      </c>
      <c r="H389" s="361">
        <v>45061</v>
      </c>
      <c r="I389" s="394">
        <v>45062</v>
      </c>
      <c r="J389" s="387" t="s">
        <v>502</v>
      </c>
      <c r="K389" s="387" t="s">
        <v>484</v>
      </c>
      <c r="L389" s="402">
        <v>8</v>
      </c>
      <c r="M389" s="352" t="s">
        <v>472</v>
      </c>
      <c r="N389" s="403">
        <v>50000</v>
      </c>
      <c r="O389" s="404">
        <v>400000</v>
      </c>
      <c r="P389" s="421">
        <v>6</v>
      </c>
      <c r="Q389" s="492" t="s">
        <v>157</v>
      </c>
      <c r="R389" s="437">
        <v>42000</v>
      </c>
      <c r="S389" s="274">
        <f t="shared" si="47"/>
        <v>416000</v>
      </c>
      <c r="T389" s="439" t="s">
        <v>10</v>
      </c>
      <c r="U389" s="460" t="str">
        <f t="shared" si="48"/>
        <v/>
      </c>
      <c r="V389" s="275" t="s">
        <v>11</v>
      </c>
      <c r="W389" s="600" t="s">
        <v>540</v>
      </c>
      <c r="X389" s="445" t="s">
        <v>541</v>
      </c>
      <c r="Y389" s="439" t="s">
        <v>710</v>
      </c>
      <c r="Z389" s="449" t="s">
        <v>710</v>
      </c>
      <c r="AA389" s="440" t="s">
        <v>488</v>
      </c>
      <c r="AB389" s="441">
        <f t="shared" si="49"/>
        <v>45045.045045045044</v>
      </c>
      <c r="AC389" s="442">
        <f t="shared" si="50"/>
        <v>360360.36036036036</v>
      </c>
      <c r="AD389" s="437">
        <v>42000</v>
      </c>
      <c r="AE389" s="447">
        <v>3752702.702702702</v>
      </c>
      <c r="AF389" s="447">
        <v>4165500</v>
      </c>
      <c r="AG389" s="437">
        <v>42000</v>
      </c>
      <c r="AH389" s="271" t="s">
        <v>2092</v>
      </c>
    </row>
    <row r="390" spans="1:34" ht="25">
      <c r="A390" s="350">
        <v>171</v>
      </c>
      <c r="B390" s="352" t="s">
        <v>1069</v>
      </c>
      <c r="C390" s="352" t="s">
        <v>504</v>
      </c>
      <c r="D390" s="355" t="s">
        <v>464</v>
      </c>
      <c r="E390" s="376" t="s">
        <v>1061</v>
      </c>
      <c r="F390" s="361">
        <v>45061</v>
      </c>
      <c r="G390" s="361">
        <v>45061</v>
      </c>
      <c r="H390" s="361">
        <v>45061</v>
      </c>
      <c r="I390" s="394">
        <v>45062</v>
      </c>
      <c r="J390" s="387" t="s">
        <v>505</v>
      </c>
      <c r="K390" s="387" t="s">
        <v>484</v>
      </c>
      <c r="L390" s="402">
        <v>8</v>
      </c>
      <c r="M390" s="352" t="s">
        <v>472</v>
      </c>
      <c r="N390" s="403">
        <v>50000</v>
      </c>
      <c r="O390" s="404">
        <v>400000</v>
      </c>
      <c r="P390" s="421">
        <v>6</v>
      </c>
      <c r="Q390" s="429" t="s">
        <v>911</v>
      </c>
      <c r="R390" s="437">
        <v>15000</v>
      </c>
      <c r="S390" s="274">
        <f t="shared" si="47"/>
        <v>416000</v>
      </c>
      <c r="T390" s="439" t="s">
        <v>10</v>
      </c>
      <c r="U390" s="460" t="str">
        <f t="shared" si="48"/>
        <v/>
      </c>
      <c r="V390" s="439" t="s">
        <v>11</v>
      </c>
      <c r="W390" s="600" t="s">
        <v>540</v>
      </c>
      <c r="X390" s="445" t="s">
        <v>541</v>
      </c>
      <c r="Y390" s="275" t="s">
        <v>710</v>
      </c>
      <c r="Z390" s="449" t="s">
        <v>710</v>
      </c>
      <c r="AA390" s="440" t="s">
        <v>753</v>
      </c>
      <c r="AB390" s="441">
        <f t="shared" si="49"/>
        <v>45045.045045045044</v>
      </c>
      <c r="AC390" s="442">
        <f t="shared" si="50"/>
        <v>360360.36036036036</v>
      </c>
      <c r="AD390" s="437">
        <v>15000</v>
      </c>
      <c r="AE390" s="447">
        <v>3752702.702702702</v>
      </c>
      <c r="AF390" s="447">
        <v>4165500</v>
      </c>
      <c r="AG390" s="437">
        <v>15000</v>
      </c>
      <c r="AH390" s="271" t="s">
        <v>2092</v>
      </c>
    </row>
    <row r="391" spans="1:34">
      <c r="A391" s="350">
        <v>175</v>
      </c>
      <c r="B391" s="352" t="s">
        <v>1070</v>
      </c>
      <c r="C391" s="352" t="s">
        <v>507</v>
      </c>
      <c r="D391" s="355" t="s">
        <v>464</v>
      </c>
      <c r="E391" s="376" t="s">
        <v>1071</v>
      </c>
      <c r="F391" s="361">
        <v>45062</v>
      </c>
      <c r="G391" s="361">
        <v>45062</v>
      </c>
      <c r="H391" s="361">
        <v>45062</v>
      </c>
      <c r="I391" s="394">
        <v>45062</v>
      </c>
      <c r="J391" s="387" t="s">
        <v>510</v>
      </c>
      <c r="K391" s="387" t="s">
        <v>484</v>
      </c>
      <c r="L391" s="402">
        <v>8</v>
      </c>
      <c r="M391" s="352" t="s">
        <v>472</v>
      </c>
      <c r="N391" s="403">
        <v>50000</v>
      </c>
      <c r="O391" s="404">
        <v>400000</v>
      </c>
      <c r="P391" s="421">
        <v>6</v>
      </c>
      <c r="Q391" s="429" t="s">
        <v>132</v>
      </c>
      <c r="R391" s="437">
        <v>440000</v>
      </c>
      <c r="S391" s="274">
        <f t="shared" si="47"/>
        <v>416000</v>
      </c>
      <c r="T391" s="439" t="s">
        <v>10</v>
      </c>
      <c r="U391" s="460" t="str">
        <f t="shared" si="48"/>
        <v/>
      </c>
      <c r="V391" s="439" t="s">
        <v>11</v>
      </c>
      <c r="W391" s="600" t="s">
        <v>540</v>
      </c>
      <c r="X391" s="445" t="s">
        <v>541</v>
      </c>
      <c r="Y391" s="275" t="s">
        <v>710</v>
      </c>
      <c r="Z391" s="449" t="s">
        <v>710</v>
      </c>
      <c r="AA391" s="440" t="s">
        <v>597</v>
      </c>
      <c r="AB391" s="441">
        <f t="shared" si="49"/>
        <v>45045.045045045044</v>
      </c>
      <c r="AC391" s="442">
        <f t="shared" si="50"/>
        <v>360360.36036036036</v>
      </c>
      <c r="AD391" s="437">
        <v>440000</v>
      </c>
      <c r="AE391" s="447">
        <v>3752702.702702702</v>
      </c>
      <c r="AF391" s="447">
        <v>4165500</v>
      </c>
      <c r="AG391" s="437">
        <v>440000</v>
      </c>
      <c r="AH391" s="271" t="s">
        <v>2092</v>
      </c>
    </row>
    <row r="392" spans="1:34">
      <c r="A392" s="350">
        <v>175</v>
      </c>
      <c r="B392" s="352" t="s">
        <v>1072</v>
      </c>
      <c r="C392" s="352" t="s">
        <v>512</v>
      </c>
      <c r="D392" s="355" t="s">
        <v>464</v>
      </c>
      <c r="E392" s="376" t="s">
        <v>1071</v>
      </c>
      <c r="F392" s="361">
        <v>45062</v>
      </c>
      <c r="G392" s="361">
        <v>45062</v>
      </c>
      <c r="H392" s="361">
        <v>45062</v>
      </c>
      <c r="I392" s="394">
        <v>45062</v>
      </c>
      <c r="J392" s="387" t="s">
        <v>513</v>
      </c>
      <c r="K392" s="387" t="s">
        <v>484</v>
      </c>
      <c r="L392" s="402">
        <v>4</v>
      </c>
      <c r="M392" s="352" t="s">
        <v>472</v>
      </c>
      <c r="N392" s="403">
        <v>50000</v>
      </c>
      <c r="O392" s="404">
        <v>200000</v>
      </c>
      <c r="P392" s="421">
        <v>6</v>
      </c>
      <c r="Q392" s="429" t="s">
        <v>108</v>
      </c>
      <c r="R392" s="437">
        <v>15000</v>
      </c>
      <c r="S392" s="274">
        <f t="shared" si="47"/>
        <v>208000</v>
      </c>
      <c r="T392" s="439" t="s">
        <v>10</v>
      </c>
      <c r="U392" s="460" t="str">
        <f t="shared" si="48"/>
        <v/>
      </c>
      <c r="V392" s="439" t="s">
        <v>11</v>
      </c>
      <c r="W392" s="600" t="s">
        <v>540</v>
      </c>
      <c r="X392" s="445" t="s">
        <v>541</v>
      </c>
      <c r="Y392" s="275" t="s">
        <v>710</v>
      </c>
      <c r="Z392" s="449" t="s">
        <v>710</v>
      </c>
      <c r="AA392" s="440" t="s">
        <v>735</v>
      </c>
      <c r="AB392" s="441">
        <f t="shared" si="49"/>
        <v>45045.045045045044</v>
      </c>
      <c r="AC392" s="442">
        <f t="shared" si="50"/>
        <v>180180.18018018018</v>
      </c>
      <c r="AD392" s="437">
        <v>15000</v>
      </c>
      <c r="AE392" s="447">
        <v>3752702.702702702</v>
      </c>
      <c r="AF392" s="447">
        <v>4165500</v>
      </c>
      <c r="AG392" s="437">
        <v>15000</v>
      </c>
      <c r="AH392" s="271" t="s">
        <v>2092</v>
      </c>
    </row>
    <row r="393" spans="1:34" ht="25">
      <c r="A393" s="350">
        <v>175</v>
      </c>
      <c r="B393" s="352" t="s">
        <v>1073</v>
      </c>
      <c r="C393" s="352" t="s">
        <v>517</v>
      </c>
      <c r="D393" s="355" t="s">
        <v>464</v>
      </c>
      <c r="E393" s="376" t="s">
        <v>1071</v>
      </c>
      <c r="F393" s="361">
        <v>45062</v>
      </c>
      <c r="G393" s="361">
        <v>45062</v>
      </c>
      <c r="H393" s="361">
        <v>45062</v>
      </c>
      <c r="I393" s="394">
        <v>45062</v>
      </c>
      <c r="J393" s="387" t="s">
        <v>518</v>
      </c>
      <c r="K393" s="387" t="s">
        <v>484</v>
      </c>
      <c r="L393" s="402">
        <v>10</v>
      </c>
      <c r="M393" s="352" t="s">
        <v>472</v>
      </c>
      <c r="N393" s="403">
        <v>50000</v>
      </c>
      <c r="O393" s="404">
        <v>500000</v>
      </c>
      <c r="P393" s="421">
        <v>6</v>
      </c>
      <c r="Q393" s="429" t="s">
        <v>1160</v>
      </c>
      <c r="R393" s="437">
        <v>750000</v>
      </c>
      <c r="S393" s="274">
        <f t="shared" si="47"/>
        <v>520000</v>
      </c>
      <c r="T393" s="439" t="s">
        <v>10</v>
      </c>
      <c r="U393" s="460" t="str">
        <f t="shared" si="48"/>
        <v/>
      </c>
      <c r="V393" s="275" t="s">
        <v>11</v>
      </c>
      <c r="W393" s="600" t="s">
        <v>540</v>
      </c>
      <c r="X393" s="445" t="s">
        <v>541</v>
      </c>
      <c r="Y393" s="439" t="s">
        <v>710</v>
      </c>
      <c r="Z393" s="449" t="s">
        <v>710</v>
      </c>
      <c r="AA393" s="440" t="s">
        <v>551</v>
      </c>
      <c r="AB393" s="441">
        <f t="shared" si="49"/>
        <v>45045.045045045044</v>
      </c>
      <c r="AC393" s="442">
        <f t="shared" si="50"/>
        <v>450450.45045045041</v>
      </c>
      <c r="AD393" s="437">
        <v>750000</v>
      </c>
      <c r="AE393" s="447">
        <v>3752702.702702702</v>
      </c>
      <c r="AF393" s="447">
        <v>4165500</v>
      </c>
      <c r="AG393" s="437">
        <v>750000</v>
      </c>
      <c r="AH393" s="271" t="s">
        <v>2092</v>
      </c>
    </row>
    <row r="394" spans="1:34">
      <c r="A394" s="350">
        <v>175</v>
      </c>
      <c r="B394" s="352" t="s">
        <v>1074</v>
      </c>
      <c r="C394" s="352" t="s">
        <v>1036</v>
      </c>
      <c r="D394" s="355" t="s">
        <v>464</v>
      </c>
      <c r="E394" s="376" t="s">
        <v>1071</v>
      </c>
      <c r="F394" s="361">
        <v>45062</v>
      </c>
      <c r="G394" s="361">
        <v>45062</v>
      </c>
      <c r="H394" s="361">
        <v>45062</v>
      </c>
      <c r="I394" s="394">
        <v>45062</v>
      </c>
      <c r="J394" s="387" t="s">
        <v>1075</v>
      </c>
      <c r="K394" s="387" t="s">
        <v>471</v>
      </c>
      <c r="L394" s="402">
        <v>6</v>
      </c>
      <c r="M394" s="352" t="s">
        <v>472</v>
      </c>
      <c r="N394" s="403">
        <v>70000</v>
      </c>
      <c r="O394" s="404">
        <v>420000</v>
      </c>
      <c r="P394" s="421">
        <v>6</v>
      </c>
      <c r="Q394" s="429" t="s">
        <v>120</v>
      </c>
      <c r="R394" s="437">
        <v>190000</v>
      </c>
      <c r="S394" s="274">
        <f t="shared" si="47"/>
        <v>432000</v>
      </c>
      <c r="T394" s="439" t="s">
        <v>10</v>
      </c>
      <c r="U394" s="460" t="str">
        <f t="shared" si="48"/>
        <v>UD. USAHA JAYA</v>
      </c>
      <c r="V394" s="439" t="s">
        <v>11</v>
      </c>
      <c r="W394" s="600" t="s">
        <v>540</v>
      </c>
      <c r="X394" s="445" t="s">
        <v>541</v>
      </c>
      <c r="Y394" s="275" t="s">
        <v>710</v>
      </c>
      <c r="Z394" s="449" t="s">
        <v>710</v>
      </c>
      <c r="AA394" s="440" t="s">
        <v>488</v>
      </c>
      <c r="AB394" s="441">
        <f t="shared" si="49"/>
        <v>63063.063063063062</v>
      </c>
      <c r="AC394" s="442">
        <f t="shared" si="50"/>
        <v>378378.37837837834</v>
      </c>
      <c r="AD394" s="437">
        <v>190000</v>
      </c>
      <c r="AE394" s="447">
        <v>3752702.702702702</v>
      </c>
      <c r="AF394" s="447">
        <v>4165500</v>
      </c>
      <c r="AG394" s="437">
        <v>190000</v>
      </c>
      <c r="AH394" s="271" t="s">
        <v>2092</v>
      </c>
    </row>
    <row r="395" spans="1:34" ht="25">
      <c r="A395" s="350">
        <v>175</v>
      </c>
      <c r="B395" s="352" t="s">
        <v>1076</v>
      </c>
      <c r="C395" s="352" t="s">
        <v>827</v>
      </c>
      <c r="D395" s="355" t="s">
        <v>464</v>
      </c>
      <c r="E395" s="376" t="s">
        <v>1071</v>
      </c>
      <c r="F395" s="361">
        <v>45062</v>
      </c>
      <c r="G395" s="361">
        <v>45062</v>
      </c>
      <c r="H395" s="361">
        <v>45062</v>
      </c>
      <c r="I395" s="394">
        <v>45062</v>
      </c>
      <c r="J395" s="387" t="s">
        <v>828</v>
      </c>
      <c r="K395" s="387" t="s">
        <v>471</v>
      </c>
      <c r="L395" s="791">
        <v>2</v>
      </c>
      <c r="M395" s="352" t="s">
        <v>472</v>
      </c>
      <c r="N395" s="403">
        <v>70000</v>
      </c>
      <c r="O395" s="404">
        <v>140000</v>
      </c>
      <c r="P395" s="421">
        <v>6</v>
      </c>
      <c r="Q395" s="429" t="s">
        <v>113</v>
      </c>
      <c r="R395" s="437">
        <v>26000</v>
      </c>
      <c r="S395" s="274">
        <f t="shared" si="47"/>
        <v>144000</v>
      </c>
      <c r="T395" s="439" t="s">
        <v>10</v>
      </c>
      <c r="U395" s="460" t="str">
        <f t="shared" si="48"/>
        <v>UD. USAHA JAYA</v>
      </c>
      <c r="V395" s="439" t="s">
        <v>11</v>
      </c>
      <c r="W395" s="600" t="s">
        <v>540</v>
      </c>
      <c r="X395" s="445" t="s">
        <v>541</v>
      </c>
      <c r="Y395" s="275" t="s">
        <v>710</v>
      </c>
      <c r="Z395" s="449" t="s">
        <v>710</v>
      </c>
      <c r="AA395" s="440" t="s">
        <v>488</v>
      </c>
      <c r="AB395" s="441">
        <f t="shared" si="49"/>
        <v>63063.063063063062</v>
      </c>
      <c r="AC395" s="442">
        <f t="shared" si="50"/>
        <v>126126.12612612612</v>
      </c>
      <c r="AD395" s="437">
        <v>26000</v>
      </c>
      <c r="AE395" s="447">
        <v>3752702.702702702</v>
      </c>
      <c r="AF395" s="447">
        <v>4165500</v>
      </c>
      <c r="AG395" s="437">
        <v>26000</v>
      </c>
      <c r="AH395" s="271" t="s">
        <v>2092</v>
      </c>
    </row>
    <row r="396" spans="1:34">
      <c r="A396" s="350">
        <v>175</v>
      </c>
      <c r="B396" s="352" t="s">
        <v>1077</v>
      </c>
      <c r="C396" s="352" t="s">
        <v>594</v>
      </c>
      <c r="D396" s="355" t="s">
        <v>464</v>
      </c>
      <c r="E396" s="376" t="s">
        <v>1071</v>
      </c>
      <c r="F396" s="361">
        <v>45062</v>
      </c>
      <c r="G396" s="361">
        <v>45062</v>
      </c>
      <c r="H396" s="361">
        <v>45062</v>
      </c>
      <c r="I396" s="394">
        <v>45062</v>
      </c>
      <c r="J396" s="387" t="s">
        <v>599</v>
      </c>
      <c r="K396" s="387" t="s">
        <v>471</v>
      </c>
      <c r="L396" s="791">
        <v>5</v>
      </c>
      <c r="M396" s="352" t="s">
        <v>472</v>
      </c>
      <c r="N396" s="403">
        <v>70000</v>
      </c>
      <c r="O396" s="404">
        <v>350000</v>
      </c>
      <c r="P396" s="421">
        <v>6</v>
      </c>
      <c r="Q396" s="429" t="s">
        <v>903</v>
      </c>
      <c r="R396" s="437">
        <v>11000</v>
      </c>
      <c r="S396" s="274">
        <f t="shared" si="47"/>
        <v>360000</v>
      </c>
      <c r="T396" s="439" t="s">
        <v>10</v>
      </c>
      <c r="U396" s="460" t="str">
        <f t="shared" si="48"/>
        <v>UD. USAHA JAYA</v>
      </c>
      <c r="V396" s="439" t="s">
        <v>11</v>
      </c>
      <c r="W396" s="600" t="s">
        <v>540</v>
      </c>
      <c r="X396" s="445" t="s">
        <v>541</v>
      </c>
      <c r="Y396" s="275" t="s">
        <v>710</v>
      </c>
      <c r="Z396" s="449" t="s">
        <v>710</v>
      </c>
      <c r="AA396" s="440" t="s">
        <v>714</v>
      </c>
      <c r="AB396" s="441">
        <f t="shared" si="49"/>
        <v>63063.063063063062</v>
      </c>
      <c r="AC396" s="442">
        <f t="shared" si="50"/>
        <v>315315.31531531533</v>
      </c>
      <c r="AD396" s="437">
        <v>11000</v>
      </c>
      <c r="AE396" s="447">
        <v>3752702.702702702</v>
      </c>
      <c r="AF396" s="447">
        <v>4165500</v>
      </c>
      <c r="AG396" s="437">
        <v>11000</v>
      </c>
      <c r="AH396" s="271" t="s">
        <v>2092</v>
      </c>
    </row>
    <row r="397" spans="1:34" ht="15" customHeight="1">
      <c r="A397" s="350">
        <v>175</v>
      </c>
      <c r="B397" s="352" t="s">
        <v>1078</v>
      </c>
      <c r="C397" s="352" t="s">
        <v>616</v>
      </c>
      <c r="D397" s="355" t="s">
        <v>464</v>
      </c>
      <c r="E397" s="376" t="s">
        <v>1071</v>
      </c>
      <c r="F397" s="361">
        <v>45062</v>
      </c>
      <c r="G397" s="361">
        <v>45062</v>
      </c>
      <c r="H397" s="361">
        <v>45062</v>
      </c>
      <c r="I397" s="394">
        <v>45062</v>
      </c>
      <c r="J397" s="387" t="s">
        <v>619</v>
      </c>
      <c r="K397" s="387" t="s">
        <v>484</v>
      </c>
      <c r="L397" s="402">
        <v>4</v>
      </c>
      <c r="M397" s="352" t="s">
        <v>472</v>
      </c>
      <c r="N397" s="403">
        <v>50000</v>
      </c>
      <c r="O397" s="404">
        <v>200000</v>
      </c>
      <c r="P397" s="421">
        <v>6</v>
      </c>
      <c r="Q397" s="429" t="s">
        <v>101</v>
      </c>
      <c r="R397" s="437">
        <v>97000</v>
      </c>
      <c r="S397" s="274">
        <f t="shared" si="47"/>
        <v>208000</v>
      </c>
      <c r="T397" s="439" t="s">
        <v>10</v>
      </c>
      <c r="U397" s="460" t="str">
        <f t="shared" si="48"/>
        <v/>
      </c>
      <c r="V397" s="439" t="s">
        <v>11</v>
      </c>
      <c r="W397" s="600" t="s">
        <v>540</v>
      </c>
      <c r="X397" s="445" t="s">
        <v>541</v>
      </c>
      <c r="Y397" s="275" t="s">
        <v>710</v>
      </c>
      <c r="Z397" s="449" t="s">
        <v>710</v>
      </c>
      <c r="AA397" s="440" t="s">
        <v>724</v>
      </c>
      <c r="AB397" s="441">
        <f t="shared" si="49"/>
        <v>45045.045045045044</v>
      </c>
      <c r="AC397" s="442">
        <f t="shared" si="50"/>
        <v>180180.18018018018</v>
      </c>
      <c r="AD397" s="437">
        <v>97000</v>
      </c>
      <c r="AE397" s="447">
        <v>3752702.702702702</v>
      </c>
      <c r="AF397" s="447">
        <v>4165500</v>
      </c>
      <c r="AG397" s="437">
        <v>97000</v>
      </c>
      <c r="AH397" s="271" t="s">
        <v>2092</v>
      </c>
    </row>
    <row r="398" spans="1:34">
      <c r="A398" s="350">
        <v>182</v>
      </c>
      <c r="B398" s="352" t="s">
        <v>1079</v>
      </c>
      <c r="C398" s="352" t="s">
        <v>693</v>
      </c>
      <c r="D398" s="355" t="s">
        <v>1080</v>
      </c>
      <c r="E398" s="376" t="s">
        <v>1071</v>
      </c>
      <c r="F398" s="361">
        <v>45062</v>
      </c>
      <c r="G398" s="361">
        <v>45062</v>
      </c>
      <c r="H398" s="361">
        <v>45062</v>
      </c>
      <c r="I398" s="394">
        <v>45062</v>
      </c>
      <c r="J398" s="388" t="s">
        <v>1081</v>
      </c>
      <c r="K398" s="388" t="s">
        <v>1082</v>
      </c>
      <c r="L398" s="402">
        <v>10</v>
      </c>
      <c r="M398" s="352" t="s">
        <v>488</v>
      </c>
      <c r="N398" s="403">
        <v>25000</v>
      </c>
      <c r="O398" s="404">
        <v>250000</v>
      </c>
      <c r="P398" s="421">
        <v>6</v>
      </c>
      <c r="Q398" s="429" t="s">
        <v>914</v>
      </c>
      <c r="R398" s="437">
        <v>45000</v>
      </c>
      <c r="S398" s="274">
        <f t="shared" si="47"/>
        <v>270000</v>
      </c>
      <c r="T398" s="439" t="s">
        <v>12</v>
      </c>
      <c r="U398" s="460" t="str">
        <f t="shared" si="48"/>
        <v/>
      </c>
      <c r="V398" s="439" t="s">
        <v>13</v>
      </c>
      <c r="W398" s="439" t="s">
        <v>804</v>
      </c>
      <c r="X398" s="445" t="s">
        <v>541</v>
      </c>
      <c r="Y398" s="275" t="s">
        <v>710</v>
      </c>
      <c r="Z398" s="449" t="s">
        <v>710</v>
      </c>
      <c r="AA398" s="440" t="s">
        <v>488</v>
      </c>
      <c r="AB398" s="441">
        <f t="shared" si="49"/>
        <v>22522.522522522522</v>
      </c>
      <c r="AC398" s="442">
        <f t="shared" si="50"/>
        <v>225225.22522522521</v>
      </c>
      <c r="AD398" s="437">
        <v>45000</v>
      </c>
      <c r="AE398" s="447">
        <v>3752702.702702702</v>
      </c>
      <c r="AF398" s="447">
        <v>4165500</v>
      </c>
      <c r="AG398" s="437">
        <v>45000</v>
      </c>
      <c r="AH398" s="271" t="s">
        <v>2099</v>
      </c>
    </row>
    <row r="399" spans="1:34">
      <c r="A399" s="350">
        <v>182</v>
      </c>
      <c r="B399" s="352" t="s">
        <v>1083</v>
      </c>
      <c r="C399" s="352" t="s">
        <v>693</v>
      </c>
      <c r="D399" s="355" t="s">
        <v>1080</v>
      </c>
      <c r="E399" s="376" t="s">
        <v>1071</v>
      </c>
      <c r="F399" s="361">
        <v>45062</v>
      </c>
      <c r="G399" s="361">
        <v>45062</v>
      </c>
      <c r="H399" s="361">
        <v>45062</v>
      </c>
      <c r="I399" s="394">
        <v>45062</v>
      </c>
      <c r="J399" s="388" t="s">
        <v>1084</v>
      </c>
      <c r="K399" s="388" t="s">
        <v>1085</v>
      </c>
      <c r="L399" s="402">
        <v>3</v>
      </c>
      <c r="M399" s="352" t="s">
        <v>488</v>
      </c>
      <c r="N399" s="403">
        <v>95000</v>
      </c>
      <c r="O399" s="404">
        <v>285000</v>
      </c>
      <c r="P399" s="421">
        <v>6</v>
      </c>
      <c r="Q399" s="429" t="s">
        <v>137</v>
      </c>
      <c r="R399" s="437">
        <v>28000</v>
      </c>
      <c r="S399" s="274">
        <f t="shared" si="47"/>
        <v>291000</v>
      </c>
      <c r="T399" s="439" t="s">
        <v>12</v>
      </c>
      <c r="U399" s="460" t="str">
        <f t="shared" si="48"/>
        <v/>
      </c>
      <c r="V399" s="439" t="s">
        <v>13</v>
      </c>
      <c r="W399" s="439" t="s">
        <v>804</v>
      </c>
      <c r="X399" s="445" t="s">
        <v>541</v>
      </c>
      <c r="Y399" s="275" t="s">
        <v>710</v>
      </c>
      <c r="Z399" s="449" t="s">
        <v>710</v>
      </c>
      <c r="AA399" s="440" t="s">
        <v>735</v>
      </c>
      <c r="AB399" s="441">
        <f t="shared" si="49"/>
        <v>85585.585585585592</v>
      </c>
      <c r="AC399" s="442">
        <f t="shared" si="50"/>
        <v>256756.75675675677</v>
      </c>
      <c r="AD399" s="437">
        <v>28000</v>
      </c>
      <c r="AE399" s="447">
        <v>3752702.702702702</v>
      </c>
      <c r="AF399" s="447">
        <v>4165500</v>
      </c>
      <c r="AG399" s="437">
        <v>28000</v>
      </c>
      <c r="AH399" s="271" t="s">
        <v>2099</v>
      </c>
    </row>
    <row r="400" spans="1:34">
      <c r="A400" s="350">
        <v>182</v>
      </c>
      <c r="B400" s="352" t="s">
        <v>1086</v>
      </c>
      <c r="C400" s="352" t="s">
        <v>693</v>
      </c>
      <c r="D400" s="355" t="s">
        <v>1080</v>
      </c>
      <c r="E400" s="376" t="s">
        <v>1071</v>
      </c>
      <c r="F400" s="361">
        <v>45062</v>
      </c>
      <c r="G400" s="361">
        <v>45062</v>
      </c>
      <c r="H400" s="361">
        <v>45062</v>
      </c>
      <c r="I400" s="394">
        <v>45062</v>
      </c>
      <c r="J400" s="387" t="s">
        <v>1087</v>
      </c>
      <c r="K400" s="387" t="s">
        <v>1088</v>
      </c>
      <c r="L400" s="402">
        <v>10</v>
      </c>
      <c r="M400" s="352" t="s">
        <v>488</v>
      </c>
      <c r="N400" s="403">
        <v>8000</v>
      </c>
      <c r="O400" s="404">
        <v>80000</v>
      </c>
      <c r="P400" s="421">
        <v>6</v>
      </c>
      <c r="Q400" s="429" t="s">
        <v>133</v>
      </c>
      <c r="R400" s="437">
        <v>140000</v>
      </c>
      <c r="S400" s="274">
        <f t="shared" si="47"/>
        <v>100000</v>
      </c>
      <c r="T400" s="439" t="s">
        <v>12</v>
      </c>
      <c r="U400" s="460" t="str">
        <f t="shared" si="48"/>
        <v/>
      </c>
      <c r="V400" s="439" t="s">
        <v>13</v>
      </c>
      <c r="W400" s="439" t="s">
        <v>804</v>
      </c>
      <c r="X400" s="445" t="s">
        <v>541</v>
      </c>
      <c r="Y400" s="275" t="s">
        <v>710</v>
      </c>
      <c r="Z400" s="449" t="s">
        <v>710</v>
      </c>
      <c r="AA400" s="440" t="s">
        <v>728</v>
      </c>
      <c r="AB400" s="441">
        <f t="shared" si="49"/>
        <v>7207.2072072072069</v>
      </c>
      <c r="AC400" s="442">
        <f t="shared" si="50"/>
        <v>72072.072072072071</v>
      </c>
      <c r="AD400" s="437">
        <v>140000</v>
      </c>
      <c r="AE400" s="447">
        <v>3752702.702702702</v>
      </c>
      <c r="AF400" s="447">
        <v>4165500</v>
      </c>
      <c r="AG400" s="437">
        <v>140000</v>
      </c>
      <c r="AH400" s="271" t="s">
        <v>2099</v>
      </c>
    </row>
    <row r="401" spans="1:36">
      <c r="A401" s="350">
        <v>182</v>
      </c>
      <c r="B401" s="352" t="s">
        <v>1089</v>
      </c>
      <c r="C401" s="352" t="s">
        <v>693</v>
      </c>
      <c r="D401" s="355" t="s">
        <v>1080</v>
      </c>
      <c r="E401" s="376" t="s">
        <v>1071</v>
      </c>
      <c r="F401" s="361">
        <v>45062</v>
      </c>
      <c r="G401" s="361">
        <v>45062</v>
      </c>
      <c r="H401" s="361">
        <v>45062</v>
      </c>
      <c r="I401" s="394">
        <v>45062</v>
      </c>
      <c r="J401" s="387" t="s">
        <v>1090</v>
      </c>
      <c r="K401" s="388" t="s">
        <v>1091</v>
      </c>
      <c r="L401" s="402">
        <v>8</v>
      </c>
      <c r="M401" s="352" t="s">
        <v>488</v>
      </c>
      <c r="N401" s="403">
        <v>8000</v>
      </c>
      <c r="O401" s="404">
        <v>64000</v>
      </c>
      <c r="P401" s="421">
        <v>6</v>
      </c>
      <c r="Q401" s="429" t="s">
        <v>145</v>
      </c>
      <c r="R401" s="437">
        <v>21000</v>
      </c>
      <c r="S401" s="274">
        <f t="shared" si="47"/>
        <v>80000</v>
      </c>
      <c r="T401" s="439" t="s">
        <v>12</v>
      </c>
      <c r="U401" s="460" t="str">
        <f t="shared" si="48"/>
        <v/>
      </c>
      <c r="V401" s="439" t="s">
        <v>13</v>
      </c>
      <c r="W401" s="439" t="s">
        <v>804</v>
      </c>
      <c r="X401" s="445" t="s">
        <v>541</v>
      </c>
      <c r="Y401" s="275" t="s">
        <v>710</v>
      </c>
      <c r="Z401" s="449" t="s">
        <v>710</v>
      </c>
      <c r="AA401" s="440" t="s">
        <v>551</v>
      </c>
      <c r="AB401" s="441">
        <f t="shared" si="49"/>
        <v>7207.2072072072069</v>
      </c>
      <c r="AC401" s="442">
        <f t="shared" si="50"/>
        <v>57657.657657657655</v>
      </c>
      <c r="AD401" s="437">
        <v>21000</v>
      </c>
      <c r="AE401" s="447">
        <v>3752702.702702702</v>
      </c>
      <c r="AF401" s="447">
        <v>4165500</v>
      </c>
      <c r="AG401" s="437">
        <v>21000</v>
      </c>
      <c r="AH401" s="271" t="s">
        <v>2099</v>
      </c>
    </row>
    <row r="402" spans="1:36" ht="25">
      <c r="A402" s="350">
        <v>189</v>
      </c>
      <c r="B402" s="352" t="s">
        <v>1103</v>
      </c>
      <c r="C402" s="352" t="s">
        <v>1104</v>
      </c>
      <c r="D402" s="355" t="s">
        <v>1105</v>
      </c>
      <c r="E402" s="377">
        <v>45069</v>
      </c>
      <c r="F402" s="361">
        <v>45070</v>
      </c>
      <c r="G402" s="361">
        <v>45070</v>
      </c>
      <c r="H402" s="361">
        <v>45070</v>
      </c>
      <c r="I402" s="394">
        <v>45076</v>
      </c>
      <c r="J402" s="387" t="s">
        <v>1106</v>
      </c>
      <c r="K402" s="352" t="s">
        <v>487</v>
      </c>
      <c r="L402" s="402">
        <v>70</v>
      </c>
      <c r="M402" s="352" t="s">
        <v>597</v>
      </c>
      <c r="N402" s="266">
        <v>15000</v>
      </c>
      <c r="O402" s="404">
        <v>1050000</v>
      </c>
      <c r="P402" s="421">
        <v>6</v>
      </c>
      <c r="Q402" s="428" t="s">
        <v>575</v>
      </c>
      <c r="R402" s="437">
        <v>150000</v>
      </c>
      <c r="S402" s="274">
        <f t="shared" si="47"/>
        <v>1190000</v>
      </c>
      <c r="T402" s="439" t="s">
        <v>10</v>
      </c>
      <c r="U402" s="460" t="str">
        <f t="shared" si="48"/>
        <v/>
      </c>
      <c r="V402" s="439" t="s">
        <v>11</v>
      </c>
      <c r="W402" s="439" t="s">
        <v>473</v>
      </c>
      <c r="X402" s="445" t="s">
        <v>541</v>
      </c>
      <c r="Y402" s="439" t="str">
        <f>J402</f>
        <v>Snack kegiatan workshop peningkatan kompetensi guru : Kurikulum Merdeka</v>
      </c>
      <c r="Z402" s="449" t="str">
        <f>K402</f>
        <v xml:space="preserve">Kue </v>
      </c>
      <c r="AA402" s="440" t="s">
        <v>574</v>
      </c>
      <c r="AB402" s="441">
        <f t="shared" si="49"/>
        <v>13513.513513513513</v>
      </c>
      <c r="AC402" s="442">
        <f t="shared" si="50"/>
        <v>945945.94594594592</v>
      </c>
      <c r="AD402" s="437">
        <v>150000</v>
      </c>
      <c r="AE402" s="447">
        <v>135135.13513513512</v>
      </c>
      <c r="AF402" s="447">
        <v>150000</v>
      </c>
      <c r="AG402" s="437">
        <v>150000</v>
      </c>
      <c r="AH402" s="271" t="s">
        <v>2092</v>
      </c>
    </row>
    <row r="403" spans="1:36" ht="25">
      <c r="A403" s="350">
        <v>189</v>
      </c>
      <c r="B403" s="352" t="s">
        <v>1107</v>
      </c>
      <c r="C403" s="352" t="s">
        <v>1104</v>
      </c>
      <c r="D403" s="355" t="s">
        <v>1105</v>
      </c>
      <c r="E403" s="377">
        <v>45069</v>
      </c>
      <c r="F403" s="361">
        <v>45070</v>
      </c>
      <c r="G403" s="361">
        <v>45070</v>
      </c>
      <c r="H403" s="361">
        <v>45070</v>
      </c>
      <c r="I403" s="394">
        <v>45076</v>
      </c>
      <c r="J403" s="387" t="s">
        <v>1108</v>
      </c>
      <c r="K403" s="387" t="s">
        <v>471</v>
      </c>
      <c r="L403" s="402">
        <v>4</v>
      </c>
      <c r="M403" s="352" t="s">
        <v>472</v>
      </c>
      <c r="N403" s="403">
        <v>70000</v>
      </c>
      <c r="O403" s="404">
        <v>280000</v>
      </c>
      <c r="P403" s="421">
        <v>6</v>
      </c>
      <c r="Q403" s="428" t="s">
        <v>575</v>
      </c>
      <c r="R403" s="437">
        <v>1050000</v>
      </c>
      <c r="S403" s="274">
        <f t="shared" si="47"/>
        <v>288000</v>
      </c>
      <c r="T403" s="439" t="s">
        <v>10</v>
      </c>
      <c r="U403" s="460" t="str">
        <f t="shared" si="48"/>
        <v>UD. USAHA JAYA</v>
      </c>
      <c r="V403" s="439" t="s">
        <v>11</v>
      </c>
      <c r="W403" s="439" t="s">
        <v>473</v>
      </c>
      <c r="X403" s="445" t="s">
        <v>541</v>
      </c>
      <c r="Y403" s="439" t="str">
        <f>J403</f>
        <v>Aqua botol kegiatan workshop peningkatan kompetensi guru : Kurikulum Merdeka</v>
      </c>
      <c r="Z403" s="449" t="str">
        <f>K403</f>
        <v>Aqua Botol 600 ml</v>
      </c>
      <c r="AA403" s="440" t="s">
        <v>472</v>
      </c>
      <c r="AB403" s="441">
        <f t="shared" si="49"/>
        <v>63063.063063063062</v>
      </c>
      <c r="AC403" s="442">
        <f t="shared" si="50"/>
        <v>252252.25225225225</v>
      </c>
      <c r="AD403" s="437">
        <v>1050000</v>
      </c>
      <c r="AE403" s="447">
        <v>945945.94594594592</v>
      </c>
      <c r="AF403" s="447">
        <v>1050000</v>
      </c>
      <c r="AG403" s="437">
        <v>1050000</v>
      </c>
      <c r="AH403" s="271" t="s">
        <v>2092</v>
      </c>
    </row>
    <row r="404" spans="1:36" ht="25">
      <c r="A404" s="350">
        <v>191</v>
      </c>
      <c r="B404" s="352" t="s">
        <v>1109</v>
      </c>
      <c r="C404" s="352" t="s">
        <v>1104</v>
      </c>
      <c r="D404" s="355" t="s">
        <v>1105</v>
      </c>
      <c r="E404" s="377">
        <v>45069</v>
      </c>
      <c r="F404" s="361">
        <v>45070</v>
      </c>
      <c r="G404" s="361">
        <v>45070</v>
      </c>
      <c r="H404" s="361">
        <v>45070</v>
      </c>
      <c r="I404" s="394">
        <v>45076</v>
      </c>
      <c r="J404" s="387" t="s">
        <v>1110</v>
      </c>
      <c r="K404" s="387" t="s">
        <v>1111</v>
      </c>
      <c r="L404" s="402">
        <v>1000</v>
      </c>
      <c r="M404" s="352" t="s">
        <v>574</v>
      </c>
      <c r="N404" s="405">
        <v>300</v>
      </c>
      <c r="O404" s="404">
        <v>300000</v>
      </c>
      <c r="P404" s="421">
        <v>6</v>
      </c>
      <c r="Q404" s="275"/>
      <c r="R404" s="437">
        <v>13000000</v>
      </c>
      <c r="S404" s="274">
        <f t="shared" si="47"/>
        <v>2300000</v>
      </c>
      <c r="T404" s="275" t="s">
        <v>227</v>
      </c>
      <c r="U404" s="460" t="str">
        <f t="shared" si="48"/>
        <v/>
      </c>
      <c r="V404" s="439" t="s">
        <v>1248</v>
      </c>
      <c r="W404" s="439" t="s">
        <v>540</v>
      </c>
      <c r="X404" s="439"/>
      <c r="Y404" s="439" t="s">
        <v>306</v>
      </c>
      <c r="Z404" s="449"/>
      <c r="AA404" s="440" t="s">
        <v>728</v>
      </c>
      <c r="AB404" s="441">
        <f t="shared" si="49"/>
        <v>270.27027027027026</v>
      </c>
      <c r="AC404" s="442">
        <f t="shared" si="50"/>
        <v>270270.27027027024</v>
      </c>
      <c r="AD404" s="437">
        <v>13000000</v>
      </c>
      <c r="AE404" s="447">
        <v>11711711.711711712</v>
      </c>
      <c r="AF404" s="447">
        <v>13000000</v>
      </c>
      <c r="AG404" s="437">
        <v>13000000</v>
      </c>
      <c r="AH404" s="271" t="s">
        <v>2101</v>
      </c>
    </row>
    <row r="405" spans="1:36" ht="25">
      <c r="A405" s="350">
        <v>191</v>
      </c>
      <c r="B405" s="352" t="s">
        <v>1112</v>
      </c>
      <c r="C405" s="352" t="s">
        <v>1104</v>
      </c>
      <c r="D405" s="355" t="s">
        <v>1105</v>
      </c>
      <c r="E405" s="377">
        <v>45069</v>
      </c>
      <c r="F405" s="361">
        <v>45070</v>
      </c>
      <c r="G405" s="361">
        <v>45070</v>
      </c>
      <c r="H405" s="361">
        <v>45070</v>
      </c>
      <c r="I405" s="394">
        <v>45076</v>
      </c>
      <c r="J405" s="387" t="s">
        <v>1113</v>
      </c>
      <c r="K405" s="387" t="s">
        <v>1114</v>
      </c>
      <c r="L405" s="402">
        <v>55</v>
      </c>
      <c r="M405" s="352" t="s">
        <v>574</v>
      </c>
      <c r="N405" s="403">
        <v>5000</v>
      </c>
      <c r="O405" s="404">
        <v>275000</v>
      </c>
      <c r="P405" s="421">
        <v>6</v>
      </c>
      <c r="Q405" s="429" t="s">
        <v>150</v>
      </c>
      <c r="R405" s="437">
        <v>90000</v>
      </c>
      <c r="S405" s="274">
        <f t="shared" si="47"/>
        <v>385000</v>
      </c>
      <c r="T405" s="275" t="s">
        <v>227</v>
      </c>
      <c r="U405" s="460" t="str">
        <f t="shared" si="48"/>
        <v/>
      </c>
      <c r="V405" s="439" t="s">
        <v>1248</v>
      </c>
      <c r="W405" s="439" t="s">
        <v>540</v>
      </c>
      <c r="X405" s="445" t="s">
        <v>541</v>
      </c>
      <c r="Y405" s="439" t="s">
        <v>542</v>
      </c>
      <c r="Z405" s="449" t="s">
        <v>542</v>
      </c>
      <c r="AA405" s="440" t="s">
        <v>488</v>
      </c>
      <c r="AB405" s="441">
        <f t="shared" si="49"/>
        <v>4504.5045045045044</v>
      </c>
      <c r="AC405" s="442">
        <f t="shared" si="50"/>
        <v>247747.74774774775</v>
      </c>
      <c r="AD405" s="437">
        <v>90000</v>
      </c>
      <c r="AE405" s="447">
        <v>297297.29729729734</v>
      </c>
      <c r="AF405" s="447">
        <v>330000</v>
      </c>
      <c r="AG405" s="437">
        <v>90000</v>
      </c>
      <c r="AH405" s="271" t="s">
        <v>2101</v>
      </c>
      <c r="AI405" s="277">
        <f>SUM(AC405:AC406)</f>
        <v>4346846.8468468469</v>
      </c>
      <c r="AJ405" s="277">
        <f>SUM(AD405:AD406)</f>
        <v>330000</v>
      </c>
    </row>
    <row r="406" spans="1:36">
      <c r="A406" s="350">
        <v>195</v>
      </c>
      <c r="B406" s="352" t="s">
        <v>1130</v>
      </c>
      <c r="C406" s="354" t="s">
        <v>1131</v>
      </c>
      <c r="D406" s="355" t="s">
        <v>694</v>
      </c>
      <c r="E406" s="367">
        <v>45078</v>
      </c>
      <c r="F406" s="364">
        <v>45079</v>
      </c>
      <c r="G406" s="364">
        <v>45079</v>
      </c>
      <c r="H406" s="364">
        <v>45079</v>
      </c>
      <c r="I406" s="395">
        <v>45079</v>
      </c>
      <c r="J406" s="354" t="s">
        <v>1132</v>
      </c>
      <c r="K406" s="388" t="s">
        <v>1085</v>
      </c>
      <c r="L406" s="402">
        <v>13</v>
      </c>
      <c r="M406" s="352" t="s">
        <v>1133</v>
      </c>
      <c r="N406" s="403">
        <v>350000</v>
      </c>
      <c r="O406" s="404">
        <v>4550000</v>
      </c>
      <c r="P406" s="421">
        <v>6</v>
      </c>
      <c r="Q406" s="431" t="s">
        <v>537</v>
      </c>
      <c r="R406" s="437">
        <v>240000</v>
      </c>
      <c r="S406" s="274">
        <f t="shared" si="47"/>
        <v>4576000</v>
      </c>
      <c r="T406" s="439" t="s">
        <v>12</v>
      </c>
      <c r="U406" s="460" t="str">
        <f t="shared" si="48"/>
        <v/>
      </c>
      <c r="V406" s="439" t="s">
        <v>13</v>
      </c>
      <c r="W406" s="439" t="s">
        <v>804</v>
      </c>
      <c r="X406" s="445" t="s">
        <v>541</v>
      </c>
      <c r="Y406" s="439" t="s">
        <v>542</v>
      </c>
      <c r="Z406" s="449" t="s">
        <v>542</v>
      </c>
      <c r="AA406" s="440" t="s">
        <v>488</v>
      </c>
      <c r="AB406" s="441">
        <f t="shared" si="49"/>
        <v>315315.31531531533</v>
      </c>
      <c r="AC406" s="442">
        <f t="shared" si="50"/>
        <v>4099099.0990990992</v>
      </c>
      <c r="AD406" s="437">
        <v>240000</v>
      </c>
      <c r="AE406" s="447">
        <v>297297.29729729734</v>
      </c>
      <c r="AF406" s="447">
        <v>330000</v>
      </c>
      <c r="AG406" s="437">
        <v>240000</v>
      </c>
      <c r="AH406" s="271" t="s">
        <v>2101</v>
      </c>
    </row>
    <row r="407" spans="1:36">
      <c r="A407" s="350">
        <v>195</v>
      </c>
      <c r="B407" s="352" t="s">
        <v>1130</v>
      </c>
      <c r="C407" s="354" t="s">
        <v>1131</v>
      </c>
      <c r="D407" s="355" t="s">
        <v>694</v>
      </c>
      <c r="E407" s="367">
        <v>45078</v>
      </c>
      <c r="F407" s="364">
        <v>45079</v>
      </c>
      <c r="G407" s="364">
        <v>45079</v>
      </c>
      <c r="H407" s="364">
        <v>45079</v>
      </c>
      <c r="I407" s="395">
        <v>45079</v>
      </c>
      <c r="J407" s="354" t="s">
        <v>1134</v>
      </c>
      <c r="K407" s="795" t="s">
        <v>1135</v>
      </c>
      <c r="L407" s="402">
        <v>4</v>
      </c>
      <c r="M407" s="352" t="s">
        <v>1133</v>
      </c>
      <c r="N407" s="403">
        <v>400000</v>
      </c>
      <c r="O407" s="404">
        <v>1600000</v>
      </c>
      <c r="P407" s="421">
        <v>6</v>
      </c>
      <c r="Q407" s="275"/>
      <c r="R407" s="437">
        <v>3325000</v>
      </c>
      <c r="S407" s="274">
        <f t="shared" si="47"/>
        <v>1608000</v>
      </c>
      <c r="T407" s="439" t="s">
        <v>12</v>
      </c>
      <c r="U407" s="460" t="str">
        <f t="shared" si="48"/>
        <v/>
      </c>
      <c r="V407" s="439" t="s">
        <v>13</v>
      </c>
      <c r="W407" s="439" t="s">
        <v>804</v>
      </c>
      <c r="X407" s="439"/>
      <c r="Y407" s="439" t="s">
        <v>542</v>
      </c>
      <c r="Z407" s="449" t="s">
        <v>542</v>
      </c>
      <c r="AA407" s="440" t="s">
        <v>488</v>
      </c>
      <c r="AB407" s="441">
        <f t="shared" si="49"/>
        <v>360360.36036036036</v>
      </c>
      <c r="AC407" s="442">
        <f t="shared" si="50"/>
        <v>1441441.4414414414</v>
      </c>
      <c r="AD407" s="437">
        <v>3325000</v>
      </c>
      <c r="AE407" s="447">
        <v>11103603.603603603</v>
      </c>
      <c r="AF407" s="447">
        <v>12325000</v>
      </c>
      <c r="AG407" s="437">
        <v>3325000</v>
      </c>
      <c r="AH407" s="271" t="s">
        <v>2101</v>
      </c>
      <c r="AI407" s="277">
        <f>SUM(AC407:AC408)</f>
        <v>2387387.3873873875</v>
      </c>
      <c r="AJ407" s="277">
        <f>SUM(AD407:AD408)</f>
        <v>12325000</v>
      </c>
    </row>
    <row r="408" spans="1:36">
      <c r="A408" s="350">
        <v>195</v>
      </c>
      <c r="B408" s="352" t="s">
        <v>1130</v>
      </c>
      <c r="C408" s="354" t="s">
        <v>1131</v>
      </c>
      <c r="D408" s="355" t="s">
        <v>694</v>
      </c>
      <c r="E408" s="367">
        <v>45078</v>
      </c>
      <c r="F408" s="364">
        <v>45079</v>
      </c>
      <c r="G408" s="364">
        <v>45079</v>
      </c>
      <c r="H408" s="364">
        <v>45079</v>
      </c>
      <c r="I408" s="395">
        <v>45079</v>
      </c>
      <c r="J408" s="354" t="s">
        <v>1136</v>
      </c>
      <c r="K408" s="388" t="s">
        <v>1137</v>
      </c>
      <c r="L408" s="402">
        <v>3</v>
      </c>
      <c r="M408" s="352" t="s">
        <v>1138</v>
      </c>
      <c r="N408" s="403">
        <v>350000</v>
      </c>
      <c r="O408" s="404">
        <v>1050000</v>
      </c>
      <c r="P408" s="421">
        <v>6</v>
      </c>
      <c r="Q408" s="275"/>
      <c r="R408" s="437">
        <v>9000000</v>
      </c>
      <c r="S408" s="274">
        <f t="shared" si="47"/>
        <v>1056000</v>
      </c>
      <c r="T408" s="439" t="s">
        <v>12</v>
      </c>
      <c r="U408" s="460" t="str">
        <f t="shared" si="48"/>
        <v/>
      </c>
      <c r="V408" s="439" t="s">
        <v>13</v>
      </c>
      <c r="W408" s="439" t="s">
        <v>804</v>
      </c>
      <c r="X408" s="439"/>
      <c r="Y408" s="439" t="s">
        <v>806</v>
      </c>
      <c r="Z408" s="449" t="s">
        <v>806</v>
      </c>
      <c r="AA408" s="440" t="s">
        <v>753</v>
      </c>
      <c r="AB408" s="441">
        <f t="shared" si="49"/>
        <v>315315.31531531533</v>
      </c>
      <c r="AC408" s="442">
        <f t="shared" si="50"/>
        <v>945945.94594594603</v>
      </c>
      <c r="AD408" s="437">
        <v>9000000</v>
      </c>
      <c r="AE408" s="447">
        <v>11103603.603603603</v>
      </c>
      <c r="AF408" s="447">
        <v>12325000</v>
      </c>
      <c r="AG408" s="437">
        <v>9000000</v>
      </c>
      <c r="AH408" s="271" t="s">
        <v>2101</v>
      </c>
    </row>
    <row r="409" spans="1:36">
      <c r="A409" s="350">
        <v>195</v>
      </c>
      <c r="B409" s="352" t="s">
        <v>1139</v>
      </c>
      <c r="C409" s="354" t="s">
        <v>1131</v>
      </c>
      <c r="D409" s="355" t="s">
        <v>1140</v>
      </c>
      <c r="E409" s="367">
        <v>45078</v>
      </c>
      <c r="F409" s="364">
        <v>45079</v>
      </c>
      <c r="G409" s="364">
        <v>45079</v>
      </c>
      <c r="H409" s="364">
        <v>45079</v>
      </c>
      <c r="I409" s="395">
        <v>45079</v>
      </c>
      <c r="J409" s="354" t="s">
        <v>1141</v>
      </c>
      <c r="K409" s="388" t="s">
        <v>1142</v>
      </c>
      <c r="L409" s="402">
        <v>3</v>
      </c>
      <c r="M409" s="352" t="s">
        <v>1138</v>
      </c>
      <c r="N409" s="403">
        <v>200000</v>
      </c>
      <c r="O409" s="404">
        <v>600000</v>
      </c>
      <c r="P409" s="421">
        <v>6</v>
      </c>
      <c r="Q409" s="275"/>
      <c r="R409" s="437">
        <v>400000</v>
      </c>
      <c r="S409" s="274">
        <f t="shared" si="47"/>
        <v>606000</v>
      </c>
      <c r="T409" s="439" t="s">
        <v>12</v>
      </c>
      <c r="U409" s="460" t="str">
        <f t="shared" si="48"/>
        <v/>
      </c>
      <c r="V409" s="275" t="s">
        <v>13</v>
      </c>
      <c r="W409" s="439" t="s">
        <v>804</v>
      </c>
      <c r="X409" s="439"/>
      <c r="Y409" s="439" t="s">
        <v>799</v>
      </c>
      <c r="Z409" s="449"/>
      <c r="AA409" s="440" t="s">
        <v>792</v>
      </c>
      <c r="AB409" s="441">
        <f t="shared" si="49"/>
        <v>180180.18018018018</v>
      </c>
      <c r="AC409" s="442">
        <f t="shared" si="50"/>
        <v>540540.54054054059</v>
      </c>
      <c r="AD409" s="437">
        <v>400000</v>
      </c>
      <c r="AE409" s="447">
        <v>360360.36036036036</v>
      </c>
      <c r="AF409" s="447">
        <v>400000</v>
      </c>
      <c r="AG409" s="437">
        <v>400000</v>
      </c>
      <c r="AH409" s="271" t="s">
        <v>2101</v>
      </c>
    </row>
    <row r="410" spans="1:36">
      <c r="A410" s="350">
        <v>197</v>
      </c>
      <c r="B410" s="352" t="s">
        <v>1158</v>
      </c>
      <c r="C410" s="352" t="s">
        <v>704</v>
      </c>
      <c r="D410" s="355" t="s">
        <v>705</v>
      </c>
      <c r="E410" s="367">
        <v>45089</v>
      </c>
      <c r="F410" s="364">
        <v>45090</v>
      </c>
      <c r="G410" s="364">
        <v>45090</v>
      </c>
      <c r="H410" s="364">
        <v>45090</v>
      </c>
      <c r="I410" s="394">
        <v>45090</v>
      </c>
      <c r="J410" s="387" t="s">
        <v>255</v>
      </c>
      <c r="K410" s="388" t="s">
        <v>889</v>
      </c>
      <c r="L410" s="402">
        <v>1</v>
      </c>
      <c r="M410" s="352" t="s">
        <v>728</v>
      </c>
      <c r="N410" s="403">
        <v>25000</v>
      </c>
      <c r="O410" s="404">
        <v>25000</v>
      </c>
      <c r="P410" s="421">
        <v>6</v>
      </c>
      <c r="Q410" s="275"/>
      <c r="R410" s="437">
        <v>2000000</v>
      </c>
      <c r="S410" s="274">
        <f t="shared" si="47"/>
        <v>27000</v>
      </c>
      <c r="T410" s="439" t="s">
        <v>227</v>
      </c>
      <c r="U410" s="460" t="str">
        <f t="shared" si="48"/>
        <v/>
      </c>
      <c r="V410" s="439" t="s">
        <v>1248</v>
      </c>
      <c r="W410" s="439" t="s">
        <v>540</v>
      </c>
      <c r="X410" s="439"/>
      <c r="Y410" s="439" t="s">
        <v>1007</v>
      </c>
      <c r="Z410" s="449" t="s">
        <v>1007</v>
      </c>
      <c r="AA410" s="440" t="s">
        <v>608</v>
      </c>
      <c r="AB410" s="441">
        <f t="shared" si="49"/>
        <v>22522.522522522522</v>
      </c>
      <c r="AC410" s="442">
        <f t="shared" si="50"/>
        <v>22522.522522522522</v>
      </c>
      <c r="AD410" s="437">
        <v>2000000</v>
      </c>
      <c r="AE410" s="447">
        <v>1801801.8018018019</v>
      </c>
      <c r="AF410" s="447">
        <v>2000000</v>
      </c>
      <c r="AG410" s="437">
        <v>2000000</v>
      </c>
      <c r="AH410" s="271" t="s">
        <v>2101</v>
      </c>
    </row>
    <row r="411" spans="1:36">
      <c r="A411" s="350">
        <v>197</v>
      </c>
      <c r="B411" s="352" t="s">
        <v>1158</v>
      </c>
      <c r="C411" s="352" t="s">
        <v>704</v>
      </c>
      <c r="D411" s="355" t="s">
        <v>705</v>
      </c>
      <c r="E411" s="367">
        <v>45089</v>
      </c>
      <c r="F411" s="364">
        <v>45090</v>
      </c>
      <c r="G411" s="364">
        <v>45090</v>
      </c>
      <c r="H411" s="364">
        <v>45090</v>
      </c>
      <c r="I411" s="394">
        <v>45090</v>
      </c>
      <c r="J411" s="387" t="s">
        <v>236</v>
      </c>
      <c r="K411" s="389" t="s">
        <v>771</v>
      </c>
      <c r="L411" s="402">
        <v>4</v>
      </c>
      <c r="M411" s="352" t="s">
        <v>772</v>
      </c>
      <c r="N411" s="403">
        <v>65000</v>
      </c>
      <c r="O411" s="404">
        <v>260000</v>
      </c>
      <c r="P411" s="421">
        <v>6</v>
      </c>
      <c r="Q411" s="428" t="s">
        <v>575</v>
      </c>
      <c r="R411" s="437">
        <v>12317700</v>
      </c>
      <c r="S411" s="274">
        <f t="shared" si="47"/>
        <v>268000</v>
      </c>
      <c r="T411" s="439" t="s">
        <v>227</v>
      </c>
      <c r="U411" s="460" t="str">
        <f t="shared" si="48"/>
        <v/>
      </c>
      <c r="V411" s="439" t="s">
        <v>1248</v>
      </c>
      <c r="W411" s="439" t="s">
        <v>540</v>
      </c>
      <c r="X411" s="445" t="s">
        <v>541</v>
      </c>
      <c r="Y411" s="439" t="str">
        <f>J411</f>
        <v>Baterey Kecil</v>
      </c>
      <c r="Z411" s="449" t="str">
        <f>K411</f>
        <v>Baterey Kecil Alkaline</v>
      </c>
      <c r="AA411" s="440" t="s">
        <v>472</v>
      </c>
      <c r="AB411" s="441">
        <f t="shared" si="49"/>
        <v>58558.558558558558</v>
      </c>
      <c r="AC411" s="442">
        <f t="shared" si="50"/>
        <v>234234.23423423423</v>
      </c>
      <c r="AD411" s="437">
        <v>12317700</v>
      </c>
      <c r="AE411" s="447">
        <v>11097027.027027026</v>
      </c>
      <c r="AF411" s="447">
        <v>12317700</v>
      </c>
      <c r="AG411" s="437">
        <v>12317700</v>
      </c>
      <c r="AH411" s="271" t="s">
        <v>2101</v>
      </c>
    </row>
    <row r="412" spans="1:36">
      <c r="A412" s="350">
        <v>197</v>
      </c>
      <c r="B412" s="352" t="s">
        <v>1158</v>
      </c>
      <c r="C412" s="352" t="s">
        <v>704</v>
      </c>
      <c r="D412" s="355" t="s">
        <v>705</v>
      </c>
      <c r="E412" s="367">
        <v>45089</v>
      </c>
      <c r="F412" s="364">
        <v>45090</v>
      </c>
      <c r="G412" s="364">
        <v>45090</v>
      </c>
      <c r="H412" s="364">
        <v>45090</v>
      </c>
      <c r="I412" s="394">
        <v>45090</v>
      </c>
      <c r="J412" s="387" t="s">
        <v>253</v>
      </c>
      <c r="K412" s="387" t="s">
        <v>719</v>
      </c>
      <c r="L412" s="402">
        <v>2</v>
      </c>
      <c r="M412" s="352" t="s">
        <v>720</v>
      </c>
      <c r="N412" s="403">
        <v>20000</v>
      </c>
      <c r="O412" s="404">
        <v>40000</v>
      </c>
      <c r="P412" s="421">
        <v>6</v>
      </c>
      <c r="Q412" s="275"/>
      <c r="R412" s="437">
        <v>2500000</v>
      </c>
      <c r="S412" s="274">
        <f t="shared" si="47"/>
        <v>44000</v>
      </c>
      <c r="T412" s="439" t="s">
        <v>227</v>
      </c>
      <c r="U412" s="460" t="str">
        <f t="shared" si="48"/>
        <v/>
      </c>
      <c r="V412" s="439" t="s">
        <v>1248</v>
      </c>
      <c r="W412" s="439" t="s">
        <v>540</v>
      </c>
      <c r="X412" s="439"/>
      <c r="Y412" s="439" t="str">
        <f>J412</f>
        <v>Lakban warna Uk 2" Warna Coklat Cofiie</v>
      </c>
      <c r="Z412" s="449"/>
      <c r="AA412" s="440" t="s">
        <v>574</v>
      </c>
      <c r="AB412" s="441">
        <f t="shared" si="49"/>
        <v>18018.018018018018</v>
      </c>
      <c r="AC412" s="442">
        <f t="shared" si="50"/>
        <v>36036.036036036036</v>
      </c>
      <c r="AD412" s="437">
        <v>2500000</v>
      </c>
      <c r="AE412" s="447">
        <v>13513513.513513515</v>
      </c>
      <c r="AF412" s="447">
        <v>15000000</v>
      </c>
      <c r="AG412" s="437">
        <v>2500000</v>
      </c>
      <c r="AH412" s="271" t="s">
        <v>2101</v>
      </c>
      <c r="AI412" s="277">
        <f>SUM(AC412:AC414)</f>
        <v>148648.64864864864</v>
      </c>
      <c r="AJ412" s="277">
        <f>SUM(AD412:AD414)</f>
        <v>15000000</v>
      </c>
    </row>
    <row r="413" spans="1:36">
      <c r="A413" s="350">
        <v>197</v>
      </c>
      <c r="B413" s="352" t="s">
        <v>1158</v>
      </c>
      <c r="C413" s="352" t="s">
        <v>704</v>
      </c>
      <c r="D413" s="355" t="s">
        <v>705</v>
      </c>
      <c r="E413" s="367">
        <v>45089</v>
      </c>
      <c r="F413" s="364">
        <v>45090</v>
      </c>
      <c r="G413" s="364">
        <v>45090</v>
      </c>
      <c r="H413" s="364">
        <v>45090</v>
      </c>
      <c r="I413" s="394">
        <v>45090</v>
      </c>
      <c r="J413" s="387" t="s">
        <v>779</v>
      </c>
      <c r="K413" s="388" t="s">
        <v>906</v>
      </c>
      <c r="L413" s="402">
        <v>1</v>
      </c>
      <c r="M413" s="352" t="s">
        <v>753</v>
      </c>
      <c r="N413" s="403">
        <v>75000</v>
      </c>
      <c r="O413" s="404">
        <v>75000</v>
      </c>
      <c r="P413" s="421">
        <v>6</v>
      </c>
      <c r="Q413" s="275"/>
      <c r="R413" s="437">
        <v>3000000</v>
      </c>
      <c r="S413" s="274">
        <f t="shared" si="47"/>
        <v>77000</v>
      </c>
      <c r="T413" s="439" t="s">
        <v>227</v>
      </c>
      <c r="U413" s="460" t="str">
        <f t="shared" si="48"/>
        <v/>
      </c>
      <c r="V413" s="439" t="s">
        <v>1248</v>
      </c>
      <c r="W413" s="439" t="s">
        <v>540</v>
      </c>
      <c r="X413" s="439"/>
      <c r="Y413" s="439" t="str">
        <f>J413</f>
        <v>Kertas Buffalo</v>
      </c>
      <c r="Z413" s="606" t="s">
        <v>1560</v>
      </c>
      <c r="AA413" s="440" t="s">
        <v>753</v>
      </c>
      <c r="AB413" s="441">
        <f t="shared" si="49"/>
        <v>67567.567567567574</v>
      </c>
      <c r="AC413" s="442">
        <f t="shared" si="50"/>
        <v>67567.567567567574</v>
      </c>
      <c r="AD413" s="437">
        <v>3000000</v>
      </c>
      <c r="AE413" s="447">
        <v>13513513.513513515</v>
      </c>
      <c r="AF413" s="447">
        <v>15000000</v>
      </c>
      <c r="AG413" s="437">
        <v>3000000</v>
      </c>
      <c r="AH413" s="271" t="s">
        <v>2101</v>
      </c>
    </row>
    <row r="414" spans="1:36">
      <c r="A414" s="350">
        <v>197</v>
      </c>
      <c r="B414" s="352" t="s">
        <v>1158</v>
      </c>
      <c r="C414" s="352" t="s">
        <v>704</v>
      </c>
      <c r="D414" s="355" t="s">
        <v>705</v>
      </c>
      <c r="E414" s="367">
        <v>45089</v>
      </c>
      <c r="F414" s="364">
        <v>45090</v>
      </c>
      <c r="G414" s="364">
        <v>45090</v>
      </c>
      <c r="H414" s="364">
        <v>45090</v>
      </c>
      <c r="I414" s="394">
        <v>45090</v>
      </c>
      <c r="J414" s="387" t="s">
        <v>252</v>
      </c>
      <c r="K414" s="387" t="s">
        <v>786</v>
      </c>
      <c r="L414" s="402">
        <v>2</v>
      </c>
      <c r="M414" s="352" t="s">
        <v>753</v>
      </c>
      <c r="N414" s="403">
        <v>25000</v>
      </c>
      <c r="O414" s="404">
        <v>50000</v>
      </c>
      <c r="P414" s="421">
        <v>6</v>
      </c>
      <c r="Q414" s="275"/>
      <c r="R414" s="437">
        <v>9500000</v>
      </c>
      <c r="S414" s="274">
        <f t="shared" si="47"/>
        <v>54000</v>
      </c>
      <c r="T414" s="439" t="s">
        <v>227</v>
      </c>
      <c r="U414" s="460" t="str">
        <f t="shared" si="48"/>
        <v/>
      </c>
      <c r="V414" s="439" t="s">
        <v>1248</v>
      </c>
      <c r="W414" s="439" t="s">
        <v>540</v>
      </c>
      <c r="X414" s="439"/>
      <c r="Y414" s="439" t="str">
        <f>J414</f>
        <v>Lakban Bening</v>
      </c>
      <c r="Z414" s="606" t="s">
        <v>1560</v>
      </c>
      <c r="AA414" s="440" t="s">
        <v>488</v>
      </c>
      <c r="AB414" s="441">
        <f t="shared" si="49"/>
        <v>22522.522522522522</v>
      </c>
      <c r="AC414" s="442">
        <f t="shared" si="50"/>
        <v>45045.045045045044</v>
      </c>
      <c r="AD414" s="437">
        <v>9500000</v>
      </c>
      <c r="AE414" s="447">
        <v>13513513.513513515</v>
      </c>
      <c r="AF414" s="447">
        <v>15000000</v>
      </c>
      <c r="AG414" s="437">
        <v>9500000</v>
      </c>
      <c r="AH414" s="271" t="s">
        <v>2101</v>
      </c>
    </row>
    <row r="415" spans="1:36">
      <c r="A415" s="350">
        <v>197</v>
      </c>
      <c r="B415" s="352" t="s">
        <v>1158</v>
      </c>
      <c r="C415" s="352" t="s">
        <v>704</v>
      </c>
      <c r="D415" s="355" t="s">
        <v>705</v>
      </c>
      <c r="E415" s="367">
        <v>45089</v>
      </c>
      <c r="F415" s="364">
        <v>45090</v>
      </c>
      <c r="G415" s="364">
        <v>45090</v>
      </c>
      <c r="H415" s="364">
        <v>45090</v>
      </c>
      <c r="I415" s="394">
        <v>45090</v>
      </c>
      <c r="J415" s="387" t="s">
        <v>239</v>
      </c>
      <c r="K415" s="387" t="s">
        <v>239</v>
      </c>
      <c r="L415" s="402">
        <v>1</v>
      </c>
      <c r="M415" s="352" t="s">
        <v>597</v>
      </c>
      <c r="N415" s="403">
        <v>16500</v>
      </c>
      <c r="O415" s="404">
        <v>16500</v>
      </c>
      <c r="P415" s="421">
        <v>6</v>
      </c>
      <c r="Q415" s="427" t="s">
        <v>163</v>
      </c>
      <c r="R415" s="437">
        <v>400000</v>
      </c>
      <c r="S415" s="274">
        <f t="shared" si="47"/>
        <v>18500</v>
      </c>
      <c r="T415" s="439" t="s">
        <v>227</v>
      </c>
      <c r="U415" s="460" t="str">
        <f t="shared" si="48"/>
        <v/>
      </c>
      <c r="V415" s="439" t="s">
        <v>1248</v>
      </c>
      <c r="W415" s="439" t="s">
        <v>540</v>
      </c>
      <c r="X415" s="439" t="s">
        <v>474</v>
      </c>
      <c r="Y415" s="439" t="str">
        <f>J415</f>
        <v>Binder Klip  nomor 200</v>
      </c>
      <c r="Z415" s="449" t="s">
        <v>1545</v>
      </c>
      <c r="AA415" s="440" t="s">
        <v>472</v>
      </c>
      <c r="AB415" s="441">
        <f t="shared" si="49"/>
        <v>14864.864864864865</v>
      </c>
      <c r="AC415" s="442">
        <f t="shared" si="50"/>
        <v>14864.864864864865</v>
      </c>
      <c r="AD415" s="437">
        <v>1500000</v>
      </c>
      <c r="AE415" s="447">
        <v>1486486.4864864864</v>
      </c>
      <c r="AF415" s="447">
        <v>1500000</v>
      </c>
      <c r="AG415" s="437">
        <v>1500000</v>
      </c>
      <c r="AH415" s="271" t="s">
        <v>2101</v>
      </c>
    </row>
    <row r="416" spans="1:36" ht="25">
      <c r="A416" s="350">
        <v>197</v>
      </c>
      <c r="B416" s="352" t="s">
        <v>1158</v>
      </c>
      <c r="C416" s="352" t="s">
        <v>704</v>
      </c>
      <c r="D416" s="355" t="s">
        <v>705</v>
      </c>
      <c r="E416" s="367">
        <v>45089</v>
      </c>
      <c r="F416" s="364">
        <v>45090</v>
      </c>
      <c r="G416" s="364">
        <v>45090</v>
      </c>
      <c r="H416" s="364">
        <v>45090</v>
      </c>
      <c r="I416" s="394">
        <v>45090</v>
      </c>
      <c r="J416" s="387" t="s">
        <v>733</v>
      </c>
      <c r="K416" s="388" t="s">
        <v>734</v>
      </c>
      <c r="L416" s="402">
        <v>5</v>
      </c>
      <c r="M416" s="352" t="s">
        <v>735</v>
      </c>
      <c r="N416" s="403">
        <v>54000</v>
      </c>
      <c r="O416" s="404">
        <v>270000</v>
      </c>
      <c r="P416" s="421">
        <v>6</v>
      </c>
      <c r="Q416" s="427" t="s">
        <v>163</v>
      </c>
      <c r="R416" s="437">
        <v>500000</v>
      </c>
      <c r="S416" s="274">
        <f t="shared" si="47"/>
        <v>280000</v>
      </c>
      <c r="T416" s="439" t="s">
        <v>227</v>
      </c>
      <c r="U416" s="460" t="str">
        <f t="shared" si="48"/>
        <v/>
      </c>
      <c r="V416" s="439" t="s">
        <v>1248</v>
      </c>
      <c r="W416" s="439" t="s">
        <v>540</v>
      </c>
      <c r="X416" s="439" t="s">
        <v>474</v>
      </c>
      <c r="Y416" s="439" t="str">
        <f>J416</f>
        <v>Kertas HVS 60 gram Merk : GOLD Ukuran F4</v>
      </c>
      <c r="Z416" s="449" t="s">
        <v>1545</v>
      </c>
      <c r="AA416" s="440" t="s">
        <v>472</v>
      </c>
      <c r="AB416" s="441">
        <f t="shared" si="49"/>
        <v>48648.648648648646</v>
      </c>
      <c r="AC416" s="442">
        <f t="shared" si="50"/>
        <v>243243.24324324323</v>
      </c>
      <c r="AD416" s="437">
        <v>500000</v>
      </c>
      <c r="AE416" s="447">
        <v>1387387.3873873875</v>
      </c>
      <c r="AF416" s="447">
        <v>1540000</v>
      </c>
      <c r="AG416" s="437">
        <v>500000</v>
      </c>
      <c r="AH416" s="271" t="s">
        <v>2101</v>
      </c>
      <c r="AI416" s="277">
        <f>SUM(AC416:AC418)</f>
        <v>455855.8558558558</v>
      </c>
      <c r="AJ416" s="277">
        <f>SUM(AD416:AD418)</f>
        <v>1540000</v>
      </c>
    </row>
    <row r="417" spans="1:36">
      <c r="A417" s="350">
        <v>197</v>
      </c>
      <c r="B417" s="352" t="s">
        <v>1158</v>
      </c>
      <c r="C417" s="352" t="s">
        <v>704</v>
      </c>
      <c r="D417" s="355" t="s">
        <v>705</v>
      </c>
      <c r="E417" s="367">
        <v>45089</v>
      </c>
      <c r="F417" s="364">
        <v>45090</v>
      </c>
      <c r="G417" s="364">
        <v>45090</v>
      </c>
      <c r="H417" s="364">
        <v>45090</v>
      </c>
      <c r="I417" s="394">
        <v>45090</v>
      </c>
      <c r="J417" s="389" t="s">
        <v>234</v>
      </c>
      <c r="K417" s="389" t="s">
        <v>234</v>
      </c>
      <c r="L417" s="402">
        <v>1</v>
      </c>
      <c r="M417" s="352" t="s">
        <v>714</v>
      </c>
      <c r="N417" s="403">
        <v>225000</v>
      </c>
      <c r="O417" s="404">
        <v>225000</v>
      </c>
      <c r="P417" s="421">
        <v>6</v>
      </c>
      <c r="Q417" s="425" t="s">
        <v>164</v>
      </c>
      <c r="R417" s="437">
        <v>420000</v>
      </c>
      <c r="S417" s="274">
        <f t="shared" si="47"/>
        <v>227000</v>
      </c>
      <c r="T417" s="439" t="s">
        <v>227</v>
      </c>
      <c r="U417" s="460" t="str">
        <f t="shared" si="48"/>
        <v/>
      </c>
      <c r="V417" s="439" t="s">
        <v>1248</v>
      </c>
      <c r="W417" s="439" t="s">
        <v>540</v>
      </c>
      <c r="X417" s="439" t="s">
        <v>474</v>
      </c>
      <c r="Y417" s="439" t="str">
        <f t="shared" ref="Y417:Y428" si="51">J417</f>
        <v>Ballpoint Pilot G2</v>
      </c>
      <c r="Z417" s="449" t="s">
        <v>1545</v>
      </c>
      <c r="AA417" s="440" t="s">
        <v>488</v>
      </c>
      <c r="AB417" s="441">
        <f t="shared" si="49"/>
        <v>202702.70270270269</v>
      </c>
      <c r="AC417" s="442">
        <f t="shared" si="50"/>
        <v>202702.70270270269</v>
      </c>
      <c r="AD417" s="437">
        <v>560000</v>
      </c>
      <c r="AE417" s="447">
        <v>1387387.3873873875</v>
      </c>
      <c r="AF417" s="447">
        <v>1540000</v>
      </c>
      <c r="AG417" s="437">
        <v>560000</v>
      </c>
      <c r="AH417" s="271" t="s">
        <v>2101</v>
      </c>
    </row>
    <row r="418" spans="1:36">
      <c r="A418" s="350">
        <v>197</v>
      </c>
      <c r="B418" s="352" t="s">
        <v>1158</v>
      </c>
      <c r="C418" s="352" t="s">
        <v>704</v>
      </c>
      <c r="D418" s="355" t="s">
        <v>705</v>
      </c>
      <c r="E418" s="367">
        <v>45089</v>
      </c>
      <c r="F418" s="364">
        <v>45090</v>
      </c>
      <c r="G418" s="364">
        <v>45090</v>
      </c>
      <c r="H418" s="364">
        <v>45090</v>
      </c>
      <c r="I418" s="394">
        <v>45090</v>
      </c>
      <c r="J418" s="387" t="s">
        <v>241</v>
      </c>
      <c r="K418" s="387" t="s">
        <v>767</v>
      </c>
      <c r="L418" s="402">
        <v>2</v>
      </c>
      <c r="M418" s="352" t="s">
        <v>597</v>
      </c>
      <c r="N418" s="403">
        <v>5500</v>
      </c>
      <c r="O418" s="404">
        <v>11000</v>
      </c>
      <c r="P418" s="421">
        <v>6</v>
      </c>
      <c r="Q418" s="425" t="s">
        <v>165</v>
      </c>
      <c r="R418" s="437">
        <v>480000</v>
      </c>
      <c r="S418" s="274">
        <f t="shared" si="47"/>
        <v>15000</v>
      </c>
      <c r="T418" s="439" t="s">
        <v>227</v>
      </c>
      <c r="U418" s="460" t="str">
        <f t="shared" si="48"/>
        <v/>
      </c>
      <c r="V418" s="439" t="s">
        <v>1248</v>
      </c>
      <c r="W418" s="439" t="s">
        <v>540</v>
      </c>
      <c r="X418" s="439" t="s">
        <v>490</v>
      </c>
      <c r="Y418" s="439" t="str">
        <f t="shared" si="51"/>
        <v>Binder Klip Merk : KENKO nomor 105</v>
      </c>
      <c r="Z418" s="449" t="s">
        <v>280</v>
      </c>
      <c r="AA418" s="440" t="s">
        <v>472</v>
      </c>
      <c r="AB418" s="441">
        <f t="shared" si="49"/>
        <v>4954.9549549549547</v>
      </c>
      <c r="AC418" s="442">
        <f t="shared" si="50"/>
        <v>9909.9099099099094</v>
      </c>
      <c r="AD418" s="437">
        <v>480000</v>
      </c>
      <c r="AE418" s="447">
        <v>1387387.3873873875</v>
      </c>
      <c r="AF418" s="447">
        <v>1540000</v>
      </c>
      <c r="AG418" s="437">
        <v>480000</v>
      </c>
      <c r="AH418" s="271" t="s">
        <v>2101</v>
      </c>
    </row>
    <row r="419" spans="1:36" ht="25">
      <c r="A419" s="350">
        <v>197</v>
      </c>
      <c r="B419" s="352" t="s">
        <v>1158</v>
      </c>
      <c r="C419" s="352" t="s">
        <v>704</v>
      </c>
      <c r="D419" s="355" t="s">
        <v>705</v>
      </c>
      <c r="E419" s="367">
        <v>45089</v>
      </c>
      <c r="F419" s="364">
        <v>45090</v>
      </c>
      <c r="G419" s="364">
        <v>45090</v>
      </c>
      <c r="H419" s="364">
        <v>45090</v>
      </c>
      <c r="I419" s="394">
        <v>45090</v>
      </c>
      <c r="J419" s="387" t="s">
        <v>261</v>
      </c>
      <c r="K419" s="387" t="s">
        <v>261</v>
      </c>
      <c r="L419" s="402">
        <v>12</v>
      </c>
      <c r="M419" s="352" t="s">
        <v>667</v>
      </c>
      <c r="N419" s="403">
        <v>20000</v>
      </c>
      <c r="O419" s="404">
        <v>240000</v>
      </c>
      <c r="P419" s="421">
        <v>6</v>
      </c>
      <c r="Q419" s="491" t="s">
        <v>164</v>
      </c>
      <c r="R419" s="437">
        <v>280000</v>
      </c>
      <c r="S419" s="274">
        <f t="shared" si="47"/>
        <v>264000</v>
      </c>
      <c r="T419" s="439" t="s">
        <v>227</v>
      </c>
      <c r="U419" s="460" t="str">
        <f t="shared" si="48"/>
        <v/>
      </c>
      <c r="V419" s="439" t="s">
        <v>1248</v>
      </c>
      <c r="W419" s="439" t="s">
        <v>540</v>
      </c>
      <c r="X419" s="439" t="s">
        <v>474</v>
      </c>
      <c r="Y419" s="439" t="str">
        <f t="shared" si="51"/>
        <v>Spidol Refil Spidol White Board Snowman</v>
      </c>
      <c r="Z419" s="449" t="s">
        <v>1545</v>
      </c>
      <c r="AA419" s="440" t="s">
        <v>472</v>
      </c>
      <c r="AB419" s="441">
        <f t="shared" si="49"/>
        <v>18018.018018018018</v>
      </c>
      <c r="AC419" s="442">
        <f t="shared" si="50"/>
        <v>216216.21621621621</v>
      </c>
      <c r="AD419" s="437">
        <v>630000</v>
      </c>
      <c r="AE419" s="447">
        <v>567567.56756756757</v>
      </c>
      <c r="AF419" s="447">
        <v>630000</v>
      </c>
      <c r="AG419" s="437">
        <v>630000</v>
      </c>
      <c r="AH419" s="271" t="s">
        <v>2101</v>
      </c>
    </row>
    <row r="420" spans="1:36">
      <c r="A420" s="350">
        <v>197</v>
      </c>
      <c r="B420" s="352" t="s">
        <v>1158</v>
      </c>
      <c r="C420" s="352" t="s">
        <v>704</v>
      </c>
      <c r="D420" s="355" t="s">
        <v>705</v>
      </c>
      <c r="E420" s="367">
        <v>45089</v>
      </c>
      <c r="F420" s="364">
        <v>45090</v>
      </c>
      <c r="G420" s="364">
        <v>45090</v>
      </c>
      <c r="H420" s="364">
        <v>45090</v>
      </c>
      <c r="I420" s="394">
        <v>45090</v>
      </c>
      <c r="J420" s="387" t="s">
        <v>262</v>
      </c>
      <c r="K420" s="388" t="s">
        <v>744</v>
      </c>
      <c r="L420" s="791">
        <v>1</v>
      </c>
      <c r="M420" s="352" t="s">
        <v>714</v>
      </c>
      <c r="N420" s="403">
        <v>150000</v>
      </c>
      <c r="O420" s="404">
        <v>150000</v>
      </c>
      <c r="P420" s="421">
        <v>6</v>
      </c>
      <c r="Q420" s="439"/>
      <c r="R420" s="437">
        <v>360000</v>
      </c>
      <c r="S420" s="274">
        <f t="shared" si="47"/>
        <v>152000</v>
      </c>
      <c r="T420" s="439" t="s">
        <v>227</v>
      </c>
      <c r="U420" s="460" t="str">
        <f t="shared" si="48"/>
        <v/>
      </c>
      <c r="V420" s="439" t="s">
        <v>1248</v>
      </c>
      <c r="W420" s="439" t="s">
        <v>540</v>
      </c>
      <c r="X420" s="439"/>
      <c r="Y420" s="439" t="str">
        <f t="shared" si="51"/>
        <v>Spidol White board</v>
      </c>
      <c r="Z420" s="449" t="s">
        <v>1555</v>
      </c>
      <c r="AA420" s="440" t="s">
        <v>472</v>
      </c>
      <c r="AB420" s="441">
        <f t="shared" si="49"/>
        <v>135135.13513513515</v>
      </c>
      <c r="AC420" s="442">
        <f t="shared" si="50"/>
        <v>135135.13513513515</v>
      </c>
      <c r="AD420" s="437">
        <v>360000</v>
      </c>
      <c r="AE420" s="447">
        <v>324324.32432432432</v>
      </c>
      <c r="AF420" s="447">
        <v>360000</v>
      </c>
      <c r="AG420" s="437">
        <v>360000</v>
      </c>
      <c r="AH420" s="271" t="s">
        <v>2101</v>
      </c>
    </row>
    <row r="421" spans="1:36">
      <c r="A421" s="350">
        <v>197</v>
      </c>
      <c r="B421" s="352" t="s">
        <v>1158</v>
      </c>
      <c r="C421" s="352" t="s">
        <v>704</v>
      </c>
      <c r="D421" s="355" t="s">
        <v>705</v>
      </c>
      <c r="E421" s="367">
        <v>45089</v>
      </c>
      <c r="F421" s="364">
        <v>45090</v>
      </c>
      <c r="G421" s="364">
        <v>45090</v>
      </c>
      <c r="H421" s="364">
        <v>45090</v>
      </c>
      <c r="I421" s="394">
        <v>45090</v>
      </c>
      <c r="J421" s="389" t="s">
        <v>755</v>
      </c>
      <c r="K421" s="389" t="s">
        <v>755</v>
      </c>
      <c r="L421" s="402">
        <v>2</v>
      </c>
      <c r="M421" s="352" t="s">
        <v>756</v>
      </c>
      <c r="N421" s="403">
        <v>26000</v>
      </c>
      <c r="O421" s="404">
        <v>52000</v>
      </c>
      <c r="P421" s="421">
        <v>6</v>
      </c>
      <c r="Q421" s="491" t="s">
        <v>164</v>
      </c>
      <c r="R421" s="437">
        <v>840000</v>
      </c>
      <c r="S421" s="274">
        <f t="shared" si="47"/>
        <v>56000</v>
      </c>
      <c r="T421" s="439" t="s">
        <v>227</v>
      </c>
      <c r="U421" s="460" t="str">
        <f t="shared" si="48"/>
        <v/>
      </c>
      <c r="V421" s="439" t="s">
        <v>1248</v>
      </c>
      <c r="W421" s="439" t="s">
        <v>540</v>
      </c>
      <c r="X421" s="439" t="s">
        <v>474</v>
      </c>
      <c r="Y421" s="439" t="str">
        <f t="shared" si="51"/>
        <v>Ballpoint Pilot Balliner Warna Hitam</v>
      </c>
      <c r="Z421" s="449" t="s">
        <v>1545</v>
      </c>
      <c r="AA421" s="440" t="s">
        <v>608</v>
      </c>
      <c r="AB421" s="441">
        <f t="shared" si="49"/>
        <v>23423.423423423425</v>
      </c>
      <c r="AC421" s="442">
        <f t="shared" si="50"/>
        <v>46846.846846846849</v>
      </c>
      <c r="AD421" s="437">
        <v>840000</v>
      </c>
      <c r="AE421" s="447">
        <v>2270270.2702702703</v>
      </c>
      <c r="AF421" s="447">
        <v>2520000</v>
      </c>
      <c r="AG421" s="437">
        <v>840000</v>
      </c>
      <c r="AH421" s="271" t="s">
        <v>2101</v>
      </c>
      <c r="AI421" s="277">
        <f>SUM(AC421:AC422)</f>
        <v>82882.882882882885</v>
      </c>
      <c r="AJ421" s="277">
        <f>SUM(AD421:AD422)</f>
        <v>2520000</v>
      </c>
    </row>
    <row r="422" spans="1:36">
      <c r="A422" s="350">
        <v>197</v>
      </c>
      <c r="B422" s="352" t="s">
        <v>1158</v>
      </c>
      <c r="C422" s="352" t="s">
        <v>704</v>
      </c>
      <c r="D422" s="355" t="s">
        <v>705</v>
      </c>
      <c r="E422" s="367">
        <v>45089</v>
      </c>
      <c r="F422" s="364">
        <v>45090</v>
      </c>
      <c r="G422" s="364">
        <v>45090</v>
      </c>
      <c r="H422" s="364">
        <v>45090</v>
      </c>
      <c r="I422" s="394">
        <v>45090</v>
      </c>
      <c r="J422" s="387" t="s">
        <v>711</v>
      </c>
      <c r="K422" s="387" t="s">
        <v>738</v>
      </c>
      <c r="L422" s="402">
        <v>2</v>
      </c>
      <c r="M422" s="352" t="s">
        <v>488</v>
      </c>
      <c r="N422" s="403">
        <v>20000</v>
      </c>
      <c r="O422" s="404">
        <v>40000</v>
      </c>
      <c r="P422" s="421">
        <v>6</v>
      </c>
      <c r="Q422" s="491" t="s">
        <v>165</v>
      </c>
      <c r="R422" s="437">
        <v>1680000</v>
      </c>
      <c r="S422" s="274">
        <f t="shared" si="47"/>
        <v>44000</v>
      </c>
      <c r="T422" s="439" t="s">
        <v>227</v>
      </c>
      <c r="U422" s="460" t="str">
        <f t="shared" si="48"/>
        <v/>
      </c>
      <c r="V422" s="439" t="s">
        <v>1248</v>
      </c>
      <c r="W422" s="439" t="s">
        <v>540</v>
      </c>
      <c r="X422" s="439" t="s">
        <v>490</v>
      </c>
      <c r="Y422" s="439" t="str">
        <f t="shared" si="51"/>
        <v>Lakban Kain Warna Hitam</v>
      </c>
      <c r="Z422" s="449" t="s">
        <v>280</v>
      </c>
      <c r="AA422" s="421"/>
      <c r="AB422" s="441">
        <f t="shared" si="49"/>
        <v>18018.018018018018</v>
      </c>
      <c r="AC422" s="442">
        <f t="shared" si="50"/>
        <v>36036.036036036036</v>
      </c>
      <c r="AD422" s="437">
        <v>1680000</v>
      </c>
      <c r="AE422" s="447">
        <v>2270270.2702702703</v>
      </c>
      <c r="AF422" s="447">
        <v>2520000</v>
      </c>
      <c r="AG422" s="437">
        <v>1680000</v>
      </c>
      <c r="AH422" s="271" t="s">
        <v>2101</v>
      </c>
    </row>
    <row r="423" spans="1:36">
      <c r="A423" s="350">
        <v>197</v>
      </c>
      <c r="B423" s="352" t="s">
        <v>1158</v>
      </c>
      <c r="C423" s="352" t="s">
        <v>704</v>
      </c>
      <c r="D423" s="355" t="s">
        <v>705</v>
      </c>
      <c r="E423" s="367">
        <v>45089</v>
      </c>
      <c r="F423" s="364">
        <v>45090</v>
      </c>
      <c r="G423" s="364">
        <v>45090</v>
      </c>
      <c r="H423" s="364">
        <v>45090</v>
      </c>
      <c r="I423" s="394">
        <v>45090</v>
      </c>
      <c r="J423" s="387" t="s">
        <v>240</v>
      </c>
      <c r="K423" s="388" t="s">
        <v>731</v>
      </c>
      <c r="L423" s="791">
        <v>1</v>
      </c>
      <c r="M423" s="352" t="s">
        <v>597</v>
      </c>
      <c r="N423" s="403">
        <v>20000</v>
      </c>
      <c r="O423" s="404">
        <v>20000</v>
      </c>
      <c r="P423" s="421">
        <v>6</v>
      </c>
      <c r="Q423" s="425" t="s">
        <v>164</v>
      </c>
      <c r="R423" s="437">
        <v>280000</v>
      </c>
      <c r="S423" s="274">
        <f t="shared" si="47"/>
        <v>22000</v>
      </c>
      <c r="T423" s="439" t="s">
        <v>227</v>
      </c>
      <c r="U423" s="460" t="str">
        <f t="shared" si="48"/>
        <v/>
      </c>
      <c r="V423" s="439" t="s">
        <v>1248</v>
      </c>
      <c r="W423" s="439" t="s">
        <v>540</v>
      </c>
      <c r="X423" s="439" t="s">
        <v>474</v>
      </c>
      <c r="Y423" s="439" t="str">
        <f t="shared" si="51"/>
        <v>Binder Klip  nomor 260</v>
      </c>
      <c r="Z423" s="449" t="s">
        <v>1545</v>
      </c>
      <c r="AA423" s="440" t="s">
        <v>574</v>
      </c>
      <c r="AB423" s="441">
        <f t="shared" si="49"/>
        <v>18018.018018018018</v>
      </c>
      <c r="AC423" s="442">
        <f t="shared" si="50"/>
        <v>18018.018018018018</v>
      </c>
      <c r="AD423" s="437">
        <v>280000</v>
      </c>
      <c r="AE423" s="447">
        <v>1198198.1981981981</v>
      </c>
      <c r="AF423" s="447">
        <v>1330000</v>
      </c>
      <c r="AG423" s="437">
        <v>280000</v>
      </c>
      <c r="AH423" s="271" t="s">
        <v>2101</v>
      </c>
      <c r="AI423" s="277">
        <f>SUM(AC423:AC424)</f>
        <v>37837.83783783784</v>
      </c>
      <c r="AJ423" s="277">
        <f>SUM(AD423:AD424)</f>
        <v>1330000</v>
      </c>
    </row>
    <row r="424" spans="1:36">
      <c r="A424" s="350">
        <v>197</v>
      </c>
      <c r="B424" s="352" t="s">
        <v>1158</v>
      </c>
      <c r="C424" s="352" t="s">
        <v>704</v>
      </c>
      <c r="D424" s="355" t="s">
        <v>705</v>
      </c>
      <c r="E424" s="367">
        <v>45089</v>
      </c>
      <c r="F424" s="364">
        <v>45090</v>
      </c>
      <c r="G424" s="364">
        <v>45090</v>
      </c>
      <c r="H424" s="364">
        <v>45090</v>
      </c>
      <c r="I424" s="394">
        <v>45090</v>
      </c>
      <c r="J424" s="387" t="s">
        <v>238</v>
      </c>
      <c r="K424" s="387" t="s">
        <v>238</v>
      </c>
      <c r="L424" s="402">
        <v>2</v>
      </c>
      <c r="M424" s="352" t="s">
        <v>597</v>
      </c>
      <c r="N424" s="403">
        <v>11000</v>
      </c>
      <c r="O424" s="404">
        <v>22000</v>
      </c>
      <c r="P424" s="421">
        <v>6</v>
      </c>
      <c r="Q424" s="425" t="s">
        <v>165</v>
      </c>
      <c r="R424" s="437">
        <v>1050000</v>
      </c>
      <c r="S424" s="274">
        <f t="shared" si="47"/>
        <v>26000</v>
      </c>
      <c r="T424" s="439" t="s">
        <v>227</v>
      </c>
      <c r="U424" s="460" t="str">
        <f t="shared" si="48"/>
        <v/>
      </c>
      <c r="V424" s="439" t="s">
        <v>1248</v>
      </c>
      <c r="W424" s="439" t="s">
        <v>540</v>
      </c>
      <c r="X424" s="439" t="s">
        <v>490</v>
      </c>
      <c r="Y424" s="439" t="str">
        <f t="shared" si="51"/>
        <v>Binder Klip  nomor 111</v>
      </c>
      <c r="Z424" s="449" t="s">
        <v>280</v>
      </c>
      <c r="AA424" s="440" t="s">
        <v>753</v>
      </c>
      <c r="AB424" s="441">
        <f t="shared" si="49"/>
        <v>9909.9099099099094</v>
      </c>
      <c r="AC424" s="442">
        <f t="shared" si="50"/>
        <v>19819.819819819819</v>
      </c>
      <c r="AD424" s="437">
        <v>1050000</v>
      </c>
      <c r="AE424" s="447">
        <v>1198198.1981981981</v>
      </c>
      <c r="AF424" s="447">
        <v>1330000</v>
      </c>
      <c r="AG424" s="437">
        <v>1050000</v>
      </c>
      <c r="AH424" s="271" t="s">
        <v>2101</v>
      </c>
    </row>
    <row r="425" spans="1:36">
      <c r="A425" s="350">
        <v>197</v>
      </c>
      <c r="B425" s="352" t="s">
        <v>1158</v>
      </c>
      <c r="C425" s="352" t="s">
        <v>704</v>
      </c>
      <c r="D425" s="355" t="s">
        <v>705</v>
      </c>
      <c r="E425" s="367">
        <v>45089</v>
      </c>
      <c r="F425" s="364">
        <v>45090</v>
      </c>
      <c r="G425" s="364">
        <v>45090</v>
      </c>
      <c r="H425" s="364">
        <v>45090</v>
      </c>
      <c r="I425" s="394">
        <v>45090</v>
      </c>
      <c r="J425" s="387" t="s">
        <v>263</v>
      </c>
      <c r="K425" s="388" t="s">
        <v>885</v>
      </c>
      <c r="L425" s="402">
        <v>5</v>
      </c>
      <c r="M425" s="352" t="s">
        <v>753</v>
      </c>
      <c r="N425" s="403">
        <v>12000</v>
      </c>
      <c r="O425" s="404">
        <v>60000</v>
      </c>
      <c r="P425" s="421">
        <v>6</v>
      </c>
      <c r="Q425" s="275"/>
      <c r="R425" s="437">
        <v>300000</v>
      </c>
      <c r="S425" s="274">
        <f t="shared" si="47"/>
        <v>70000</v>
      </c>
      <c r="T425" s="439" t="s">
        <v>227</v>
      </c>
      <c r="U425" s="460" t="str">
        <f t="shared" si="48"/>
        <v/>
      </c>
      <c r="V425" s="439" t="s">
        <v>1248</v>
      </c>
      <c r="W425" s="439" t="s">
        <v>540</v>
      </c>
      <c r="X425" s="615" t="s">
        <v>541</v>
      </c>
      <c r="Y425" s="439" t="str">
        <f t="shared" si="51"/>
        <v>Stofmap Kertas</v>
      </c>
      <c r="Z425" s="449"/>
      <c r="AA425" s="440" t="s">
        <v>574</v>
      </c>
      <c r="AB425" s="441">
        <f t="shared" si="49"/>
        <v>10810.810810810812</v>
      </c>
      <c r="AC425" s="442">
        <f t="shared" si="50"/>
        <v>54054.054054054061</v>
      </c>
      <c r="AD425" s="437">
        <v>300000</v>
      </c>
      <c r="AE425" s="447">
        <v>518018.01801801799</v>
      </c>
      <c r="AF425" s="447">
        <v>575000</v>
      </c>
      <c r="AG425" s="437">
        <v>300000</v>
      </c>
      <c r="AH425" s="271" t="s">
        <v>2101</v>
      </c>
      <c r="AI425" s="277">
        <f>SUM(AC425:AC426)</f>
        <v>72972.972972972988</v>
      </c>
      <c r="AJ425" s="277">
        <f>SUM(AD425:AD426)</f>
        <v>575000</v>
      </c>
    </row>
    <row r="426" spans="1:36">
      <c r="A426" s="350">
        <v>197</v>
      </c>
      <c r="B426" s="352" t="s">
        <v>1158</v>
      </c>
      <c r="C426" s="352" t="s">
        <v>704</v>
      </c>
      <c r="D426" s="355" t="s">
        <v>705</v>
      </c>
      <c r="E426" s="367">
        <v>45089</v>
      </c>
      <c r="F426" s="364">
        <v>45090</v>
      </c>
      <c r="G426" s="364">
        <v>45090</v>
      </c>
      <c r="H426" s="364">
        <v>45090</v>
      </c>
      <c r="I426" s="394">
        <v>45090</v>
      </c>
      <c r="J426" s="387" t="s">
        <v>249</v>
      </c>
      <c r="K426" s="387" t="s">
        <v>888</v>
      </c>
      <c r="L426" s="791">
        <v>1</v>
      </c>
      <c r="M426" s="352" t="s">
        <v>749</v>
      </c>
      <c r="N426" s="403">
        <v>21000</v>
      </c>
      <c r="O426" s="404">
        <v>21000</v>
      </c>
      <c r="P426" s="421">
        <v>6</v>
      </c>
      <c r="Q426" s="275"/>
      <c r="R426" s="437">
        <v>275000</v>
      </c>
      <c r="S426" s="274">
        <f t="shared" si="47"/>
        <v>23000</v>
      </c>
      <c r="T426" s="439" t="s">
        <v>227</v>
      </c>
      <c r="U426" s="460" t="str">
        <f t="shared" si="48"/>
        <v/>
      </c>
      <c r="V426" s="439" t="s">
        <v>1248</v>
      </c>
      <c r="W426" s="439" t="s">
        <v>540</v>
      </c>
      <c r="X426" s="439"/>
      <c r="Y426" s="439" t="str">
        <f t="shared" si="51"/>
        <v>Kertas Post-It Warna Warni  Sign Here</v>
      </c>
      <c r="Z426" s="449"/>
      <c r="AA426" s="440" t="s">
        <v>753</v>
      </c>
      <c r="AB426" s="441">
        <f t="shared" si="49"/>
        <v>18918.91891891892</v>
      </c>
      <c r="AC426" s="442">
        <f t="shared" si="50"/>
        <v>18918.91891891892</v>
      </c>
      <c r="AD426" s="437">
        <v>275000</v>
      </c>
      <c r="AE426" s="447">
        <v>518018.01801801799</v>
      </c>
      <c r="AF426" s="447">
        <v>575000</v>
      </c>
      <c r="AG426" s="437">
        <v>275000</v>
      </c>
      <c r="AH426" s="271" t="s">
        <v>2101</v>
      </c>
    </row>
    <row r="427" spans="1:36">
      <c r="A427" s="350">
        <v>197</v>
      </c>
      <c r="B427" s="352" t="s">
        <v>1158</v>
      </c>
      <c r="C427" s="352" t="s">
        <v>704</v>
      </c>
      <c r="D427" s="355" t="s">
        <v>705</v>
      </c>
      <c r="E427" s="367">
        <v>45089</v>
      </c>
      <c r="F427" s="364">
        <v>45090</v>
      </c>
      <c r="G427" s="364">
        <v>45090</v>
      </c>
      <c r="H427" s="364">
        <v>45090</v>
      </c>
      <c r="I427" s="394">
        <v>45090</v>
      </c>
      <c r="J427" s="387" t="s">
        <v>762</v>
      </c>
      <c r="K427" s="387" t="s">
        <v>762</v>
      </c>
      <c r="L427" s="402">
        <v>1</v>
      </c>
      <c r="M427" s="352" t="s">
        <v>488</v>
      </c>
      <c r="N427" s="403">
        <v>15000</v>
      </c>
      <c r="O427" s="404">
        <v>15000</v>
      </c>
      <c r="P427" s="421">
        <v>6</v>
      </c>
      <c r="Q427" s="275"/>
      <c r="R427" s="437">
        <v>1000000</v>
      </c>
      <c r="S427" s="274">
        <f t="shared" si="47"/>
        <v>17000</v>
      </c>
      <c r="T427" s="439" t="s">
        <v>227</v>
      </c>
      <c r="U427" s="460" t="str">
        <f t="shared" si="48"/>
        <v/>
      </c>
      <c r="V427" s="439" t="s">
        <v>1248</v>
      </c>
      <c r="W427" s="439" t="s">
        <v>540</v>
      </c>
      <c r="X427" s="439"/>
      <c r="Y427" s="439" t="str">
        <f t="shared" si="51"/>
        <v>lem fox</v>
      </c>
      <c r="Z427" s="449"/>
      <c r="AA427" s="440" t="s">
        <v>587</v>
      </c>
      <c r="AB427" s="441">
        <f t="shared" si="49"/>
        <v>13513.513513513513</v>
      </c>
      <c r="AC427" s="442">
        <f t="shared" si="50"/>
        <v>13513.513513513513</v>
      </c>
      <c r="AD427" s="437">
        <v>1000000</v>
      </c>
      <c r="AE427" s="447">
        <v>900900.90090090095</v>
      </c>
      <c r="AF427" s="447">
        <v>1000000</v>
      </c>
      <c r="AG427" s="437">
        <v>1000000</v>
      </c>
      <c r="AH427" s="271" t="s">
        <v>2101</v>
      </c>
    </row>
    <row r="428" spans="1:36">
      <c r="A428" s="350">
        <v>197</v>
      </c>
      <c r="B428" s="352" t="s">
        <v>1158</v>
      </c>
      <c r="C428" s="352" t="s">
        <v>704</v>
      </c>
      <c r="D428" s="355" t="s">
        <v>705</v>
      </c>
      <c r="E428" s="367">
        <v>45089</v>
      </c>
      <c r="F428" s="364">
        <v>45090</v>
      </c>
      <c r="G428" s="364">
        <v>45090</v>
      </c>
      <c r="H428" s="364">
        <v>45090</v>
      </c>
      <c r="I428" s="394">
        <v>45090</v>
      </c>
      <c r="J428" s="387" t="s">
        <v>747</v>
      </c>
      <c r="K428" s="388" t="s">
        <v>886</v>
      </c>
      <c r="L428" s="402">
        <v>1</v>
      </c>
      <c r="M428" s="352" t="s">
        <v>488</v>
      </c>
      <c r="N428" s="403">
        <v>5000</v>
      </c>
      <c r="O428" s="404">
        <v>5000</v>
      </c>
      <c r="P428" s="421">
        <v>6</v>
      </c>
      <c r="Q428" s="275"/>
      <c r="R428" s="437">
        <v>7800000</v>
      </c>
      <c r="S428" s="274">
        <f t="shared" si="47"/>
        <v>7000</v>
      </c>
      <c r="T428" s="439" t="s">
        <v>227</v>
      </c>
      <c r="U428" s="460" t="str">
        <f t="shared" si="48"/>
        <v/>
      </c>
      <c r="V428" s="439" t="s">
        <v>1248</v>
      </c>
      <c r="W428" s="439" t="s">
        <v>540</v>
      </c>
      <c r="X428" s="439"/>
      <c r="Y428" s="439" t="str">
        <f t="shared" si="51"/>
        <v>Buku Agenda</v>
      </c>
      <c r="Z428" s="449" t="s">
        <v>1559</v>
      </c>
      <c r="AA428" s="440" t="s">
        <v>753</v>
      </c>
      <c r="AB428" s="441">
        <f t="shared" si="49"/>
        <v>4504.5045045045044</v>
      </c>
      <c r="AC428" s="442">
        <f t="shared" si="50"/>
        <v>4504.5045045045044</v>
      </c>
      <c r="AD428" s="437">
        <v>7800000</v>
      </c>
      <c r="AE428" s="447">
        <v>7027027.0270270277</v>
      </c>
      <c r="AF428" s="447">
        <v>7800000</v>
      </c>
      <c r="AG428" s="437">
        <v>7800000</v>
      </c>
      <c r="AH428" s="271" t="s">
        <v>2101</v>
      </c>
    </row>
    <row r="429" spans="1:36">
      <c r="A429" s="350">
        <v>197</v>
      </c>
      <c r="B429" s="352" t="s">
        <v>1158</v>
      </c>
      <c r="C429" s="352" t="s">
        <v>704</v>
      </c>
      <c r="D429" s="355" t="s">
        <v>705</v>
      </c>
      <c r="E429" s="367">
        <v>45089</v>
      </c>
      <c r="F429" s="364">
        <v>45090</v>
      </c>
      <c r="G429" s="364">
        <v>45090</v>
      </c>
      <c r="H429" s="364">
        <v>45090</v>
      </c>
      <c r="I429" s="394">
        <v>45090</v>
      </c>
      <c r="J429" s="387" t="s">
        <v>260</v>
      </c>
      <c r="K429" s="388" t="s">
        <v>891</v>
      </c>
      <c r="L429" s="402">
        <v>10</v>
      </c>
      <c r="M429" s="352" t="s">
        <v>753</v>
      </c>
      <c r="N429" s="403">
        <v>65000</v>
      </c>
      <c r="O429" s="404">
        <v>650000</v>
      </c>
      <c r="P429" s="421">
        <v>7</v>
      </c>
      <c r="Q429" s="275"/>
      <c r="R429" s="437">
        <v>200000</v>
      </c>
      <c r="S429" s="274">
        <f t="shared" si="47"/>
        <v>670000</v>
      </c>
      <c r="T429" s="439" t="s">
        <v>227</v>
      </c>
      <c r="U429" s="460" t="str">
        <f t="shared" si="48"/>
        <v/>
      </c>
      <c r="V429" s="439" t="s">
        <v>1248</v>
      </c>
      <c r="W429" s="439" t="s">
        <v>540</v>
      </c>
      <c r="X429" s="439"/>
      <c r="Y429" s="439" t="s">
        <v>698</v>
      </c>
      <c r="Z429" s="449" t="s">
        <v>698</v>
      </c>
      <c r="AA429" s="440" t="s">
        <v>488</v>
      </c>
      <c r="AB429" s="441">
        <f t="shared" si="49"/>
        <v>58558.558558558558</v>
      </c>
      <c r="AC429" s="442">
        <f t="shared" si="50"/>
        <v>585585.58558558556</v>
      </c>
      <c r="AD429" s="437">
        <v>200000</v>
      </c>
      <c r="AE429" s="447">
        <v>9711711.7117117122</v>
      </c>
      <c r="AF429" s="447">
        <v>10780000</v>
      </c>
      <c r="AG429" s="437">
        <v>200000</v>
      </c>
      <c r="AH429" s="271" t="s">
        <v>2101</v>
      </c>
      <c r="AI429" s="277">
        <f>SUM(AC429:AC431)</f>
        <v>653153.15315315302</v>
      </c>
      <c r="AJ429" s="277">
        <f>SUM(AD429:AD431)</f>
        <v>10780000</v>
      </c>
    </row>
    <row r="430" spans="1:36" ht="25">
      <c r="A430" s="350">
        <v>197</v>
      </c>
      <c r="B430" s="352" t="s">
        <v>1158</v>
      </c>
      <c r="C430" s="352" t="s">
        <v>704</v>
      </c>
      <c r="D430" s="355" t="s">
        <v>705</v>
      </c>
      <c r="E430" s="367">
        <v>45089</v>
      </c>
      <c r="F430" s="364">
        <v>45090</v>
      </c>
      <c r="G430" s="364">
        <v>45090</v>
      </c>
      <c r="H430" s="364">
        <v>45090</v>
      </c>
      <c r="I430" s="394">
        <v>45090</v>
      </c>
      <c r="J430" s="387" t="s">
        <v>230</v>
      </c>
      <c r="K430" s="387" t="s">
        <v>230</v>
      </c>
      <c r="L430" s="402">
        <v>1</v>
      </c>
      <c r="M430" s="352" t="s">
        <v>728</v>
      </c>
      <c r="N430" s="403">
        <v>40000</v>
      </c>
      <c r="O430" s="404">
        <v>40000</v>
      </c>
      <c r="P430" s="421">
        <v>7</v>
      </c>
      <c r="Q430" s="275"/>
      <c r="R430" s="437">
        <v>180000</v>
      </c>
      <c r="S430" s="274">
        <f t="shared" si="47"/>
        <v>42000</v>
      </c>
      <c r="T430" s="439" t="s">
        <v>227</v>
      </c>
      <c r="U430" s="460" t="str">
        <f t="shared" si="48"/>
        <v/>
      </c>
      <c r="V430" s="439" t="s">
        <v>1248</v>
      </c>
      <c r="W430" s="439" t="s">
        <v>540</v>
      </c>
      <c r="X430" s="439"/>
      <c r="Y430" s="439" t="s">
        <v>698</v>
      </c>
      <c r="Z430" s="449" t="s">
        <v>698</v>
      </c>
      <c r="AA430" s="440" t="s">
        <v>1242</v>
      </c>
      <c r="AB430" s="441">
        <f t="shared" si="49"/>
        <v>36036.036036036036</v>
      </c>
      <c r="AC430" s="442">
        <f t="shared" si="50"/>
        <v>36036.036036036036</v>
      </c>
      <c r="AD430" s="437">
        <v>180000</v>
      </c>
      <c r="AE430" s="447">
        <v>9711711.7117117122</v>
      </c>
      <c r="AF430" s="447">
        <v>10780000</v>
      </c>
      <c r="AG430" s="437">
        <v>180000</v>
      </c>
      <c r="AH430" s="271" t="s">
        <v>2101</v>
      </c>
    </row>
    <row r="431" spans="1:36">
      <c r="A431" s="350">
        <v>197</v>
      </c>
      <c r="B431" s="352" t="s">
        <v>1158</v>
      </c>
      <c r="C431" s="352" t="s">
        <v>704</v>
      </c>
      <c r="D431" s="355" t="s">
        <v>705</v>
      </c>
      <c r="E431" s="367">
        <v>45089</v>
      </c>
      <c r="F431" s="364">
        <v>45090</v>
      </c>
      <c r="G431" s="364">
        <v>45090</v>
      </c>
      <c r="H431" s="364">
        <v>45090</v>
      </c>
      <c r="I431" s="394">
        <v>45090</v>
      </c>
      <c r="J431" s="387" t="s">
        <v>259</v>
      </c>
      <c r="K431" s="388" t="s">
        <v>752</v>
      </c>
      <c r="L431" s="402">
        <v>1</v>
      </c>
      <c r="M431" s="352" t="s">
        <v>753</v>
      </c>
      <c r="N431" s="403">
        <v>35000</v>
      </c>
      <c r="O431" s="404">
        <v>35000</v>
      </c>
      <c r="P431" s="421">
        <v>7</v>
      </c>
      <c r="Q431" s="439"/>
      <c r="R431" s="437">
        <v>10400000</v>
      </c>
      <c r="S431" s="274">
        <f t="shared" si="47"/>
        <v>37000</v>
      </c>
      <c r="T431" s="439" t="s">
        <v>227</v>
      </c>
      <c r="U431" s="460" t="str">
        <f t="shared" si="48"/>
        <v/>
      </c>
      <c r="V431" s="439" t="s">
        <v>1248</v>
      </c>
      <c r="W431" s="439" t="s">
        <v>540</v>
      </c>
      <c r="X431" s="439"/>
      <c r="Y431" s="439" t="s">
        <v>698</v>
      </c>
      <c r="Z431" s="449" t="s">
        <v>698</v>
      </c>
      <c r="AA431" s="440" t="s">
        <v>574</v>
      </c>
      <c r="AB431" s="441">
        <f t="shared" si="49"/>
        <v>31531.531531531531</v>
      </c>
      <c r="AC431" s="442">
        <f t="shared" si="50"/>
        <v>31531.531531531531</v>
      </c>
      <c r="AD431" s="437">
        <v>10400000</v>
      </c>
      <c r="AE431" s="447">
        <v>9711711.7117117122</v>
      </c>
      <c r="AF431" s="447">
        <v>10780000</v>
      </c>
      <c r="AG431" s="437">
        <v>10400000</v>
      </c>
      <c r="AH431" s="271" t="s">
        <v>2101</v>
      </c>
    </row>
    <row r="432" spans="1:36" ht="18.649999999999999" customHeight="1">
      <c r="A432" s="350">
        <v>197</v>
      </c>
      <c r="B432" s="352" t="s">
        <v>1158</v>
      </c>
      <c r="C432" s="352" t="s">
        <v>704</v>
      </c>
      <c r="D432" s="355" t="s">
        <v>705</v>
      </c>
      <c r="E432" s="367">
        <v>45089</v>
      </c>
      <c r="F432" s="364">
        <v>45090</v>
      </c>
      <c r="G432" s="364">
        <v>45090</v>
      </c>
      <c r="H432" s="364">
        <v>45090</v>
      </c>
      <c r="I432" s="394">
        <v>45090</v>
      </c>
      <c r="J432" s="387" t="s">
        <v>711</v>
      </c>
      <c r="K432" s="387" t="s">
        <v>746</v>
      </c>
      <c r="L432" s="402">
        <v>2</v>
      </c>
      <c r="M432" s="352" t="s">
        <v>488</v>
      </c>
      <c r="N432" s="403">
        <v>11500</v>
      </c>
      <c r="O432" s="404">
        <v>23000</v>
      </c>
      <c r="P432" s="421">
        <v>7</v>
      </c>
      <c r="Q432" s="275"/>
      <c r="R432" s="437">
        <v>2800000</v>
      </c>
      <c r="S432" s="274">
        <f t="shared" si="47"/>
        <v>27000</v>
      </c>
      <c r="T432" s="439" t="s">
        <v>227</v>
      </c>
      <c r="U432" s="460" t="str">
        <f t="shared" si="48"/>
        <v/>
      </c>
      <c r="V432" s="439" t="s">
        <v>1248</v>
      </c>
      <c r="W432" s="439" t="s">
        <v>540</v>
      </c>
      <c r="X432" s="439"/>
      <c r="Y432" s="439" t="s">
        <v>698</v>
      </c>
      <c r="Z432" s="449" t="s">
        <v>698</v>
      </c>
      <c r="AA432" s="440" t="s">
        <v>608</v>
      </c>
      <c r="AB432" s="441">
        <f t="shared" si="49"/>
        <v>10360.360360360361</v>
      </c>
      <c r="AC432" s="442">
        <f t="shared" si="50"/>
        <v>20720.720720720721</v>
      </c>
      <c r="AD432" s="437">
        <v>2800000</v>
      </c>
      <c r="AE432" s="447">
        <v>2522522.5225225226</v>
      </c>
      <c r="AF432" s="447">
        <v>2800000</v>
      </c>
      <c r="AG432" s="437">
        <v>2800000</v>
      </c>
      <c r="AH432" s="271" t="s">
        <v>2101</v>
      </c>
    </row>
    <row r="433" spans="1:36">
      <c r="A433" s="350">
        <v>197</v>
      </c>
      <c r="B433" s="352" t="s">
        <v>1158</v>
      </c>
      <c r="C433" s="352" t="s">
        <v>704</v>
      </c>
      <c r="D433" s="355" t="s">
        <v>705</v>
      </c>
      <c r="E433" s="367">
        <v>45089</v>
      </c>
      <c r="F433" s="364">
        <v>45090</v>
      </c>
      <c r="G433" s="364">
        <v>45090</v>
      </c>
      <c r="H433" s="364">
        <v>45090</v>
      </c>
      <c r="I433" s="394">
        <v>45090</v>
      </c>
      <c r="J433" s="387" t="s">
        <v>264</v>
      </c>
      <c r="K433" s="387" t="s">
        <v>882</v>
      </c>
      <c r="L433" s="402">
        <v>1</v>
      </c>
      <c r="M433" s="352" t="s">
        <v>753</v>
      </c>
      <c r="N433" s="403">
        <v>42000</v>
      </c>
      <c r="O433" s="404">
        <v>42000</v>
      </c>
      <c r="P433" s="421">
        <v>7</v>
      </c>
      <c r="Q433" s="275"/>
      <c r="R433" s="437">
        <v>950000</v>
      </c>
      <c r="S433" s="274">
        <f t="shared" si="47"/>
        <v>44000</v>
      </c>
      <c r="T433" s="439" t="s">
        <v>227</v>
      </c>
      <c r="U433" s="460" t="str">
        <f t="shared" si="48"/>
        <v/>
      </c>
      <c r="V433" s="439" t="s">
        <v>1248</v>
      </c>
      <c r="W433" s="439" t="s">
        <v>540</v>
      </c>
      <c r="X433" s="439" t="s">
        <v>709</v>
      </c>
      <c r="Y433" s="439" t="s">
        <v>1278</v>
      </c>
      <c r="Z433" s="449"/>
      <c r="AA433" s="440" t="s">
        <v>231</v>
      </c>
      <c r="AB433" s="441">
        <f t="shared" si="49"/>
        <v>37837.83783783784</v>
      </c>
      <c r="AC433" s="442">
        <f t="shared" si="50"/>
        <v>37837.83783783784</v>
      </c>
      <c r="AD433" s="437">
        <v>950000</v>
      </c>
      <c r="AE433" s="447">
        <v>855855.85585585586</v>
      </c>
      <c r="AF433" s="447">
        <v>950000</v>
      </c>
      <c r="AG433" s="437">
        <v>950000</v>
      </c>
      <c r="AH433" s="271" t="s">
        <v>2101</v>
      </c>
    </row>
    <row r="434" spans="1:36">
      <c r="A434" s="350">
        <v>197</v>
      </c>
      <c r="B434" s="352" t="s">
        <v>1158</v>
      </c>
      <c r="C434" s="352" t="s">
        <v>704</v>
      </c>
      <c r="D434" s="355" t="s">
        <v>705</v>
      </c>
      <c r="E434" s="367">
        <v>45089</v>
      </c>
      <c r="F434" s="364">
        <v>45090</v>
      </c>
      <c r="G434" s="364">
        <v>45090</v>
      </c>
      <c r="H434" s="364">
        <v>45090</v>
      </c>
      <c r="I434" s="394">
        <v>45090</v>
      </c>
      <c r="J434" s="387" t="s">
        <v>758</v>
      </c>
      <c r="K434" s="387" t="s">
        <v>758</v>
      </c>
      <c r="L434" s="402">
        <v>3</v>
      </c>
      <c r="M434" s="352" t="s">
        <v>488</v>
      </c>
      <c r="N434" s="403">
        <v>5000</v>
      </c>
      <c r="O434" s="404">
        <v>15000</v>
      </c>
      <c r="P434" s="421">
        <v>7</v>
      </c>
      <c r="Q434" s="433" t="s">
        <v>138</v>
      </c>
      <c r="R434" s="437">
        <v>20000</v>
      </c>
      <c r="S434" s="274">
        <f t="shared" si="47"/>
        <v>21000</v>
      </c>
      <c r="T434" s="439" t="s">
        <v>227</v>
      </c>
      <c r="U434" s="460" t="str">
        <f t="shared" si="48"/>
        <v/>
      </c>
      <c r="V434" s="439" t="s">
        <v>1248</v>
      </c>
      <c r="W434" s="439" t="s">
        <v>540</v>
      </c>
      <c r="X434" s="439" t="s">
        <v>709</v>
      </c>
      <c r="Y434" s="439" t="s">
        <v>710</v>
      </c>
      <c r="Z434" s="616" t="s">
        <v>710</v>
      </c>
      <c r="AA434" s="440" t="s">
        <v>551</v>
      </c>
      <c r="AB434" s="441">
        <f t="shared" si="49"/>
        <v>4504.5045045045044</v>
      </c>
      <c r="AC434" s="442">
        <f t="shared" si="50"/>
        <v>13513.513513513513</v>
      </c>
      <c r="AD434" s="437">
        <v>20000</v>
      </c>
      <c r="AE434" s="447">
        <v>3621621.6216216222</v>
      </c>
      <c r="AF434" s="447">
        <v>4020000</v>
      </c>
      <c r="AG434" s="437">
        <v>20000</v>
      </c>
      <c r="AH434" s="271" t="s">
        <v>2101</v>
      </c>
      <c r="AI434" s="277">
        <f>SUM(AC434:AC476)</f>
        <v>60320450.450450458</v>
      </c>
      <c r="AJ434" s="277">
        <f>SUM(AD434:AD476)</f>
        <v>4020000</v>
      </c>
    </row>
    <row r="435" spans="1:36">
      <c r="A435" s="350">
        <v>197</v>
      </c>
      <c r="B435" s="352" t="s">
        <v>1158</v>
      </c>
      <c r="C435" s="352" t="s">
        <v>704</v>
      </c>
      <c r="D435" s="355" t="s">
        <v>705</v>
      </c>
      <c r="E435" s="367">
        <v>45089</v>
      </c>
      <c r="F435" s="364">
        <v>45090</v>
      </c>
      <c r="G435" s="364">
        <v>45090</v>
      </c>
      <c r="H435" s="364">
        <v>45090</v>
      </c>
      <c r="I435" s="394">
        <v>45090</v>
      </c>
      <c r="J435" s="387" t="s">
        <v>250</v>
      </c>
      <c r="K435" s="388" t="s">
        <v>1159</v>
      </c>
      <c r="L435" s="402">
        <v>10</v>
      </c>
      <c r="M435" s="352" t="s">
        <v>753</v>
      </c>
      <c r="N435" s="403">
        <v>44000</v>
      </c>
      <c r="O435" s="404">
        <v>440000</v>
      </c>
      <c r="P435" s="421">
        <v>7</v>
      </c>
      <c r="Q435" s="433" t="s">
        <v>120</v>
      </c>
      <c r="R435" s="437">
        <v>190000</v>
      </c>
      <c r="S435" s="274">
        <f t="shared" si="47"/>
        <v>460000</v>
      </c>
      <c r="T435" s="439" t="s">
        <v>227</v>
      </c>
      <c r="U435" s="460" t="str">
        <f t="shared" si="48"/>
        <v/>
      </c>
      <c r="V435" s="439" t="s">
        <v>1248</v>
      </c>
      <c r="W435" s="439" t="s">
        <v>540</v>
      </c>
      <c r="X435" s="439" t="s">
        <v>709</v>
      </c>
      <c r="Y435" s="439" t="s">
        <v>710</v>
      </c>
      <c r="Z435" s="616" t="s">
        <v>710</v>
      </c>
      <c r="AA435" s="440" t="s">
        <v>667</v>
      </c>
      <c r="AB435" s="441">
        <f t="shared" si="49"/>
        <v>39639.639639639638</v>
      </c>
      <c r="AC435" s="442">
        <f t="shared" si="50"/>
        <v>396396.39639639639</v>
      </c>
      <c r="AD435" s="437">
        <v>190000</v>
      </c>
      <c r="AE435" s="447">
        <v>3621621.6216216222</v>
      </c>
      <c r="AF435" s="447">
        <v>4020000</v>
      </c>
      <c r="AG435" s="437">
        <v>190000</v>
      </c>
      <c r="AH435" s="271" t="s">
        <v>2101</v>
      </c>
    </row>
    <row r="436" spans="1:36">
      <c r="A436" s="350">
        <v>197</v>
      </c>
      <c r="B436" s="352" t="s">
        <v>1158</v>
      </c>
      <c r="C436" s="352" t="s">
        <v>704</v>
      </c>
      <c r="D436" s="355" t="s">
        <v>705</v>
      </c>
      <c r="E436" s="367">
        <v>45089</v>
      </c>
      <c r="F436" s="364">
        <v>45090</v>
      </c>
      <c r="G436" s="364">
        <v>45090</v>
      </c>
      <c r="H436" s="364">
        <v>45090</v>
      </c>
      <c r="I436" s="394">
        <v>45090</v>
      </c>
      <c r="J436" s="387" t="s">
        <v>237</v>
      </c>
      <c r="K436" s="388" t="s">
        <v>717</v>
      </c>
      <c r="L436" s="402">
        <v>2</v>
      </c>
      <c r="M436" s="352" t="s">
        <v>597</v>
      </c>
      <c r="N436" s="403">
        <v>7500</v>
      </c>
      <c r="O436" s="404">
        <v>15000</v>
      </c>
      <c r="P436" s="421">
        <v>7</v>
      </c>
      <c r="Q436" s="433" t="s">
        <v>150</v>
      </c>
      <c r="R436" s="437">
        <v>240000</v>
      </c>
      <c r="S436" s="438">
        <f t="shared" si="47"/>
        <v>19000</v>
      </c>
      <c r="T436" s="439" t="s">
        <v>227</v>
      </c>
      <c r="U436" s="460" t="str">
        <f t="shared" si="48"/>
        <v/>
      </c>
      <c r="V436" s="439" t="s">
        <v>1248</v>
      </c>
      <c r="W436" s="439" t="s">
        <v>540</v>
      </c>
      <c r="X436" s="439" t="s">
        <v>709</v>
      </c>
      <c r="Y436" s="439" t="s">
        <v>710</v>
      </c>
      <c r="Z436" s="616" t="s">
        <v>710</v>
      </c>
      <c r="AA436" s="440" t="s">
        <v>488</v>
      </c>
      <c r="AB436" s="441">
        <f t="shared" si="49"/>
        <v>6756.7567567567567</v>
      </c>
      <c r="AC436" s="442">
        <f t="shared" si="50"/>
        <v>13513.513513513513</v>
      </c>
      <c r="AD436" s="437">
        <v>240000</v>
      </c>
      <c r="AE436" s="447">
        <v>3621621.6216216222</v>
      </c>
      <c r="AF436" s="447">
        <v>4020000</v>
      </c>
      <c r="AG436" s="437">
        <v>240000</v>
      </c>
      <c r="AH436" s="271" t="s">
        <v>2101</v>
      </c>
    </row>
    <row r="437" spans="1:36" ht="37.5">
      <c r="A437" s="350">
        <v>197</v>
      </c>
      <c r="B437" s="352" t="s">
        <v>1158</v>
      </c>
      <c r="C437" s="352" t="s">
        <v>704</v>
      </c>
      <c r="D437" s="355" t="s">
        <v>705</v>
      </c>
      <c r="E437" s="367">
        <v>45089</v>
      </c>
      <c r="F437" s="364">
        <v>45090</v>
      </c>
      <c r="G437" s="364">
        <v>45090</v>
      </c>
      <c r="H437" s="364">
        <v>45090</v>
      </c>
      <c r="I437" s="394">
        <v>45090</v>
      </c>
      <c r="J437" s="387" t="s">
        <v>247</v>
      </c>
      <c r="K437" s="387" t="s">
        <v>247</v>
      </c>
      <c r="L437" s="402">
        <v>15</v>
      </c>
      <c r="M437" s="352" t="s">
        <v>735</v>
      </c>
      <c r="N437" s="403">
        <v>50000</v>
      </c>
      <c r="O437" s="404">
        <v>750000</v>
      </c>
      <c r="P437" s="421">
        <v>7</v>
      </c>
      <c r="Q437" s="433" t="s">
        <v>104</v>
      </c>
      <c r="R437" s="437">
        <v>17000</v>
      </c>
      <c r="S437" s="438">
        <f t="shared" si="47"/>
        <v>780000</v>
      </c>
      <c r="T437" s="439" t="s">
        <v>227</v>
      </c>
      <c r="U437" s="460" t="str">
        <f t="shared" si="48"/>
        <v/>
      </c>
      <c r="V437" s="439" t="s">
        <v>1248</v>
      </c>
      <c r="W437" s="439" t="s">
        <v>540</v>
      </c>
      <c r="X437" s="439" t="s">
        <v>709</v>
      </c>
      <c r="Y437" s="439" t="s">
        <v>710</v>
      </c>
      <c r="Z437" s="616" t="s">
        <v>710</v>
      </c>
      <c r="AA437" s="440" t="s">
        <v>720</v>
      </c>
      <c r="AB437" s="441">
        <f t="shared" si="49"/>
        <v>45045.045045045044</v>
      </c>
      <c r="AC437" s="442">
        <f t="shared" si="50"/>
        <v>675675.67567567562</v>
      </c>
      <c r="AD437" s="437">
        <v>17000</v>
      </c>
      <c r="AE437" s="447">
        <v>3621621.6216216222</v>
      </c>
      <c r="AF437" s="447">
        <v>4020000</v>
      </c>
      <c r="AG437" s="437">
        <v>17000</v>
      </c>
      <c r="AH437" s="271" t="s">
        <v>2101</v>
      </c>
      <c r="AI437" s="424"/>
      <c r="AJ437" s="424"/>
    </row>
    <row r="438" spans="1:36" ht="25">
      <c r="A438" s="350">
        <v>197</v>
      </c>
      <c r="B438" s="352" t="s">
        <v>1158</v>
      </c>
      <c r="C438" s="352" t="s">
        <v>704</v>
      </c>
      <c r="D438" s="355" t="s">
        <v>705</v>
      </c>
      <c r="E438" s="367">
        <v>45089</v>
      </c>
      <c r="F438" s="364">
        <v>45090</v>
      </c>
      <c r="G438" s="364">
        <v>45090</v>
      </c>
      <c r="H438" s="364">
        <v>45090</v>
      </c>
      <c r="I438" s="394">
        <v>45090</v>
      </c>
      <c r="J438" s="387" t="s">
        <v>781</v>
      </c>
      <c r="K438" s="387" t="s">
        <v>781</v>
      </c>
      <c r="L438" s="402">
        <v>2</v>
      </c>
      <c r="M438" s="352" t="s">
        <v>551</v>
      </c>
      <c r="N438" s="403">
        <v>95000</v>
      </c>
      <c r="O438" s="404">
        <v>190000</v>
      </c>
      <c r="P438" s="421">
        <v>7</v>
      </c>
      <c r="Q438" s="433" t="s">
        <v>140</v>
      </c>
      <c r="R438" s="437">
        <v>20000</v>
      </c>
      <c r="S438" s="438">
        <f t="shared" si="47"/>
        <v>194000</v>
      </c>
      <c r="T438" s="439" t="s">
        <v>227</v>
      </c>
      <c r="U438" s="460" t="str">
        <f t="shared" si="48"/>
        <v/>
      </c>
      <c r="V438" s="439" t="s">
        <v>1248</v>
      </c>
      <c r="W438" s="439" t="s">
        <v>540</v>
      </c>
      <c r="X438" s="439" t="s">
        <v>709</v>
      </c>
      <c r="Y438" s="439" t="s">
        <v>710</v>
      </c>
      <c r="Z438" s="616" t="s">
        <v>710</v>
      </c>
      <c r="AA438" s="440" t="s">
        <v>597</v>
      </c>
      <c r="AB438" s="441">
        <f t="shared" si="49"/>
        <v>85585.585585585592</v>
      </c>
      <c r="AC438" s="442">
        <f t="shared" si="50"/>
        <v>171171.17117117118</v>
      </c>
      <c r="AD438" s="437">
        <v>20000</v>
      </c>
      <c r="AE438" s="447">
        <v>3621621.6216216222</v>
      </c>
      <c r="AF438" s="447">
        <v>4020000</v>
      </c>
      <c r="AG438" s="437">
        <v>20000</v>
      </c>
      <c r="AH438" s="271" t="s">
        <v>2101</v>
      </c>
    </row>
    <row r="439" spans="1:36">
      <c r="A439" s="350">
        <v>197</v>
      </c>
      <c r="B439" s="352" t="s">
        <v>1158</v>
      </c>
      <c r="C439" s="352" t="s">
        <v>704</v>
      </c>
      <c r="D439" s="355" t="s">
        <v>705</v>
      </c>
      <c r="E439" s="367">
        <v>45089</v>
      </c>
      <c r="F439" s="364">
        <v>45090</v>
      </c>
      <c r="G439" s="364">
        <v>45090</v>
      </c>
      <c r="H439" s="364">
        <v>45090</v>
      </c>
      <c r="I439" s="394">
        <v>45090</v>
      </c>
      <c r="J439" s="387" t="s">
        <v>242</v>
      </c>
      <c r="K439" s="388" t="s">
        <v>760</v>
      </c>
      <c r="L439" s="402">
        <v>1</v>
      </c>
      <c r="M439" s="352" t="s">
        <v>488</v>
      </c>
      <c r="N439" s="403">
        <v>26000</v>
      </c>
      <c r="O439" s="404">
        <v>26000</v>
      </c>
      <c r="P439" s="421">
        <v>7</v>
      </c>
      <c r="Q439" s="433" t="s">
        <v>893</v>
      </c>
      <c r="R439" s="437">
        <v>56000</v>
      </c>
      <c r="S439" s="438">
        <f t="shared" si="47"/>
        <v>28000</v>
      </c>
      <c r="T439" s="439" t="s">
        <v>227</v>
      </c>
      <c r="U439" s="460" t="str">
        <f t="shared" si="48"/>
        <v/>
      </c>
      <c r="V439" s="439" t="s">
        <v>1248</v>
      </c>
      <c r="W439" s="439" t="s">
        <v>540</v>
      </c>
      <c r="X439" s="439" t="s">
        <v>709</v>
      </c>
      <c r="Y439" s="439" t="s">
        <v>710</v>
      </c>
      <c r="Z439" s="616" t="s">
        <v>710</v>
      </c>
      <c r="AA439" s="440" t="s">
        <v>728</v>
      </c>
      <c r="AB439" s="441">
        <f t="shared" si="49"/>
        <v>23423.423423423425</v>
      </c>
      <c r="AC439" s="442">
        <f t="shared" si="50"/>
        <v>23423.423423423425</v>
      </c>
      <c r="AD439" s="437">
        <v>56000</v>
      </c>
      <c r="AE439" s="447">
        <v>3621621.6216216222</v>
      </c>
      <c r="AF439" s="447">
        <v>4020000</v>
      </c>
      <c r="AG439" s="437">
        <v>56000</v>
      </c>
      <c r="AH439" s="271" t="s">
        <v>2101</v>
      </c>
    </row>
    <row r="440" spans="1:36">
      <c r="A440" s="350">
        <v>197</v>
      </c>
      <c r="B440" s="352" t="s">
        <v>1158</v>
      </c>
      <c r="C440" s="352" t="s">
        <v>704</v>
      </c>
      <c r="D440" s="355" t="s">
        <v>705</v>
      </c>
      <c r="E440" s="367">
        <v>45089</v>
      </c>
      <c r="F440" s="364">
        <v>45090</v>
      </c>
      <c r="G440" s="364">
        <v>45090</v>
      </c>
      <c r="H440" s="364">
        <v>45090</v>
      </c>
      <c r="I440" s="394">
        <v>45090</v>
      </c>
      <c r="J440" s="387" t="s">
        <v>740</v>
      </c>
      <c r="K440" s="388" t="s">
        <v>741</v>
      </c>
      <c r="L440" s="402">
        <v>2</v>
      </c>
      <c r="M440" s="352" t="s">
        <v>488</v>
      </c>
      <c r="N440" s="403">
        <v>5500</v>
      </c>
      <c r="O440" s="404">
        <v>11000</v>
      </c>
      <c r="P440" s="421">
        <v>7</v>
      </c>
      <c r="Q440" s="454" t="s">
        <v>96</v>
      </c>
      <c r="R440" s="437">
        <v>40000</v>
      </c>
      <c r="S440" s="438">
        <f t="shared" si="47"/>
        <v>15000</v>
      </c>
      <c r="T440" s="439" t="s">
        <v>227</v>
      </c>
      <c r="U440" s="460" t="str">
        <f t="shared" si="48"/>
        <v/>
      </c>
      <c r="V440" s="439" t="s">
        <v>1248</v>
      </c>
      <c r="W440" s="439" t="s">
        <v>540</v>
      </c>
      <c r="X440" s="439" t="s">
        <v>709</v>
      </c>
      <c r="Y440" s="439" t="s">
        <v>710</v>
      </c>
      <c r="Z440" s="616" t="s">
        <v>710</v>
      </c>
      <c r="AA440" s="440" t="s">
        <v>772</v>
      </c>
      <c r="AB440" s="441">
        <f t="shared" si="49"/>
        <v>4954.9549549549547</v>
      </c>
      <c r="AC440" s="442">
        <f t="shared" si="50"/>
        <v>9909.9099099099094</v>
      </c>
      <c r="AD440" s="437">
        <v>40000</v>
      </c>
      <c r="AE440" s="447">
        <v>3621621.6216216222</v>
      </c>
      <c r="AF440" s="447">
        <v>4020000</v>
      </c>
      <c r="AG440" s="437">
        <v>40000</v>
      </c>
      <c r="AH440" s="271" t="s">
        <v>2101</v>
      </c>
    </row>
    <row r="441" spans="1:36">
      <c r="A441" s="350">
        <v>197</v>
      </c>
      <c r="B441" s="352" t="s">
        <v>1158</v>
      </c>
      <c r="C441" s="352" t="s">
        <v>704</v>
      </c>
      <c r="D441" s="355" t="s">
        <v>705</v>
      </c>
      <c r="E441" s="367">
        <v>45089</v>
      </c>
      <c r="F441" s="364">
        <v>45090</v>
      </c>
      <c r="G441" s="364">
        <v>45090</v>
      </c>
      <c r="H441" s="364">
        <v>45090</v>
      </c>
      <c r="I441" s="394">
        <v>45090</v>
      </c>
      <c r="J441" s="389" t="s">
        <v>233</v>
      </c>
      <c r="K441" s="389" t="s">
        <v>233</v>
      </c>
      <c r="L441" s="402">
        <v>1</v>
      </c>
      <c r="M441" s="352" t="s">
        <v>714</v>
      </c>
      <c r="N441" s="403">
        <v>97000</v>
      </c>
      <c r="O441" s="404">
        <v>97000</v>
      </c>
      <c r="P441" s="421">
        <v>7</v>
      </c>
      <c r="Q441" s="433" t="s">
        <v>106</v>
      </c>
      <c r="R441" s="437">
        <v>260000</v>
      </c>
      <c r="S441" s="438">
        <f t="shared" si="47"/>
        <v>99000</v>
      </c>
      <c r="T441" s="439" t="s">
        <v>227</v>
      </c>
      <c r="U441" s="460" t="str">
        <f t="shared" si="48"/>
        <v/>
      </c>
      <c r="V441" s="439" t="s">
        <v>1248</v>
      </c>
      <c r="W441" s="439" t="s">
        <v>540</v>
      </c>
      <c r="X441" s="439" t="s">
        <v>709</v>
      </c>
      <c r="Y441" s="439" t="s">
        <v>710</v>
      </c>
      <c r="Z441" s="616" t="s">
        <v>710</v>
      </c>
      <c r="AA441" s="440" t="s">
        <v>488</v>
      </c>
      <c r="AB441" s="441">
        <f t="shared" si="49"/>
        <v>87387.387387387382</v>
      </c>
      <c r="AC441" s="442">
        <f t="shared" si="50"/>
        <v>87387.387387387382</v>
      </c>
      <c r="AD441" s="437">
        <v>260000</v>
      </c>
      <c r="AE441" s="447">
        <v>3621621.6216216222</v>
      </c>
      <c r="AF441" s="447">
        <v>4020000</v>
      </c>
      <c r="AG441" s="437">
        <v>260000</v>
      </c>
      <c r="AH441" s="271" t="s">
        <v>2101</v>
      </c>
    </row>
    <row r="442" spans="1:36">
      <c r="A442" s="350">
        <v>197</v>
      </c>
      <c r="B442" s="352" t="s">
        <v>1158</v>
      </c>
      <c r="C442" s="352" t="s">
        <v>704</v>
      </c>
      <c r="D442" s="355" t="s">
        <v>705</v>
      </c>
      <c r="E442" s="367">
        <v>45089</v>
      </c>
      <c r="F442" s="364">
        <v>45090</v>
      </c>
      <c r="G442" s="364">
        <v>45090</v>
      </c>
      <c r="H442" s="364">
        <v>45090</v>
      </c>
      <c r="I442" s="394">
        <v>45090</v>
      </c>
      <c r="J442" s="387" t="s">
        <v>897</v>
      </c>
      <c r="K442" s="388" t="s">
        <v>723</v>
      </c>
      <c r="L442" s="402">
        <v>1</v>
      </c>
      <c r="M442" s="352" t="s">
        <v>724</v>
      </c>
      <c r="N442" s="403">
        <v>45000</v>
      </c>
      <c r="O442" s="404">
        <v>45000</v>
      </c>
      <c r="P442" s="421">
        <v>7</v>
      </c>
      <c r="Q442" s="433" t="s">
        <v>900</v>
      </c>
      <c r="R442" s="437">
        <v>200000</v>
      </c>
      <c r="S442" s="438">
        <f t="shared" si="47"/>
        <v>47000</v>
      </c>
      <c r="T442" s="439" t="s">
        <v>227</v>
      </c>
      <c r="U442" s="460" t="str">
        <f t="shared" si="48"/>
        <v/>
      </c>
      <c r="V442" s="439" t="s">
        <v>1248</v>
      </c>
      <c r="W442" s="439" t="s">
        <v>540</v>
      </c>
      <c r="X442" s="439" t="s">
        <v>709</v>
      </c>
      <c r="Y442" s="439" t="s">
        <v>710</v>
      </c>
      <c r="Z442" s="616" t="s">
        <v>710</v>
      </c>
      <c r="AA442" s="440" t="s">
        <v>488</v>
      </c>
      <c r="AB442" s="441">
        <f t="shared" si="49"/>
        <v>40540.54054054054</v>
      </c>
      <c r="AC442" s="442">
        <f t="shared" si="50"/>
        <v>40540.54054054054</v>
      </c>
      <c r="AD442" s="437">
        <v>200000</v>
      </c>
      <c r="AE442" s="447">
        <v>3621621.6216216222</v>
      </c>
      <c r="AF442" s="447">
        <v>4020000</v>
      </c>
      <c r="AG442" s="437">
        <v>200000</v>
      </c>
      <c r="AH442" s="271" t="s">
        <v>2101</v>
      </c>
    </row>
    <row r="443" spans="1:36">
      <c r="A443" s="350">
        <v>197</v>
      </c>
      <c r="B443" s="352" t="s">
        <v>1158</v>
      </c>
      <c r="C443" s="352" t="s">
        <v>704</v>
      </c>
      <c r="D443" s="355" t="s">
        <v>705</v>
      </c>
      <c r="E443" s="367">
        <v>45089</v>
      </c>
      <c r="F443" s="364">
        <v>45090</v>
      </c>
      <c r="G443" s="364">
        <v>45090</v>
      </c>
      <c r="H443" s="364">
        <v>45090</v>
      </c>
      <c r="I443" s="394">
        <v>45090</v>
      </c>
      <c r="J443" s="387" t="s">
        <v>711</v>
      </c>
      <c r="K443" s="387" t="s">
        <v>712</v>
      </c>
      <c r="L443" s="402">
        <v>2</v>
      </c>
      <c r="M443" s="352" t="s">
        <v>488</v>
      </c>
      <c r="N443" s="403">
        <v>14000</v>
      </c>
      <c r="O443" s="404">
        <v>28000</v>
      </c>
      <c r="P443" s="421">
        <v>7</v>
      </c>
      <c r="Q443" s="433" t="s">
        <v>926</v>
      </c>
      <c r="R443" s="437">
        <v>31000</v>
      </c>
      <c r="S443" s="438">
        <f t="shared" si="47"/>
        <v>32000</v>
      </c>
      <c r="T443" s="439" t="s">
        <v>227</v>
      </c>
      <c r="U443" s="460" t="str">
        <f t="shared" si="48"/>
        <v/>
      </c>
      <c r="V443" s="439" t="s">
        <v>1248</v>
      </c>
      <c r="W443" s="439" t="s">
        <v>540</v>
      </c>
      <c r="X443" s="439" t="s">
        <v>709</v>
      </c>
      <c r="Y443" s="439" t="s">
        <v>710</v>
      </c>
      <c r="Z443" s="616" t="s">
        <v>710</v>
      </c>
      <c r="AA443" s="440" t="s">
        <v>753</v>
      </c>
      <c r="AB443" s="441">
        <f t="shared" si="49"/>
        <v>12612.612612612613</v>
      </c>
      <c r="AC443" s="442">
        <f t="shared" si="50"/>
        <v>25225.225225225226</v>
      </c>
      <c r="AD443" s="437">
        <v>31000</v>
      </c>
      <c r="AE443" s="447">
        <v>3621621.6216216222</v>
      </c>
      <c r="AF443" s="447">
        <v>4020000</v>
      </c>
      <c r="AG443" s="437">
        <v>31000</v>
      </c>
      <c r="AH443" s="271" t="s">
        <v>2101</v>
      </c>
    </row>
    <row r="444" spans="1:36" ht="25">
      <c r="A444" s="350">
        <v>197</v>
      </c>
      <c r="B444" s="352" t="s">
        <v>1158</v>
      </c>
      <c r="C444" s="352" t="s">
        <v>704</v>
      </c>
      <c r="D444" s="355" t="s">
        <v>705</v>
      </c>
      <c r="E444" s="367">
        <v>45089</v>
      </c>
      <c r="F444" s="364">
        <v>45090</v>
      </c>
      <c r="G444" s="364">
        <v>45090</v>
      </c>
      <c r="H444" s="364">
        <v>45090</v>
      </c>
      <c r="I444" s="394">
        <v>45090</v>
      </c>
      <c r="J444" s="387" t="s">
        <v>251</v>
      </c>
      <c r="K444" s="388" t="s">
        <v>907</v>
      </c>
      <c r="L444" s="402">
        <v>2</v>
      </c>
      <c r="M444" s="352" t="s">
        <v>735</v>
      </c>
      <c r="N444" s="403">
        <v>70000</v>
      </c>
      <c r="O444" s="404">
        <v>140000</v>
      </c>
      <c r="P444" s="421">
        <v>7</v>
      </c>
      <c r="Q444" s="433" t="s">
        <v>149</v>
      </c>
      <c r="R444" s="437">
        <v>325000</v>
      </c>
      <c r="S444" s="438">
        <f t="shared" si="47"/>
        <v>144000</v>
      </c>
      <c r="T444" s="439" t="s">
        <v>227</v>
      </c>
      <c r="U444" s="460" t="str">
        <f t="shared" si="48"/>
        <v/>
      </c>
      <c r="V444" s="439" t="s">
        <v>1248</v>
      </c>
      <c r="W444" s="439" t="s">
        <v>540</v>
      </c>
      <c r="X444" s="439" t="s">
        <v>709</v>
      </c>
      <c r="Y444" s="439" t="s">
        <v>710</v>
      </c>
      <c r="Z444" s="616" t="s">
        <v>710</v>
      </c>
      <c r="AA444" s="440" t="s">
        <v>597</v>
      </c>
      <c r="AB444" s="441">
        <f t="shared" si="49"/>
        <v>63063.063063063062</v>
      </c>
      <c r="AC444" s="442">
        <f t="shared" si="50"/>
        <v>126126.12612612612</v>
      </c>
      <c r="AD444" s="437">
        <v>325000</v>
      </c>
      <c r="AE444" s="447">
        <v>3621621.6216216222</v>
      </c>
      <c r="AF444" s="447">
        <v>4020000</v>
      </c>
      <c r="AG444" s="437">
        <v>325000</v>
      </c>
      <c r="AH444" s="271" t="s">
        <v>2101</v>
      </c>
    </row>
    <row r="445" spans="1:36">
      <c r="A445" s="350">
        <v>197</v>
      </c>
      <c r="B445" s="352" t="s">
        <v>1158</v>
      </c>
      <c r="C445" s="352" t="s">
        <v>704</v>
      </c>
      <c r="D445" s="355" t="s">
        <v>705</v>
      </c>
      <c r="E445" s="367">
        <v>45089</v>
      </c>
      <c r="F445" s="364">
        <v>45090</v>
      </c>
      <c r="G445" s="364">
        <v>45090</v>
      </c>
      <c r="H445" s="364">
        <v>45090</v>
      </c>
      <c r="I445" s="394">
        <v>45090</v>
      </c>
      <c r="J445" s="387" t="s">
        <v>256</v>
      </c>
      <c r="K445" s="388" t="s">
        <v>727</v>
      </c>
      <c r="L445" s="402">
        <v>1</v>
      </c>
      <c r="M445" s="352" t="s">
        <v>728</v>
      </c>
      <c r="N445" s="403">
        <v>21000</v>
      </c>
      <c r="O445" s="404">
        <v>21000</v>
      </c>
      <c r="P445" s="421">
        <v>7</v>
      </c>
      <c r="Q445" s="433" t="s">
        <v>111</v>
      </c>
      <c r="R445" s="437">
        <v>20000</v>
      </c>
      <c r="S445" s="438">
        <f t="shared" si="47"/>
        <v>23000</v>
      </c>
      <c r="T445" s="439" t="s">
        <v>227</v>
      </c>
      <c r="U445" s="460" t="str">
        <f t="shared" si="48"/>
        <v/>
      </c>
      <c r="V445" s="439" t="s">
        <v>1248</v>
      </c>
      <c r="W445" s="439" t="s">
        <v>540</v>
      </c>
      <c r="X445" s="439" t="s">
        <v>709</v>
      </c>
      <c r="Y445" s="439" t="s">
        <v>710</v>
      </c>
      <c r="Z445" s="616" t="s">
        <v>710</v>
      </c>
      <c r="AA445" s="440" t="s">
        <v>724</v>
      </c>
      <c r="AB445" s="441">
        <f t="shared" si="49"/>
        <v>18918.91891891892</v>
      </c>
      <c r="AC445" s="442">
        <f t="shared" si="50"/>
        <v>18918.91891891892</v>
      </c>
      <c r="AD445" s="437">
        <v>20000</v>
      </c>
      <c r="AE445" s="447">
        <v>3621621.6216216222</v>
      </c>
      <c r="AF445" s="447">
        <v>4020000</v>
      </c>
      <c r="AG445" s="437">
        <v>20000</v>
      </c>
      <c r="AH445" s="271" t="s">
        <v>2101</v>
      </c>
    </row>
    <row r="446" spans="1:36">
      <c r="A446" s="350">
        <v>198</v>
      </c>
      <c r="B446" s="352" t="s">
        <v>1203</v>
      </c>
      <c r="C446" s="352" t="s">
        <v>1036</v>
      </c>
      <c r="D446" s="355" t="s">
        <v>571</v>
      </c>
      <c r="E446" s="367">
        <v>45089</v>
      </c>
      <c r="F446" s="364">
        <v>45090</v>
      </c>
      <c r="G446" s="364">
        <v>45090</v>
      </c>
      <c r="H446" s="364">
        <v>45090</v>
      </c>
      <c r="I446" s="364">
        <v>45090</v>
      </c>
      <c r="J446" s="387" t="s">
        <v>9</v>
      </c>
      <c r="K446" s="387" t="s">
        <v>573</v>
      </c>
      <c r="L446" s="402">
        <v>500</v>
      </c>
      <c r="M446" s="352" t="s">
        <v>574</v>
      </c>
      <c r="N446" s="405">
        <v>300</v>
      </c>
      <c r="O446" s="404">
        <v>150000</v>
      </c>
      <c r="P446" s="421">
        <v>7</v>
      </c>
      <c r="Q446" s="433" t="s">
        <v>914</v>
      </c>
      <c r="R446" s="437">
        <v>45000</v>
      </c>
      <c r="S446" s="438">
        <f t="shared" si="47"/>
        <v>1150000</v>
      </c>
      <c r="T446" s="439" t="s">
        <v>227</v>
      </c>
      <c r="U446" s="460" t="str">
        <f t="shared" si="48"/>
        <v/>
      </c>
      <c r="V446" s="439" t="s">
        <v>1248</v>
      </c>
      <c r="W446" s="439" t="s">
        <v>540</v>
      </c>
      <c r="X446" s="439" t="s">
        <v>709</v>
      </c>
      <c r="Y446" s="439" t="s">
        <v>710</v>
      </c>
      <c r="Z446" s="616" t="s">
        <v>710</v>
      </c>
      <c r="AA446" s="440" t="s">
        <v>597</v>
      </c>
      <c r="AB446" s="441">
        <f t="shared" si="49"/>
        <v>270.27027027027026</v>
      </c>
      <c r="AC446" s="442">
        <f t="shared" si="50"/>
        <v>135135.13513513512</v>
      </c>
      <c r="AD446" s="437">
        <v>45000</v>
      </c>
      <c r="AE446" s="447">
        <v>3621621.6216216222</v>
      </c>
      <c r="AF446" s="447">
        <v>4020000</v>
      </c>
      <c r="AG446" s="437">
        <v>45000</v>
      </c>
      <c r="AH446" s="271" t="s">
        <v>2101</v>
      </c>
    </row>
    <row r="447" spans="1:36">
      <c r="A447" s="350">
        <v>199</v>
      </c>
      <c r="B447" s="352" t="s">
        <v>1204</v>
      </c>
      <c r="C447" s="352" t="s">
        <v>570</v>
      </c>
      <c r="D447" s="355" t="s">
        <v>571</v>
      </c>
      <c r="E447" s="367">
        <v>45089</v>
      </c>
      <c r="F447" s="364">
        <v>45090</v>
      </c>
      <c r="G447" s="364">
        <v>45090</v>
      </c>
      <c r="H447" s="364">
        <v>45090</v>
      </c>
      <c r="I447" s="394">
        <v>45100</v>
      </c>
      <c r="J447" s="387" t="s">
        <v>9</v>
      </c>
      <c r="K447" s="387" t="s">
        <v>573</v>
      </c>
      <c r="L447" s="402">
        <v>3500</v>
      </c>
      <c r="M447" s="352" t="s">
        <v>574</v>
      </c>
      <c r="N447" s="405">
        <v>300</v>
      </c>
      <c r="O447" s="404">
        <v>1050000</v>
      </c>
      <c r="P447" s="421">
        <v>7</v>
      </c>
      <c r="Q447" s="433" t="s">
        <v>108</v>
      </c>
      <c r="R447" s="437">
        <v>15000</v>
      </c>
      <c r="S447" s="438">
        <f t="shared" si="47"/>
        <v>8050000</v>
      </c>
      <c r="T447" s="439" t="s">
        <v>227</v>
      </c>
      <c r="U447" s="460" t="str">
        <f t="shared" si="48"/>
        <v/>
      </c>
      <c r="V447" s="439" t="s">
        <v>1248</v>
      </c>
      <c r="W447" s="439" t="s">
        <v>540</v>
      </c>
      <c r="X447" s="439" t="s">
        <v>709</v>
      </c>
      <c r="Y447" s="439" t="s">
        <v>710</v>
      </c>
      <c r="Z447" s="616" t="s">
        <v>710</v>
      </c>
      <c r="AA447" s="440" t="s">
        <v>753</v>
      </c>
      <c r="AB447" s="441">
        <f t="shared" si="49"/>
        <v>270.27027027027026</v>
      </c>
      <c r="AC447" s="442">
        <f t="shared" si="50"/>
        <v>945945.94594594592</v>
      </c>
      <c r="AD447" s="437">
        <v>15000</v>
      </c>
      <c r="AE447" s="447">
        <v>3621621.6216216222</v>
      </c>
      <c r="AF447" s="447">
        <v>4020000</v>
      </c>
      <c r="AG447" s="437">
        <v>15000</v>
      </c>
      <c r="AH447" s="271" t="s">
        <v>2101</v>
      </c>
      <c r="AI447" s="424"/>
      <c r="AJ447" s="424"/>
    </row>
    <row r="448" spans="1:36">
      <c r="A448" s="350">
        <v>200</v>
      </c>
      <c r="B448" s="352" t="s">
        <v>1153</v>
      </c>
      <c r="C448" s="354" t="s">
        <v>1154</v>
      </c>
      <c r="D448" s="355" t="s">
        <v>1155</v>
      </c>
      <c r="E448" s="367">
        <v>45089</v>
      </c>
      <c r="F448" s="364">
        <v>45090</v>
      </c>
      <c r="G448" s="364">
        <v>45090</v>
      </c>
      <c r="H448" s="364">
        <v>45090</v>
      </c>
      <c r="I448" s="395">
        <v>45084</v>
      </c>
      <c r="J448" s="354" t="s">
        <v>1156</v>
      </c>
      <c r="K448" s="387" t="s">
        <v>1157</v>
      </c>
      <c r="L448" s="402">
        <v>1</v>
      </c>
      <c r="M448" s="352" t="s">
        <v>792</v>
      </c>
      <c r="N448" s="403">
        <v>13000000</v>
      </c>
      <c r="O448" s="404">
        <v>13000000</v>
      </c>
      <c r="P448" s="421">
        <v>7</v>
      </c>
      <c r="Q448" s="433" t="s">
        <v>156</v>
      </c>
      <c r="R448" s="437">
        <v>60000</v>
      </c>
      <c r="S448" s="274">
        <f t="shared" si="47"/>
        <v>13002000</v>
      </c>
      <c r="T448" s="439" t="s">
        <v>227</v>
      </c>
      <c r="U448" s="460" t="str">
        <f t="shared" si="48"/>
        <v/>
      </c>
      <c r="V448" s="439" t="s">
        <v>1248</v>
      </c>
      <c r="W448" s="439" t="s">
        <v>540</v>
      </c>
      <c r="X448" s="439" t="s">
        <v>709</v>
      </c>
      <c r="Y448" s="439" t="s">
        <v>710</v>
      </c>
      <c r="Z448" s="616" t="s">
        <v>710</v>
      </c>
      <c r="AA448" s="440" t="s">
        <v>753</v>
      </c>
      <c r="AB448" s="441">
        <f t="shared" si="49"/>
        <v>11711711.711711712</v>
      </c>
      <c r="AC448" s="442">
        <f t="shared" si="50"/>
        <v>11711711.711711712</v>
      </c>
      <c r="AD448" s="437">
        <v>60000</v>
      </c>
      <c r="AE448" s="447">
        <v>3621621.6216216222</v>
      </c>
      <c r="AF448" s="447">
        <v>4020000</v>
      </c>
      <c r="AG448" s="437">
        <v>60000</v>
      </c>
      <c r="AH448" s="271" t="s">
        <v>2101</v>
      </c>
    </row>
    <row r="449" spans="1:34">
      <c r="A449" s="350">
        <v>201</v>
      </c>
      <c r="B449" s="352" t="s">
        <v>1161</v>
      </c>
      <c r="C449" s="352" t="s">
        <v>532</v>
      </c>
      <c r="D449" s="355" t="s">
        <v>533</v>
      </c>
      <c r="E449" s="368">
        <v>45089</v>
      </c>
      <c r="F449" s="362">
        <v>45090</v>
      </c>
      <c r="G449" s="362">
        <v>45090</v>
      </c>
      <c r="H449" s="362">
        <v>45090</v>
      </c>
      <c r="I449" s="394">
        <v>45090</v>
      </c>
      <c r="J449" s="387" t="s">
        <v>276</v>
      </c>
      <c r="K449" s="352" t="s">
        <v>276</v>
      </c>
      <c r="L449" s="402">
        <v>5</v>
      </c>
      <c r="M449" s="352" t="s">
        <v>551</v>
      </c>
      <c r="N449" s="403">
        <v>18000</v>
      </c>
      <c r="O449" s="404">
        <v>90000</v>
      </c>
      <c r="P449" s="421">
        <v>7</v>
      </c>
      <c r="Q449" s="433" t="s">
        <v>148</v>
      </c>
      <c r="R449" s="437">
        <v>35000</v>
      </c>
      <c r="S449" s="274">
        <f t="shared" si="47"/>
        <v>100000</v>
      </c>
      <c r="T449" s="439" t="s">
        <v>227</v>
      </c>
      <c r="U449" s="460" t="str">
        <f t="shared" si="48"/>
        <v/>
      </c>
      <c r="V449" s="439" t="s">
        <v>1248</v>
      </c>
      <c r="W449" s="439" t="s">
        <v>540</v>
      </c>
      <c r="X449" s="439" t="s">
        <v>709</v>
      </c>
      <c r="Y449" s="439" t="s">
        <v>710</v>
      </c>
      <c r="Z449" s="616" t="s">
        <v>710</v>
      </c>
      <c r="AA449" s="440" t="s">
        <v>597</v>
      </c>
      <c r="AB449" s="441">
        <f t="shared" si="49"/>
        <v>16216.216216216217</v>
      </c>
      <c r="AC449" s="442">
        <f t="shared" si="50"/>
        <v>81081.08108108108</v>
      </c>
      <c r="AD449" s="437">
        <v>35000</v>
      </c>
      <c r="AE449" s="447">
        <v>3621621.6216216222</v>
      </c>
      <c r="AF449" s="447">
        <v>4020000</v>
      </c>
      <c r="AG449" s="437">
        <v>35000</v>
      </c>
      <c r="AH449" s="271" t="s">
        <v>2101</v>
      </c>
    </row>
    <row r="450" spans="1:34">
      <c r="A450" s="350">
        <v>201</v>
      </c>
      <c r="B450" s="352" t="s">
        <v>1161</v>
      </c>
      <c r="C450" s="352" t="s">
        <v>532</v>
      </c>
      <c r="D450" s="355" t="s">
        <v>533</v>
      </c>
      <c r="E450" s="367">
        <v>45089</v>
      </c>
      <c r="F450" s="364">
        <v>45090</v>
      </c>
      <c r="G450" s="364">
        <v>45090</v>
      </c>
      <c r="H450" s="364">
        <v>45090</v>
      </c>
      <c r="I450" s="394">
        <v>45090</v>
      </c>
      <c r="J450" s="387" t="s">
        <v>669</v>
      </c>
      <c r="K450" s="352" t="s">
        <v>536</v>
      </c>
      <c r="L450" s="402">
        <v>20</v>
      </c>
      <c r="M450" s="352" t="s">
        <v>488</v>
      </c>
      <c r="N450" s="403">
        <v>12000</v>
      </c>
      <c r="O450" s="404">
        <v>240000</v>
      </c>
      <c r="P450" s="421">
        <v>7</v>
      </c>
      <c r="Q450" s="433" t="s">
        <v>109</v>
      </c>
      <c r="R450" s="437">
        <v>22000</v>
      </c>
      <c r="S450" s="274">
        <f t="shared" si="47"/>
        <v>280000</v>
      </c>
      <c r="T450" s="439" t="s">
        <v>227</v>
      </c>
      <c r="U450" s="460" t="str">
        <f t="shared" si="48"/>
        <v/>
      </c>
      <c r="V450" s="439" t="s">
        <v>1248</v>
      </c>
      <c r="W450" s="439" t="s">
        <v>540</v>
      </c>
      <c r="X450" s="439" t="s">
        <v>709</v>
      </c>
      <c r="Y450" s="439" t="s">
        <v>710</v>
      </c>
      <c r="Z450" s="616" t="s">
        <v>710</v>
      </c>
      <c r="AA450" s="440" t="s">
        <v>488</v>
      </c>
      <c r="AB450" s="441">
        <f t="shared" si="49"/>
        <v>10810.810810810812</v>
      </c>
      <c r="AC450" s="442">
        <f t="shared" si="50"/>
        <v>216216.21621621624</v>
      </c>
      <c r="AD450" s="437">
        <v>22000</v>
      </c>
      <c r="AE450" s="447">
        <v>3621621.6216216222</v>
      </c>
      <c r="AF450" s="447">
        <v>4020000</v>
      </c>
      <c r="AG450" s="437">
        <v>22000</v>
      </c>
      <c r="AH450" s="271" t="s">
        <v>2101</v>
      </c>
    </row>
    <row r="451" spans="1:34">
      <c r="A451" s="350">
        <v>202</v>
      </c>
      <c r="B451" s="352" t="s">
        <v>1162</v>
      </c>
      <c r="C451" s="352" t="s">
        <v>693</v>
      </c>
      <c r="D451" s="355" t="s">
        <v>533</v>
      </c>
      <c r="E451" s="367">
        <v>45089</v>
      </c>
      <c r="F451" s="364">
        <v>45090</v>
      </c>
      <c r="G451" s="364">
        <v>45090</v>
      </c>
      <c r="H451" s="364">
        <v>45090</v>
      </c>
      <c r="I451" s="394">
        <v>45090</v>
      </c>
      <c r="J451" s="387" t="s">
        <v>1163</v>
      </c>
      <c r="K451" s="387" t="s">
        <v>559</v>
      </c>
      <c r="L451" s="402">
        <v>5</v>
      </c>
      <c r="M451" s="352" t="s">
        <v>488</v>
      </c>
      <c r="N451" s="403">
        <v>665000</v>
      </c>
      <c r="O451" s="404">
        <v>3325000</v>
      </c>
      <c r="P451" s="421">
        <v>7</v>
      </c>
      <c r="Q451" s="433" t="s">
        <v>141</v>
      </c>
      <c r="R451" s="437">
        <v>15000</v>
      </c>
      <c r="S451" s="274">
        <f t="shared" ref="S451:S514" si="52">L451*(N451+2000)</f>
        <v>3335000</v>
      </c>
      <c r="T451" s="439" t="s">
        <v>12</v>
      </c>
      <c r="U451" s="460" t="str">
        <f t="shared" ref="U451:U514" si="53">IF(K451="Nasi Kotak","Resto JFC Esther",IF(K451="Aqua Botol 600 ml","UD. USAHA JAYA",""))</f>
        <v/>
      </c>
      <c r="V451" s="439" t="s">
        <v>1248</v>
      </c>
      <c r="W451" s="439" t="s">
        <v>540</v>
      </c>
      <c r="X451" s="439" t="s">
        <v>709</v>
      </c>
      <c r="Y451" s="275" t="s">
        <v>710</v>
      </c>
      <c r="Z451" s="616" t="s">
        <v>710</v>
      </c>
      <c r="AA451" s="440" t="s">
        <v>488</v>
      </c>
      <c r="AB451" s="441">
        <f t="shared" ref="AB451:AB514" si="54">100/111*N451</f>
        <v>599099.09909909905</v>
      </c>
      <c r="AC451" s="442">
        <f t="shared" ref="AC451:AC514" si="55">AB451*L451</f>
        <v>2995495.4954954954</v>
      </c>
      <c r="AD451" s="437">
        <v>15000</v>
      </c>
      <c r="AE451" s="447">
        <v>3621621.6216216222</v>
      </c>
      <c r="AF451" s="447">
        <v>4020000</v>
      </c>
      <c r="AG451" s="437">
        <v>15000</v>
      </c>
      <c r="AH451" s="271" t="s">
        <v>2101</v>
      </c>
    </row>
    <row r="452" spans="1:34">
      <c r="A452" s="350">
        <v>202</v>
      </c>
      <c r="B452" s="352" t="s">
        <v>1165</v>
      </c>
      <c r="C452" s="352" t="s">
        <v>504</v>
      </c>
      <c r="D452" s="355" t="s">
        <v>801</v>
      </c>
      <c r="E452" s="367">
        <v>45089</v>
      </c>
      <c r="F452" s="364">
        <v>45090</v>
      </c>
      <c r="G452" s="364">
        <v>45090</v>
      </c>
      <c r="H452" s="364">
        <v>45090</v>
      </c>
      <c r="I452" s="394">
        <v>45090</v>
      </c>
      <c r="J452" s="387" t="s">
        <v>1166</v>
      </c>
      <c r="K452" s="388" t="s">
        <v>1167</v>
      </c>
      <c r="L452" s="402">
        <v>2</v>
      </c>
      <c r="M452" s="352" t="s">
        <v>792</v>
      </c>
      <c r="N452" s="403">
        <v>4500000</v>
      </c>
      <c r="O452" s="404">
        <v>9000000</v>
      </c>
      <c r="P452" s="421">
        <v>7</v>
      </c>
      <c r="Q452" s="433" t="s">
        <v>113</v>
      </c>
      <c r="R452" s="437">
        <v>26000</v>
      </c>
      <c r="S452" s="274">
        <f t="shared" si="52"/>
        <v>9004000</v>
      </c>
      <c r="T452" s="439" t="s">
        <v>12</v>
      </c>
      <c r="U452" s="460" t="str">
        <f t="shared" si="53"/>
        <v/>
      </c>
      <c r="V452" s="439" t="s">
        <v>1248</v>
      </c>
      <c r="W452" s="439" t="s">
        <v>540</v>
      </c>
      <c r="X452" s="439" t="s">
        <v>709</v>
      </c>
      <c r="Y452" s="275" t="s">
        <v>710</v>
      </c>
      <c r="Z452" s="616" t="s">
        <v>710</v>
      </c>
      <c r="AA452" s="440" t="s">
        <v>488</v>
      </c>
      <c r="AB452" s="441">
        <f t="shared" si="54"/>
        <v>4054054.054054054</v>
      </c>
      <c r="AC452" s="442">
        <f t="shared" si="55"/>
        <v>8108108.1081081079</v>
      </c>
      <c r="AD452" s="437">
        <v>26000</v>
      </c>
      <c r="AE452" s="447">
        <v>3621621.6216216222</v>
      </c>
      <c r="AF452" s="447">
        <v>4020000</v>
      </c>
      <c r="AG452" s="437">
        <v>26000</v>
      </c>
      <c r="AH452" s="271" t="s">
        <v>2101</v>
      </c>
    </row>
    <row r="453" spans="1:34">
      <c r="A453" s="350">
        <v>204</v>
      </c>
      <c r="B453" s="352" t="s">
        <v>1164</v>
      </c>
      <c r="C453" s="352" t="s">
        <v>795</v>
      </c>
      <c r="D453" s="355" t="s">
        <v>796</v>
      </c>
      <c r="E453" s="367">
        <v>45088</v>
      </c>
      <c r="F453" s="364">
        <v>45087</v>
      </c>
      <c r="G453" s="364">
        <v>45087</v>
      </c>
      <c r="H453" s="364">
        <v>45087</v>
      </c>
      <c r="I453" s="394">
        <v>45090</v>
      </c>
      <c r="J453" s="387" t="s">
        <v>797</v>
      </c>
      <c r="K453" s="387" t="s">
        <v>798</v>
      </c>
      <c r="L453" s="402">
        <v>5</v>
      </c>
      <c r="M453" s="352" t="s">
        <v>488</v>
      </c>
      <c r="N453" s="403">
        <v>80000</v>
      </c>
      <c r="O453" s="404">
        <v>400000</v>
      </c>
      <c r="P453" s="421">
        <v>7</v>
      </c>
      <c r="Q453" s="433" t="s">
        <v>911</v>
      </c>
      <c r="R453" s="437">
        <v>15000</v>
      </c>
      <c r="S453" s="274">
        <f t="shared" si="52"/>
        <v>410000</v>
      </c>
      <c r="T453" s="439" t="s">
        <v>12</v>
      </c>
      <c r="U453" s="460" t="str">
        <f t="shared" si="53"/>
        <v/>
      </c>
      <c r="V453" s="439" t="s">
        <v>1248</v>
      </c>
      <c r="W453" s="439" t="s">
        <v>540</v>
      </c>
      <c r="X453" s="439" t="s">
        <v>709</v>
      </c>
      <c r="Y453" s="275" t="s">
        <v>710</v>
      </c>
      <c r="Z453" s="616" t="s">
        <v>710</v>
      </c>
      <c r="AA453" s="440" t="s">
        <v>551</v>
      </c>
      <c r="AB453" s="441">
        <f t="shared" si="54"/>
        <v>72072.072072072071</v>
      </c>
      <c r="AC453" s="442">
        <f t="shared" si="55"/>
        <v>360360.36036036036</v>
      </c>
      <c r="AD453" s="437">
        <v>15000</v>
      </c>
      <c r="AE453" s="447">
        <v>3621621.6216216222</v>
      </c>
      <c r="AF453" s="447">
        <v>4020000</v>
      </c>
      <c r="AG453" s="437">
        <v>15000</v>
      </c>
      <c r="AH453" s="271" t="s">
        <v>2101</v>
      </c>
    </row>
    <row r="454" spans="1:34">
      <c r="A454" s="350">
        <v>206</v>
      </c>
      <c r="B454" s="352" t="s">
        <v>1168</v>
      </c>
      <c r="C454" s="352" t="s">
        <v>1169</v>
      </c>
      <c r="D454" s="355" t="s">
        <v>1005</v>
      </c>
      <c r="E454" s="367">
        <v>45089</v>
      </c>
      <c r="F454" s="364">
        <v>45090</v>
      </c>
      <c r="G454" s="364">
        <v>45090</v>
      </c>
      <c r="H454" s="364">
        <v>45090</v>
      </c>
      <c r="I454" s="394">
        <v>45090</v>
      </c>
      <c r="J454" s="387" t="s">
        <v>1170</v>
      </c>
      <c r="K454" s="388" t="s">
        <v>1171</v>
      </c>
      <c r="L454" s="402">
        <v>1</v>
      </c>
      <c r="M454" s="352" t="s">
        <v>753</v>
      </c>
      <c r="N454" s="403">
        <v>2000000</v>
      </c>
      <c r="O454" s="404">
        <v>2000000</v>
      </c>
      <c r="P454" s="421">
        <v>7</v>
      </c>
      <c r="Q454" s="433" t="s">
        <v>769</v>
      </c>
      <c r="R454" s="437">
        <v>30000</v>
      </c>
      <c r="S454" s="274">
        <f t="shared" si="52"/>
        <v>2002000</v>
      </c>
      <c r="T454" s="275"/>
      <c r="U454" s="460"/>
      <c r="V454" s="439"/>
      <c r="W454" s="439" t="s">
        <v>540</v>
      </c>
      <c r="X454" s="439" t="s">
        <v>709</v>
      </c>
      <c r="Y454" s="275" t="s">
        <v>710</v>
      </c>
      <c r="Z454" s="616" t="s">
        <v>710</v>
      </c>
      <c r="AA454" s="440" t="s">
        <v>753</v>
      </c>
      <c r="AB454" s="441">
        <f t="shared" si="54"/>
        <v>1801801.8018018019</v>
      </c>
      <c r="AC454" s="442">
        <f t="shared" si="55"/>
        <v>1801801.8018018019</v>
      </c>
      <c r="AD454" s="437">
        <v>30000</v>
      </c>
      <c r="AE454" s="447">
        <v>3621621.6216216222</v>
      </c>
      <c r="AF454" s="447">
        <v>4020000</v>
      </c>
      <c r="AG454" s="437">
        <v>30000</v>
      </c>
      <c r="AH454" s="271" t="s">
        <v>2101</v>
      </c>
    </row>
    <row r="455" spans="1:34">
      <c r="A455" s="350">
        <v>207</v>
      </c>
      <c r="B455" s="352" t="s">
        <v>1176</v>
      </c>
      <c r="C455" s="352" t="s">
        <v>1177</v>
      </c>
      <c r="D455" s="355" t="s">
        <v>571</v>
      </c>
      <c r="E455" s="367">
        <v>45089</v>
      </c>
      <c r="F455" s="364">
        <v>45090</v>
      </c>
      <c r="G455" s="364">
        <v>45090</v>
      </c>
      <c r="H455" s="364">
        <v>45090</v>
      </c>
      <c r="I455" s="394">
        <v>45100</v>
      </c>
      <c r="J455" s="387" t="s">
        <v>9</v>
      </c>
      <c r="K455" s="387" t="s">
        <v>1178</v>
      </c>
      <c r="L455" s="402">
        <v>41059</v>
      </c>
      <c r="M455" s="352" t="s">
        <v>574</v>
      </c>
      <c r="N455" s="405">
        <v>300</v>
      </c>
      <c r="O455" s="404">
        <v>12317700</v>
      </c>
      <c r="P455" s="421">
        <v>7</v>
      </c>
      <c r="Q455" s="433" t="s">
        <v>918</v>
      </c>
      <c r="R455" s="437">
        <v>25000</v>
      </c>
      <c r="S455" s="274">
        <f t="shared" si="52"/>
        <v>94435700</v>
      </c>
      <c r="T455" s="439" t="s">
        <v>227</v>
      </c>
      <c r="U455" s="460" t="str">
        <f t="shared" si="53"/>
        <v/>
      </c>
      <c r="V455" s="439" t="s">
        <v>1248</v>
      </c>
      <c r="W455" s="439" t="s">
        <v>540</v>
      </c>
      <c r="X455" s="439" t="s">
        <v>709</v>
      </c>
      <c r="Y455" s="275" t="s">
        <v>710</v>
      </c>
      <c r="Z455" s="616" t="s">
        <v>710</v>
      </c>
      <c r="AA455" s="440" t="s">
        <v>597</v>
      </c>
      <c r="AB455" s="441">
        <f t="shared" si="54"/>
        <v>270.27027027027026</v>
      </c>
      <c r="AC455" s="442">
        <f t="shared" si="55"/>
        <v>11097027.027027026</v>
      </c>
      <c r="AD455" s="437">
        <v>25000</v>
      </c>
      <c r="AE455" s="447">
        <v>3621621.6216216222</v>
      </c>
      <c r="AF455" s="447">
        <v>4020000</v>
      </c>
      <c r="AG455" s="437">
        <v>25000</v>
      </c>
      <c r="AH455" s="271" t="s">
        <v>2101</v>
      </c>
    </row>
    <row r="456" spans="1:34">
      <c r="A456" s="350">
        <v>208</v>
      </c>
      <c r="B456" s="352" t="s">
        <v>1172</v>
      </c>
      <c r="C456" s="352" t="s">
        <v>1173</v>
      </c>
      <c r="D456" s="355" t="s">
        <v>1174</v>
      </c>
      <c r="E456" s="367">
        <v>45093</v>
      </c>
      <c r="F456" s="364">
        <v>45094</v>
      </c>
      <c r="G456" s="364">
        <v>45094</v>
      </c>
      <c r="H456" s="364">
        <v>45094</v>
      </c>
      <c r="I456" s="394">
        <v>45100</v>
      </c>
      <c r="J456" s="387" t="s">
        <v>1175</v>
      </c>
      <c r="K456" s="390"/>
      <c r="L456" s="402">
        <v>5</v>
      </c>
      <c r="M456" s="352" t="s">
        <v>608</v>
      </c>
      <c r="N456" s="403">
        <v>500000</v>
      </c>
      <c r="O456" s="404">
        <v>2500000</v>
      </c>
      <c r="P456" s="421">
        <v>7</v>
      </c>
      <c r="Q456" s="433" t="s">
        <v>112</v>
      </c>
      <c r="R456" s="437">
        <v>11000</v>
      </c>
      <c r="S456" s="274">
        <f t="shared" si="52"/>
        <v>2510000</v>
      </c>
      <c r="T456" s="439" t="s">
        <v>227</v>
      </c>
      <c r="U456" s="460" t="str">
        <f t="shared" si="53"/>
        <v/>
      </c>
      <c r="V456" s="439" t="s">
        <v>1248</v>
      </c>
      <c r="W456" s="439" t="s">
        <v>540</v>
      </c>
      <c r="X456" s="439" t="s">
        <v>709</v>
      </c>
      <c r="Y456" s="275" t="s">
        <v>710</v>
      </c>
      <c r="Z456" s="616" t="s">
        <v>710</v>
      </c>
      <c r="AA456" s="440" t="s">
        <v>728</v>
      </c>
      <c r="AB456" s="441">
        <f t="shared" si="54"/>
        <v>450450.45045045047</v>
      </c>
      <c r="AC456" s="442">
        <f t="shared" si="55"/>
        <v>2252252.2522522523</v>
      </c>
      <c r="AD456" s="437">
        <v>11000</v>
      </c>
      <c r="AE456" s="447">
        <v>3621621.6216216222</v>
      </c>
      <c r="AF456" s="447">
        <v>4020000</v>
      </c>
      <c r="AG456" s="437">
        <v>11000</v>
      </c>
      <c r="AH456" s="271" t="s">
        <v>2101</v>
      </c>
    </row>
    <row r="457" spans="1:34">
      <c r="A457" s="350">
        <v>208</v>
      </c>
      <c r="B457" s="352" t="s">
        <v>1229</v>
      </c>
      <c r="C457" s="352" t="s">
        <v>1173</v>
      </c>
      <c r="D457" s="355" t="s">
        <v>705</v>
      </c>
      <c r="E457" s="367">
        <v>45100</v>
      </c>
      <c r="F457" s="364">
        <v>45101</v>
      </c>
      <c r="G457" s="364">
        <v>45101</v>
      </c>
      <c r="H457" s="364">
        <v>45101</v>
      </c>
      <c r="I457" s="394">
        <v>45101</v>
      </c>
      <c r="J457" s="387" t="s">
        <v>1230</v>
      </c>
      <c r="K457" s="387" t="s">
        <v>1231</v>
      </c>
      <c r="L457" s="402">
        <v>12</v>
      </c>
      <c r="M457" s="352" t="s">
        <v>753</v>
      </c>
      <c r="N457" s="403">
        <v>250000</v>
      </c>
      <c r="O457" s="404">
        <v>3000000</v>
      </c>
      <c r="P457" s="421">
        <v>7</v>
      </c>
      <c r="Q457" s="433" t="s">
        <v>145</v>
      </c>
      <c r="R457" s="437">
        <v>21000</v>
      </c>
      <c r="S457" s="274">
        <f t="shared" si="52"/>
        <v>3024000</v>
      </c>
      <c r="T457" s="439" t="s">
        <v>227</v>
      </c>
      <c r="U457" s="460" t="str">
        <f t="shared" si="53"/>
        <v/>
      </c>
      <c r="V457" s="439" t="s">
        <v>1248</v>
      </c>
      <c r="W457" s="439" t="s">
        <v>540</v>
      </c>
      <c r="X457" s="439" t="s">
        <v>709</v>
      </c>
      <c r="Y457" s="275" t="s">
        <v>710</v>
      </c>
      <c r="Z457" s="616" t="s">
        <v>710</v>
      </c>
      <c r="AA457" s="440" t="s">
        <v>735</v>
      </c>
      <c r="AB457" s="441">
        <f t="shared" si="54"/>
        <v>225225.22522522524</v>
      </c>
      <c r="AC457" s="442">
        <f t="shared" si="55"/>
        <v>2702702.702702703</v>
      </c>
      <c r="AD457" s="437">
        <v>21000</v>
      </c>
      <c r="AE457" s="447">
        <v>3621621.6216216222</v>
      </c>
      <c r="AF457" s="447">
        <v>4020000</v>
      </c>
      <c r="AG457" s="437">
        <v>21000</v>
      </c>
      <c r="AH457" s="271" t="s">
        <v>2101</v>
      </c>
    </row>
    <row r="458" spans="1:34">
      <c r="A458" s="350">
        <v>208</v>
      </c>
      <c r="B458" s="352" t="s">
        <v>1229</v>
      </c>
      <c r="C458" s="352" t="s">
        <v>1173</v>
      </c>
      <c r="D458" s="355" t="s">
        <v>705</v>
      </c>
      <c r="E458" s="367">
        <v>45100</v>
      </c>
      <c r="F458" s="364">
        <v>45101</v>
      </c>
      <c r="G458" s="364">
        <v>45101</v>
      </c>
      <c r="H458" s="364">
        <v>45101</v>
      </c>
      <c r="I458" s="394">
        <v>45101</v>
      </c>
      <c r="J458" s="387" t="s">
        <v>1230</v>
      </c>
      <c r="K458" s="387" t="s">
        <v>1231</v>
      </c>
      <c r="L458" s="402">
        <v>19</v>
      </c>
      <c r="M458" s="352" t="s">
        <v>753</v>
      </c>
      <c r="N458" s="403">
        <v>500000</v>
      </c>
      <c r="O458" s="404">
        <v>9500000</v>
      </c>
      <c r="P458" s="421">
        <v>7</v>
      </c>
      <c r="Q458" s="433" t="s">
        <v>133</v>
      </c>
      <c r="R458" s="437">
        <v>70000</v>
      </c>
      <c r="S458" s="274">
        <f t="shared" si="52"/>
        <v>9538000</v>
      </c>
      <c r="T458" s="439" t="s">
        <v>227</v>
      </c>
      <c r="U458" s="460" t="str">
        <f t="shared" si="53"/>
        <v/>
      </c>
      <c r="V458" s="439" t="s">
        <v>1248</v>
      </c>
      <c r="W458" s="439" t="s">
        <v>540</v>
      </c>
      <c r="X458" s="439" t="s">
        <v>709</v>
      </c>
      <c r="Y458" s="275" t="s">
        <v>710</v>
      </c>
      <c r="Z458" s="616" t="s">
        <v>710</v>
      </c>
      <c r="AA458" s="440" t="s">
        <v>488</v>
      </c>
      <c r="AB458" s="441">
        <f t="shared" si="54"/>
        <v>450450.45045045047</v>
      </c>
      <c r="AC458" s="442">
        <f t="shared" si="55"/>
        <v>8558558.558558559</v>
      </c>
      <c r="AD458" s="437">
        <v>70000</v>
      </c>
      <c r="AE458" s="447">
        <v>3621621.6216216222</v>
      </c>
      <c r="AF458" s="447">
        <v>4020000</v>
      </c>
      <c r="AG458" s="437">
        <v>70000</v>
      </c>
      <c r="AH458" s="271" t="s">
        <v>2101</v>
      </c>
    </row>
    <row r="459" spans="1:34">
      <c r="A459" s="350">
        <v>209</v>
      </c>
      <c r="B459" s="352" t="s">
        <v>1179</v>
      </c>
      <c r="C459" s="352" t="s">
        <v>492</v>
      </c>
      <c r="D459" s="355" t="s">
        <v>464</v>
      </c>
      <c r="E459" s="367">
        <v>45093</v>
      </c>
      <c r="F459" s="364">
        <v>45094</v>
      </c>
      <c r="G459" s="364">
        <v>45094</v>
      </c>
      <c r="H459" s="364">
        <v>45094</v>
      </c>
      <c r="I459" s="394">
        <v>45100</v>
      </c>
      <c r="J459" s="387" t="s">
        <v>496</v>
      </c>
      <c r="K459" s="387" t="s">
        <v>484</v>
      </c>
      <c r="L459" s="402">
        <v>8</v>
      </c>
      <c r="M459" s="352" t="s">
        <v>472</v>
      </c>
      <c r="N459" s="403">
        <v>50000</v>
      </c>
      <c r="O459" s="404">
        <v>400000</v>
      </c>
      <c r="P459" s="421">
        <v>7</v>
      </c>
      <c r="Q459" s="433" t="s">
        <v>138</v>
      </c>
      <c r="R459" s="437">
        <v>11500</v>
      </c>
      <c r="S459" s="274">
        <f t="shared" si="52"/>
        <v>416000</v>
      </c>
      <c r="T459" s="439" t="s">
        <v>10</v>
      </c>
      <c r="U459" s="460" t="str">
        <f t="shared" si="53"/>
        <v/>
      </c>
      <c r="V459" s="439" t="s">
        <v>11</v>
      </c>
      <c r="W459" s="439" t="s">
        <v>473</v>
      </c>
      <c r="X459" s="439" t="s">
        <v>709</v>
      </c>
      <c r="Y459" s="275" t="s">
        <v>710</v>
      </c>
      <c r="Z459" s="616" t="s">
        <v>710</v>
      </c>
      <c r="AA459" s="440" t="s">
        <v>735</v>
      </c>
      <c r="AB459" s="441">
        <f t="shared" si="54"/>
        <v>45045.045045045044</v>
      </c>
      <c r="AC459" s="442">
        <f t="shared" si="55"/>
        <v>360360.36036036036</v>
      </c>
      <c r="AD459" s="437">
        <v>11500</v>
      </c>
      <c r="AE459" s="447">
        <v>3621621.6216216222</v>
      </c>
      <c r="AF459" s="447">
        <v>4020000</v>
      </c>
      <c r="AG459" s="437">
        <v>11500</v>
      </c>
      <c r="AH459" s="271" t="s">
        <v>2092</v>
      </c>
    </row>
    <row r="460" spans="1:34" ht="25">
      <c r="A460" s="350">
        <v>209</v>
      </c>
      <c r="B460" s="352" t="s">
        <v>1180</v>
      </c>
      <c r="C460" s="352" t="s">
        <v>498</v>
      </c>
      <c r="D460" s="355" t="s">
        <v>464</v>
      </c>
      <c r="E460" s="367">
        <v>45093</v>
      </c>
      <c r="F460" s="364">
        <v>45094</v>
      </c>
      <c r="G460" s="364">
        <v>45094</v>
      </c>
      <c r="H460" s="364">
        <v>45094</v>
      </c>
      <c r="I460" s="394">
        <v>45100</v>
      </c>
      <c r="J460" s="387" t="s">
        <v>502</v>
      </c>
      <c r="K460" s="387" t="s">
        <v>484</v>
      </c>
      <c r="L460" s="402">
        <v>8</v>
      </c>
      <c r="M460" s="352" t="s">
        <v>472</v>
      </c>
      <c r="N460" s="403">
        <v>50000</v>
      </c>
      <c r="O460" s="404">
        <v>400000</v>
      </c>
      <c r="P460" s="421">
        <v>7</v>
      </c>
      <c r="Q460" s="433" t="s">
        <v>128</v>
      </c>
      <c r="R460" s="437">
        <v>750000</v>
      </c>
      <c r="S460" s="274">
        <f t="shared" si="52"/>
        <v>416000</v>
      </c>
      <c r="T460" s="439" t="s">
        <v>10</v>
      </c>
      <c r="U460" s="460" t="str">
        <f t="shared" si="53"/>
        <v/>
      </c>
      <c r="V460" s="439" t="s">
        <v>11</v>
      </c>
      <c r="W460" s="439" t="s">
        <v>473</v>
      </c>
      <c r="X460" s="439" t="s">
        <v>709</v>
      </c>
      <c r="Y460" s="275" t="s">
        <v>710</v>
      </c>
      <c r="Z460" s="616" t="s">
        <v>710</v>
      </c>
      <c r="AA460" s="440" t="s">
        <v>749</v>
      </c>
      <c r="AB460" s="441">
        <f t="shared" si="54"/>
        <v>45045.045045045044</v>
      </c>
      <c r="AC460" s="442">
        <f t="shared" si="55"/>
        <v>360360.36036036036</v>
      </c>
      <c r="AD460" s="437">
        <v>750000</v>
      </c>
      <c r="AE460" s="447">
        <v>3621621.6216216222</v>
      </c>
      <c r="AF460" s="447">
        <v>4020000</v>
      </c>
      <c r="AG460" s="437">
        <v>750000</v>
      </c>
      <c r="AH460" s="271" t="s">
        <v>2092</v>
      </c>
    </row>
    <row r="461" spans="1:34" ht="25">
      <c r="A461" s="350">
        <v>209</v>
      </c>
      <c r="B461" s="352" t="s">
        <v>1181</v>
      </c>
      <c r="C461" s="352" t="s">
        <v>504</v>
      </c>
      <c r="D461" s="355" t="s">
        <v>464</v>
      </c>
      <c r="E461" s="367">
        <v>45093</v>
      </c>
      <c r="F461" s="364">
        <v>45094</v>
      </c>
      <c r="G461" s="364">
        <v>45094</v>
      </c>
      <c r="H461" s="364">
        <v>45094</v>
      </c>
      <c r="I461" s="394">
        <v>45100</v>
      </c>
      <c r="J461" s="387" t="s">
        <v>505</v>
      </c>
      <c r="K461" s="387" t="s">
        <v>484</v>
      </c>
      <c r="L461" s="402">
        <v>6</v>
      </c>
      <c r="M461" s="352" t="s">
        <v>472</v>
      </c>
      <c r="N461" s="403">
        <v>50000</v>
      </c>
      <c r="O461" s="404">
        <v>300000</v>
      </c>
      <c r="P461" s="421">
        <v>7</v>
      </c>
      <c r="Q461" s="433" t="s">
        <v>131</v>
      </c>
      <c r="R461" s="437">
        <v>21000</v>
      </c>
      <c r="S461" s="274">
        <f t="shared" si="52"/>
        <v>312000</v>
      </c>
      <c r="T461" s="439" t="s">
        <v>10</v>
      </c>
      <c r="U461" s="460" t="str">
        <f t="shared" si="53"/>
        <v/>
      </c>
      <c r="V461" s="439" t="s">
        <v>11</v>
      </c>
      <c r="W461" s="439" t="s">
        <v>473</v>
      </c>
      <c r="X461" s="439" t="s">
        <v>709</v>
      </c>
      <c r="Y461" s="275" t="s">
        <v>710</v>
      </c>
      <c r="Z461" s="616" t="s">
        <v>710</v>
      </c>
      <c r="AA461" s="440" t="s">
        <v>774</v>
      </c>
      <c r="AB461" s="441">
        <f t="shared" si="54"/>
        <v>45045.045045045044</v>
      </c>
      <c r="AC461" s="442">
        <f t="shared" si="55"/>
        <v>270270.2702702703</v>
      </c>
      <c r="AD461" s="437">
        <v>21000</v>
      </c>
      <c r="AE461" s="447">
        <v>3621621.6216216222</v>
      </c>
      <c r="AF461" s="447">
        <v>4020000</v>
      </c>
      <c r="AG461" s="437">
        <v>21000</v>
      </c>
      <c r="AH461" s="271" t="s">
        <v>2092</v>
      </c>
    </row>
    <row r="462" spans="1:34">
      <c r="A462" s="350">
        <v>209</v>
      </c>
      <c r="B462" s="352" t="s">
        <v>1182</v>
      </c>
      <c r="C462" s="352" t="s">
        <v>507</v>
      </c>
      <c r="D462" s="355" t="s">
        <v>464</v>
      </c>
      <c r="E462" s="367">
        <v>45093</v>
      </c>
      <c r="F462" s="364">
        <v>45094</v>
      </c>
      <c r="G462" s="364">
        <v>45094</v>
      </c>
      <c r="H462" s="364">
        <v>45094</v>
      </c>
      <c r="I462" s="394">
        <v>45100</v>
      </c>
      <c r="J462" s="387" t="s">
        <v>510</v>
      </c>
      <c r="K462" s="387" t="s">
        <v>484</v>
      </c>
      <c r="L462" s="402">
        <v>8</v>
      </c>
      <c r="M462" s="352" t="s">
        <v>472</v>
      </c>
      <c r="N462" s="403">
        <v>50000</v>
      </c>
      <c r="O462" s="404">
        <v>400000</v>
      </c>
      <c r="P462" s="421">
        <v>7</v>
      </c>
      <c r="Q462" s="433" t="s">
        <v>775</v>
      </c>
      <c r="R462" s="437">
        <v>150000</v>
      </c>
      <c r="S462" s="274">
        <f t="shared" si="52"/>
        <v>416000</v>
      </c>
      <c r="T462" s="439" t="s">
        <v>10</v>
      </c>
      <c r="U462" s="460" t="str">
        <f t="shared" si="53"/>
        <v/>
      </c>
      <c r="V462" s="439" t="s">
        <v>11</v>
      </c>
      <c r="W462" s="439" t="s">
        <v>473</v>
      </c>
      <c r="X462" s="439" t="s">
        <v>709</v>
      </c>
      <c r="Y462" s="275" t="s">
        <v>710</v>
      </c>
      <c r="Z462" s="616" t="s">
        <v>710</v>
      </c>
      <c r="AA462" s="440" t="s">
        <v>597</v>
      </c>
      <c r="AB462" s="441">
        <f t="shared" si="54"/>
        <v>45045.045045045044</v>
      </c>
      <c r="AC462" s="442">
        <f t="shared" si="55"/>
        <v>360360.36036036036</v>
      </c>
      <c r="AD462" s="437">
        <v>150000</v>
      </c>
      <c r="AE462" s="447">
        <v>3621621.6216216222</v>
      </c>
      <c r="AF462" s="447">
        <v>4020000</v>
      </c>
      <c r="AG462" s="437">
        <v>150000</v>
      </c>
      <c r="AH462" s="271" t="s">
        <v>2092</v>
      </c>
    </row>
    <row r="463" spans="1:34">
      <c r="A463" s="350">
        <v>209</v>
      </c>
      <c r="B463" s="352" t="s">
        <v>1183</v>
      </c>
      <c r="C463" s="352" t="s">
        <v>512</v>
      </c>
      <c r="D463" s="355" t="s">
        <v>464</v>
      </c>
      <c r="E463" s="367">
        <v>45093</v>
      </c>
      <c r="F463" s="364">
        <v>45094</v>
      </c>
      <c r="G463" s="364">
        <v>45094</v>
      </c>
      <c r="H463" s="364">
        <v>45094</v>
      </c>
      <c r="I463" s="394">
        <v>45100</v>
      </c>
      <c r="J463" s="387" t="s">
        <v>513</v>
      </c>
      <c r="K463" s="387" t="s">
        <v>484</v>
      </c>
      <c r="L463" s="402">
        <v>3</v>
      </c>
      <c r="M463" s="352" t="s">
        <v>472</v>
      </c>
      <c r="N463" s="403">
        <v>50000</v>
      </c>
      <c r="O463" s="404">
        <v>150000</v>
      </c>
      <c r="P463" s="421">
        <v>7</v>
      </c>
      <c r="Q463" s="433" t="s">
        <v>110</v>
      </c>
      <c r="R463" s="437">
        <v>16500</v>
      </c>
      <c r="S463" s="274">
        <f t="shared" si="52"/>
        <v>156000</v>
      </c>
      <c r="T463" s="439" t="s">
        <v>10</v>
      </c>
      <c r="U463" s="460" t="str">
        <f t="shared" si="53"/>
        <v/>
      </c>
      <c r="V463" s="439" t="s">
        <v>11</v>
      </c>
      <c r="W463" s="439" t="s">
        <v>473</v>
      </c>
      <c r="X463" s="439" t="s">
        <v>709</v>
      </c>
      <c r="Y463" s="275" t="s">
        <v>710</v>
      </c>
      <c r="Z463" s="449" t="s">
        <v>710</v>
      </c>
      <c r="AA463" s="440" t="s">
        <v>714</v>
      </c>
      <c r="AB463" s="441">
        <f t="shared" si="54"/>
        <v>45045.045045045044</v>
      </c>
      <c r="AC463" s="442">
        <f t="shared" si="55"/>
        <v>135135.13513513515</v>
      </c>
      <c r="AD463" s="437">
        <v>16500</v>
      </c>
      <c r="AE463" s="447">
        <v>3621621.6216216222</v>
      </c>
      <c r="AF463" s="447">
        <v>4020000</v>
      </c>
      <c r="AG463" s="437">
        <v>16500</v>
      </c>
      <c r="AH463" s="271" t="s">
        <v>2092</v>
      </c>
    </row>
    <row r="464" spans="1:34" ht="25">
      <c r="A464" s="350">
        <v>214</v>
      </c>
      <c r="B464" s="352" t="s">
        <v>1184</v>
      </c>
      <c r="C464" s="352" t="s">
        <v>517</v>
      </c>
      <c r="D464" s="355" t="s">
        <v>464</v>
      </c>
      <c r="E464" s="367">
        <v>45095</v>
      </c>
      <c r="F464" s="364">
        <v>45096</v>
      </c>
      <c r="G464" s="364">
        <v>45096</v>
      </c>
      <c r="H464" s="364">
        <v>45096</v>
      </c>
      <c r="I464" s="394">
        <v>45100</v>
      </c>
      <c r="J464" s="387" t="s">
        <v>518</v>
      </c>
      <c r="K464" s="387" t="s">
        <v>484</v>
      </c>
      <c r="L464" s="402">
        <v>10</v>
      </c>
      <c r="M464" s="352" t="s">
        <v>472</v>
      </c>
      <c r="N464" s="403">
        <v>50000</v>
      </c>
      <c r="O464" s="404">
        <v>500000</v>
      </c>
      <c r="P464" s="421">
        <v>7</v>
      </c>
      <c r="Q464" s="433" t="s">
        <v>102</v>
      </c>
      <c r="R464" s="437">
        <v>225000</v>
      </c>
      <c r="S464" s="274">
        <f t="shared" si="52"/>
        <v>520000</v>
      </c>
      <c r="T464" s="439" t="s">
        <v>10</v>
      </c>
      <c r="U464" s="460" t="str">
        <f t="shared" si="53"/>
        <v/>
      </c>
      <c r="V464" s="439" t="s">
        <v>11</v>
      </c>
      <c r="W464" s="439" t="s">
        <v>473</v>
      </c>
      <c r="X464" s="439" t="s">
        <v>709</v>
      </c>
      <c r="Y464" s="275" t="s">
        <v>710</v>
      </c>
      <c r="Z464" s="449" t="s">
        <v>710</v>
      </c>
      <c r="AA464" s="440" t="s">
        <v>714</v>
      </c>
      <c r="AB464" s="441">
        <f t="shared" si="54"/>
        <v>45045.045045045044</v>
      </c>
      <c r="AC464" s="442">
        <f t="shared" si="55"/>
        <v>450450.45045045041</v>
      </c>
      <c r="AD464" s="437">
        <v>225000</v>
      </c>
      <c r="AE464" s="447">
        <v>3621621.6216216222</v>
      </c>
      <c r="AF464" s="447">
        <v>4020000</v>
      </c>
      <c r="AG464" s="437">
        <v>225000</v>
      </c>
      <c r="AH464" s="271" t="s">
        <v>2092</v>
      </c>
    </row>
    <row r="465" spans="1:36" ht="25">
      <c r="A465" s="350">
        <v>214</v>
      </c>
      <c r="B465" s="352" t="s">
        <v>1185</v>
      </c>
      <c r="C465" s="352" t="s">
        <v>1036</v>
      </c>
      <c r="D465" s="355" t="s">
        <v>464</v>
      </c>
      <c r="E465" s="367">
        <v>45095</v>
      </c>
      <c r="F465" s="364">
        <v>45096</v>
      </c>
      <c r="G465" s="364">
        <v>45096</v>
      </c>
      <c r="H465" s="364">
        <v>45096</v>
      </c>
      <c r="I465" s="394">
        <v>45100</v>
      </c>
      <c r="J465" s="387" t="s">
        <v>1186</v>
      </c>
      <c r="K465" s="387" t="s">
        <v>471</v>
      </c>
      <c r="L465" s="402">
        <v>6</v>
      </c>
      <c r="M465" s="352" t="s">
        <v>472</v>
      </c>
      <c r="N465" s="403">
        <v>70000</v>
      </c>
      <c r="O465" s="404">
        <v>420000</v>
      </c>
      <c r="P465" s="421">
        <v>7</v>
      </c>
      <c r="Q465" s="454" t="s">
        <v>151</v>
      </c>
      <c r="R465" s="437">
        <v>150000</v>
      </c>
      <c r="S465" s="274">
        <f t="shared" si="52"/>
        <v>432000</v>
      </c>
      <c r="T465" s="439" t="s">
        <v>10</v>
      </c>
      <c r="U465" s="460" t="str">
        <f t="shared" si="53"/>
        <v>UD. USAHA JAYA</v>
      </c>
      <c r="V465" s="439" t="s">
        <v>11</v>
      </c>
      <c r="W465" s="439" t="s">
        <v>473</v>
      </c>
      <c r="X465" s="439" t="s">
        <v>709</v>
      </c>
      <c r="Y465" s="275" t="s">
        <v>710</v>
      </c>
      <c r="Z465" s="449" t="s">
        <v>710</v>
      </c>
      <c r="AA465" s="440" t="s">
        <v>488</v>
      </c>
      <c r="AB465" s="441">
        <f t="shared" si="54"/>
        <v>63063.063063063062</v>
      </c>
      <c r="AC465" s="442">
        <f t="shared" si="55"/>
        <v>378378.37837837834</v>
      </c>
      <c r="AD465" s="437">
        <v>150000</v>
      </c>
      <c r="AE465" s="447">
        <v>3621621.6216216222</v>
      </c>
      <c r="AF465" s="447">
        <v>4020000</v>
      </c>
      <c r="AG465" s="437">
        <v>150000</v>
      </c>
      <c r="AH465" s="271" t="s">
        <v>2092</v>
      </c>
    </row>
    <row r="466" spans="1:36" ht="25">
      <c r="A466" s="350">
        <v>214</v>
      </c>
      <c r="B466" s="352" t="s">
        <v>1187</v>
      </c>
      <c r="C466" s="352" t="s">
        <v>1036</v>
      </c>
      <c r="D466" s="355" t="s">
        <v>464</v>
      </c>
      <c r="E466" s="367">
        <v>45095</v>
      </c>
      <c r="F466" s="364">
        <v>45096</v>
      </c>
      <c r="G466" s="364">
        <v>45096</v>
      </c>
      <c r="H466" s="364">
        <v>45096</v>
      </c>
      <c r="I466" s="394">
        <v>45100</v>
      </c>
      <c r="J466" s="387" t="s">
        <v>1188</v>
      </c>
      <c r="K466" s="352" t="s">
        <v>487</v>
      </c>
      <c r="L466" s="402">
        <v>60</v>
      </c>
      <c r="M466" s="352" t="s">
        <v>488</v>
      </c>
      <c r="N466" s="403">
        <v>8000</v>
      </c>
      <c r="O466" s="404">
        <v>480000</v>
      </c>
      <c r="P466" s="421">
        <v>7</v>
      </c>
      <c r="Q466" s="433" t="s">
        <v>138</v>
      </c>
      <c r="R466" s="437">
        <v>14000</v>
      </c>
      <c r="S466" s="274">
        <f t="shared" si="52"/>
        <v>600000</v>
      </c>
      <c r="T466" s="439" t="s">
        <v>10</v>
      </c>
      <c r="U466" s="460" t="str">
        <f t="shared" si="53"/>
        <v/>
      </c>
      <c r="V466" s="439" t="s">
        <v>11</v>
      </c>
      <c r="W466" s="439" t="s">
        <v>473</v>
      </c>
      <c r="X466" s="439" t="s">
        <v>709</v>
      </c>
      <c r="Y466" s="275" t="s">
        <v>710</v>
      </c>
      <c r="Z466" s="449" t="s">
        <v>710</v>
      </c>
      <c r="AA466" s="440" t="s">
        <v>714</v>
      </c>
      <c r="AB466" s="441">
        <f t="shared" si="54"/>
        <v>7207.2072072072069</v>
      </c>
      <c r="AC466" s="442">
        <f t="shared" si="55"/>
        <v>432432.43243243243</v>
      </c>
      <c r="AD466" s="437">
        <v>14000</v>
      </c>
      <c r="AE466" s="447">
        <v>3621621.6216216222</v>
      </c>
      <c r="AF466" s="447">
        <v>4020000</v>
      </c>
      <c r="AG466" s="437">
        <v>14000</v>
      </c>
      <c r="AH466" s="271" t="s">
        <v>2092</v>
      </c>
    </row>
    <row r="467" spans="1:36" ht="25">
      <c r="A467" s="350">
        <v>214</v>
      </c>
      <c r="B467" s="352" t="s">
        <v>1189</v>
      </c>
      <c r="C467" s="352" t="s">
        <v>827</v>
      </c>
      <c r="D467" s="355" t="s">
        <v>464</v>
      </c>
      <c r="E467" s="367">
        <v>45095</v>
      </c>
      <c r="F467" s="364">
        <v>45096</v>
      </c>
      <c r="G467" s="364">
        <v>45096</v>
      </c>
      <c r="H467" s="364">
        <v>45096</v>
      </c>
      <c r="I467" s="394">
        <v>45100</v>
      </c>
      <c r="J467" s="387" t="s">
        <v>828</v>
      </c>
      <c r="K467" s="387" t="s">
        <v>471</v>
      </c>
      <c r="L467" s="402">
        <v>2</v>
      </c>
      <c r="M467" s="352" t="s">
        <v>472</v>
      </c>
      <c r="N467" s="403">
        <v>70000</v>
      </c>
      <c r="O467" s="404">
        <v>140000</v>
      </c>
      <c r="P467" s="421">
        <v>7</v>
      </c>
      <c r="Q467" s="433" t="s">
        <v>101</v>
      </c>
      <c r="R467" s="437">
        <v>97000</v>
      </c>
      <c r="S467" s="274">
        <f t="shared" si="52"/>
        <v>144000</v>
      </c>
      <c r="T467" s="439" t="s">
        <v>10</v>
      </c>
      <c r="U467" s="460" t="str">
        <f t="shared" si="53"/>
        <v>UD. USAHA JAYA</v>
      </c>
      <c r="V467" s="439" t="s">
        <v>11</v>
      </c>
      <c r="W467" s="439" t="s">
        <v>473</v>
      </c>
      <c r="X467" s="439" t="s">
        <v>709</v>
      </c>
      <c r="Y467" s="275" t="s">
        <v>710</v>
      </c>
      <c r="Z467" s="449" t="s">
        <v>710</v>
      </c>
      <c r="AA467" s="440" t="s">
        <v>753</v>
      </c>
      <c r="AB467" s="441">
        <f t="shared" si="54"/>
        <v>63063.063063063062</v>
      </c>
      <c r="AC467" s="442">
        <f t="shared" si="55"/>
        <v>126126.12612612612</v>
      </c>
      <c r="AD467" s="437">
        <v>97000</v>
      </c>
      <c r="AE467" s="447">
        <v>3621621.6216216222</v>
      </c>
      <c r="AF467" s="447">
        <v>4020000</v>
      </c>
      <c r="AG467" s="437">
        <v>97000</v>
      </c>
      <c r="AH467" s="271" t="s">
        <v>2092</v>
      </c>
    </row>
    <row r="468" spans="1:36" ht="25">
      <c r="A468" s="350">
        <v>217</v>
      </c>
      <c r="B468" s="352" t="s">
        <v>1190</v>
      </c>
      <c r="C468" s="352" t="s">
        <v>1191</v>
      </c>
      <c r="D468" s="355" t="s">
        <v>464</v>
      </c>
      <c r="E468" s="367">
        <v>45093</v>
      </c>
      <c r="F468" s="364">
        <v>45094</v>
      </c>
      <c r="G468" s="364">
        <v>45094</v>
      </c>
      <c r="H468" s="364">
        <v>45094</v>
      </c>
      <c r="I468" s="394">
        <v>45100</v>
      </c>
      <c r="J468" s="387" t="s">
        <v>1192</v>
      </c>
      <c r="K468" s="387" t="s">
        <v>471</v>
      </c>
      <c r="L468" s="402">
        <v>4</v>
      </c>
      <c r="M468" s="352" t="s">
        <v>472</v>
      </c>
      <c r="N468" s="403">
        <v>70000</v>
      </c>
      <c r="O468" s="404">
        <v>280000</v>
      </c>
      <c r="P468" s="421">
        <v>7</v>
      </c>
      <c r="Q468" s="433" t="s">
        <v>130</v>
      </c>
      <c r="R468" s="437">
        <v>75000</v>
      </c>
      <c r="S468" s="274">
        <f t="shared" si="52"/>
        <v>288000</v>
      </c>
      <c r="T468" s="439" t="s">
        <v>10</v>
      </c>
      <c r="U468" s="460" t="str">
        <f t="shared" si="53"/>
        <v>UD. USAHA JAYA</v>
      </c>
      <c r="V468" s="439" t="s">
        <v>11</v>
      </c>
      <c r="W468" s="439" t="s">
        <v>473</v>
      </c>
      <c r="X468" s="439" t="s">
        <v>709</v>
      </c>
      <c r="Y468" s="275" t="s">
        <v>710</v>
      </c>
      <c r="Z468" s="449" t="s">
        <v>710</v>
      </c>
      <c r="AA468" s="440" t="s">
        <v>756</v>
      </c>
      <c r="AB468" s="441">
        <f t="shared" si="54"/>
        <v>63063.063063063062</v>
      </c>
      <c r="AC468" s="442">
        <f t="shared" si="55"/>
        <v>252252.25225225225</v>
      </c>
      <c r="AD468" s="437">
        <v>75000</v>
      </c>
      <c r="AE468" s="447">
        <v>3621621.6216216222</v>
      </c>
      <c r="AF468" s="447">
        <v>4020000</v>
      </c>
      <c r="AG468" s="437">
        <v>75000</v>
      </c>
      <c r="AH468" s="271" t="s">
        <v>2092</v>
      </c>
    </row>
    <row r="469" spans="1:36">
      <c r="A469" s="350">
        <v>217</v>
      </c>
      <c r="B469" s="352" t="s">
        <v>1193</v>
      </c>
      <c r="C469" s="352" t="s">
        <v>594</v>
      </c>
      <c r="D469" s="355" t="s">
        <v>464</v>
      </c>
      <c r="E469" s="367">
        <v>45093</v>
      </c>
      <c r="F469" s="364">
        <v>45094</v>
      </c>
      <c r="G469" s="364">
        <v>45094</v>
      </c>
      <c r="H469" s="364">
        <v>45094</v>
      </c>
      <c r="I469" s="394">
        <v>45100</v>
      </c>
      <c r="J469" s="387" t="s">
        <v>599</v>
      </c>
      <c r="K469" s="387" t="s">
        <v>471</v>
      </c>
      <c r="L469" s="402">
        <v>5</v>
      </c>
      <c r="M469" s="352" t="s">
        <v>472</v>
      </c>
      <c r="N469" s="403">
        <v>70000</v>
      </c>
      <c r="O469" s="404">
        <v>350000</v>
      </c>
      <c r="P469" s="421">
        <v>7</v>
      </c>
      <c r="Q469" s="433" t="s">
        <v>100</v>
      </c>
      <c r="R469" s="437">
        <v>26000</v>
      </c>
      <c r="S469" s="274">
        <f t="shared" si="52"/>
        <v>360000</v>
      </c>
      <c r="T469" s="439" t="s">
        <v>10</v>
      </c>
      <c r="U469" s="460" t="str">
        <f t="shared" si="53"/>
        <v>UD. USAHA JAYA</v>
      </c>
      <c r="V469" s="439" t="s">
        <v>11</v>
      </c>
      <c r="W469" s="439" t="s">
        <v>473</v>
      </c>
      <c r="X469" s="439" t="s">
        <v>709</v>
      </c>
      <c r="Y469" s="275" t="s">
        <v>710</v>
      </c>
      <c r="Z469" s="449" t="s">
        <v>710</v>
      </c>
      <c r="AA469" s="440" t="s">
        <v>753</v>
      </c>
      <c r="AB469" s="441">
        <f t="shared" si="54"/>
        <v>63063.063063063062</v>
      </c>
      <c r="AC469" s="442">
        <f t="shared" si="55"/>
        <v>315315.31531531533</v>
      </c>
      <c r="AD469" s="437">
        <v>26000</v>
      </c>
      <c r="AE469" s="447">
        <v>3621621.6216216222</v>
      </c>
      <c r="AF469" s="447">
        <v>4020000</v>
      </c>
      <c r="AG469" s="437">
        <v>26000</v>
      </c>
      <c r="AH469" s="271" t="s">
        <v>2092</v>
      </c>
    </row>
    <row r="470" spans="1:36">
      <c r="A470" s="350">
        <v>218</v>
      </c>
      <c r="B470" s="352" t="s">
        <v>1194</v>
      </c>
      <c r="C470" s="352" t="s">
        <v>639</v>
      </c>
      <c r="D470" s="355" t="s">
        <v>464</v>
      </c>
      <c r="E470" s="367">
        <v>45099</v>
      </c>
      <c r="F470" s="364">
        <v>45100</v>
      </c>
      <c r="G470" s="364">
        <v>45100</v>
      </c>
      <c r="H470" s="364">
        <v>45100</v>
      </c>
      <c r="I470" s="394">
        <v>45100</v>
      </c>
      <c r="J470" s="387" t="s">
        <v>640</v>
      </c>
      <c r="K470" s="387" t="s">
        <v>641</v>
      </c>
      <c r="L470" s="402">
        <v>72</v>
      </c>
      <c r="M470" s="352" t="s">
        <v>488</v>
      </c>
      <c r="N470" s="403">
        <v>5000</v>
      </c>
      <c r="O470" s="404">
        <v>360000</v>
      </c>
      <c r="P470" s="421">
        <v>7</v>
      </c>
      <c r="Q470" s="433" t="s">
        <v>157</v>
      </c>
      <c r="R470" s="437">
        <v>84000</v>
      </c>
      <c r="S470" s="274">
        <f t="shared" si="52"/>
        <v>504000</v>
      </c>
      <c r="T470" s="275"/>
      <c r="U470" s="460" t="str">
        <f t="shared" si="53"/>
        <v/>
      </c>
      <c r="V470" s="439"/>
      <c r="W470" s="445"/>
      <c r="X470" s="439" t="s">
        <v>709</v>
      </c>
      <c r="Y470" s="275" t="s">
        <v>710</v>
      </c>
      <c r="Z470" s="449" t="s">
        <v>710</v>
      </c>
      <c r="AA470" s="440" t="s">
        <v>728</v>
      </c>
      <c r="AB470" s="441">
        <f t="shared" si="54"/>
        <v>4504.5045045045044</v>
      </c>
      <c r="AC470" s="442">
        <f t="shared" si="55"/>
        <v>324324.32432432432</v>
      </c>
      <c r="AD470" s="437">
        <v>84000</v>
      </c>
      <c r="AE470" s="447">
        <v>3621621.6216216222</v>
      </c>
      <c r="AF470" s="447">
        <v>4020000</v>
      </c>
      <c r="AG470" s="437">
        <v>84000</v>
      </c>
    </row>
    <row r="471" spans="1:36" ht="25">
      <c r="A471" s="350">
        <v>220</v>
      </c>
      <c r="B471" s="352" t="s">
        <v>1195</v>
      </c>
      <c r="C471" s="352" t="s">
        <v>1173</v>
      </c>
      <c r="D471" s="355" t="s">
        <v>464</v>
      </c>
      <c r="E471" s="367">
        <v>45097</v>
      </c>
      <c r="F471" s="364">
        <v>45098</v>
      </c>
      <c r="G471" s="364">
        <v>45098</v>
      </c>
      <c r="H471" s="364">
        <v>45098</v>
      </c>
      <c r="I471" s="394">
        <v>45100</v>
      </c>
      <c r="J471" s="387" t="s">
        <v>1196</v>
      </c>
      <c r="K471" s="387" t="s">
        <v>471</v>
      </c>
      <c r="L471" s="402">
        <v>12</v>
      </c>
      <c r="M471" s="352" t="s">
        <v>472</v>
      </c>
      <c r="N471" s="403">
        <v>70000</v>
      </c>
      <c r="O471" s="404">
        <v>840000</v>
      </c>
      <c r="P471" s="421">
        <v>7</v>
      </c>
      <c r="Q471" s="433" t="s">
        <v>98</v>
      </c>
      <c r="R471" s="437">
        <v>40000</v>
      </c>
      <c r="S471" s="274">
        <f t="shared" si="52"/>
        <v>864000</v>
      </c>
      <c r="T471" s="439" t="s">
        <v>10</v>
      </c>
      <c r="U471" s="460" t="str">
        <f t="shared" si="53"/>
        <v>UD. USAHA JAYA</v>
      </c>
      <c r="V471" s="439" t="s">
        <v>11</v>
      </c>
      <c r="W471" s="439" t="s">
        <v>473</v>
      </c>
      <c r="X471" s="439" t="s">
        <v>709</v>
      </c>
      <c r="Y471" s="275" t="s">
        <v>710</v>
      </c>
      <c r="Z471" s="449" t="s">
        <v>710</v>
      </c>
      <c r="AA471" s="440" t="s">
        <v>735</v>
      </c>
      <c r="AB471" s="441">
        <f t="shared" si="54"/>
        <v>63063.063063063062</v>
      </c>
      <c r="AC471" s="442">
        <f t="shared" si="55"/>
        <v>756756.75675675669</v>
      </c>
      <c r="AD471" s="437">
        <v>40000</v>
      </c>
      <c r="AE471" s="447">
        <v>3621621.6216216222</v>
      </c>
      <c r="AF471" s="447">
        <v>4020000</v>
      </c>
      <c r="AG471" s="437">
        <v>40000</v>
      </c>
      <c r="AH471" s="271" t="s">
        <v>2092</v>
      </c>
    </row>
    <row r="472" spans="1:36" ht="25">
      <c r="A472" s="350">
        <v>220</v>
      </c>
      <c r="B472" s="352" t="s">
        <v>1232</v>
      </c>
      <c r="C472" s="352" t="s">
        <v>1173</v>
      </c>
      <c r="D472" s="776" t="s">
        <v>464</v>
      </c>
      <c r="E472" s="367">
        <v>45100</v>
      </c>
      <c r="F472" s="364">
        <v>45101</v>
      </c>
      <c r="G472" s="364">
        <v>45101</v>
      </c>
      <c r="H472" s="364">
        <v>45101</v>
      </c>
      <c r="I472" s="394">
        <v>45101</v>
      </c>
      <c r="J472" s="387" t="s">
        <v>1233</v>
      </c>
      <c r="K472" s="352" t="s">
        <v>487</v>
      </c>
      <c r="L472" s="402">
        <v>210</v>
      </c>
      <c r="M472" s="352" t="s">
        <v>488</v>
      </c>
      <c r="N472" s="403">
        <v>8000</v>
      </c>
      <c r="O472" s="404">
        <v>1680000</v>
      </c>
      <c r="P472" s="421">
        <v>7</v>
      </c>
      <c r="Q472" s="433" t="s">
        <v>127</v>
      </c>
      <c r="R472" s="437">
        <v>270000</v>
      </c>
      <c r="S472" s="274">
        <f t="shared" si="52"/>
        <v>2100000</v>
      </c>
      <c r="T472" s="439" t="s">
        <v>10</v>
      </c>
      <c r="U472" s="460" t="str">
        <f t="shared" si="53"/>
        <v/>
      </c>
      <c r="V472" s="275" t="s">
        <v>11</v>
      </c>
      <c r="W472" s="439" t="s">
        <v>473</v>
      </c>
      <c r="X472" s="439" t="s">
        <v>709</v>
      </c>
      <c r="Y472" s="439" t="s">
        <v>710</v>
      </c>
      <c r="Z472" s="449" t="s">
        <v>710</v>
      </c>
      <c r="AA472" s="440" t="s">
        <v>488</v>
      </c>
      <c r="AB472" s="441">
        <f t="shared" si="54"/>
        <v>7207.2072072072069</v>
      </c>
      <c r="AC472" s="442">
        <f t="shared" si="55"/>
        <v>1513513.5135135134</v>
      </c>
      <c r="AD472" s="437">
        <v>270000</v>
      </c>
      <c r="AE472" s="447">
        <v>3621621.6216216222</v>
      </c>
      <c r="AF472" s="447">
        <v>4020000</v>
      </c>
      <c r="AG472" s="437">
        <v>270000</v>
      </c>
      <c r="AH472" s="271" t="s">
        <v>2092</v>
      </c>
    </row>
    <row r="473" spans="1:36" ht="37.5">
      <c r="A473" s="350">
        <v>223</v>
      </c>
      <c r="B473" s="352" t="s">
        <v>1205</v>
      </c>
      <c r="C473" s="352" t="s">
        <v>1104</v>
      </c>
      <c r="D473" s="355" t="s">
        <v>1105</v>
      </c>
      <c r="E473" s="367">
        <v>45099</v>
      </c>
      <c r="F473" s="364">
        <v>45100</v>
      </c>
      <c r="G473" s="364">
        <v>45100</v>
      </c>
      <c r="H473" s="364">
        <v>45100</v>
      </c>
      <c r="I473" s="394">
        <v>45100</v>
      </c>
      <c r="J473" s="387" t="s">
        <v>1206</v>
      </c>
      <c r="K473" s="387" t="s">
        <v>471</v>
      </c>
      <c r="L473" s="402">
        <v>4</v>
      </c>
      <c r="M473" s="352" t="s">
        <v>472</v>
      </c>
      <c r="N473" s="403">
        <v>70000</v>
      </c>
      <c r="O473" s="404">
        <v>280000</v>
      </c>
      <c r="P473" s="421">
        <v>7</v>
      </c>
      <c r="Q473" s="433" t="s">
        <v>921</v>
      </c>
      <c r="R473" s="437">
        <v>240000</v>
      </c>
      <c r="S473" s="274">
        <f t="shared" si="52"/>
        <v>288000</v>
      </c>
      <c r="T473" s="439" t="s">
        <v>10</v>
      </c>
      <c r="U473" s="460" t="str">
        <f t="shared" si="53"/>
        <v>UD. USAHA JAYA</v>
      </c>
      <c r="V473" s="439" t="s">
        <v>11</v>
      </c>
      <c r="W473" s="439" t="s">
        <v>473</v>
      </c>
      <c r="X473" s="439" t="s">
        <v>709</v>
      </c>
      <c r="Y473" s="275" t="s">
        <v>710</v>
      </c>
      <c r="Z473" s="449" t="s">
        <v>710</v>
      </c>
      <c r="AA473" s="440" t="s">
        <v>488</v>
      </c>
      <c r="AB473" s="441">
        <f t="shared" si="54"/>
        <v>63063.063063063062</v>
      </c>
      <c r="AC473" s="442">
        <f t="shared" si="55"/>
        <v>252252.25225225225</v>
      </c>
      <c r="AD473" s="437">
        <v>240000</v>
      </c>
      <c r="AE473" s="447">
        <v>3621621.6216216222</v>
      </c>
      <c r="AF473" s="447">
        <v>4020000</v>
      </c>
      <c r="AG473" s="437">
        <v>240000</v>
      </c>
      <c r="AH473" s="271" t="s">
        <v>2092</v>
      </c>
    </row>
    <row r="474" spans="1:36" ht="25">
      <c r="A474" s="350">
        <v>223</v>
      </c>
      <c r="B474" s="352" t="s">
        <v>1215</v>
      </c>
      <c r="C474" s="352" t="s">
        <v>1104</v>
      </c>
      <c r="D474" s="355" t="s">
        <v>1105</v>
      </c>
      <c r="E474" s="367">
        <v>45099</v>
      </c>
      <c r="F474" s="364">
        <v>45100</v>
      </c>
      <c r="G474" s="364">
        <v>45100</v>
      </c>
      <c r="H474" s="364">
        <v>45100</v>
      </c>
      <c r="I474" s="394">
        <v>45100</v>
      </c>
      <c r="J474" s="387" t="s">
        <v>1216</v>
      </c>
      <c r="K474" s="352" t="s">
        <v>487</v>
      </c>
      <c r="L474" s="402">
        <v>70</v>
      </c>
      <c r="M474" s="352" t="s">
        <v>597</v>
      </c>
      <c r="N474" s="403">
        <v>15000</v>
      </c>
      <c r="O474" s="404">
        <v>1050000</v>
      </c>
      <c r="P474" s="421">
        <v>7</v>
      </c>
      <c r="Q474" s="433" t="s">
        <v>909</v>
      </c>
      <c r="R474" s="437">
        <v>5000</v>
      </c>
      <c r="S474" s="274">
        <f t="shared" si="52"/>
        <v>1190000</v>
      </c>
      <c r="T474" s="439" t="s">
        <v>10</v>
      </c>
      <c r="U474" s="460" t="str">
        <f t="shared" si="53"/>
        <v/>
      </c>
      <c r="V474" s="275" t="s">
        <v>11</v>
      </c>
      <c r="W474" s="439" t="s">
        <v>473</v>
      </c>
      <c r="X474" s="439" t="s">
        <v>709</v>
      </c>
      <c r="Y474" s="439" t="s">
        <v>710</v>
      </c>
      <c r="Z474" s="449" t="s">
        <v>710</v>
      </c>
      <c r="AA474" s="440" t="s">
        <v>728</v>
      </c>
      <c r="AB474" s="441">
        <f t="shared" si="54"/>
        <v>13513.513513513513</v>
      </c>
      <c r="AC474" s="442">
        <f t="shared" si="55"/>
        <v>945945.94594594592</v>
      </c>
      <c r="AD474" s="437">
        <v>5000</v>
      </c>
      <c r="AE474" s="447">
        <v>3621621.6216216222</v>
      </c>
      <c r="AF474" s="447">
        <v>4020000</v>
      </c>
      <c r="AG474" s="437">
        <v>5000</v>
      </c>
      <c r="AH474" s="271" t="s">
        <v>2092</v>
      </c>
    </row>
    <row r="475" spans="1:36" ht="37.5">
      <c r="A475" s="350">
        <v>224</v>
      </c>
      <c r="B475" s="352" t="s">
        <v>1207</v>
      </c>
      <c r="C475" s="352" t="s">
        <v>1104</v>
      </c>
      <c r="D475" s="355" t="s">
        <v>1105</v>
      </c>
      <c r="E475" s="367">
        <v>45099</v>
      </c>
      <c r="F475" s="364">
        <v>45100</v>
      </c>
      <c r="G475" s="364">
        <v>45100</v>
      </c>
      <c r="H475" s="364">
        <v>45100</v>
      </c>
      <c r="I475" s="394">
        <v>45100</v>
      </c>
      <c r="J475" s="387" t="s">
        <v>1208</v>
      </c>
      <c r="K475" s="387" t="s">
        <v>1209</v>
      </c>
      <c r="L475" s="402">
        <v>1000</v>
      </c>
      <c r="M475" s="352" t="s">
        <v>574</v>
      </c>
      <c r="N475" s="405">
        <v>300</v>
      </c>
      <c r="O475" s="404">
        <v>300000</v>
      </c>
      <c r="P475" s="421">
        <v>7</v>
      </c>
      <c r="Q475" s="433" t="s">
        <v>144</v>
      </c>
      <c r="R475" s="437">
        <v>25000</v>
      </c>
      <c r="S475" s="274">
        <f t="shared" si="52"/>
        <v>2300000</v>
      </c>
      <c r="T475" s="439" t="s">
        <v>227</v>
      </c>
      <c r="U475" s="460" t="str">
        <f t="shared" si="53"/>
        <v/>
      </c>
      <c r="V475" s="439" t="s">
        <v>1248</v>
      </c>
      <c r="W475" s="439" t="s">
        <v>540</v>
      </c>
      <c r="X475" s="439" t="s">
        <v>709</v>
      </c>
      <c r="Y475" s="439" t="s">
        <v>710</v>
      </c>
      <c r="Z475" s="449" t="s">
        <v>710</v>
      </c>
      <c r="AA475" s="440" t="s">
        <v>488</v>
      </c>
      <c r="AB475" s="441">
        <f t="shared" si="54"/>
        <v>270.27027027027026</v>
      </c>
      <c r="AC475" s="442">
        <f t="shared" si="55"/>
        <v>270270.27027027024</v>
      </c>
      <c r="AD475" s="437">
        <v>25000</v>
      </c>
      <c r="AE475" s="447">
        <v>3621621.6216216222</v>
      </c>
      <c r="AF475" s="447">
        <v>4020000</v>
      </c>
      <c r="AG475" s="437">
        <v>25000</v>
      </c>
      <c r="AH475" s="271" t="s">
        <v>2101</v>
      </c>
    </row>
    <row r="476" spans="1:36" ht="37.5">
      <c r="A476" s="350">
        <v>224</v>
      </c>
      <c r="B476" s="352" t="s">
        <v>1210</v>
      </c>
      <c r="C476" s="352" t="s">
        <v>1104</v>
      </c>
      <c r="D476" s="355" t="s">
        <v>1105</v>
      </c>
      <c r="E476" s="367">
        <v>45099</v>
      </c>
      <c r="F476" s="364">
        <v>45100</v>
      </c>
      <c r="G476" s="364">
        <v>45100</v>
      </c>
      <c r="H476" s="364">
        <v>45100</v>
      </c>
      <c r="I476" s="394">
        <v>45100</v>
      </c>
      <c r="J476" s="387" t="s">
        <v>1211</v>
      </c>
      <c r="K476" s="387" t="s">
        <v>1212</v>
      </c>
      <c r="L476" s="402">
        <v>55</v>
      </c>
      <c r="M476" s="352" t="s">
        <v>574</v>
      </c>
      <c r="N476" s="403">
        <v>5000</v>
      </c>
      <c r="O476" s="404">
        <v>275000</v>
      </c>
      <c r="P476" s="421">
        <v>7</v>
      </c>
      <c r="Q476" s="429" t="s">
        <v>903</v>
      </c>
      <c r="R476" s="437">
        <v>11000</v>
      </c>
      <c r="S476" s="274">
        <f t="shared" si="52"/>
        <v>385000</v>
      </c>
      <c r="T476" s="439" t="s">
        <v>227</v>
      </c>
      <c r="U476" s="460" t="str">
        <f t="shared" si="53"/>
        <v/>
      </c>
      <c r="V476" s="439" t="s">
        <v>1248</v>
      </c>
      <c r="W476" s="439" t="s">
        <v>540</v>
      </c>
      <c r="X476" s="439" t="s">
        <v>709</v>
      </c>
      <c r="Y476" s="439" t="s">
        <v>710</v>
      </c>
      <c r="Z476" s="449" t="s">
        <v>710</v>
      </c>
      <c r="AA476" s="440" t="s">
        <v>574</v>
      </c>
      <c r="AB476" s="441">
        <f t="shared" si="54"/>
        <v>4504.5045045045044</v>
      </c>
      <c r="AC476" s="442">
        <f t="shared" si="55"/>
        <v>247747.74774774775</v>
      </c>
      <c r="AD476" s="437">
        <v>11000</v>
      </c>
      <c r="AE476" s="447">
        <v>3621621.6216216222</v>
      </c>
      <c r="AF476" s="447">
        <v>4020000</v>
      </c>
      <c r="AG476" s="437">
        <v>11000</v>
      </c>
      <c r="AH476" s="271" t="s">
        <v>2101</v>
      </c>
    </row>
    <row r="477" spans="1:36">
      <c r="A477" s="350">
        <v>225</v>
      </c>
      <c r="B477" s="352" t="s">
        <v>1217</v>
      </c>
      <c r="C477" s="352" t="s">
        <v>1218</v>
      </c>
      <c r="D477" s="355" t="s">
        <v>1219</v>
      </c>
      <c r="E477" s="367">
        <v>45099</v>
      </c>
      <c r="F477" s="364">
        <v>45100</v>
      </c>
      <c r="G477" s="364">
        <v>45100</v>
      </c>
      <c r="H477" s="364">
        <v>45100</v>
      </c>
      <c r="I477" s="394">
        <v>45100</v>
      </c>
      <c r="J477" s="387" t="s">
        <v>1220</v>
      </c>
      <c r="K477" s="387" t="s">
        <v>1221</v>
      </c>
      <c r="L477" s="402">
        <v>1</v>
      </c>
      <c r="M477" s="352" t="s">
        <v>753</v>
      </c>
      <c r="N477" s="403">
        <v>1000000</v>
      </c>
      <c r="O477" s="404">
        <v>1000000</v>
      </c>
      <c r="P477" s="421">
        <v>9</v>
      </c>
      <c r="Q477" s="428" t="s">
        <v>575</v>
      </c>
      <c r="R477" s="437">
        <v>189000</v>
      </c>
      <c r="S477" s="274">
        <f t="shared" si="52"/>
        <v>1002000</v>
      </c>
      <c r="T477" s="275"/>
      <c r="U477" s="460" t="str">
        <f t="shared" si="53"/>
        <v/>
      </c>
      <c r="V477" s="439"/>
      <c r="W477" s="439"/>
      <c r="X477" s="445" t="s">
        <v>541</v>
      </c>
      <c r="Y477" s="439" t="str">
        <f>J477</f>
        <v>Jasa Pengiriman Urusan Administrasi Sekolah</v>
      </c>
      <c r="Z477" s="449" t="str">
        <f>K477</f>
        <v>Biaya Pengiriman Berkas Sekolah</v>
      </c>
      <c r="AA477" s="440" t="s">
        <v>472</v>
      </c>
      <c r="AB477" s="441">
        <f t="shared" si="54"/>
        <v>900900.90090090095</v>
      </c>
      <c r="AC477" s="442">
        <f t="shared" si="55"/>
        <v>900900.90090090095</v>
      </c>
      <c r="AD477" s="437">
        <v>189000</v>
      </c>
      <c r="AE477" s="447">
        <v>1210810.8108108107</v>
      </c>
      <c r="AF477" s="447">
        <v>1344000</v>
      </c>
      <c r="AG477" s="437">
        <v>189000</v>
      </c>
      <c r="AI477" s="277">
        <f>SUM(AC477:AC478)</f>
        <v>7927927.927927929</v>
      </c>
      <c r="AJ477" s="277">
        <f>SUM(AD477:AD478)</f>
        <v>1344000</v>
      </c>
    </row>
    <row r="478" spans="1:36">
      <c r="A478" s="350">
        <v>227</v>
      </c>
      <c r="B478" s="352" t="s">
        <v>1226</v>
      </c>
      <c r="C478" s="352" t="s">
        <v>1126</v>
      </c>
      <c r="D478" s="355" t="s">
        <v>1127</v>
      </c>
      <c r="E478" s="367">
        <v>45097</v>
      </c>
      <c r="F478" s="364">
        <v>45098</v>
      </c>
      <c r="G478" s="364">
        <v>45098</v>
      </c>
      <c r="H478" s="364">
        <v>45098</v>
      </c>
      <c r="I478" s="394">
        <v>45103</v>
      </c>
      <c r="J478" s="387" t="s">
        <v>1227</v>
      </c>
      <c r="K478" s="388" t="s">
        <v>1228</v>
      </c>
      <c r="L478" s="402">
        <v>5</v>
      </c>
      <c r="M478" s="352" t="s">
        <v>232</v>
      </c>
      <c r="N478" s="403">
        <v>1560000</v>
      </c>
      <c r="O478" s="404">
        <v>7800000</v>
      </c>
      <c r="P478" s="421">
        <v>9</v>
      </c>
      <c r="Q478" s="428" t="s">
        <v>575</v>
      </c>
      <c r="R478" s="437">
        <v>1155000</v>
      </c>
      <c r="S478" s="274">
        <f t="shared" si="52"/>
        <v>7810000</v>
      </c>
      <c r="T478" s="439" t="s">
        <v>2094</v>
      </c>
      <c r="U478" s="460" t="str">
        <f t="shared" si="53"/>
        <v/>
      </c>
      <c r="V478" s="439" t="s">
        <v>2095</v>
      </c>
      <c r="W478" s="439" t="s">
        <v>2096</v>
      </c>
      <c r="X478" s="445" t="s">
        <v>541</v>
      </c>
      <c r="Y478" s="439" t="str">
        <f>J478</f>
        <v>Kursi Biasa</v>
      </c>
      <c r="Z478" s="449" t="str">
        <f>K478</f>
        <v>Kursi Biasa Twin Pan</v>
      </c>
      <c r="AA478" s="440" t="s">
        <v>574</v>
      </c>
      <c r="AB478" s="441">
        <f t="shared" si="54"/>
        <v>1405405.4054054054</v>
      </c>
      <c r="AC478" s="442">
        <f t="shared" si="55"/>
        <v>7027027.0270270277</v>
      </c>
      <c r="AD478" s="437">
        <v>1155000</v>
      </c>
      <c r="AE478" s="447">
        <v>1210810.8108108107</v>
      </c>
      <c r="AF478" s="447">
        <v>1344000</v>
      </c>
      <c r="AG478" s="437">
        <v>1155000</v>
      </c>
      <c r="AH478" s="271" t="s">
        <v>2102</v>
      </c>
    </row>
    <row r="479" spans="1:36">
      <c r="A479" s="350">
        <v>228</v>
      </c>
      <c r="B479" s="352" t="s">
        <v>1234</v>
      </c>
      <c r="C479" s="354" t="s">
        <v>1235</v>
      </c>
      <c r="D479" s="355" t="s">
        <v>694</v>
      </c>
      <c r="E479" s="368">
        <v>45109</v>
      </c>
      <c r="F479" s="362">
        <v>45110</v>
      </c>
      <c r="G479" s="362">
        <v>45110</v>
      </c>
      <c r="H479" s="362">
        <v>45110</v>
      </c>
      <c r="I479" s="394">
        <v>45110</v>
      </c>
      <c r="J479" s="354" t="s">
        <v>1236</v>
      </c>
      <c r="K479" s="387" t="s">
        <v>1237</v>
      </c>
      <c r="L479" s="402">
        <v>10</v>
      </c>
      <c r="M479" s="352" t="s">
        <v>488</v>
      </c>
      <c r="N479" s="403">
        <v>20000</v>
      </c>
      <c r="O479" s="404">
        <v>200000</v>
      </c>
      <c r="P479" s="421">
        <v>7</v>
      </c>
      <c r="Q479" s="275"/>
      <c r="R479" s="437">
        <v>300000</v>
      </c>
      <c r="S479" s="274">
        <f t="shared" si="52"/>
        <v>220000</v>
      </c>
      <c r="T479" s="439" t="s">
        <v>12</v>
      </c>
      <c r="U479" s="460" t="str">
        <f t="shared" si="53"/>
        <v/>
      </c>
      <c r="V479" s="439" t="s">
        <v>13</v>
      </c>
      <c r="W479" s="439" t="s">
        <v>804</v>
      </c>
      <c r="X479" s="439" t="s">
        <v>709</v>
      </c>
      <c r="Y479" s="439" t="str">
        <f>J479</f>
        <v>Kuas</v>
      </c>
      <c r="Z479" s="449"/>
      <c r="AA479" s="440" t="s">
        <v>488</v>
      </c>
      <c r="AB479" s="441">
        <f t="shared" si="54"/>
        <v>18018.018018018018</v>
      </c>
      <c r="AC479" s="442">
        <f t="shared" si="55"/>
        <v>180180.18018018018</v>
      </c>
      <c r="AD479" s="437">
        <v>300000</v>
      </c>
      <c r="AE479" s="447">
        <v>270270.2702702703</v>
      </c>
      <c r="AF479" s="447">
        <v>300000</v>
      </c>
      <c r="AG479" s="437">
        <v>300000</v>
      </c>
      <c r="AH479" s="271" t="s">
        <v>2099</v>
      </c>
    </row>
    <row r="480" spans="1:36">
      <c r="A480" s="350">
        <v>228</v>
      </c>
      <c r="B480" s="352" t="s">
        <v>1234</v>
      </c>
      <c r="C480" s="354" t="s">
        <v>1235</v>
      </c>
      <c r="D480" s="355" t="s">
        <v>694</v>
      </c>
      <c r="E480" s="368">
        <v>45109</v>
      </c>
      <c r="F480" s="362">
        <v>45110</v>
      </c>
      <c r="G480" s="362">
        <v>45110</v>
      </c>
      <c r="H480" s="362">
        <v>45110</v>
      </c>
      <c r="I480" s="394">
        <v>45110</v>
      </c>
      <c r="J480" s="354" t="s">
        <v>1238</v>
      </c>
      <c r="K480" s="387" t="s">
        <v>1239</v>
      </c>
      <c r="L480" s="402">
        <v>4</v>
      </c>
      <c r="M480" s="352" t="s">
        <v>488</v>
      </c>
      <c r="N480" s="403">
        <v>45000</v>
      </c>
      <c r="O480" s="404">
        <v>180000</v>
      </c>
      <c r="P480" s="421">
        <v>7</v>
      </c>
      <c r="Q480" s="275"/>
      <c r="R480" s="437">
        <v>200000</v>
      </c>
      <c r="S480" s="274">
        <f t="shared" si="52"/>
        <v>188000</v>
      </c>
      <c r="T480" s="439" t="s">
        <v>12</v>
      </c>
      <c r="U480" s="460" t="str">
        <f t="shared" si="53"/>
        <v/>
      </c>
      <c r="V480" s="439" t="s">
        <v>13</v>
      </c>
      <c r="W480" s="439" t="s">
        <v>804</v>
      </c>
      <c r="X480" s="439" t="s">
        <v>709</v>
      </c>
      <c r="Y480" s="439" t="s">
        <v>542</v>
      </c>
      <c r="Z480" s="449" t="s">
        <v>542</v>
      </c>
      <c r="AA480" s="440" t="s">
        <v>488</v>
      </c>
      <c r="AB480" s="441">
        <f t="shared" si="54"/>
        <v>40540.54054054054</v>
      </c>
      <c r="AC480" s="442">
        <f t="shared" si="55"/>
        <v>162162.16216216216</v>
      </c>
      <c r="AD480" s="437">
        <v>200000</v>
      </c>
      <c r="AE480" s="447">
        <v>8135135.1351351347</v>
      </c>
      <c r="AF480" s="447">
        <v>9030000</v>
      </c>
      <c r="AG480" s="437">
        <v>200000</v>
      </c>
      <c r="AH480" s="271" t="s">
        <v>2099</v>
      </c>
      <c r="AI480" s="277">
        <f>SUM(AC480:AC490)</f>
        <v>13435135.135135137</v>
      </c>
      <c r="AJ480" s="277">
        <f>SUM(AD480:AD490)</f>
        <v>9030000</v>
      </c>
    </row>
    <row r="481" spans="1:36">
      <c r="A481" s="350">
        <v>228</v>
      </c>
      <c r="B481" s="352" t="s">
        <v>1234</v>
      </c>
      <c r="C481" s="354" t="s">
        <v>1235</v>
      </c>
      <c r="D481" s="355" t="s">
        <v>694</v>
      </c>
      <c r="E481" s="368">
        <v>45109</v>
      </c>
      <c r="F481" s="362">
        <v>45110</v>
      </c>
      <c r="G481" s="362">
        <v>45110</v>
      </c>
      <c r="H481" s="362">
        <v>45110</v>
      </c>
      <c r="I481" s="394">
        <v>45110</v>
      </c>
      <c r="J481" s="354" t="s">
        <v>1240</v>
      </c>
      <c r="K481" s="387" t="s">
        <v>1241</v>
      </c>
      <c r="L481" s="402">
        <v>10</v>
      </c>
      <c r="M481" s="352" t="s">
        <v>1242</v>
      </c>
      <c r="N481" s="403">
        <v>1040000</v>
      </c>
      <c r="O481" s="404">
        <v>10400000</v>
      </c>
      <c r="P481" s="421">
        <v>7</v>
      </c>
      <c r="Q481" s="431" t="s">
        <v>537</v>
      </c>
      <c r="R481" s="437">
        <v>240000</v>
      </c>
      <c r="S481" s="274">
        <f t="shared" si="52"/>
        <v>10420000</v>
      </c>
      <c r="T481" s="439" t="s">
        <v>12</v>
      </c>
      <c r="U481" s="460" t="str">
        <f t="shared" si="53"/>
        <v/>
      </c>
      <c r="V481" s="439" t="s">
        <v>13</v>
      </c>
      <c r="W481" s="439" t="s">
        <v>804</v>
      </c>
      <c r="X481" s="439" t="s">
        <v>709</v>
      </c>
      <c r="Y481" s="439" t="s">
        <v>542</v>
      </c>
      <c r="Z481" s="449" t="s">
        <v>542</v>
      </c>
      <c r="AA481" s="440" t="s">
        <v>551</v>
      </c>
      <c r="AB481" s="441">
        <f t="shared" si="54"/>
        <v>936936.93693693692</v>
      </c>
      <c r="AC481" s="442">
        <f t="shared" si="55"/>
        <v>9369369.369369369</v>
      </c>
      <c r="AD481" s="437">
        <v>240000</v>
      </c>
      <c r="AE481" s="447">
        <v>8135135.1351351347</v>
      </c>
      <c r="AF481" s="447">
        <v>9030000</v>
      </c>
      <c r="AG481" s="437">
        <v>240000</v>
      </c>
      <c r="AH481" s="271" t="s">
        <v>2099</v>
      </c>
    </row>
    <row r="482" spans="1:36">
      <c r="A482" s="350">
        <v>229</v>
      </c>
      <c r="B482" s="352" t="s">
        <v>1243</v>
      </c>
      <c r="C482" s="354" t="s">
        <v>1131</v>
      </c>
      <c r="D482" s="355" t="s">
        <v>694</v>
      </c>
      <c r="E482" s="368">
        <v>45109</v>
      </c>
      <c r="F482" s="362">
        <v>45109</v>
      </c>
      <c r="G482" s="362">
        <v>45109</v>
      </c>
      <c r="H482" s="362">
        <v>45109</v>
      </c>
      <c r="I482" s="394">
        <v>45110</v>
      </c>
      <c r="J482" s="354" t="s">
        <v>1244</v>
      </c>
      <c r="K482" s="387" t="s">
        <v>1245</v>
      </c>
      <c r="L482" s="402">
        <v>2</v>
      </c>
      <c r="M482" s="352" t="s">
        <v>574</v>
      </c>
      <c r="N482" s="403">
        <v>1400000</v>
      </c>
      <c r="O482" s="404">
        <v>2800000</v>
      </c>
      <c r="P482" s="421">
        <v>7</v>
      </c>
      <c r="Q482" s="430" t="s">
        <v>668</v>
      </c>
      <c r="R482" s="437">
        <v>90000</v>
      </c>
      <c r="S482" s="274">
        <f t="shared" si="52"/>
        <v>2804000</v>
      </c>
      <c r="T482" s="439" t="s">
        <v>12</v>
      </c>
      <c r="U482" s="460" t="str">
        <f t="shared" si="53"/>
        <v/>
      </c>
      <c r="V482" s="439" t="s">
        <v>13</v>
      </c>
      <c r="W482" s="439" t="s">
        <v>804</v>
      </c>
      <c r="X482" s="439" t="s">
        <v>709</v>
      </c>
      <c r="Y482" s="439" t="s">
        <v>542</v>
      </c>
      <c r="Z482" s="449" t="s">
        <v>542</v>
      </c>
      <c r="AA482" s="440" t="s">
        <v>488</v>
      </c>
      <c r="AB482" s="441">
        <f t="shared" si="54"/>
        <v>1261261.2612612613</v>
      </c>
      <c r="AC482" s="442">
        <f t="shared" si="55"/>
        <v>2522522.5225225226</v>
      </c>
      <c r="AD482" s="437">
        <v>90000</v>
      </c>
      <c r="AE482" s="447">
        <v>8135135.1351351347</v>
      </c>
      <c r="AF482" s="447">
        <v>9030000</v>
      </c>
      <c r="AG482" s="437">
        <v>90000</v>
      </c>
      <c r="AH482" s="271" t="s">
        <v>2099</v>
      </c>
    </row>
    <row r="483" spans="1:36">
      <c r="A483" s="350">
        <v>301</v>
      </c>
      <c r="B483" s="352" t="s">
        <v>1273</v>
      </c>
      <c r="C483" s="354" t="s">
        <v>1274</v>
      </c>
      <c r="D483" s="355" t="s">
        <v>1275</v>
      </c>
      <c r="E483" s="368">
        <v>45109</v>
      </c>
      <c r="F483" s="365">
        <v>45110</v>
      </c>
      <c r="G483" s="365">
        <v>45110</v>
      </c>
      <c r="H483" s="365">
        <v>45110</v>
      </c>
      <c r="I483" s="394">
        <v>45110</v>
      </c>
      <c r="J483" s="354" t="s">
        <v>1276</v>
      </c>
      <c r="K483" s="388" t="s">
        <v>1277</v>
      </c>
      <c r="L483" s="402">
        <v>5</v>
      </c>
      <c r="M483" s="352" t="s">
        <v>792</v>
      </c>
      <c r="N483" s="403">
        <v>190000</v>
      </c>
      <c r="O483" s="404">
        <v>950000</v>
      </c>
      <c r="P483" s="421">
        <v>7</v>
      </c>
      <c r="Q483" s="275"/>
      <c r="R483" s="437">
        <v>370000</v>
      </c>
      <c r="S483" s="274">
        <f t="shared" si="52"/>
        <v>960000</v>
      </c>
      <c r="T483" s="439" t="s">
        <v>12</v>
      </c>
      <c r="U483" s="460" t="str">
        <f t="shared" si="53"/>
        <v/>
      </c>
      <c r="V483" s="439" t="s">
        <v>13</v>
      </c>
      <c r="W483" s="439" t="s">
        <v>804</v>
      </c>
      <c r="X483" s="439" t="s">
        <v>709</v>
      </c>
      <c r="Y483" s="439" t="s">
        <v>542</v>
      </c>
      <c r="Z483" s="449" t="s">
        <v>542</v>
      </c>
      <c r="AA483" s="440" t="s">
        <v>488</v>
      </c>
      <c r="AB483" s="441">
        <f t="shared" si="54"/>
        <v>171171.17117117118</v>
      </c>
      <c r="AC483" s="442">
        <f t="shared" si="55"/>
        <v>855855.85585585586</v>
      </c>
      <c r="AD483" s="437">
        <v>370000</v>
      </c>
      <c r="AE483" s="447">
        <v>8135135.1351351347</v>
      </c>
      <c r="AF483" s="447">
        <v>9030000</v>
      </c>
      <c r="AG483" s="437">
        <v>370000</v>
      </c>
      <c r="AH483" s="271" t="s">
        <v>2099</v>
      </c>
    </row>
    <row r="484" spans="1:36">
      <c r="A484" s="350">
        <v>302</v>
      </c>
      <c r="B484" s="352" t="s">
        <v>1247</v>
      </c>
      <c r="C484" s="354" t="s">
        <v>704</v>
      </c>
      <c r="D484" s="355" t="s">
        <v>705</v>
      </c>
      <c r="E484" s="368">
        <v>45114</v>
      </c>
      <c r="F484" s="362">
        <v>45115</v>
      </c>
      <c r="G484" s="362">
        <v>45115</v>
      </c>
      <c r="H484" s="362">
        <v>45115</v>
      </c>
      <c r="I484" s="394">
        <v>45115</v>
      </c>
      <c r="J484" s="354" t="s">
        <v>711</v>
      </c>
      <c r="K484" s="387" t="s">
        <v>738</v>
      </c>
      <c r="L484" s="402">
        <v>1</v>
      </c>
      <c r="M484" s="352" t="s">
        <v>488</v>
      </c>
      <c r="N484" s="403">
        <v>20000</v>
      </c>
      <c r="O484" s="404">
        <v>20000</v>
      </c>
      <c r="P484" s="421">
        <v>7</v>
      </c>
      <c r="Q484" s="275"/>
      <c r="R484" s="437">
        <v>1125000</v>
      </c>
      <c r="S484" s="274">
        <f t="shared" si="52"/>
        <v>22000</v>
      </c>
      <c r="T484" s="439" t="s">
        <v>227</v>
      </c>
      <c r="U484" s="460" t="str">
        <f t="shared" si="53"/>
        <v/>
      </c>
      <c r="V484" s="439" t="s">
        <v>1248</v>
      </c>
      <c r="W484" s="439" t="s">
        <v>540</v>
      </c>
      <c r="X484" s="439" t="s">
        <v>709</v>
      </c>
      <c r="Y484" s="439" t="s">
        <v>542</v>
      </c>
      <c r="Z484" s="449" t="s">
        <v>542</v>
      </c>
      <c r="AA484" s="440" t="s">
        <v>488</v>
      </c>
      <c r="AB484" s="441">
        <f t="shared" si="54"/>
        <v>18018.018018018018</v>
      </c>
      <c r="AC484" s="442">
        <f t="shared" si="55"/>
        <v>18018.018018018018</v>
      </c>
      <c r="AD484" s="437">
        <v>1125000</v>
      </c>
      <c r="AE484" s="447">
        <v>8135135.1351351347</v>
      </c>
      <c r="AF484" s="447">
        <v>9030000</v>
      </c>
      <c r="AG484" s="437">
        <v>1125000</v>
      </c>
      <c r="AH484" s="271" t="s">
        <v>2101</v>
      </c>
    </row>
    <row r="485" spans="1:36" ht="25">
      <c r="A485" s="350">
        <v>302</v>
      </c>
      <c r="B485" s="352" t="s">
        <v>1247</v>
      </c>
      <c r="C485" s="354" t="s">
        <v>704</v>
      </c>
      <c r="D485" s="355" t="s">
        <v>705</v>
      </c>
      <c r="E485" s="368">
        <v>45114</v>
      </c>
      <c r="F485" s="362">
        <v>45115</v>
      </c>
      <c r="G485" s="362">
        <v>45115</v>
      </c>
      <c r="H485" s="362">
        <v>45115</v>
      </c>
      <c r="I485" s="394">
        <v>45115</v>
      </c>
      <c r="J485" s="354" t="s">
        <v>781</v>
      </c>
      <c r="K485" s="387" t="s">
        <v>781</v>
      </c>
      <c r="L485" s="402">
        <v>2</v>
      </c>
      <c r="M485" s="352" t="s">
        <v>551</v>
      </c>
      <c r="N485" s="403">
        <v>95000</v>
      </c>
      <c r="O485" s="404">
        <v>190000</v>
      </c>
      <c r="P485" s="421">
        <v>7</v>
      </c>
      <c r="Q485" s="275"/>
      <c r="R485" s="437">
        <v>1720000</v>
      </c>
      <c r="S485" s="274">
        <f t="shared" si="52"/>
        <v>194000</v>
      </c>
      <c r="T485" s="439" t="s">
        <v>227</v>
      </c>
      <c r="U485" s="460" t="str">
        <f t="shared" si="53"/>
        <v/>
      </c>
      <c r="V485" s="439" t="s">
        <v>1248</v>
      </c>
      <c r="W485" s="439" t="s">
        <v>540</v>
      </c>
      <c r="X485" s="439" t="s">
        <v>709</v>
      </c>
      <c r="Y485" s="439" t="s">
        <v>542</v>
      </c>
      <c r="Z485" s="449" t="s">
        <v>542</v>
      </c>
      <c r="AA485" s="440" t="s">
        <v>667</v>
      </c>
      <c r="AB485" s="441">
        <f t="shared" si="54"/>
        <v>85585.585585585592</v>
      </c>
      <c r="AC485" s="442">
        <f t="shared" si="55"/>
        <v>171171.17117117118</v>
      </c>
      <c r="AD485" s="437">
        <v>1720000</v>
      </c>
      <c r="AE485" s="447">
        <v>8135135.1351351347</v>
      </c>
      <c r="AF485" s="447">
        <v>9030000</v>
      </c>
      <c r="AG485" s="437">
        <v>1720000</v>
      </c>
      <c r="AH485" s="271" t="s">
        <v>2101</v>
      </c>
    </row>
    <row r="486" spans="1:36" ht="25">
      <c r="A486" s="350">
        <v>302</v>
      </c>
      <c r="B486" s="352" t="s">
        <v>1247</v>
      </c>
      <c r="C486" s="352" t="s">
        <v>704</v>
      </c>
      <c r="D486" s="355" t="s">
        <v>705</v>
      </c>
      <c r="E486" s="368">
        <v>45114</v>
      </c>
      <c r="F486" s="362">
        <v>45115</v>
      </c>
      <c r="G486" s="362">
        <v>45115</v>
      </c>
      <c r="H486" s="362">
        <v>45115</v>
      </c>
      <c r="I486" s="394">
        <v>45115</v>
      </c>
      <c r="J486" s="387" t="s">
        <v>261</v>
      </c>
      <c r="K486" s="387" t="s">
        <v>261</v>
      </c>
      <c r="L486" s="402">
        <v>12</v>
      </c>
      <c r="M486" s="352" t="s">
        <v>667</v>
      </c>
      <c r="N486" s="403">
        <v>20000</v>
      </c>
      <c r="O486" s="404">
        <v>240000</v>
      </c>
      <c r="P486" s="421">
        <v>7</v>
      </c>
      <c r="Q486" s="275"/>
      <c r="R486" s="437">
        <v>330000</v>
      </c>
      <c r="S486" s="274">
        <f t="shared" si="52"/>
        <v>264000</v>
      </c>
      <c r="T486" s="439" t="s">
        <v>227</v>
      </c>
      <c r="U486" s="460" t="str">
        <f t="shared" si="53"/>
        <v/>
      </c>
      <c r="V486" s="439" t="s">
        <v>1248</v>
      </c>
      <c r="W486" s="439" t="s">
        <v>540</v>
      </c>
      <c r="X486" s="439" t="s">
        <v>709</v>
      </c>
      <c r="Y486" s="439" t="s">
        <v>542</v>
      </c>
      <c r="Z486" s="449" t="s">
        <v>542</v>
      </c>
      <c r="AA486" s="440" t="s">
        <v>244</v>
      </c>
      <c r="AB486" s="441">
        <f t="shared" si="54"/>
        <v>18018.018018018018</v>
      </c>
      <c r="AC486" s="442">
        <f t="shared" si="55"/>
        <v>216216.21621621621</v>
      </c>
      <c r="AD486" s="437">
        <v>330000</v>
      </c>
      <c r="AE486" s="447">
        <v>8135135.1351351347</v>
      </c>
      <c r="AF486" s="447">
        <v>9030000</v>
      </c>
      <c r="AG486" s="437">
        <v>330000</v>
      </c>
      <c r="AH486" s="271" t="s">
        <v>2101</v>
      </c>
    </row>
    <row r="487" spans="1:36">
      <c r="A487" s="350">
        <v>302</v>
      </c>
      <c r="B487" s="352" t="s">
        <v>1247</v>
      </c>
      <c r="C487" s="352" t="s">
        <v>704</v>
      </c>
      <c r="D487" s="355" t="s">
        <v>705</v>
      </c>
      <c r="E487" s="368">
        <v>45114</v>
      </c>
      <c r="F487" s="362">
        <v>45115</v>
      </c>
      <c r="G487" s="362">
        <v>45115</v>
      </c>
      <c r="H487" s="362">
        <v>45115</v>
      </c>
      <c r="I487" s="394">
        <v>45115</v>
      </c>
      <c r="J487" s="387" t="s">
        <v>235</v>
      </c>
      <c r="K487" s="388" t="s">
        <v>884</v>
      </c>
      <c r="L487" s="402">
        <v>1</v>
      </c>
      <c r="M487" s="352" t="s">
        <v>488</v>
      </c>
      <c r="N487" s="403">
        <v>17000</v>
      </c>
      <c r="O487" s="404">
        <v>17000</v>
      </c>
      <c r="P487" s="421">
        <v>7</v>
      </c>
      <c r="Q487" s="275"/>
      <c r="R487" s="437">
        <v>705000</v>
      </c>
      <c r="S487" s="274">
        <f t="shared" si="52"/>
        <v>19000</v>
      </c>
      <c r="T487" s="439" t="s">
        <v>227</v>
      </c>
      <c r="U487" s="460" t="str">
        <f t="shared" si="53"/>
        <v/>
      </c>
      <c r="V487" s="439" t="s">
        <v>1248</v>
      </c>
      <c r="W487" s="439" t="s">
        <v>540</v>
      </c>
      <c r="X487" s="439" t="s">
        <v>709</v>
      </c>
      <c r="Y487" s="439" t="s">
        <v>542</v>
      </c>
      <c r="Z487" s="449" t="s">
        <v>542</v>
      </c>
      <c r="AA487" s="440" t="s">
        <v>488</v>
      </c>
      <c r="AB487" s="441">
        <f t="shared" si="54"/>
        <v>15315.315315315316</v>
      </c>
      <c r="AC487" s="442">
        <f t="shared" si="55"/>
        <v>15315.315315315316</v>
      </c>
      <c r="AD487" s="437">
        <v>705000</v>
      </c>
      <c r="AE487" s="447">
        <v>8135135.1351351347</v>
      </c>
      <c r="AF487" s="447">
        <v>9030000</v>
      </c>
      <c r="AG487" s="437">
        <v>705000</v>
      </c>
      <c r="AH487" s="271" t="s">
        <v>2101</v>
      </c>
    </row>
    <row r="488" spans="1:36">
      <c r="A488" s="350">
        <v>302</v>
      </c>
      <c r="B488" s="352" t="s">
        <v>1247</v>
      </c>
      <c r="C488" s="352" t="s">
        <v>704</v>
      </c>
      <c r="D488" s="355" t="s">
        <v>705</v>
      </c>
      <c r="E488" s="368">
        <v>45114</v>
      </c>
      <c r="F488" s="362">
        <v>45115</v>
      </c>
      <c r="G488" s="362">
        <v>45115</v>
      </c>
      <c r="H488" s="362">
        <v>45115</v>
      </c>
      <c r="I488" s="394">
        <v>45115</v>
      </c>
      <c r="J488" s="387" t="s">
        <v>253</v>
      </c>
      <c r="K488" s="387" t="s">
        <v>719</v>
      </c>
      <c r="L488" s="402">
        <v>1</v>
      </c>
      <c r="M488" s="352" t="s">
        <v>720</v>
      </c>
      <c r="N488" s="403">
        <v>20000</v>
      </c>
      <c r="O488" s="404">
        <v>20000</v>
      </c>
      <c r="P488" s="421">
        <v>7</v>
      </c>
      <c r="Q488" s="275"/>
      <c r="R488" s="437">
        <v>3900000</v>
      </c>
      <c r="S488" s="274">
        <f t="shared" si="52"/>
        <v>22000</v>
      </c>
      <c r="T488" s="439" t="s">
        <v>227</v>
      </c>
      <c r="U488" s="460" t="str">
        <f t="shared" si="53"/>
        <v/>
      </c>
      <c r="V488" s="439" t="s">
        <v>1248</v>
      </c>
      <c r="W488" s="439" t="s">
        <v>540</v>
      </c>
      <c r="X488" s="439" t="s">
        <v>709</v>
      </c>
      <c r="Y488" s="439" t="s">
        <v>542</v>
      </c>
      <c r="Z488" s="449" t="s">
        <v>542</v>
      </c>
      <c r="AA488" s="440" t="s">
        <v>488</v>
      </c>
      <c r="AB488" s="441">
        <f t="shared" si="54"/>
        <v>18018.018018018018</v>
      </c>
      <c r="AC488" s="442">
        <f t="shared" si="55"/>
        <v>18018.018018018018</v>
      </c>
      <c r="AD488" s="437">
        <v>3900000</v>
      </c>
      <c r="AE488" s="447">
        <v>8135135.1351351347</v>
      </c>
      <c r="AF488" s="447">
        <v>9030000</v>
      </c>
      <c r="AG488" s="437">
        <v>3900000</v>
      </c>
      <c r="AH488" s="271" t="s">
        <v>2101</v>
      </c>
    </row>
    <row r="489" spans="1:36" ht="25">
      <c r="A489" s="350">
        <v>302</v>
      </c>
      <c r="B489" s="352" t="s">
        <v>1247</v>
      </c>
      <c r="C489" s="352" t="s">
        <v>704</v>
      </c>
      <c r="D489" s="355" t="s">
        <v>705</v>
      </c>
      <c r="E489" s="368">
        <v>45114</v>
      </c>
      <c r="F489" s="362">
        <v>45115</v>
      </c>
      <c r="G489" s="362">
        <v>45115</v>
      </c>
      <c r="H489" s="362">
        <v>45115</v>
      </c>
      <c r="I489" s="394">
        <v>45115</v>
      </c>
      <c r="J489" s="387" t="s">
        <v>1249</v>
      </c>
      <c r="K489" s="387" t="s">
        <v>894</v>
      </c>
      <c r="L489" s="402">
        <v>2</v>
      </c>
      <c r="M489" s="352" t="s">
        <v>597</v>
      </c>
      <c r="N489" s="403">
        <v>28000</v>
      </c>
      <c r="O489" s="404">
        <v>56000</v>
      </c>
      <c r="P489" s="421">
        <v>7</v>
      </c>
      <c r="Q489" s="275"/>
      <c r="R489" s="437">
        <v>250000</v>
      </c>
      <c r="S489" s="274">
        <f t="shared" si="52"/>
        <v>60000</v>
      </c>
      <c r="T489" s="439" t="s">
        <v>227</v>
      </c>
      <c r="U489" s="460" t="str">
        <f t="shared" si="53"/>
        <v/>
      </c>
      <c r="V489" s="439" t="s">
        <v>1248</v>
      </c>
      <c r="W489" s="439" t="s">
        <v>540</v>
      </c>
      <c r="X489" s="439" t="s">
        <v>709</v>
      </c>
      <c r="Y489" s="275" t="s">
        <v>542</v>
      </c>
      <c r="Z489" s="449" t="s">
        <v>542</v>
      </c>
      <c r="AA489" s="440" t="s">
        <v>488</v>
      </c>
      <c r="AB489" s="441">
        <f t="shared" si="54"/>
        <v>25225.225225225226</v>
      </c>
      <c r="AC489" s="442">
        <f t="shared" si="55"/>
        <v>50450.450450450451</v>
      </c>
      <c r="AD489" s="437">
        <v>250000</v>
      </c>
      <c r="AE489" s="447">
        <v>8135135.1351351347</v>
      </c>
      <c r="AF489" s="447">
        <v>9030000</v>
      </c>
      <c r="AG489" s="437">
        <v>250000</v>
      </c>
      <c r="AH489" s="271" t="s">
        <v>2101</v>
      </c>
    </row>
    <row r="490" spans="1:36" ht="25">
      <c r="A490" s="350">
        <v>302</v>
      </c>
      <c r="B490" s="352" t="s">
        <v>1247</v>
      </c>
      <c r="C490" s="352" t="s">
        <v>704</v>
      </c>
      <c r="D490" s="355" t="s">
        <v>705</v>
      </c>
      <c r="E490" s="368">
        <v>45114</v>
      </c>
      <c r="F490" s="362">
        <v>45115</v>
      </c>
      <c r="G490" s="362">
        <v>45115</v>
      </c>
      <c r="H490" s="362">
        <v>45115</v>
      </c>
      <c r="I490" s="394">
        <v>45115</v>
      </c>
      <c r="J490" s="387" t="s">
        <v>230</v>
      </c>
      <c r="K490" s="387" t="s">
        <v>230</v>
      </c>
      <c r="L490" s="402">
        <v>1</v>
      </c>
      <c r="M490" s="352" t="s">
        <v>728</v>
      </c>
      <c r="N490" s="403">
        <v>40000</v>
      </c>
      <c r="O490" s="404">
        <v>40000</v>
      </c>
      <c r="P490" s="421">
        <v>7</v>
      </c>
      <c r="Q490" s="275"/>
      <c r="R490" s="437">
        <v>100000</v>
      </c>
      <c r="S490" s="274">
        <f t="shared" si="52"/>
        <v>42000</v>
      </c>
      <c r="T490" s="439" t="s">
        <v>227</v>
      </c>
      <c r="U490" s="460" t="str">
        <f t="shared" si="53"/>
        <v/>
      </c>
      <c r="V490" s="439" t="s">
        <v>1248</v>
      </c>
      <c r="W490" s="439" t="s">
        <v>540</v>
      </c>
      <c r="X490" s="439" t="s">
        <v>709</v>
      </c>
      <c r="Y490" s="275" t="s">
        <v>542</v>
      </c>
      <c r="Z490" s="449" t="s">
        <v>542</v>
      </c>
      <c r="AA490" s="440" t="s">
        <v>231</v>
      </c>
      <c r="AB490" s="441">
        <f t="shared" si="54"/>
        <v>36036.036036036036</v>
      </c>
      <c r="AC490" s="442">
        <f t="shared" si="55"/>
        <v>36036.036036036036</v>
      </c>
      <c r="AD490" s="437">
        <v>100000</v>
      </c>
      <c r="AE490" s="447">
        <v>8135135.1351351347</v>
      </c>
      <c r="AF490" s="447">
        <v>9030000</v>
      </c>
      <c r="AG490" s="437">
        <v>100000</v>
      </c>
      <c r="AH490" s="271" t="s">
        <v>2101</v>
      </c>
    </row>
    <row r="491" spans="1:36" ht="15.5">
      <c r="A491" s="350">
        <v>302</v>
      </c>
      <c r="B491" s="352" t="s">
        <v>1247</v>
      </c>
      <c r="C491" s="352" t="s">
        <v>704</v>
      </c>
      <c r="D491" s="355" t="s">
        <v>705</v>
      </c>
      <c r="E491" s="368">
        <v>45114</v>
      </c>
      <c r="F491" s="362">
        <v>45115</v>
      </c>
      <c r="G491" s="362">
        <v>45115</v>
      </c>
      <c r="H491" s="362">
        <v>45115</v>
      </c>
      <c r="I491" s="394">
        <v>45115</v>
      </c>
      <c r="J491" s="387" t="s">
        <v>236</v>
      </c>
      <c r="K491" s="389" t="s">
        <v>771</v>
      </c>
      <c r="L491" s="402">
        <v>4</v>
      </c>
      <c r="M491" s="352" t="s">
        <v>772</v>
      </c>
      <c r="N491" s="403">
        <v>65000</v>
      </c>
      <c r="O491" s="404">
        <v>260000</v>
      </c>
      <c r="P491" s="421">
        <v>7</v>
      </c>
      <c r="Q491" s="426" t="s">
        <v>81</v>
      </c>
      <c r="R491" s="473">
        <v>3850000</v>
      </c>
      <c r="S491" s="274">
        <f t="shared" si="52"/>
        <v>268000</v>
      </c>
      <c r="T491" s="439" t="s">
        <v>227</v>
      </c>
      <c r="U491" s="460" t="str">
        <f t="shared" si="53"/>
        <v/>
      </c>
      <c r="V491" s="439" t="s">
        <v>1248</v>
      </c>
      <c r="W491" s="439" t="s">
        <v>540</v>
      </c>
      <c r="X491" s="439" t="s">
        <v>1259</v>
      </c>
      <c r="Y491" s="439" t="str">
        <f>J491</f>
        <v>Baterey Kecil</v>
      </c>
      <c r="Z491" s="449" t="s">
        <v>8</v>
      </c>
      <c r="AA491" s="440" t="s">
        <v>472</v>
      </c>
      <c r="AB491" s="441">
        <f t="shared" si="54"/>
        <v>58558.558558558558</v>
      </c>
      <c r="AC491" s="442">
        <f t="shared" si="55"/>
        <v>234234.23423423423</v>
      </c>
      <c r="AD491" s="473">
        <v>3850000</v>
      </c>
      <c r="AE491" s="447">
        <v>3468468.4684684686</v>
      </c>
      <c r="AF491" s="447">
        <v>3850000</v>
      </c>
      <c r="AG491" s="473">
        <v>3850000</v>
      </c>
      <c r="AH491" s="271" t="s">
        <v>2101</v>
      </c>
    </row>
    <row r="492" spans="1:36" ht="25">
      <c r="A492" s="350">
        <v>302</v>
      </c>
      <c r="B492" s="352" t="s">
        <v>1247</v>
      </c>
      <c r="C492" s="352" t="s">
        <v>704</v>
      </c>
      <c r="D492" s="355" t="s">
        <v>705</v>
      </c>
      <c r="E492" s="368">
        <v>45114</v>
      </c>
      <c r="F492" s="362">
        <v>45115</v>
      </c>
      <c r="G492" s="362">
        <v>45115</v>
      </c>
      <c r="H492" s="362">
        <v>45115</v>
      </c>
      <c r="I492" s="394">
        <v>45115</v>
      </c>
      <c r="J492" s="387" t="s">
        <v>898</v>
      </c>
      <c r="K492" s="388" t="s">
        <v>899</v>
      </c>
      <c r="L492" s="402">
        <v>20</v>
      </c>
      <c r="M492" s="352" t="s">
        <v>488</v>
      </c>
      <c r="N492" s="403">
        <v>10000</v>
      </c>
      <c r="O492" s="404">
        <v>200000</v>
      </c>
      <c r="P492" s="421">
        <v>7</v>
      </c>
      <c r="Q492" s="425" t="s">
        <v>164</v>
      </c>
      <c r="R492" s="437">
        <v>1050000</v>
      </c>
      <c r="S492" s="274">
        <f t="shared" si="52"/>
        <v>240000</v>
      </c>
      <c r="T492" s="439" t="s">
        <v>227</v>
      </c>
      <c r="U492" s="276" t="str">
        <f t="shared" si="53"/>
        <v/>
      </c>
      <c r="V492" s="428" t="s">
        <v>1248</v>
      </c>
      <c r="W492" s="428" t="s">
        <v>540</v>
      </c>
      <c r="X492" s="428" t="s">
        <v>709</v>
      </c>
      <c r="Y492" s="439" t="str">
        <f>J492</f>
        <v>Buku Register folio 50</v>
      </c>
      <c r="Z492" s="449" t="s">
        <v>1545</v>
      </c>
      <c r="AA492" s="432" t="s">
        <v>472</v>
      </c>
      <c r="AB492" s="457">
        <f t="shared" si="54"/>
        <v>9009.0090090090089</v>
      </c>
      <c r="AC492" s="458">
        <f t="shared" si="55"/>
        <v>180180.18018018018</v>
      </c>
      <c r="AD492" s="455">
        <v>1050000</v>
      </c>
      <c r="AE492" s="608">
        <v>3513513.5135135129</v>
      </c>
      <c r="AF492" s="608">
        <v>3900000</v>
      </c>
      <c r="AG492" s="437">
        <v>1050000</v>
      </c>
      <c r="AH492" s="271" t="s">
        <v>2101</v>
      </c>
      <c r="AI492" s="277">
        <f>SUM(AC492:AC494)</f>
        <v>500900.90090090089</v>
      </c>
      <c r="AJ492" s="277">
        <f>SUM(AD492:AD494)</f>
        <v>3900000</v>
      </c>
    </row>
    <row r="493" spans="1:36">
      <c r="A493" s="350">
        <v>302</v>
      </c>
      <c r="B493" s="352" t="s">
        <v>1247</v>
      </c>
      <c r="C493" s="352" t="s">
        <v>704</v>
      </c>
      <c r="D493" s="355" t="s">
        <v>705</v>
      </c>
      <c r="E493" s="368">
        <v>45114</v>
      </c>
      <c r="F493" s="362">
        <v>45115</v>
      </c>
      <c r="G493" s="362">
        <v>45115</v>
      </c>
      <c r="H493" s="362">
        <v>45115</v>
      </c>
      <c r="I493" s="394">
        <v>45115</v>
      </c>
      <c r="J493" s="387" t="s">
        <v>904</v>
      </c>
      <c r="K493" s="388" t="s">
        <v>905</v>
      </c>
      <c r="L493" s="402">
        <v>2</v>
      </c>
      <c r="M493" s="352" t="s">
        <v>488</v>
      </c>
      <c r="N493" s="403">
        <v>15500</v>
      </c>
      <c r="O493" s="404">
        <v>31000</v>
      </c>
      <c r="P493" s="421">
        <v>7</v>
      </c>
      <c r="Q493" s="427" t="s">
        <v>163</v>
      </c>
      <c r="R493" s="437">
        <v>450000</v>
      </c>
      <c r="S493" s="274">
        <f t="shared" si="52"/>
        <v>35000</v>
      </c>
      <c r="T493" s="439" t="s">
        <v>227</v>
      </c>
      <c r="U493" s="460" t="str">
        <f t="shared" si="53"/>
        <v/>
      </c>
      <c r="V493" s="439" t="s">
        <v>1248</v>
      </c>
      <c r="W493" s="439" t="s">
        <v>540</v>
      </c>
      <c r="X493" s="439" t="s">
        <v>709</v>
      </c>
      <c r="Y493" s="439" t="str">
        <f>J493</f>
        <v>Gunting Besar</v>
      </c>
      <c r="Z493" s="449" t="s">
        <v>1545</v>
      </c>
      <c r="AA493" s="440" t="s">
        <v>488</v>
      </c>
      <c r="AB493" s="441">
        <f t="shared" si="54"/>
        <v>13963.963963963964</v>
      </c>
      <c r="AC493" s="442">
        <f t="shared" si="55"/>
        <v>27927.927927927929</v>
      </c>
      <c r="AD493" s="437">
        <v>450000</v>
      </c>
      <c r="AE493" s="447">
        <v>3513513.5135135129</v>
      </c>
      <c r="AF493" s="447">
        <v>3900000</v>
      </c>
      <c r="AG493" s="437">
        <v>450000</v>
      </c>
      <c r="AH493" s="271" t="s">
        <v>2101</v>
      </c>
    </row>
    <row r="494" spans="1:36">
      <c r="A494" s="350">
        <v>302</v>
      </c>
      <c r="B494" s="352" t="s">
        <v>1247</v>
      </c>
      <c r="C494" s="352" t="s">
        <v>704</v>
      </c>
      <c r="D494" s="355" t="s">
        <v>705</v>
      </c>
      <c r="E494" s="368">
        <v>45114</v>
      </c>
      <c r="F494" s="362">
        <v>45115</v>
      </c>
      <c r="G494" s="362">
        <v>45115</v>
      </c>
      <c r="H494" s="362">
        <v>45115</v>
      </c>
      <c r="I494" s="394">
        <v>45115</v>
      </c>
      <c r="J494" s="387" t="s">
        <v>260</v>
      </c>
      <c r="K494" s="388" t="s">
        <v>891</v>
      </c>
      <c r="L494" s="402">
        <v>5</v>
      </c>
      <c r="M494" s="352" t="s">
        <v>753</v>
      </c>
      <c r="N494" s="403">
        <v>65000</v>
      </c>
      <c r="O494" s="404">
        <v>325000</v>
      </c>
      <c r="P494" s="421">
        <v>7</v>
      </c>
      <c r="Q494" s="425" t="s">
        <v>165</v>
      </c>
      <c r="R494" s="437">
        <v>2400000</v>
      </c>
      <c r="S494" s="274">
        <f t="shared" si="52"/>
        <v>335000</v>
      </c>
      <c r="T494" s="439" t="s">
        <v>227</v>
      </c>
      <c r="U494" s="276" t="str">
        <f t="shared" si="53"/>
        <v/>
      </c>
      <c r="V494" s="428" t="s">
        <v>1248</v>
      </c>
      <c r="W494" s="428" t="s">
        <v>540</v>
      </c>
      <c r="X494" s="428" t="s">
        <v>490</v>
      </c>
      <c r="Y494" s="428" t="str">
        <f>J494</f>
        <v>Sampul Plastik</v>
      </c>
      <c r="Z494" s="449" t="s">
        <v>280</v>
      </c>
      <c r="AA494" s="432" t="s">
        <v>231</v>
      </c>
      <c r="AB494" s="457">
        <f t="shared" si="54"/>
        <v>58558.558558558558</v>
      </c>
      <c r="AC494" s="458">
        <f t="shared" si="55"/>
        <v>292792.79279279278</v>
      </c>
      <c r="AD494" s="455">
        <v>2400000</v>
      </c>
      <c r="AE494" s="608">
        <v>3513513.5135135129</v>
      </c>
      <c r="AF494" s="608">
        <v>3900000</v>
      </c>
      <c r="AG494" s="437">
        <v>2400000</v>
      </c>
      <c r="AH494" s="271" t="s">
        <v>2101</v>
      </c>
    </row>
    <row r="495" spans="1:36" ht="15.5">
      <c r="A495" s="350">
        <v>302</v>
      </c>
      <c r="B495" s="352" t="s">
        <v>1247</v>
      </c>
      <c r="C495" s="352" t="s">
        <v>704</v>
      </c>
      <c r="D495" s="355" t="s">
        <v>705</v>
      </c>
      <c r="E495" s="368">
        <v>45114</v>
      </c>
      <c r="F495" s="362">
        <v>45115</v>
      </c>
      <c r="G495" s="362">
        <v>45115</v>
      </c>
      <c r="H495" s="362">
        <v>45115</v>
      </c>
      <c r="I495" s="394">
        <v>45115</v>
      </c>
      <c r="J495" s="387" t="s">
        <v>240</v>
      </c>
      <c r="K495" s="388" t="s">
        <v>731</v>
      </c>
      <c r="L495" s="402">
        <v>1</v>
      </c>
      <c r="M495" s="352" t="s">
        <v>597</v>
      </c>
      <c r="N495" s="403">
        <v>20000</v>
      </c>
      <c r="O495" s="404">
        <v>20000</v>
      </c>
      <c r="P495" s="421">
        <v>9</v>
      </c>
      <c r="Q495" s="426" t="s">
        <v>81</v>
      </c>
      <c r="R495" s="437">
        <v>6650000</v>
      </c>
      <c r="S495" s="274">
        <f t="shared" si="52"/>
        <v>22000</v>
      </c>
      <c r="T495" s="439" t="s">
        <v>227</v>
      </c>
      <c r="U495" s="460" t="str">
        <f t="shared" si="53"/>
        <v/>
      </c>
      <c r="V495" s="439" t="s">
        <v>1248</v>
      </c>
      <c r="W495" s="439" t="s">
        <v>540</v>
      </c>
      <c r="X495" s="439" t="s">
        <v>468</v>
      </c>
      <c r="Y495" s="439" t="str">
        <f>J495</f>
        <v>Binder Klip  nomor 260</v>
      </c>
      <c r="Z495" s="449" t="s">
        <v>8</v>
      </c>
      <c r="AA495" s="440" t="s">
        <v>574</v>
      </c>
      <c r="AB495" s="441">
        <f t="shared" si="54"/>
        <v>18018.018018018018</v>
      </c>
      <c r="AC495" s="442">
        <f t="shared" si="55"/>
        <v>18018.018018018018</v>
      </c>
      <c r="AD495" s="473">
        <v>6650000</v>
      </c>
      <c r="AE495" s="447">
        <v>5990990.9909909908</v>
      </c>
      <c r="AF495" s="447">
        <v>6650000</v>
      </c>
      <c r="AG495" s="473">
        <v>6650000</v>
      </c>
      <c r="AH495" s="271" t="s">
        <v>2101</v>
      </c>
    </row>
    <row r="496" spans="1:36">
      <c r="A496" s="350">
        <v>302</v>
      </c>
      <c r="B496" s="352" t="s">
        <v>1247</v>
      </c>
      <c r="C496" s="352" t="s">
        <v>704</v>
      </c>
      <c r="D496" s="355" t="s">
        <v>705</v>
      </c>
      <c r="E496" s="368">
        <v>45114</v>
      </c>
      <c r="F496" s="362">
        <v>45115</v>
      </c>
      <c r="G496" s="362">
        <v>45115</v>
      </c>
      <c r="H496" s="362">
        <v>45115</v>
      </c>
      <c r="I496" s="394">
        <v>45115</v>
      </c>
      <c r="J496" s="387" t="s">
        <v>897</v>
      </c>
      <c r="K496" s="388" t="s">
        <v>723</v>
      </c>
      <c r="L496" s="402">
        <v>1</v>
      </c>
      <c r="M496" s="352" t="s">
        <v>724</v>
      </c>
      <c r="N496" s="403">
        <v>45000</v>
      </c>
      <c r="O496" s="404">
        <v>45000</v>
      </c>
      <c r="P496" s="421">
        <v>7</v>
      </c>
      <c r="Q496" s="275"/>
      <c r="R496" s="437">
        <v>900000</v>
      </c>
      <c r="S496" s="274">
        <f t="shared" si="52"/>
        <v>47000</v>
      </c>
      <c r="T496" s="439" t="s">
        <v>227</v>
      </c>
      <c r="U496" s="276" t="str">
        <f t="shared" si="53"/>
        <v/>
      </c>
      <c r="V496" s="428" t="s">
        <v>1248</v>
      </c>
      <c r="W496" s="428" t="s">
        <v>540</v>
      </c>
      <c r="X496" s="428" t="s">
        <v>805</v>
      </c>
      <c r="Y496" s="428" t="s">
        <v>806</v>
      </c>
      <c r="Z496" s="449" t="s">
        <v>806</v>
      </c>
      <c r="AA496" s="432" t="s">
        <v>488</v>
      </c>
      <c r="AB496" s="457">
        <f t="shared" si="54"/>
        <v>40540.54054054054</v>
      </c>
      <c r="AC496" s="458">
        <f t="shared" si="55"/>
        <v>40540.54054054054</v>
      </c>
      <c r="AD496" s="455">
        <v>900000</v>
      </c>
      <c r="AE496" s="608">
        <v>6792792.7927927934</v>
      </c>
      <c r="AF496" s="608">
        <v>7540000</v>
      </c>
      <c r="AG496" s="437">
        <v>900000</v>
      </c>
      <c r="AH496" s="271" t="s">
        <v>2101</v>
      </c>
      <c r="AI496" s="277">
        <f>SUM(AC496:AC500)</f>
        <v>159459.45945945947</v>
      </c>
      <c r="AJ496" s="277">
        <f>SUM(AD496:AD500)</f>
        <v>7540000</v>
      </c>
    </row>
    <row r="497" spans="1:36">
      <c r="A497" s="350">
        <v>302</v>
      </c>
      <c r="B497" s="352" t="s">
        <v>1247</v>
      </c>
      <c r="C497" s="352" t="s">
        <v>704</v>
      </c>
      <c r="D497" s="355" t="s">
        <v>705</v>
      </c>
      <c r="E497" s="368">
        <v>45114</v>
      </c>
      <c r="F497" s="362">
        <v>45115</v>
      </c>
      <c r="G497" s="362">
        <v>45115</v>
      </c>
      <c r="H497" s="362">
        <v>45115</v>
      </c>
      <c r="I497" s="394">
        <v>45115</v>
      </c>
      <c r="J497" s="387" t="s">
        <v>237</v>
      </c>
      <c r="K497" s="388" t="s">
        <v>717</v>
      </c>
      <c r="L497" s="402">
        <v>2</v>
      </c>
      <c r="M497" s="352" t="s">
        <v>597</v>
      </c>
      <c r="N497" s="403">
        <v>7500</v>
      </c>
      <c r="O497" s="404">
        <v>15000</v>
      </c>
      <c r="P497" s="421">
        <v>7</v>
      </c>
      <c r="Q497" s="275"/>
      <c r="R497" s="437">
        <v>1350000</v>
      </c>
      <c r="S497" s="274">
        <f t="shared" si="52"/>
        <v>19000</v>
      </c>
      <c r="T497" s="439" t="s">
        <v>227</v>
      </c>
      <c r="U497" s="460" t="str">
        <f t="shared" si="53"/>
        <v/>
      </c>
      <c r="V497" s="439" t="s">
        <v>1248</v>
      </c>
      <c r="W497" s="439" t="s">
        <v>540</v>
      </c>
      <c r="X497" s="439" t="s">
        <v>805</v>
      </c>
      <c r="Y497" s="439" t="s">
        <v>806</v>
      </c>
      <c r="Z497" s="449" t="s">
        <v>806</v>
      </c>
      <c r="AA497" s="440" t="s">
        <v>753</v>
      </c>
      <c r="AB497" s="441">
        <f t="shared" si="54"/>
        <v>6756.7567567567567</v>
      </c>
      <c r="AC497" s="442">
        <f t="shared" si="55"/>
        <v>13513.513513513513</v>
      </c>
      <c r="AD497" s="437">
        <v>1350000</v>
      </c>
      <c r="AE497" s="447">
        <v>6792792.7927927934</v>
      </c>
      <c r="AF497" s="447">
        <v>7540000</v>
      </c>
      <c r="AG497" s="437">
        <v>1350000</v>
      </c>
      <c r="AH497" s="271" t="s">
        <v>2101</v>
      </c>
    </row>
    <row r="498" spans="1:36">
      <c r="A498" s="350">
        <v>302</v>
      </c>
      <c r="B498" s="352" t="s">
        <v>1247</v>
      </c>
      <c r="C498" s="352" t="s">
        <v>704</v>
      </c>
      <c r="D498" s="355" t="s">
        <v>705</v>
      </c>
      <c r="E498" s="368">
        <v>45114</v>
      </c>
      <c r="F498" s="362">
        <v>45115</v>
      </c>
      <c r="G498" s="362">
        <v>45115</v>
      </c>
      <c r="H498" s="362">
        <v>45115</v>
      </c>
      <c r="I498" s="394">
        <v>45115</v>
      </c>
      <c r="J498" s="387" t="s">
        <v>263</v>
      </c>
      <c r="K498" s="388" t="s">
        <v>885</v>
      </c>
      <c r="L498" s="402">
        <v>5</v>
      </c>
      <c r="M498" s="352" t="s">
        <v>753</v>
      </c>
      <c r="N498" s="403">
        <v>12000</v>
      </c>
      <c r="O498" s="404">
        <v>60000</v>
      </c>
      <c r="P498" s="421">
        <v>7</v>
      </c>
      <c r="Q498" s="275"/>
      <c r="R498" s="437">
        <v>3430000</v>
      </c>
      <c r="S498" s="274">
        <f t="shared" si="52"/>
        <v>70000</v>
      </c>
      <c r="T498" s="439" t="s">
        <v>227</v>
      </c>
      <c r="U498" s="460" t="str">
        <f t="shared" si="53"/>
        <v/>
      </c>
      <c r="V498" s="439" t="s">
        <v>1248</v>
      </c>
      <c r="W498" s="439" t="s">
        <v>540</v>
      </c>
      <c r="X498" s="439" t="s">
        <v>709</v>
      </c>
      <c r="Y498" s="439" t="s">
        <v>806</v>
      </c>
      <c r="Z498" s="449" t="s">
        <v>806</v>
      </c>
      <c r="AA498" s="440" t="s">
        <v>488</v>
      </c>
      <c r="AB498" s="441">
        <f t="shared" si="54"/>
        <v>10810.810810810812</v>
      </c>
      <c r="AC498" s="442">
        <f t="shared" si="55"/>
        <v>54054.054054054061</v>
      </c>
      <c r="AD498" s="437">
        <v>3430000</v>
      </c>
      <c r="AE498" s="447">
        <v>6792792.7927927934</v>
      </c>
      <c r="AF498" s="447">
        <v>7540000</v>
      </c>
      <c r="AG498" s="437">
        <v>3430000</v>
      </c>
      <c r="AH498" s="271" t="s">
        <v>2101</v>
      </c>
    </row>
    <row r="499" spans="1:36" s="287" customFormat="1">
      <c r="A499" s="350">
        <v>302</v>
      </c>
      <c r="B499" s="352" t="s">
        <v>1247</v>
      </c>
      <c r="C499" s="352" t="s">
        <v>704</v>
      </c>
      <c r="D499" s="355" t="s">
        <v>705</v>
      </c>
      <c r="E499" s="368">
        <v>45114</v>
      </c>
      <c r="F499" s="362">
        <v>45115</v>
      </c>
      <c r="G499" s="362">
        <v>45115</v>
      </c>
      <c r="H499" s="362">
        <v>45115</v>
      </c>
      <c r="I499" s="394">
        <v>45115</v>
      </c>
      <c r="J499" s="387" t="s">
        <v>259</v>
      </c>
      <c r="K499" s="388" t="s">
        <v>752</v>
      </c>
      <c r="L499" s="402">
        <v>1</v>
      </c>
      <c r="M499" s="352" t="s">
        <v>753</v>
      </c>
      <c r="N499" s="403">
        <v>35000</v>
      </c>
      <c r="O499" s="404">
        <v>35000</v>
      </c>
      <c r="P499" s="421">
        <v>7</v>
      </c>
      <c r="Q499" s="275"/>
      <c r="R499" s="437">
        <v>1500000</v>
      </c>
      <c r="S499" s="274">
        <f t="shared" si="52"/>
        <v>37000</v>
      </c>
      <c r="T499" s="439" t="s">
        <v>227</v>
      </c>
      <c r="U499" s="460" t="str">
        <f t="shared" si="53"/>
        <v/>
      </c>
      <c r="V499" s="439" t="s">
        <v>1248</v>
      </c>
      <c r="W499" s="439" t="s">
        <v>540</v>
      </c>
      <c r="X499" s="439" t="s">
        <v>805</v>
      </c>
      <c r="Y499" s="439" t="s">
        <v>806</v>
      </c>
      <c r="Z499" s="449" t="s">
        <v>806</v>
      </c>
      <c r="AA499" s="440" t="s">
        <v>472</v>
      </c>
      <c r="AB499" s="441">
        <f t="shared" si="54"/>
        <v>31531.531531531531</v>
      </c>
      <c r="AC499" s="442">
        <f t="shared" si="55"/>
        <v>31531.531531531531</v>
      </c>
      <c r="AD499" s="437">
        <v>1500000</v>
      </c>
      <c r="AE499" s="484">
        <v>6792792.7927927934</v>
      </c>
      <c r="AF499" s="484">
        <v>7540000</v>
      </c>
      <c r="AG499" s="437">
        <v>1500000</v>
      </c>
      <c r="AH499" s="271" t="s">
        <v>2101</v>
      </c>
    </row>
    <row r="500" spans="1:36">
      <c r="A500" s="350">
        <v>302</v>
      </c>
      <c r="B500" s="352" t="s">
        <v>1247</v>
      </c>
      <c r="C500" s="352" t="s">
        <v>704</v>
      </c>
      <c r="D500" s="355" t="s">
        <v>705</v>
      </c>
      <c r="E500" s="368">
        <v>45114</v>
      </c>
      <c r="F500" s="362">
        <v>45115</v>
      </c>
      <c r="G500" s="362">
        <v>45115</v>
      </c>
      <c r="H500" s="362">
        <v>45115</v>
      </c>
      <c r="I500" s="394">
        <v>45115</v>
      </c>
      <c r="J500" s="387" t="s">
        <v>238</v>
      </c>
      <c r="K500" s="387" t="s">
        <v>238</v>
      </c>
      <c r="L500" s="402">
        <v>2</v>
      </c>
      <c r="M500" s="352" t="s">
        <v>597</v>
      </c>
      <c r="N500" s="403">
        <v>11000</v>
      </c>
      <c r="O500" s="404">
        <v>22000</v>
      </c>
      <c r="P500" s="421">
        <v>7</v>
      </c>
      <c r="Q500" s="275"/>
      <c r="R500" s="437">
        <v>360000</v>
      </c>
      <c r="S500" s="274">
        <f t="shared" si="52"/>
        <v>26000</v>
      </c>
      <c r="T500" s="439" t="s">
        <v>227</v>
      </c>
      <c r="U500" s="460" t="str">
        <f t="shared" si="53"/>
        <v/>
      </c>
      <c r="V500" s="439" t="s">
        <v>1248</v>
      </c>
      <c r="W500" s="439" t="s">
        <v>540</v>
      </c>
      <c r="X500" s="439" t="s">
        <v>709</v>
      </c>
      <c r="Y500" s="439" t="s">
        <v>806</v>
      </c>
      <c r="Z500" s="449" t="s">
        <v>806</v>
      </c>
      <c r="AA500" s="440" t="s">
        <v>792</v>
      </c>
      <c r="AB500" s="441">
        <f t="shared" si="54"/>
        <v>9909.9099099099094</v>
      </c>
      <c r="AC500" s="442">
        <f t="shared" si="55"/>
        <v>19819.819819819819</v>
      </c>
      <c r="AD500" s="437">
        <v>360000</v>
      </c>
      <c r="AE500" s="447">
        <v>6792792.7927927934</v>
      </c>
      <c r="AF500" s="447">
        <v>7540000</v>
      </c>
      <c r="AG500" s="437">
        <v>360000</v>
      </c>
      <c r="AH500" s="271" t="s">
        <v>2101</v>
      </c>
    </row>
    <row r="501" spans="1:36" ht="15.5">
      <c r="A501" s="350">
        <v>302</v>
      </c>
      <c r="B501" s="352" t="s">
        <v>1247</v>
      </c>
      <c r="C501" s="352" t="s">
        <v>704</v>
      </c>
      <c r="D501" s="355" t="s">
        <v>705</v>
      </c>
      <c r="E501" s="368">
        <v>45114</v>
      </c>
      <c r="F501" s="362">
        <v>45115</v>
      </c>
      <c r="G501" s="362">
        <v>45115</v>
      </c>
      <c r="H501" s="362">
        <v>45115</v>
      </c>
      <c r="I501" s="394">
        <v>45115</v>
      </c>
      <c r="J501" s="387" t="s">
        <v>762</v>
      </c>
      <c r="K501" s="387" t="s">
        <v>762</v>
      </c>
      <c r="L501" s="402">
        <v>1</v>
      </c>
      <c r="M501" s="352" t="s">
        <v>488</v>
      </c>
      <c r="N501" s="403">
        <v>15000</v>
      </c>
      <c r="O501" s="404">
        <v>15000</v>
      </c>
      <c r="P501" s="421">
        <v>7</v>
      </c>
      <c r="Q501" s="426" t="s">
        <v>81</v>
      </c>
      <c r="R501" s="437">
        <v>840000</v>
      </c>
      <c r="S501" s="274">
        <f t="shared" si="52"/>
        <v>17000</v>
      </c>
      <c r="T501" s="439" t="s">
        <v>227</v>
      </c>
      <c r="U501" s="460" t="str">
        <f t="shared" si="53"/>
        <v/>
      </c>
      <c r="V501" s="439" t="s">
        <v>1248</v>
      </c>
      <c r="W501" s="439" t="s">
        <v>540</v>
      </c>
      <c r="X501" s="439" t="s">
        <v>468</v>
      </c>
      <c r="Y501" s="439" t="s">
        <v>806</v>
      </c>
      <c r="Z501" s="449" t="s">
        <v>8</v>
      </c>
      <c r="AA501" s="440" t="s">
        <v>472</v>
      </c>
      <c r="AB501" s="441">
        <f t="shared" si="54"/>
        <v>13513.513513513513</v>
      </c>
      <c r="AC501" s="442">
        <f t="shared" si="55"/>
        <v>13513.513513513513</v>
      </c>
      <c r="AD501" s="437">
        <v>2640000</v>
      </c>
      <c r="AE501" s="447">
        <v>1702702.7027027027</v>
      </c>
      <c r="AF501" s="447">
        <v>2640000</v>
      </c>
      <c r="AG501" s="437">
        <v>2640000</v>
      </c>
      <c r="AH501" s="271" t="s">
        <v>2101</v>
      </c>
    </row>
    <row r="502" spans="1:36">
      <c r="A502" s="350">
        <v>302</v>
      </c>
      <c r="B502" s="352" t="s">
        <v>1247</v>
      </c>
      <c r="C502" s="352" t="s">
        <v>704</v>
      </c>
      <c r="D502" s="355" t="s">
        <v>705</v>
      </c>
      <c r="E502" s="368">
        <v>45114</v>
      </c>
      <c r="F502" s="362">
        <v>45115</v>
      </c>
      <c r="G502" s="362">
        <v>45115</v>
      </c>
      <c r="H502" s="362">
        <v>45115</v>
      </c>
      <c r="I502" s="394">
        <v>45115</v>
      </c>
      <c r="J502" s="387" t="s">
        <v>242</v>
      </c>
      <c r="K502" s="388" t="s">
        <v>760</v>
      </c>
      <c r="L502" s="402">
        <v>1</v>
      </c>
      <c r="M502" s="352" t="s">
        <v>488</v>
      </c>
      <c r="N502" s="403">
        <v>26000</v>
      </c>
      <c r="O502" s="404">
        <v>26000</v>
      </c>
      <c r="P502" s="421">
        <v>7</v>
      </c>
      <c r="Q502" s="491" t="s">
        <v>164</v>
      </c>
      <c r="R502" s="437">
        <v>140000</v>
      </c>
      <c r="S502" s="274">
        <f t="shared" si="52"/>
        <v>28000</v>
      </c>
      <c r="T502" s="439" t="s">
        <v>227</v>
      </c>
      <c r="U502" s="460" t="str">
        <f t="shared" si="53"/>
        <v/>
      </c>
      <c r="V502" s="439" t="s">
        <v>1248</v>
      </c>
      <c r="W502" s="439" t="s">
        <v>540</v>
      </c>
      <c r="X502" s="439" t="s">
        <v>709</v>
      </c>
      <c r="Y502" s="439" t="s">
        <v>806</v>
      </c>
      <c r="Z502" s="449" t="s">
        <v>1545</v>
      </c>
      <c r="AA502" s="440" t="s">
        <v>472</v>
      </c>
      <c r="AB502" s="441">
        <f t="shared" si="54"/>
        <v>23423.423423423425</v>
      </c>
      <c r="AC502" s="442">
        <f t="shared" si="55"/>
        <v>23423.423423423425</v>
      </c>
      <c r="AD502" s="437">
        <v>420000</v>
      </c>
      <c r="AE502" s="447">
        <v>378378.37837837834</v>
      </c>
      <c r="AF502" s="447">
        <v>420000</v>
      </c>
      <c r="AG502" s="437">
        <v>420000</v>
      </c>
      <c r="AH502" s="271" t="s">
        <v>2101</v>
      </c>
    </row>
    <row r="503" spans="1:36" s="287" customFormat="1" ht="15.5">
      <c r="A503" s="350">
        <v>302</v>
      </c>
      <c r="B503" s="352" t="s">
        <v>1247</v>
      </c>
      <c r="C503" s="352" t="s">
        <v>704</v>
      </c>
      <c r="D503" s="355" t="s">
        <v>705</v>
      </c>
      <c r="E503" s="368">
        <v>45114</v>
      </c>
      <c r="F503" s="362">
        <v>45115</v>
      </c>
      <c r="G503" s="362">
        <v>45115</v>
      </c>
      <c r="H503" s="362">
        <v>45115</v>
      </c>
      <c r="I503" s="394">
        <v>45115</v>
      </c>
      <c r="J503" s="387" t="s">
        <v>758</v>
      </c>
      <c r="K503" s="387" t="s">
        <v>758</v>
      </c>
      <c r="L503" s="402">
        <v>3</v>
      </c>
      <c r="M503" s="352" t="s">
        <v>488</v>
      </c>
      <c r="N503" s="403">
        <v>5000</v>
      </c>
      <c r="O503" s="404">
        <v>15000</v>
      </c>
      <c r="P503" s="421">
        <v>7</v>
      </c>
      <c r="Q503" s="493" t="s">
        <v>81</v>
      </c>
      <c r="R503" s="437">
        <v>280000</v>
      </c>
      <c r="S503" s="274">
        <f t="shared" si="52"/>
        <v>21000</v>
      </c>
      <c r="T503" s="439" t="s">
        <v>227</v>
      </c>
      <c r="U503" s="460" t="str">
        <f t="shared" si="53"/>
        <v/>
      </c>
      <c r="V503" s="439" t="s">
        <v>1248</v>
      </c>
      <c r="W503" s="439" t="s">
        <v>540</v>
      </c>
      <c r="X503" s="439" t="s">
        <v>468</v>
      </c>
      <c r="Y503" s="439" t="s">
        <v>806</v>
      </c>
      <c r="Z503" s="449" t="s">
        <v>8</v>
      </c>
      <c r="AA503" s="440" t="s">
        <v>472</v>
      </c>
      <c r="AB503" s="441">
        <f t="shared" si="54"/>
        <v>4504.5045045045044</v>
      </c>
      <c r="AC503" s="442">
        <f t="shared" si="55"/>
        <v>13513.513513513513</v>
      </c>
      <c r="AD503" s="437">
        <v>665000</v>
      </c>
      <c r="AE503" s="484">
        <v>599099.09909909905</v>
      </c>
      <c r="AF503" s="484">
        <v>665000</v>
      </c>
      <c r="AG503" s="437">
        <v>665000</v>
      </c>
      <c r="AH503" s="271" t="s">
        <v>2101</v>
      </c>
    </row>
    <row r="504" spans="1:36">
      <c r="A504" s="350">
        <v>302</v>
      </c>
      <c r="B504" s="352" t="s">
        <v>1247</v>
      </c>
      <c r="C504" s="352" t="s">
        <v>704</v>
      </c>
      <c r="D504" s="355" t="s">
        <v>705</v>
      </c>
      <c r="E504" s="368">
        <v>45114</v>
      </c>
      <c r="F504" s="362">
        <v>45115</v>
      </c>
      <c r="G504" s="362">
        <v>45115</v>
      </c>
      <c r="H504" s="362">
        <v>45115</v>
      </c>
      <c r="I504" s="394">
        <v>45115</v>
      </c>
      <c r="J504" s="387" t="s">
        <v>265</v>
      </c>
      <c r="K504" s="388" t="s">
        <v>890</v>
      </c>
      <c r="L504" s="402">
        <v>1</v>
      </c>
      <c r="M504" s="352" t="s">
        <v>551</v>
      </c>
      <c r="N504" s="403">
        <v>30000</v>
      </c>
      <c r="O504" s="404">
        <v>30000</v>
      </c>
      <c r="P504" s="421">
        <v>7</v>
      </c>
      <c r="Q504" s="494" t="s">
        <v>163</v>
      </c>
      <c r="R504" s="437">
        <v>400000</v>
      </c>
      <c r="S504" s="274">
        <f t="shared" si="52"/>
        <v>32000</v>
      </c>
      <c r="T504" s="439" t="s">
        <v>227</v>
      </c>
      <c r="U504" s="460" t="str">
        <f t="shared" si="53"/>
        <v/>
      </c>
      <c r="V504" s="439" t="s">
        <v>1248</v>
      </c>
      <c r="W504" s="439" t="s">
        <v>540</v>
      </c>
      <c r="X504" s="439" t="s">
        <v>709</v>
      </c>
      <c r="Y504" s="439" t="s">
        <v>806</v>
      </c>
      <c r="Z504" s="449" t="s">
        <v>1545</v>
      </c>
      <c r="AA504" s="440" t="s">
        <v>231</v>
      </c>
      <c r="AB504" s="441">
        <f t="shared" si="54"/>
        <v>27027.027027027027</v>
      </c>
      <c r="AC504" s="442">
        <f t="shared" si="55"/>
        <v>27027.027027027027</v>
      </c>
      <c r="AD504" s="437">
        <v>1650000</v>
      </c>
      <c r="AE504" s="447">
        <v>1486486.4864864864</v>
      </c>
      <c r="AF504" s="447">
        <v>1650000</v>
      </c>
      <c r="AG504" s="437">
        <v>1650000</v>
      </c>
      <c r="AH504" s="271" t="s">
        <v>2101</v>
      </c>
    </row>
    <row r="505" spans="1:36">
      <c r="A505" s="350">
        <v>302</v>
      </c>
      <c r="B505" s="352" t="s">
        <v>1247</v>
      </c>
      <c r="C505" s="352" t="s">
        <v>704</v>
      </c>
      <c r="D505" s="355" t="s">
        <v>705</v>
      </c>
      <c r="E505" s="368">
        <v>45114</v>
      </c>
      <c r="F505" s="362">
        <v>45115</v>
      </c>
      <c r="G505" s="362">
        <v>45115</v>
      </c>
      <c r="H505" s="362">
        <v>45115</v>
      </c>
      <c r="I505" s="394">
        <v>45115</v>
      </c>
      <c r="J505" s="387" t="s">
        <v>252</v>
      </c>
      <c r="K505" s="387" t="s">
        <v>786</v>
      </c>
      <c r="L505" s="402">
        <v>1</v>
      </c>
      <c r="M505" s="352" t="s">
        <v>753</v>
      </c>
      <c r="N505" s="403">
        <v>25000</v>
      </c>
      <c r="O505" s="404">
        <v>25000</v>
      </c>
      <c r="P505" s="421">
        <v>9</v>
      </c>
      <c r="Q505" s="428" t="s">
        <v>575</v>
      </c>
      <c r="R505" s="437">
        <v>1749000</v>
      </c>
      <c r="S505" s="274">
        <f t="shared" si="52"/>
        <v>27000</v>
      </c>
      <c r="T505" s="439" t="s">
        <v>227</v>
      </c>
      <c r="U505" s="460" t="str">
        <f t="shared" si="53"/>
        <v/>
      </c>
      <c r="V505" s="439" t="s">
        <v>1248</v>
      </c>
      <c r="W505" s="439" t="s">
        <v>540</v>
      </c>
      <c r="X505" s="615" t="s">
        <v>541</v>
      </c>
      <c r="Y505" s="439" t="str">
        <f>J505</f>
        <v>Lakban Bening</v>
      </c>
      <c r="Z505" s="449" t="str">
        <f>K505</f>
        <v>Lakban Bening Besar Eka Tape</v>
      </c>
      <c r="AA505" s="440" t="s">
        <v>574</v>
      </c>
      <c r="AB505" s="441">
        <f t="shared" si="54"/>
        <v>22522.522522522522</v>
      </c>
      <c r="AC505" s="442">
        <f t="shared" si="55"/>
        <v>22522.522522522522</v>
      </c>
      <c r="AD505" s="437">
        <v>1749000</v>
      </c>
      <c r="AE505" s="447">
        <v>1575675.6756756755</v>
      </c>
      <c r="AF505" s="447">
        <v>1749000</v>
      </c>
      <c r="AG505" s="437">
        <v>1749000</v>
      </c>
      <c r="AH505" s="271" t="s">
        <v>2101</v>
      </c>
    </row>
    <row r="506" spans="1:36">
      <c r="A506" s="350">
        <v>302</v>
      </c>
      <c r="B506" s="352" t="s">
        <v>1247</v>
      </c>
      <c r="C506" s="352" t="s">
        <v>704</v>
      </c>
      <c r="D506" s="355" t="s">
        <v>705</v>
      </c>
      <c r="E506" s="368">
        <v>45114</v>
      </c>
      <c r="F506" s="362">
        <v>45115</v>
      </c>
      <c r="G506" s="362">
        <v>45115</v>
      </c>
      <c r="H506" s="362">
        <v>45115</v>
      </c>
      <c r="I506" s="394">
        <v>45115</v>
      </c>
      <c r="J506" s="387" t="s">
        <v>241</v>
      </c>
      <c r="K506" s="387" t="s">
        <v>767</v>
      </c>
      <c r="L506" s="402">
        <v>2</v>
      </c>
      <c r="M506" s="352" t="s">
        <v>597</v>
      </c>
      <c r="N506" s="403">
        <v>5500</v>
      </c>
      <c r="O506" s="404">
        <v>11000</v>
      </c>
      <c r="P506" s="421">
        <v>9</v>
      </c>
      <c r="Q506" s="425" t="s">
        <v>165</v>
      </c>
      <c r="R506" s="437">
        <v>1125000</v>
      </c>
      <c r="S506" s="274">
        <f t="shared" si="52"/>
        <v>15000</v>
      </c>
      <c r="T506" s="439" t="s">
        <v>227</v>
      </c>
      <c r="U506" s="460" t="str">
        <f t="shared" si="53"/>
        <v/>
      </c>
      <c r="V506" s="439" t="s">
        <v>1248</v>
      </c>
      <c r="W506" s="439" t="s">
        <v>540</v>
      </c>
      <c r="X506" s="439" t="s">
        <v>490</v>
      </c>
      <c r="Y506" s="439" t="str">
        <f t="shared" ref="Y506:Y517" si="56">J506</f>
        <v>Binder Klip Merk : KENKO nomor 105</v>
      </c>
      <c r="Z506" s="449" t="s">
        <v>280</v>
      </c>
      <c r="AA506" s="440" t="s">
        <v>472</v>
      </c>
      <c r="AB506" s="441">
        <f t="shared" si="54"/>
        <v>4954.9549549549547</v>
      </c>
      <c r="AC506" s="442">
        <f t="shared" si="55"/>
        <v>9909.9099099099094</v>
      </c>
      <c r="AD506" s="437">
        <v>1125000</v>
      </c>
      <c r="AE506" s="447">
        <v>1202702.7027027027</v>
      </c>
      <c r="AF506" s="447">
        <v>1335000</v>
      </c>
      <c r="AG506" s="437">
        <v>1749000</v>
      </c>
      <c r="AH506" s="271" t="s">
        <v>2101</v>
      </c>
      <c r="AI506" s="277">
        <f>SUM(AC506:AC507)</f>
        <v>28828.828828828831</v>
      </c>
      <c r="AJ506" s="277">
        <f>SUM(AD506:AD507)</f>
        <v>1335000</v>
      </c>
    </row>
    <row r="507" spans="1:36">
      <c r="A507" s="350">
        <v>302</v>
      </c>
      <c r="B507" s="352" t="s">
        <v>1247</v>
      </c>
      <c r="C507" s="352" t="s">
        <v>704</v>
      </c>
      <c r="D507" s="355" t="s">
        <v>705</v>
      </c>
      <c r="E507" s="368">
        <v>45114</v>
      </c>
      <c r="F507" s="362">
        <v>45115</v>
      </c>
      <c r="G507" s="362">
        <v>45115</v>
      </c>
      <c r="H507" s="362">
        <v>45115</v>
      </c>
      <c r="I507" s="394">
        <v>45115</v>
      </c>
      <c r="J507" s="387" t="s">
        <v>256</v>
      </c>
      <c r="K507" s="388" t="s">
        <v>727</v>
      </c>
      <c r="L507" s="402">
        <v>1</v>
      </c>
      <c r="M507" s="352" t="s">
        <v>728</v>
      </c>
      <c r="N507" s="403">
        <v>21000</v>
      </c>
      <c r="O507" s="404">
        <v>21000</v>
      </c>
      <c r="P507" s="421">
        <v>9</v>
      </c>
      <c r="Q507" s="425" t="s">
        <v>164</v>
      </c>
      <c r="R507" s="437">
        <v>210000</v>
      </c>
      <c r="S507" s="274">
        <f t="shared" si="52"/>
        <v>23000</v>
      </c>
      <c r="T507" s="439" t="s">
        <v>227</v>
      </c>
      <c r="U507" s="460" t="str">
        <f t="shared" si="53"/>
        <v/>
      </c>
      <c r="V507" s="439" t="s">
        <v>1248</v>
      </c>
      <c r="W507" s="439" t="s">
        <v>540</v>
      </c>
      <c r="X507" s="439" t="s">
        <v>474</v>
      </c>
      <c r="Y507" s="439" t="str">
        <f t="shared" si="56"/>
        <v>Paper Clip No 1  Paper Clip No 3</v>
      </c>
      <c r="Z507" s="449" t="s">
        <v>1545</v>
      </c>
      <c r="AA507" s="440" t="s">
        <v>472</v>
      </c>
      <c r="AB507" s="441">
        <f t="shared" si="54"/>
        <v>18918.91891891892</v>
      </c>
      <c r="AC507" s="442">
        <f t="shared" si="55"/>
        <v>18918.91891891892</v>
      </c>
      <c r="AD507" s="437">
        <v>210000</v>
      </c>
      <c r="AE507" s="447">
        <v>1202702.7027027027</v>
      </c>
      <c r="AF507" s="447">
        <v>1335000</v>
      </c>
      <c r="AG507" s="437">
        <v>210000</v>
      </c>
      <c r="AH507" s="271" t="s">
        <v>2101</v>
      </c>
    </row>
    <row r="508" spans="1:36" ht="25">
      <c r="A508" s="350">
        <v>302</v>
      </c>
      <c r="B508" s="352" t="s">
        <v>1247</v>
      </c>
      <c r="C508" s="352" t="s">
        <v>704</v>
      </c>
      <c r="D508" s="355" t="s">
        <v>705</v>
      </c>
      <c r="E508" s="368">
        <v>45114</v>
      </c>
      <c r="F508" s="362">
        <v>45115</v>
      </c>
      <c r="G508" s="362">
        <v>45115</v>
      </c>
      <c r="H508" s="362">
        <v>45115</v>
      </c>
      <c r="I508" s="394">
        <v>45115</v>
      </c>
      <c r="J508" s="387" t="s">
        <v>251</v>
      </c>
      <c r="K508" s="388" t="s">
        <v>907</v>
      </c>
      <c r="L508" s="402">
        <v>1</v>
      </c>
      <c r="M508" s="352" t="s">
        <v>735</v>
      </c>
      <c r="N508" s="403">
        <v>70000</v>
      </c>
      <c r="O508" s="404">
        <v>70000</v>
      </c>
      <c r="P508" s="421">
        <v>9</v>
      </c>
      <c r="Q508" s="425" t="s">
        <v>164</v>
      </c>
      <c r="R508" s="437">
        <v>140000</v>
      </c>
      <c r="S508" s="274">
        <f t="shared" si="52"/>
        <v>72000</v>
      </c>
      <c r="T508" s="439" t="s">
        <v>227</v>
      </c>
      <c r="U508" s="460" t="str">
        <f t="shared" si="53"/>
        <v/>
      </c>
      <c r="V508" s="439" t="s">
        <v>1248</v>
      </c>
      <c r="W508" s="439" t="s">
        <v>540</v>
      </c>
      <c r="X508" s="439" t="s">
        <v>474</v>
      </c>
      <c r="Y508" s="439" t="str">
        <f t="shared" si="56"/>
        <v>Kertas Warna Blank Folio, Ukuran : 8,5 x 14",  70 gram</v>
      </c>
      <c r="Z508" s="449" t="s">
        <v>1545</v>
      </c>
      <c r="AA508" s="440" t="s">
        <v>231</v>
      </c>
      <c r="AB508" s="441">
        <f t="shared" si="54"/>
        <v>63063.063063063062</v>
      </c>
      <c r="AC508" s="442">
        <f t="shared" si="55"/>
        <v>63063.063063063062</v>
      </c>
      <c r="AD508" s="437">
        <v>140000</v>
      </c>
      <c r="AE508" s="447">
        <v>801801.80180180178</v>
      </c>
      <c r="AF508" s="447">
        <v>890000</v>
      </c>
      <c r="AG508" s="437">
        <v>140000</v>
      </c>
      <c r="AH508" s="271" t="s">
        <v>2101</v>
      </c>
      <c r="AI508" s="277">
        <f>SUM(AC508:AC509)</f>
        <v>73423.423423423417</v>
      </c>
      <c r="AJ508" s="277">
        <f>SUM(AD508:AD509)</f>
        <v>890000</v>
      </c>
    </row>
    <row r="509" spans="1:36">
      <c r="A509" s="350">
        <v>302</v>
      </c>
      <c r="B509" s="352" t="s">
        <v>1247</v>
      </c>
      <c r="C509" s="352" t="s">
        <v>704</v>
      </c>
      <c r="D509" s="355" t="s">
        <v>705</v>
      </c>
      <c r="E509" s="368">
        <v>45114</v>
      </c>
      <c r="F509" s="362">
        <v>45115</v>
      </c>
      <c r="G509" s="362">
        <v>45115</v>
      </c>
      <c r="H509" s="362">
        <v>45115</v>
      </c>
      <c r="I509" s="394">
        <v>45115</v>
      </c>
      <c r="J509" s="387" t="s">
        <v>711</v>
      </c>
      <c r="K509" s="387" t="s">
        <v>746</v>
      </c>
      <c r="L509" s="402">
        <v>1</v>
      </c>
      <c r="M509" s="352" t="s">
        <v>488</v>
      </c>
      <c r="N509" s="403">
        <v>11500</v>
      </c>
      <c r="O509" s="404">
        <v>11500</v>
      </c>
      <c r="P509" s="421">
        <v>9</v>
      </c>
      <c r="Q509" s="425" t="s">
        <v>165</v>
      </c>
      <c r="R509" s="437">
        <v>750000</v>
      </c>
      <c r="S509" s="274">
        <f t="shared" si="52"/>
        <v>13500</v>
      </c>
      <c r="T509" s="439" t="s">
        <v>227</v>
      </c>
      <c r="U509" s="460" t="str">
        <f t="shared" si="53"/>
        <v/>
      </c>
      <c r="V509" s="439" t="s">
        <v>1248</v>
      </c>
      <c r="W509" s="439" t="s">
        <v>540</v>
      </c>
      <c r="X509" s="439" t="s">
        <v>490</v>
      </c>
      <c r="Y509" s="439" t="str">
        <f t="shared" si="56"/>
        <v>Lakban Kain Warna Hitam</v>
      </c>
      <c r="Z509" s="449" t="s">
        <v>280</v>
      </c>
      <c r="AA509" s="440" t="s">
        <v>269</v>
      </c>
      <c r="AB509" s="441">
        <f t="shared" si="54"/>
        <v>10360.360360360361</v>
      </c>
      <c r="AC509" s="442">
        <f t="shared" si="55"/>
        <v>10360.360360360361</v>
      </c>
      <c r="AD509" s="437">
        <v>750000</v>
      </c>
      <c r="AE509" s="447">
        <v>801801.80180180178</v>
      </c>
      <c r="AF509" s="447">
        <v>890000</v>
      </c>
      <c r="AG509" s="437">
        <v>750000</v>
      </c>
      <c r="AH509" s="271" t="s">
        <v>2101</v>
      </c>
    </row>
    <row r="510" spans="1:36" ht="37.5">
      <c r="A510" s="350">
        <v>302</v>
      </c>
      <c r="B510" s="352" t="s">
        <v>1247</v>
      </c>
      <c r="C510" s="352" t="s">
        <v>704</v>
      </c>
      <c r="D510" s="355" t="s">
        <v>705</v>
      </c>
      <c r="E510" s="368">
        <v>45114</v>
      </c>
      <c r="F510" s="362">
        <v>45115</v>
      </c>
      <c r="G510" s="362">
        <v>45115</v>
      </c>
      <c r="H510" s="362">
        <v>45115</v>
      </c>
      <c r="I510" s="394">
        <v>45115</v>
      </c>
      <c r="J510" s="387" t="s">
        <v>247</v>
      </c>
      <c r="K510" s="387" t="s">
        <v>247</v>
      </c>
      <c r="L510" s="402">
        <v>15</v>
      </c>
      <c r="M510" s="352" t="s">
        <v>735</v>
      </c>
      <c r="N510" s="403">
        <v>50000</v>
      </c>
      <c r="O510" s="404">
        <v>750000</v>
      </c>
      <c r="P510" s="421">
        <v>9</v>
      </c>
      <c r="Q510" s="275"/>
      <c r="R510" s="437">
        <v>2400000</v>
      </c>
      <c r="S510" s="274">
        <f t="shared" si="52"/>
        <v>780000</v>
      </c>
      <c r="T510" s="439" t="s">
        <v>227</v>
      </c>
      <c r="U510" s="460" t="str">
        <f t="shared" si="53"/>
        <v/>
      </c>
      <c r="V510" s="439" t="s">
        <v>1248</v>
      </c>
      <c r="W510" s="439" t="s">
        <v>540</v>
      </c>
      <c r="X510" s="439"/>
      <c r="Y510" s="439" t="str">
        <f t="shared" si="56"/>
        <v>Kertas HVS 80 gram Merk : Paper One A4, Ukuran : 8,27" x 11,69", Isi : 500 lembar</v>
      </c>
      <c r="Z510" s="449"/>
      <c r="AA510" s="440" t="s">
        <v>574</v>
      </c>
      <c r="AB510" s="441">
        <f t="shared" si="54"/>
        <v>45045.045045045044</v>
      </c>
      <c r="AC510" s="442">
        <f t="shared" si="55"/>
        <v>675675.67567567562</v>
      </c>
      <c r="AD510" s="437">
        <v>2400000</v>
      </c>
      <c r="AE510" s="447">
        <v>2162162.1621621624</v>
      </c>
      <c r="AF510" s="447">
        <v>2400000</v>
      </c>
      <c r="AG510" s="437">
        <v>2400000</v>
      </c>
      <c r="AH510" s="271" t="s">
        <v>2101</v>
      </c>
    </row>
    <row r="511" spans="1:36">
      <c r="A511" s="350">
        <v>302</v>
      </c>
      <c r="B511" s="352" t="s">
        <v>1247</v>
      </c>
      <c r="C511" s="352" t="s">
        <v>704</v>
      </c>
      <c r="D511" s="355" t="s">
        <v>705</v>
      </c>
      <c r="E511" s="368">
        <v>45114</v>
      </c>
      <c r="F511" s="362">
        <v>45115</v>
      </c>
      <c r="G511" s="362">
        <v>45115</v>
      </c>
      <c r="H511" s="362">
        <v>45115</v>
      </c>
      <c r="I511" s="394">
        <v>45115</v>
      </c>
      <c r="J511" s="387" t="s">
        <v>249</v>
      </c>
      <c r="K511" s="387" t="s">
        <v>888</v>
      </c>
      <c r="L511" s="402">
        <v>1</v>
      </c>
      <c r="M511" s="352" t="s">
        <v>749</v>
      </c>
      <c r="N511" s="403">
        <v>21000</v>
      </c>
      <c r="O511" s="404">
        <v>21000</v>
      </c>
      <c r="P511" s="421">
        <v>7</v>
      </c>
      <c r="Q511" s="275"/>
      <c r="R511" s="437">
        <v>360000</v>
      </c>
      <c r="S511" s="274">
        <f t="shared" si="52"/>
        <v>23000</v>
      </c>
      <c r="T511" s="439" t="s">
        <v>227</v>
      </c>
      <c r="U511" s="460" t="str">
        <f t="shared" si="53"/>
        <v/>
      </c>
      <c r="V511" s="439" t="s">
        <v>1248</v>
      </c>
      <c r="W511" s="439" t="s">
        <v>540</v>
      </c>
      <c r="X511" s="439"/>
      <c r="Y511" s="439" t="str">
        <f t="shared" si="56"/>
        <v>Kertas Post-It Warna Warni  Sign Here</v>
      </c>
      <c r="Z511" s="449" t="s">
        <v>1555</v>
      </c>
      <c r="AA511" s="440" t="s">
        <v>614</v>
      </c>
      <c r="AB511" s="441">
        <f t="shared" si="54"/>
        <v>18918.91891891892</v>
      </c>
      <c r="AC511" s="442">
        <f t="shared" si="55"/>
        <v>18918.91891891892</v>
      </c>
      <c r="AD511" s="437">
        <v>360000</v>
      </c>
      <c r="AE511" s="447">
        <v>324324.32432432432</v>
      </c>
      <c r="AF511" s="447">
        <v>360000</v>
      </c>
      <c r="AG511" s="437">
        <v>360000</v>
      </c>
      <c r="AH511" s="271" t="s">
        <v>2101</v>
      </c>
    </row>
    <row r="512" spans="1:36" ht="15.5">
      <c r="A512" s="350">
        <v>302</v>
      </c>
      <c r="B512" s="352" t="s">
        <v>1247</v>
      </c>
      <c r="C512" s="352" t="s">
        <v>704</v>
      </c>
      <c r="D512" s="355" t="s">
        <v>705</v>
      </c>
      <c r="E512" s="368">
        <v>45114</v>
      </c>
      <c r="F512" s="362">
        <v>45115</v>
      </c>
      <c r="G512" s="362">
        <v>45115</v>
      </c>
      <c r="H512" s="362">
        <v>45115</v>
      </c>
      <c r="I512" s="394">
        <v>45115</v>
      </c>
      <c r="J512" s="388" t="s">
        <v>1250</v>
      </c>
      <c r="K512" s="388" t="s">
        <v>1251</v>
      </c>
      <c r="L512" s="402">
        <v>3</v>
      </c>
      <c r="M512" s="352" t="s">
        <v>774</v>
      </c>
      <c r="N512" s="403">
        <v>50000</v>
      </c>
      <c r="O512" s="404">
        <v>150000</v>
      </c>
      <c r="P512" s="421">
        <v>7</v>
      </c>
      <c r="Q512" s="426" t="s">
        <v>81</v>
      </c>
      <c r="R512" s="437">
        <v>420000</v>
      </c>
      <c r="S512" s="274">
        <f t="shared" si="52"/>
        <v>156000</v>
      </c>
      <c r="T512" s="439" t="s">
        <v>227</v>
      </c>
      <c r="U512" s="460" t="str">
        <f t="shared" si="53"/>
        <v/>
      </c>
      <c r="V512" s="439" t="s">
        <v>1248</v>
      </c>
      <c r="W512" s="439" t="s">
        <v>540</v>
      </c>
      <c r="X512" s="439" t="s">
        <v>468</v>
      </c>
      <c r="Y512" s="439" t="str">
        <f t="shared" si="56"/>
        <v xml:space="preserve">Kertas Label </v>
      </c>
      <c r="Z512" s="449" t="s">
        <v>8</v>
      </c>
      <c r="AA512" s="440" t="s">
        <v>472</v>
      </c>
      <c r="AB512" s="441">
        <f t="shared" si="54"/>
        <v>45045.045045045044</v>
      </c>
      <c r="AC512" s="442">
        <f t="shared" si="55"/>
        <v>135135.13513513515</v>
      </c>
      <c r="AD512" s="437">
        <v>420000</v>
      </c>
      <c r="AE512" s="447">
        <v>378378.37837837834</v>
      </c>
      <c r="AF512" s="447">
        <v>420000</v>
      </c>
      <c r="AG512" s="437">
        <v>420000</v>
      </c>
      <c r="AH512" s="271" t="s">
        <v>2101</v>
      </c>
    </row>
    <row r="513" spans="1:36">
      <c r="A513" s="350">
        <v>302</v>
      </c>
      <c r="B513" s="352" t="s">
        <v>1247</v>
      </c>
      <c r="C513" s="352" t="s">
        <v>704</v>
      </c>
      <c r="D513" s="355" t="s">
        <v>705</v>
      </c>
      <c r="E513" s="368">
        <v>45114</v>
      </c>
      <c r="F513" s="362">
        <v>45115</v>
      </c>
      <c r="G513" s="362">
        <v>45115</v>
      </c>
      <c r="H513" s="362">
        <v>45115</v>
      </c>
      <c r="I513" s="394">
        <v>45115</v>
      </c>
      <c r="J513" s="387" t="s">
        <v>239</v>
      </c>
      <c r="K513" s="387" t="s">
        <v>239</v>
      </c>
      <c r="L513" s="402">
        <v>1</v>
      </c>
      <c r="M513" s="352" t="s">
        <v>597</v>
      </c>
      <c r="N513" s="403">
        <v>16500</v>
      </c>
      <c r="O513" s="404">
        <v>16500</v>
      </c>
      <c r="P513" s="421">
        <v>7</v>
      </c>
      <c r="Q513" s="427" t="s">
        <v>163</v>
      </c>
      <c r="R513" s="437">
        <v>50000</v>
      </c>
      <c r="S513" s="274">
        <f t="shared" si="52"/>
        <v>18500</v>
      </c>
      <c r="T513" s="439" t="s">
        <v>227</v>
      </c>
      <c r="U513" s="460" t="str">
        <f t="shared" si="53"/>
        <v/>
      </c>
      <c r="V513" s="439" t="s">
        <v>1248</v>
      </c>
      <c r="W513" s="439" t="s">
        <v>540</v>
      </c>
      <c r="X513" s="439" t="s">
        <v>709</v>
      </c>
      <c r="Y513" s="439" t="str">
        <f t="shared" si="56"/>
        <v>Binder Klip  nomor 200</v>
      </c>
      <c r="Z513" s="449" t="s">
        <v>1545</v>
      </c>
      <c r="AA513" s="440" t="s">
        <v>472</v>
      </c>
      <c r="AB513" s="441">
        <f t="shared" si="54"/>
        <v>14864.864864864865</v>
      </c>
      <c r="AC513" s="442">
        <f t="shared" si="55"/>
        <v>14864.864864864865</v>
      </c>
      <c r="AD513" s="437">
        <v>50000</v>
      </c>
      <c r="AE513" s="447">
        <v>45045.045045045044</v>
      </c>
      <c r="AF513" s="447">
        <v>50000</v>
      </c>
      <c r="AG513" s="437">
        <v>50000</v>
      </c>
      <c r="AH513" s="271" t="s">
        <v>2101</v>
      </c>
    </row>
    <row r="514" spans="1:36">
      <c r="A514" s="350">
        <v>302</v>
      </c>
      <c r="B514" s="352" t="s">
        <v>1247</v>
      </c>
      <c r="C514" s="352" t="s">
        <v>704</v>
      </c>
      <c r="D514" s="355" t="s">
        <v>705</v>
      </c>
      <c r="E514" s="368">
        <v>45114</v>
      </c>
      <c r="F514" s="362">
        <v>45115</v>
      </c>
      <c r="G514" s="362">
        <v>45115</v>
      </c>
      <c r="H514" s="362">
        <v>45115</v>
      </c>
      <c r="I514" s="394">
        <v>45115</v>
      </c>
      <c r="J514" s="389" t="s">
        <v>234</v>
      </c>
      <c r="K514" s="389" t="s">
        <v>234</v>
      </c>
      <c r="L514" s="402">
        <v>1</v>
      </c>
      <c r="M514" s="352" t="s">
        <v>714</v>
      </c>
      <c r="N514" s="403">
        <v>225000</v>
      </c>
      <c r="O514" s="404">
        <v>225000</v>
      </c>
      <c r="P514" s="421">
        <v>7</v>
      </c>
      <c r="Q514" s="427" t="s">
        <v>163</v>
      </c>
      <c r="R514" s="437">
        <v>1000000</v>
      </c>
      <c r="S514" s="438">
        <f t="shared" si="52"/>
        <v>227000</v>
      </c>
      <c r="T514" s="439" t="s">
        <v>227</v>
      </c>
      <c r="U514" s="460" t="str">
        <f t="shared" si="53"/>
        <v/>
      </c>
      <c r="V514" s="439" t="s">
        <v>1248</v>
      </c>
      <c r="W514" s="439" t="s">
        <v>540</v>
      </c>
      <c r="X514" s="439" t="s">
        <v>709</v>
      </c>
      <c r="Y514" s="439" t="str">
        <f t="shared" si="56"/>
        <v>Ballpoint Pilot G2</v>
      </c>
      <c r="Z514" s="449" t="s">
        <v>1545</v>
      </c>
      <c r="AA514" s="440" t="s">
        <v>597</v>
      </c>
      <c r="AB514" s="441">
        <f t="shared" si="54"/>
        <v>202702.70270270269</v>
      </c>
      <c r="AC514" s="442">
        <f t="shared" si="55"/>
        <v>202702.70270270269</v>
      </c>
      <c r="AD514" s="437">
        <v>1000000</v>
      </c>
      <c r="AE514" s="447">
        <v>900900.90090090083</v>
      </c>
      <c r="AF514" s="447">
        <v>1000000</v>
      </c>
      <c r="AG514" s="437">
        <v>1000000</v>
      </c>
      <c r="AH514" s="271" t="s">
        <v>2101</v>
      </c>
    </row>
    <row r="515" spans="1:36" ht="15.5">
      <c r="A515" s="350">
        <v>302</v>
      </c>
      <c r="B515" s="352" t="s">
        <v>1247</v>
      </c>
      <c r="C515" s="352" t="s">
        <v>704</v>
      </c>
      <c r="D515" s="355" t="s">
        <v>705</v>
      </c>
      <c r="E515" s="368">
        <v>45114</v>
      </c>
      <c r="F515" s="362">
        <v>45115</v>
      </c>
      <c r="G515" s="362">
        <v>45115</v>
      </c>
      <c r="H515" s="362">
        <v>45115</v>
      </c>
      <c r="I515" s="394">
        <v>45115</v>
      </c>
      <c r="J515" s="387" t="s">
        <v>262</v>
      </c>
      <c r="K515" s="388" t="s">
        <v>744</v>
      </c>
      <c r="L515" s="402">
        <v>1</v>
      </c>
      <c r="M515" s="352" t="s">
        <v>714</v>
      </c>
      <c r="N515" s="403">
        <v>150000</v>
      </c>
      <c r="O515" s="404">
        <v>150000</v>
      </c>
      <c r="P515" s="421">
        <v>7</v>
      </c>
      <c r="Q515" s="426" t="s">
        <v>81</v>
      </c>
      <c r="R515" s="437">
        <v>2450000</v>
      </c>
      <c r="S515" s="438">
        <f t="shared" ref="S515:S578" si="57">L515*(N515+2000)</f>
        <v>152000</v>
      </c>
      <c r="T515" s="439" t="s">
        <v>227</v>
      </c>
      <c r="U515" s="460" t="str">
        <f t="shared" ref="U515:U578" si="58">IF(K515="Nasi Kotak","Resto JFC Esther",IF(K515="Aqua Botol 600 ml","UD. USAHA JAYA",""))</f>
        <v/>
      </c>
      <c r="V515" s="439" t="s">
        <v>1248</v>
      </c>
      <c r="W515" s="439" t="s">
        <v>540</v>
      </c>
      <c r="X515" s="439" t="s">
        <v>468</v>
      </c>
      <c r="Y515" s="439" t="str">
        <f t="shared" si="56"/>
        <v>Spidol White board</v>
      </c>
      <c r="Z515" s="449" t="s">
        <v>8</v>
      </c>
      <c r="AA515" s="440" t="s">
        <v>472</v>
      </c>
      <c r="AB515" s="441">
        <f t="shared" ref="AB515:AB578" si="59">100/111*N515</f>
        <v>135135.13513513515</v>
      </c>
      <c r="AC515" s="442">
        <f t="shared" ref="AC515:AC578" si="60">AB515*L515</f>
        <v>135135.13513513515</v>
      </c>
      <c r="AD515" s="437">
        <v>2450000</v>
      </c>
      <c r="AE515" s="447">
        <v>2207207.2072072071</v>
      </c>
      <c r="AF515" s="447">
        <v>2450000</v>
      </c>
      <c r="AG515" s="437">
        <v>2450000</v>
      </c>
      <c r="AH515" s="271" t="s">
        <v>2101</v>
      </c>
      <c r="AI515" s="424"/>
      <c r="AJ515" s="424"/>
    </row>
    <row r="516" spans="1:36">
      <c r="A516" s="350">
        <v>302</v>
      </c>
      <c r="B516" s="352" t="s">
        <v>1247</v>
      </c>
      <c r="C516" s="352" t="s">
        <v>704</v>
      </c>
      <c r="D516" s="355" t="s">
        <v>705</v>
      </c>
      <c r="E516" s="368">
        <v>45114</v>
      </c>
      <c r="F516" s="362">
        <v>45115</v>
      </c>
      <c r="G516" s="362">
        <v>45115</v>
      </c>
      <c r="H516" s="362">
        <v>45115</v>
      </c>
      <c r="I516" s="394">
        <v>45115</v>
      </c>
      <c r="J516" s="387" t="s">
        <v>711</v>
      </c>
      <c r="K516" s="387" t="s">
        <v>712</v>
      </c>
      <c r="L516" s="402">
        <v>1</v>
      </c>
      <c r="M516" s="352" t="s">
        <v>488</v>
      </c>
      <c r="N516" s="403">
        <v>14000</v>
      </c>
      <c r="O516" s="404">
        <v>14000</v>
      </c>
      <c r="P516" s="272">
        <v>7</v>
      </c>
      <c r="Q516" s="425" t="s">
        <v>164</v>
      </c>
      <c r="R516" s="437">
        <v>560000</v>
      </c>
      <c r="S516" s="438">
        <f t="shared" si="57"/>
        <v>16000</v>
      </c>
      <c r="T516" s="439" t="s">
        <v>227</v>
      </c>
      <c r="U516" s="460" t="str">
        <f t="shared" si="58"/>
        <v/>
      </c>
      <c r="V516" s="439" t="s">
        <v>1248</v>
      </c>
      <c r="W516" s="439" t="s">
        <v>540</v>
      </c>
      <c r="X516" s="439" t="s">
        <v>709</v>
      </c>
      <c r="Y516" s="439" t="str">
        <f t="shared" si="56"/>
        <v>Lakban Kain Warna Hitam</v>
      </c>
      <c r="Z516" s="449" t="s">
        <v>1545</v>
      </c>
      <c r="AA516" s="440" t="s">
        <v>488</v>
      </c>
      <c r="AB516" s="441">
        <f t="shared" si="59"/>
        <v>12612.612612612613</v>
      </c>
      <c r="AC516" s="442">
        <f t="shared" si="60"/>
        <v>12612.612612612613</v>
      </c>
      <c r="AD516" s="437">
        <v>560000</v>
      </c>
      <c r="AE516" s="447">
        <v>1513513.5135135134</v>
      </c>
      <c r="AF516" s="447">
        <v>1680000</v>
      </c>
      <c r="AG516" s="437">
        <v>560000</v>
      </c>
      <c r="AH516" s="443" t="s">
        <v>2101</v>
      </c>
      <c r="AI516" s="453">
        <f>SUM(AC516:AC517)</f>
        <v>100000</v>
      </c>
      <c r="AJ516" s="453">
        <f>SUM(AD516:AD517)</f>
        <v>1680000</v>
      </c>
    </row>
    <row r="517" spans="1:36">
      <c r="A517" s="350">
        <v>302</v>
      </c>
      <c r="B517" s="352" t="s">
        <v>1247</v>
      </c>
      <c r="C517" s="352" t="s">
        <v>704</v>
      </c>
      <c r="D517" s="355" t="s">
        <v>705</v>
      </c>
      <c r="E517" s="368">
        <v>45114</v>
      </c>
      <c r="F517" s="362">
        <v>45115</v>
      </c>
      <c r="G517" s="362">
        <v>45115</v>
      </c>
      <c r="H517" s="362">
        <v>45115</v>
      </c>
      <c r="I517" s="394">
        <v>45115</v>
      </c>
      <c r="J517" s="389" t="s">
        <v>233</v>
      </c>
      <c r="K517" s="389" t="s">
        <v>233</v>
      </c>
      <c r="L517" s="402">
        <v>1</v>
      </c>
      <c r="M517" s="352" t="s">
        <v>714</v>
      </c>
      <c r="N517" s="403">
        <v>97000</v>
      </c>
      <c r="O517" s="404">
        <v>97000</v>
      </c>
      <c r="P517" s="272">
        <v>7</v>
      </c>
      <c r="Q517" s="425" t="s">
        <v>165</v>
      </c>
      <c r="R517" s="437">
        <v>1120000</v>
      </c>
      <c r="S517" s="438">
        <f t="shared" si="57"/>
        <v>99000</v>
      </c>
      <c r="T517" s="439" t="s">
        <v>227</v>
      </c>
      <c r="U517" s="460" t="str">
        <f t="shared" si="58"/>
        <v/>
      </c>
      <c r="V517" s="439" t="s">
        <v>1248</v>
      </c>
      <c r="W517" s="439" t="s">
        <v>540</v>
      </c>
      <c r="X517" s="439" t="s">
        <v>490</v>
      </c>
      <c r="Y517" s="439" t="str">
        <f t="shared" si="56"/>
        <v>Ballpoint Drawing Pen 0,1 Snowman</v>
      </c>
      <c r="Z517" s="449" t="s">
        <v>280</v>
      </c>
      <c r="AA517" s="440" t="s">
        <v>587</v>
      </c>
      <c r="AB517" s="441">
        <f t="shared" si="59"/>
        <v>87387.387387387382</v>
      </c>
      <c r="AC517" s="442">
        <f t="shared" si="60"/>
        <v>87387.387387387382</v>
      </c>
      <c r="AD517" s="437">
        <v>1120000</v>
      </c>
      <c r="AE517" s="447">
        <v>1513513.5135135134</v>
      </c>
      <c r="AF517" s="447">
        <v>1680000</v>
      </c>
      <c r="AG517" s="437">
        <v>1120000</v>
      </c>
      <c r="AH517" s="443" t="s">
        <v>2101</v>
      </c>
    </row>
    <row r="518" spans="1:36">
      <c r="A518" s="350">
        <v>302</v>
      </c>
      <c r="B518" s="352" t="s">
        <v>1247</v>
      </c>
      <c r="C518" s="352" t="s">
        <v>704</v>
      </c>
      <c r="D518" s="355" t="s">
        <v>705</v>
      </c>
      <c r="E518" s="368">
        <v>45114</v>
      </c>
      <c r="F518" s="362">
        <v>45115</v>
      </c>
      <c r="G518" s="362">
        <v>45115</v>
      </c>
      <c r="H518" s="362">
        <v>45115</v>
      </c>
      <c r="I518" s="394">
        <v>45115</v>
      </c>
      <c r="J518" s="387" t="s">
        <v>779</v>
      </c>
      <c r="K518" s="388" t="s">
        <v>906</v>
      </c>
      <c r="L518" s="402">
        <v>1</v>
      </c>
      <c r="M518" s="352" t="s">
        <v>753</v>
      </c>
      <c r="N518" s="403">
        <v>75000</v>
      </c>
      <c r="O518" s="404">
        <v>75000</v>
      </c>
      <c r="P518" s="272">
        <v>7</v>
      </c>
      <c r="Q518" s="439"/>
      <c r="R518" s="437">
        <v>1700000</v>
      </c>
      <c r="S518" s="438">
        <f t="shared" si="57"/>
        <v>77000</v>
      </c>
      <c r="T518" s="439" t="s">
        <v>227</v>
      </c>
      <c r="U518" s="460" t="str">
        <f t="shared" si="58"/>
        <v/>
      </c>
      <c r="V518" s="439" t="s">
        <v>1248</v>
      </c>
      <c r="W518" s="439" t="s">
        <v>540</v>
      </c>
      <c r="X518" s="439" t="s">
        <v>709</v>
      </c>
      <c r="Y518" s="439" t="s">
        <v>1278</v>
      </c>
      <c r="Z518" s="449"/>
      <c r="AA518" s="421"/>
      <c r="AB518" s="441">
        <f t="shared" si="59"/>
        <v>67567.567567567574</v>
      </c>
      <c r="AC518" s="442">
        <f t="shared" si="60"/>
        <v>67567.567567567574</v>
      </c>
      <c r="AD518" s="437">
        <v>1700000</v>
      </c>
      <c r="AE518" s="447">
        <v>1531531.5315315316</v>
      </c>
      <c r="AF518" s="447">
        <v>1700000</v>
      </c>
      <c r="AG518" s="437">
        <v>1700000</v>
      </c>
      <c r="AH518" s="443" t="s">
        <v>2101</v>
      </c>
    </row>
    <row r="519" spans="1:36">
      <c r="A519" s="350">
        <v>302</v>
      </c>
      <c r="B519" s="352" t="s">
        <v>1247</v>
      </c>
      <c r="C519" s="352" t="s">
        <v>704</v>
      </c>
      <c r="D519" s="355" t="s">
        <v>705</v>
      </c>
      <c r="E519" s="368">
        <v>45114</v>
      </c>
      <c r="F519" s="362">
        <v>45115</v>
      </c>
      <c r="G519" s="362">
        <v>45115</v>
      </c>
      <c r="H519" s="362">
        <v>45115</v>
      </c>
      <c r="I519" s="394">
        <v>45115</v>
      </c>
      <c r="J519" s="389" t="s">
        <v>755</v>
      </c>
      <c r="K519" s="389" t="s">
        <v>755</v>
      </c>
      <c r="L519" s="402">
        <v>1</v>
      </c>
      <c r="M519" s="352" t="s">
        <v>756</v>
      </c>
      <c r="N519" s="403">
        <v>26000</v>
      </c>
      <c r="O519" s="404">
        <v>26000</v>
      </c>
      <c r="P519" s="421">
        <v>8</v>
      </c>
      <c r="Q519" s="425" t="s">
        <v>165</v>
      </c>
      <c r="R519" s="437">
        <v>6000000</v>
      </c>
      <c r="S519" s="438">
        <f t="shared" si="57"/>
        <v>28000</v>
      </c>
      <c r="T519" s="439" t="s">
        <v>227</v>
      </c>
      <c r="U519" s="460" t="str">
        <f t="shared" si="58"/>
        <v/>
      </c>
      <c r="V519" s="439" t="s">
        <v>1248</v>
      </c>
      <c r="W519" s="439" t="s">
        <v>540</v>
      </c>
      <c r="X519" s="439" t="s">
        <v>490</v>
      </c>
      <c r="Y519" s="439" t="str">
        <f>J519</f>
        <v>Ballpoint Pilot Balliner Warna Hitam</v>
      </c>
      <c r="Z519" s="449" t="s">
        <v>280</v>
      </c>
      <c r="AA519" s="440" t="s">
        <v>472</v>
      </c>
      <c r="AB519" s="441">
        <f t="shared" si="59"/>
        <v>23423.423423423425</v>
      </c>
      <c r="AC519" s="442">
        <f t="shared" si="60"/>
        <v>23423.423423423425</v>
      </c>
      <c r="AD519" s="437">
        <v>6000000</v>
      </c>
      <c r="AE519" s="447">
        <v>6306306.3063063063</v>
      </c>
      <c r="AF519" s="447">
        <v>7000000</v>
      </c>
      <c r="AG519" s="437">
        <v>6000000</v>
      </c>
      <c r="AH519" s="443" t="s">
        <v>2101</v>
      </c>
      <c r="AI519" s="448">
        <f>SUM(AC519:AC520)</f>
        <v>99099.099099099112</v>
      </c>
      <c r="AJ519" s="448">
        <f>SUM(AD519:AD520)</f>
        <v>7000000</v>
      </c>
    </row>
    <row r="520" spans="1:36">
      <c r="A520" s="350">
        <v>302</v>
      </c>
      <c r="B520" s="352" t="s">
        <v>1247</v>
      </c>
      <c r="C520" s="352" t="s">
        <v>704</v>
      </c>
      <c r="D520" s="355" t="s">
        <v>705</v>
      </c>
      <c r="E520" s="368">
        <v>45114</v>
      </c>
      <c r="F520" s="362">
        <v>45115</v>
      </c>
      <c r="G520" s="362">
        <v>45115</v>
      </c>
      <c r="H520" s="362">
        <v>45115</v>
      </c>
      <c r="I520" s="394">
        <v>45115</v>
      </c>
      <c r="J520" s="387" t="s">
        <v>264</v>
      </c>
      <c r="K520" s="387" t="s">
        <v>882</v>
      </c>
      <c r="L520" s="402">
        <v>2</v>
      </c>
      <c r="M520" s="352" t="s">
        <v>753</v>
      </c>
      <c r="N520" s="403">
        <v>42000</v>
      </c>
      <c r="O520" s="404">
        <v>84000</v>
      </c>
      <c r="P520" s="421">
        <v>8</v>
      </c>
      <c r="Q520" s="427" t="s">
        <v>163</v>
      </c>
      <c r="R520" s="437">
        <v>1000000</v>
      </c>
      <c r="S520" s="438">
        <f t="shared" si="57"/>
        <v>88000</v>
      </c>
      <c r="T520" s="439" t="s">
        <v>227</v>
      </c>
      <c r="U520" s="460" t="str">
        <f t="shared" si="58"/>
        <v/>
      </c>
      <c r="V520" s="439" t="s">
        <v>1248</v>
      </c>
      <c r="W520" s="439" t="s">
        <v>540</v>
      </c>
      <c r="X520" s="439" t="s">
        <v>709</v>
      </c>
      <c r="Y520" s="439" t="str">
        <f>J520</f>
        <v>Stofmap Transparan</v>
      </c>
      <c r="Z520" s="449" t="s">
        <v>1545</v>
      </c>
      <c r="AA520" s="440" t="s">
        <v>608</v>
      </c>
      <c r="AB520" s="441">
        <f t="shared" si="59"/>
        <v>37837.83783783784</v>
      </c>
      <c r="AC520" s="442">
        <f t="shared" si="60"/>
        <v>75675.67567567568</v>
      </c>
      <c r="AD520" s="437">
        <v>1000000</v>
      </c>
      <c r="AE520" s="447">
        <v>6306306.3063063063</v>
      </c>
      <c r="AF520" s="447">
        <v>7000000</v>
      </c>
      <c r="AG520" s="437">
        <v>1000000</v>
      </c>
      <c r="AH520" s="443" t="s">
        <v>2101</v>
      </c>
    </row>
    <row r="521" spans="1:36">
      <c r="A521" s="350">
        <v>302</v>
      </c>
      <c r="B521" s="352" t="s">
        <v>1247</v>
      </c>
      <c r="C521" s="352" t="s">
        <v>704</v>
      </c>
      <c r="D521" s="355" t="s">
        <v>705</v>
      </c>
      <c r="E521" s="368">
        <v>45114</v>
      </c>
      <c r="F521" s="362">
        <v>45115</v>
      </c>
      <c r="G521" s="362">
        <v>45115</v>
      </c>
      <c r="H521" s="362">
        <v>45115</v>
      </c>
      <c r="I521" s="394">
        <v>45115</v>
      </c>
      <c r="J521" s="387" t="s">
        <v>228</v>
      </c>
      <c r="K521" s="387" t="s">
        <v>896</v>
      </c>
      <c r="L521" s="402">
        <v>2</v>
      </c>
      <c r="M521" s="352" t="s">
        <v>728</v>
      </c>
      <c r="N521" s="403">
        <v>20000</v>
      </c>
      <c r="O521" s="404">
        <v>40000</v>
      </c>
      <c r="P521" s="421">
        <v>8</v>
      </c>
      <c r="Q521" s="429" t="s">
        <v>137</v>
      </c>
      <c r="R521" s="437">
        <v>20000</v>
      </c>
      <c r="S521" s="438">
        <f t="shared" si="57"/>
        <v>44000</v>
      </c>
      <c r="T521" s="439" t="s">
        <v>227</v>
      </c>
      <c r="U521" s="460" t="str">
        <f t="shared" si="58"/>
        <v/>
      </c>
      <c r="V521" s="439" t="s">
        <v>1248</v>
      </c>
      <c r="W521" s="439" t="s">
        <v>540</v>
      </c>
      <c r="X521" s="439" t="s">
        <v>709</v>
      </c>
      <c r="Y521" s="439" t="s">
        <v>710</v>
      </c>
      <c r="Z521" s="616" t="s">
        <v>710</v>
      </c>
      <c r="AA521" s="440" t="s">
        <v>551</v>
      </c>
      <c r="AB521" s="441">
        <f t="shared" si="59"/>
        <v>18018.018018018018</v>
      </c>
      <c r="AC521" s="442">
        <f t="shared" si="60"/>
        <v>36036.036036036036</v>
      </c>
      <c r="AD521" s="437">
        <v>20000</v>
      </c>
      <c r="AE521" s="447">
        <v>3440540.5405405411</v>
      </c>
      <c r="AF521" s="447">
        <v>3819000</v>
      </c>
      <c r="AG521" s="437">
        <v>20000</v>
      </c>
      <c r="AH521" s="443" t="s">
        <v>2101</v>
      </c>
      <c r="AI521" s="448">
        <f>SUM(AC521:AC558)</f>
        <v>25653153.153153148</v>
      </c>
      <c r="AJ521" s="448">
        <f>SUM(AD521:AD558)</f>
        <v>3819000</v>
      </c>
    </row>
    <row r="522" spans="1:36" ht="25">
      <c r="A522" s="350">
        <v>302</v>
      </c>
      <c r="B522" s="352" t="s">
        <v>1247</v>
      </c>
      <c r="C522" s="352" t="s">
        <v>704</v>
      </c>
      <c r="D522" s="355" t="s">
        <v>705</v>
      </c>
      <c r="E522" s="368">
        <v>45114</v>
      </c>
      <c r="F522" s="362">
        <v>45115</v>
      </c>
      <c r="G522" s="362">
        <v>45115</v>
      </c>
      <c r="H522" s="362">
        <v>45115</v>
      </c>
      <c r="I522" s="394">
        <v>45115</v>
      </c>
      <c r="J522" s="387" t="s">
        <v>733</v>
      </c>
      <c r="K522" s="388" t="s">
        <v>734</v>
      </c>
      <c r="L522" s="402">
        <v>5</v>
      </c>
      <c r="M522" s="352" t="s">
        <v>735</v>
      </c>
      <c r="N522" s="403">
        <v>54000</v>
      </c>
      <c r="O522" s="404">
        <v>270000</v>
      </c>
      <c r="P522" s="421">
        <v>8</v>
      </c>
      <c r="Q522" s="429" t="s">
        <v>120</v>
      </c>
      <c r="R522" s="437">
        <v>190000</v>
      </c>
      <c r="S522" s="438">
        <f t="shared" si="57"/>
        <v>280000</v>
      </c>
      <c r="T522" s="439" t="s">
        <v>227</v>
      </c>
      <c r="U522" s="460" t="str">
        <f t="shared" si="58"/>
        <v/>
      </c>
      <c r="V522" s="439" t="s">
        <v>1248</v>
      </c>
      <c r="W522" s="439" t="s">
        <v>540</v>
      </c>
      <c r="X522" s="439" t="s">
        <v>709</v>
      </c>
      <c r="Y522" s="439" t="s">
        <v>710</v>
      </c>
      <c r="Z522" s="616" t="s">
        <v>710</v>
      </c>
      <c r="AA522" s="440" t="s">
        <v>667</v>
      </c>
      <c r="AB522" s="441">
        <f t="shared" si="59"/>
        <v>48648.648648648646</v>
      </c>
      <c r="AC522" s="442">
        <f t="shared" si="60"/>
        <v>243243.24324324323</v>
      </c>
      <c r="AD522" s="437">
        <v>190000</v>
      </c>
      <c r="AE522" s="447">
        <v>3440540.5405405411</v>
      </c>
      <c r="AF522" s="447">
        <v>3819000</v>
      </c>
      <c r="AG522" s="437">
        <v>190000</v>
      </c>
      <c r="AH522" s="452" t="s">
        <v>2101</v>
      </c>
    </row>
    <row r="523" spans="1:36">
      <c r="A523" s="350">
        <v>302</v>
      </c>
      <c r="B523" s="352" t="s">
        <v>1247</v>
      </c>
      <c r="C523" s="352" t="s">
        <v>704</v>
      </c>
      <c r="D523" s="355" t="s">
        <v>705</v>
      </c>
      <c r="E523" s="368">
        <v>45114</v>
      </c>
      <c r="F523" s="362">
        <v>45115</v>
      </c>
      <c r="G523" s="362">
        <v>45115</v>
      </c>
      <c r="H523" s="362">
        <v>45115</v>
      </c>
      <c r="I523" s="394">
        <v>45115</v>
      </c>
      <c r="J523" s="387" t="s">
        <v>892</v>
      </c>
      <c r="K523" s="387" t="s">
        <v>892</v>
      </c>
      <c r="L523" s="402">
        <v>24</v>
      </c>
      <c r="M523" s="352" t="s">
        <v>488</v>
      </c>
      <c r="N523" s="403">
        <v>10000</v>
      </c>
      <c r="O523" s="404">
        <v>240000</v>
      </c>
      <c r="P523" s="421">
        <v>8</v>
      </c>
      <c r="Q523" s="429" t="s">
        <v>150</v>
      </c>
      <c r="R523" s="437">
        <v>240000</v>
      </c>
      <c r="S523" s="438">
        <f t="shared" si="57"/>
        <v>288000</v>
      </c>
      <c r="T523" s="439" t="s">
        <v>227</v>
      </c>
      <c r="U523" s="460" t="str">
        <f t="shared" si="58"/>
        <v/>
      </c>
      <c r="V523" s="439" t="s">
        <v>1248</v>
      </c>
      <c r="W523" s="439" t="s">
        <v>540</v>
      </c>
      <c r="X523" s="439" t="s">
        <v>709</v>
      </c>
      <c r="Y523" s="439" t="s">
        <v>710</v>
      </c>
      <c r="Z523" s="616" t="s">
        <v>710</v>
      </c>
      <c r="AA523" s="440" t="s">
        <v>720</v>
      </c>
      <c r="AB523" s="441">
        <f t="shared" si="59"/>
        <v>9009.0090090090089</v>
      </c>
      <c r="AC523" s="442">
        <f t="shared" si="60"/>
        <v>216216.21621621621</v>
      </c>
      <c r="AD523" s="437">
        <v>240000</v>
      </c>
      <c r="AE523" s="447">
        <v>3440540.5405405411</v>
      </c>
      <c r="AF523" s="447">
        <v>3819000</v>
      </c>
      <c r="AG523" s="437">
        <v>240000</v>
      </c>
      <c r="AH523" s="443" t="s">
        <v>2101</v>
      </c>
    </row>
    <row r="524" spans="1:36">
      <c r="A524" s="350">
        <v>302</v>
      </c>
      <c r="B524" s="352" t="s">
        <v>1247</v>
      </c>
      <c r="C524" s="352" t="s">
        <v>704</v>
      </c>
      <c r="D524" s="355" t="s">
        <v>705</v>
      </c>
      <c r="E524" s="368">
        <v>45114</v>
      </c>
      <c r="F524" s="362">
        <v>45115</v>
      </c>
      <c r="G524" s="362">
        <v>45115</v>
      </c>
      <c r="H524" s="362">
        <v>45115</v>
      </c>
      <c r="I524" s="394">
        <v>45115</v>
      </c>
      <c r="J524" s="387" t="s">
        <v>747</v>
      </c>
      <c r="K524" s="388" t="s">
        <v>886</v>
      </c>
      <c r="L524" s="402">
        <v>1</v>
      </c>
      <c r="M524" s="352" t="s">
        <v>488</v>
      </c>
      <c r="N524" s="403">
        <v>5000</v>
      </c>
      <c r="O524" s="404">
        <v>5000</v>
      </c>
      <c r="P524" s="421">
        <v>8</v>
      </c>
      <c r="Q524" s="429" t="s">
        <v>140</v>
      </c>
      <c r="R524" s="437">
        <v>20000</v>
      </c>
      <c r="S524" s="438">
        <f t="shared" si="57"/>
        <v>7000</v>
      </c>
      <c r="T524" s="439" t="s">
        <v>227</v>
      </c>
      <c r="U524" s="460" t="str">
        <f t="shared" si="58"/>
        <v/>
      </c>
      <c r="V524" s="439" t="s">
        <v>1248</v>
      </c>
      <c r="W524" s="439" t="s">
        <v>540</v>
      </c>
      <c r="X524" s="439" t="s">
        <v>709</v>
      </c>
      <c r="Y524" s="439" t="s">
        <v>710</v>
      </c>
      <c r="Z524" s="616" t="s">
        <v>710</v>
      </c>
      <c r="AA524" s="440" t="s">
        <v>728</v>
      </c>
      <c r="AB524" s="441">
        <f t="shared" si="59"/>
        <v>4504.5045045045044</v>
      </c>
      <c r="AC524" s="442">
        <f t="shared" si="60"/>
        <v>4504.5045045045044</v>
      </c>
      <c r="AD524" s="437">
        <v>20000</v>
      </c>
      <c r="AE524" s="447">
        <v>3440540.5405405411</v>
      </c>
      <c r="AF524" s="447">
        <v>3819000</v>
      </c>
      <c r="AG524" s="437">
        <v>20000</v>
      </c>
      <c r="AH524" s="271" t="s">
        <v>2101</v>
      </c>
    </row>
    <row r="525" spans="1:36">
      <c r="A525" s="350">
        <v>302</v>
      </c>
      <c r="B525" s="352" t="s">
        <v>1247</v>
      </c>
      <c r="C525" s="352" t="s">
        <v>704</v>
      </c>
      <c r="D525" s="355" t="s">
        <v>705</v>
      </c>
      <c r="E525" s="368">
        <v>45114</v>
      </c>
      <c r="F525" s="362">
        <v>45115</v>
      </c>
      <c r="G525" s="362">
        <v>45115</v>
      </c>
      <c r="H525" s="362">
        <v>45115</v>
      </c>
      <c r="I525" s="394">
        <v>45115</v>
      </c>
      <c r="J525" s="387" t="s">
        <v>255</v>
      </c>
      <c r="K525" s="388" t="s">
        <v>889</v>
      </c>
      <c r="L525" s="402">
        <v>1</v>
      </c>
      <c r="M525" s="352" t="s">
        <v>728</v>
      </c>
      <c r="N525" s="403">
        <v>25000</v>
      </c>
      <c r="O525" s="404">
        <v>25000</v>
      </c>
      <c r="P525" s="421">
        <v>8</v>
      </c>
      <c r="Q525" s="429" t="s">
        <v>96</v>
      </c>
      <c r="R525" s="437">
        <v>40000</v>
      </c>
      <c r="S525" s="438">
        <f t="shared" si="57"/>
        <v>27000</v>
      </c>
      <c r="T525" s="439" t="s">
        <v>227</v>
      </c>
      <c r="U525" s="460" t="str">
        <f t="shared" si="58"/>
        <v/>
      </c>
      <c r="V525" s="439" t="s">
        <v>1248</v>
      </c>
      <c r="W525" s="439" t="s">
        <v>540</v>
      </c>
      <c r="X525" s="439" t="s">
        <v>709</v>
      </c>
      <c r="Y525" s="439" t="s">
        <v>710</v>
      </c>
      <c r="Z525" s="616" t="s">
        <v>710</v>
      </c>
      <c r="AA525" s="440" t="s">
        <v>772</v>
      </c>
      <c r="AB525" s="441">
        <f t="shared" si="59"/>
        <v>22522.522522522522</v>
      </c>
      <c r="AC525" s="442">
        <f t="shared" si="60"/>
        <v>22522.522522522522</v>
      </c>
      <c r="AD525" s="437">
        <v>40000</v>
      </c>
      <c r="AE525" s="447">
        <v>3440540.5405405411</v>
      </c>
      <c r="AF525" s="447">
        <v>3819000</v>
      </c>
      <c r="AG525" s="437">
        <v>40000</v>
      </c>
      <c r="AH525" s="443" t="s">
        <v>2101</v>
      </c>
    </row>
    <row r="526" spans="1:36">
      <c r="A526" s="350">
        <v>302</v>
      </c>
      <c r="B526" s="352" t="s">
        <v>1247</v>
      </c>
      <c r="C526" s="352" t="s">
        <v>704</v>
      </c>
      <c r="D526" s="355" t="s">
        <v>705</v>
      </c>
      <c r="E526" s="368">
        <v>45114</v>
      </c>
      <c r="F526" s="362">
        <v>45115</v>
      </c>
      <c r="G526" s="362">
        <v>45115</v>
      </c>
      <c r="H526" s="362">
        <v>45115</v>
      </c>
      <c r="I526" s="394">
        <v>45115</v>
      </c>
      <c r="J526" s="387" t="s">
        <v>740</v>
      </c>
      <c r="K526" s="388" t="s">
        <v>741</v>
      </c>
      <c r="L526" s="402">
        <v>2</v>
      </c>
      <c r="M526" s="352" t="s">
        <v>488</v>
      </c>
      <c r="N526" s="403">
        <v>5500</v>
      </c>
      <c r="O526" s="404">
        <v>11000</v>
      </c>
      <c r="P526" s="421">
        <v>8</v>
      </c>
      <c r="Q526" s="429" t="s">
        <v>106</v>
      </c>
      <c r="R526" s="437">
        <v>260000</v>
      </c>
      <c r="S526" s="438">
        <f t="shared" si="57"/>
        <v>15000</v>
      </c>
      <c r="T526" s="439" t="s">
        <v>227</v>
      </c>
      <c r="U526" s="460" t="str">
        <f t="shared" si="58"/>
        <v/>
      </c>
      <c r="V526" s="439" t="s">
        <v>1248</v>
      </c>
      <c r="W526" s="439" t="s">
        <v>540</v>
      </c>
      <c r="X526" s="439" t="s">
        <v>709</v>
      </c>
      <c r="Y526" s="275" t="s">
        <v>710</v>
      </c>
      <c r="Z526" s="616" t="s">
        <v>710</v>
      </c>
      <c r="AA526" s="440" t="s">
        <v>753</v>
      </c>
      <c r="AB526" s="441">
        <f t="shared" si="59"/>
        <v>4954.9549549549547</v>
      </c>
      <c r="AC526" s="442">
        <f t="shared" si="60"/>
        <v>9909.9099099099094</v>
      </c>
      <c r="AD526" s="437">
        <v>260000</v>
      </c>
      <c r="AE526" s="447">
        <v>3440540.5405405411</v>
      </c>
      <c r="AF526" s="447">
        <v>3819000</v>
      </c>
      <c r="AG526" s="437">
        <v>260000</v>
      </c>
      <c r="AH526" s="443" t="s">
        <v>2101</v>
      </c>
      <c r="AI526" s="424"/>
      <c r="AJ526" s="424"/>
    </row>
    <row r="527" spans="1:36">
      <c r="A527" s="350">
        <v>303</v>
      </c>
      <c r="B527" s="352" t="s">
        <v>1375</v>
      </c>
      <c r="C527" s="352" t="s">
        <v>570</v>
      </c>
      <c r="D527" s="355" t="s">
        <v>571</v>
      </c>
      <c r="E527" s="368">
        <v>45116</v>
      </c>
      <c r="F527" s="362">
        <v>45117</v>
      </c>
      <c r="G527" s="362">
        <v>45117</v>
      </c>
      <c r="H527" s="362">
        <v>45117</v>
      </c>
      <c r="I527" s="394">
        <v>45194</v>
      </c>
      <c r="J527" s="387" t="s">
        <v>9</v>
      </c>
      <c r="K527" s="387" t="s">
        <v>573</v>
      </c>
      <c r="L527" s="402">
        <v>630</v>
      </c>
      <c r="M527" s="352" t="s">
        <v>574</v>
      </c>
      <c r="N527" s="405">
        <v>300</v>
      </c>
      <c r="O527" s="404">
        <v>189000</v>
      </c>
      <c r="P527" s="421">
        <v>8</v>
      </c>
      <c r="Q527" s="429" t="s">
        <v>149</v>
      </c>
      <c r="R527" s="437">
        <v>325000</v>
      </c>
      <c r="S527" s="438">
        <f t="shared" si="57"/>
        <v>1449000</v>
      </c>
      <c r="T527" s="439" t="s">
        <v>227</v>
      </c>
      <c r="U527" s="460" t="str">
        <f t="shared" si="58"/>
        <v/>
      </c>
      <c r="V527" s="439" t="s">
        <v>1248</v>
      </c>
      <c r="W527" s="439" t="s">
        <v>540</v>
      </c>
      <c r="X527" s="439" t="s">
        <v>709</v>
      </c>
      <c r="Y527" s="275" t="s">
        <v>710</v>
      </c>
      <c r="Z527" s="616" t="s">
        <v>710</v>
      </c>
      <c r="AA527" s="440" t="s">
        <v>597</v>
      </c>
      <c r="AB527" s="441">
        <f t="shared" si="59"/>
        <v>270.27027027027026</v>
      </c>
      <c r="AC527" s="442">
        <f t="shared" si="60"/>
        <v>170270.27027027027</v>
      </c>
      <c r="AD527" s="437">
        <v>325000</v>
      </c>
      <c r="AE527" s="447">
        <v>3440540.5405405411</v>
      </c>
      <c r="AF527" s="447">
        <v>3819000</v>
      </c>
      <c r="AG527" s="437">
        <v>325000</v>
      </c>
      <c r="AH527" s="443" t="s">
        <v>2101</v>
      </c>
    </row>
    <row r="528" spans="1:36">
      <c r="A528" s="350">
        <v>304</v>
      </c>
      <c r="B528" s="352" t="s">
        <v>1252</v>
      </c>
      <c r="C528" s="352" t="s">
        <v>1253</v>
      </c>
      <c r="D528" s="355" t="s">
        <v>571</v>
      </c>
      <c r="E528" s="368">
        <v>45116</v>
      </c>
      <c r="F528" s="362">
        <v>45117</v>
      </c>
      <c r="G528" s="362">
        <v>45117</v>
      </c>
      <c r="H528" s="362">
        <v>45117</v>
      </c>
      <c r="I528" s="394">
        <v>45117</v>
      </c>
      <c r="J528" s="387" t="s">
        <v>1039</v>
      </c>
      <c r="K528" s="387" t="s">
        <v>296</v>
      </c>
      <c r="L528" s="402">
        <v>1</v>
      </c>
      <c r="M528" s="352" t="s">
        <v>574</v>
      </c>
      <c r="N528" s="403">
        <v>300000</v>
      </c>
      <c r="O528" s="404">
        <v>300000</v>
      </c>
      <c r="P528" s="421">
        <v>8</v>
      </c>
      <c r="Q528" s="492" t="s">
        <v>111</v>
      </c>
      <c r="R528" s="437">
        <v>20000</v>
      </c>
      <c r="S528" s="438">
        <f t="shared" si="57"/>
        <v>302000</v>
      </c>
      <c r="T528" s="439" t="s">
        <v>1040</v>
      </c>
      <c r="U528" s="460" t="str">
        <f t="shared" si="58"/>
        <v/>
      </c>
      <c r="V528" s="439" t="s">
        <v>1561</v>
      </c>
      <c r="W528" s="439" t="s">
        <v>2093</v>
      </c>
      <c r="X528" s="439" t="s">
        <v>709</v>
      </c>
      <c r="Y528" s="275" t="s">
        <v>710</v>
      </c>
      <c r="Z528" s="616" t="s">
        <v>710</v>
      </c>
      <c r="AA528" s="440" t="s">
        <v>551</v>
      </c>
      <c r="AB528" s="441">
        <f t="shared" si="59"/>
        <v>270270.2702702703</v>
      </c>
      <c r="AC528" s="442">
        <f t="shared" si="60"/>
        <v>270270.2702702703</v>
      </c>
      <c r="AD528" s="437">
        <v>20000</v>
      </c>
      <c r="AE528" s="447">
        <v>3440540.5405405411</v>
      </c>
      <c r="AF528" s="447">
        <v>3819000</v>
      </c>
      <c r="AG528" s="437">
        <v>20000</v>
      </c>
      <c r="AH528" s="443" t="s">
        <v>2103</v>
      </c>
    </row>
    <row r="529" spans="1:36">
      <c r="A529" s="350">
        <v>305</v>
      </c>
      <c r="B529" s="352" t="s">
        <v>1254</v>
      </c>
      <c r="C529" s="352" t="s">
        <v>532</v>
      </c>
      <c r="D529" s="355" t="s">
        <v>533</v>
      </c>
      <c r="E529" s="368">
        <v>45116</v>
      </c>
      <c r="F529" s="362">
        <v>45117</v>
      </c>
      <c r="G529" s="362">
        <v>45117</v>
      </c>
      <c r="H529" s="362">
        <v>45117</v>
      </c>
      <c r="I529" s="394">
        <v>45117</v>
      </c>
      <c r="J529" s="387" t="s">
        <v>273</v>
      </c>
      <c r="K529" s="387" t="s">
        <v>555</v>
      </c>
      <c r="L529" s="402">
        <v>10</v>
      </c>
      <c r="M529" s="352" t="s">
        <v>488</v>
      </c>
      <c r="N529" s="403">
        <v>20000</v>
      </c>
      <c r="O529" s="404">
        <v>200000</v>
      </c>
      <c r="P529" s="421">
        <v>8</v>
      </c>
      <c r="Q529" s="429" t="s">
        <v>117</v>
      </c>
      <c r="R529" s="437">
        <v>95000</v>
      </c>
      <c r="S529" s="438">
        <f t="shared" si="57"/>
        <v>220000</v>
      </c>
      <c r="T529" s="439" t="s">
        <v>227</v>
      </c>
      <c r="U529" s="460" t="str">
        <f t="shared" si="58"/>
        <v/>
      </c>
      <c r="V529" s="439" t="s">
        <v>1248</v>
      </c>
      <c r="W529" s="439" t="s">
        <v>540</v>
      </c>
      <c r="X529" s="439" t="s">
        <v>709</v>
      </c>
      <c r="Y529" s="275" t="s">
        <v>710</v>
      </c>
      <c r="Z529" s="616" t="s">
        <v>710</v>
      </c>
      <c r="AA529" s="440" t="s">
        <v>724</v>
      </c>
      <c r="AB529" s="441">
        <f t="shared" si="59"/>
        <v>18018.018018018018</v>
      </c>
      <c r="AC529" s="442">
        <f t="shared" si="60"/>
        <v>180180.18018018018</v>
      </c>
      <c r="AD529" s="437">
        <v>95000</v>
      </c>
      <c r="AE529" s="447">
        <v>3440540.5405405411</v>
      </c>
      <c r="AF529" s="447">
        <v>3819000</v>
      </c>
      <c r="AG529" s="437">
        <v>95000</v>
      </c>
      <c r="AH529" s="443" t="s">
        <v>2101</v>
      </c>
      <c r="AI529" s="424"/>
      <c r="AJ529" s="424"/>
    </row>
    <row r="530" spans="1:36">
      <c r="A530" s="350">
        <v>305</v>
      </c>
      <c r="B530" s="352" t="s">
        <v>1254</v>
      </c>
      <c r="C530" s="352" t="s">
        <v>532</v>
      </c>
      <c r="D530" s="355" t="s">
        <v>533</v>
      </c>
      <c r="E530" s="368">
        <v>45116</v>
      </c>
      <c r="F530" s="362">
        <v>45117</v>
      </c>
      <c r="G530" s="362">
        <v>45117</v>
      </c>
      <c r="H530" s="362">
        <v>45117</v>
      </c>
      <c r="I530" s="394">
        <v>45117</v>
      </c>
      <c r="J530" s="387" t="s">
        <v>669</v>
      </c>
      <c r="K530" s="352" t="s">
        <v>536</v>
      </c>
      <c r="L530" s="402">
        <v>20</v>
      </c>
      <c r="M530" s="352" t="s">
        <v>488</v>
      </c>
      <c r="N530" s="403">
        <v>12000</v>
      </c>
      <c r="O530" s="404">
        <v>240000</v>
      </c>
      <c r="P530" s="421">
        <v>8</v>
      </c>
      <c r="Q530" s="429" t="s">
        <v>914</v>
      </c>
      <c r="R530" s="437">
        <v>45000</v>
      </c>
      <c r="S530" s="438">
        <f t="shared" si="57"/>
        <v>280000</v>
      </c>
      <c r="T530" s="439" t="s">
        <v>227</v>
      </c>
      <c r="U530" s="460" t="str">
        <f t="shared" si="58"/>
        <v/>
      </c>
      <c r="V530" s="439" t="s">
        <v>1248</v>
      </c>
      <c r="W530" s="439" t="s">
        <v>540</v>
      </c>
      <c r="X530" s="439" t="s">
        <v>709</v>
      </c>
      <c r="Y530" s="275" t="s">
        <v>710</v>
      </c>
      <c r="Z530" s="616" t="s">
        <v>710</v>
      </c>
      <c r="AA530" s="440" t="s">
        <v>597</v>
      </c>
      <c r="AB530" s="441">
        <f t="shared" si="59"/>
        <v>10810.810810810812</v>
      </c>
      <c r="AC530" s="442">
        <f t="shared" si="60"/>
        <v>216216.21621621624</v>
      </c>
      <c r="AD530" s="437">
        <v>45000</v>
      </c>
      <c r="AE530" s="447">
        <v>3440540.5405405411</v>
      </c>
      <c r="AF530" s="447">
        <v>3819000</v>
      </c>
      <c r="AG530" s="437">
        <v>45000</v>
      </c>
      <c r="AH530" s="271" t="s">
        <v>2101</v>
      </c>
    </row>
    <row r="531" spans="1:36">
      <c r="A531" s="350">
        <v>305</v>
      </c>
      <c r="B531" s="352" t="s">
        <v>1254</v>
      </c>
      <c r="C531" s="352" t="s">
        <v>532</v>
      </c>
      <c r="D531" s="355" t="s">
        <v>533</v>
      </c>
      <c r="E531" s="368">
        <v>45116</v>
      </c>
      <c r="F531" s="362">
        <v>45117</v>
      </c>
      <c r="G531" s="362">
        <v>45117</v>
      </c>
      <c r="H531" s="362">
        <v>45117</v>
      </c>
      <c r="I531" s="394">
        <v>45117</v>
      </c>
      <c r="J531" s="387" t="s">
        <v>276</v>
      </c>
      <c r="K531" s="352" t="s">
        <v>276</v>
      </c>
      <c r="L531" s="402">
        <v>5</v>
      </c>
      <c r="M531" s="352" t="s">
        <v>551</v>
      </c>
      <c r="N531" s="403">
        <v>18000</v>
      </c>
      <c r="O531" s="404">
        <v>90000</v>
      </c>
      <c r="P531" s="421">
        <v>8</v>
      </c>
      <c r="Q531" s="429" t="s">
        <v>108</v>
      </c>
      <c r="R531" s="437">
        <v>15000</v>
      </c>
      <c r="S531" s="438">
        <f t="shared" si="57"/>
        <v>100000</v>
      </c>
      <c r="T531" s="439" t="s">
        <v>227</v>
      </c>
      <c r="U531" s="460" t="str">
        <f t="shared" si="58"/>
        <v/>
      </c>
      <c r="V531" s="439" t="s">
        <v>1248</v>
      </c>
      <c r="W531" s="439" t="s">
        <v>540</v>
      </c>
      <c r="X531" s="439" t="s">
        <v>709</v>
      </c>
      <c r="Y531" s="275" t="s">
        <v>710</v>
      </c>
      <c r="Z531" s="616" t="s">
        <v>710</v>
      </c>
      <c r="AA531" s="440" t="s">
        <v>753</v>
      </c>
      <c r="AB531" s="441">
        <f t="shared" si="59"/>
        <v>16216.216216216217</v>
      </c>
      <c r="AC531" s="442">
        <f t="shared" si="60"/>
        <v>81081.08108108108</v>
      </c>
      <c r="AD531" s="437">
        <v>15000</v>
      </c>
      <c r="AE531" s="447">
        <v>3440540.5405405411</v>
      </c>
      <c r="AF531" s="447">
        <v>3819000</v>
      </c>
      <c r="AG531" s="437">
        <v>15000</v>
      </c>
      <c r="AH531" s="452" t="s">
        <v>2101</v>
      </c>
    </row>
    <row r="532" spans="1:36">
      <c r="A532" s="350">
        <v>305</v>
      </c>
      <c r="B532" s="352" t="s">
        <v>1254</v>
      </c>
      <c r="C532" s="352" t="s">
        <v>532</v>
      </c>
      <c r="D532" s="355" t="s">
        <v>533</v>
      </c>
      <c r="E532" s="368">
        <v>45116</v>
      </c>
      <c r="F532" s="362">
        <v>45117</v>
      </c>
      <c r="G532" s="362">
        <v>45117</v>
      </c>
      <c r="H532" s="362">
        <v>45117</v>
      </c>
      <c r="I532" s="394">
        <v>45117</v>
      </c>
      <c r="J532" s="387" t="s">
        <v>1255</v>
      </c>
      <c r="K532" s="387" t="s">
        <v>544</v>
      </c>
      <c r="L532" s="402">
        <v>5</v>
      </c>
      <c r="M532" s="352" t="s">
        <v>488</v>
      </c>
      <c r="N532" s="403">
        <v>74000</v>
      </c>
      <c r="O532" s="404">
        <v>370000</v>
      </c>
      <c r="P532" s="421">
        <v>8</v>
      </c>
      <c r="Q532" s="429" t="s">
        <v>156</v>
      </c>
      <c r="R532" s="437">
        <v>60000</v>
      </c>
      <c r="S532" s="438">
        <f t="shared" si="57"/>
        <v>380000</v>
      </c>
      <c r="T532" s="439" t="s">
        <v>227</v>
      </c>
      <c r="U532" s="460" t="str">
        <f t="shared" si="58"/>
        <v/>
      </c>
      <c r="V532" s="439" t="s">
        <v>1248</v>
      </c>
      <c r="W532" s="439" t="s">
        <v>540</v>
      </c>
      <c r="X532" s="439" t="s">
        <v>709</v>
      </c>
      <c r="Y532" s="275" t="s">
        <v>710</v>
      </c>
      <c r="Z532" s="616" t="s">
        <v>710</v>
      </c>
      <c r="AA532" s="440" t="s">
        <v>753</v>
      </c>
      <c r="AB532" s="441">
        <f t="shared" si="59"/>
        <v>66666.666666666672</v>
      </c>
      <c r="AC532" s="442">
        <f t="shared" si="60"/>
        <v>333333.33333333337</v>
      </c>
      <c r="AD532" s="437">
        <v>60000</v>
      </c>
      <c r="AE532" s="447">
        <v>3440540.5405405411</v>
      </c>
      <c r="AF532" s="447">
        <v>3819000</v>
      </c>
      <c r="AG532" s="437">
        <v>60000</v>
      </c>
      <c r="AH532" s="443" t="s">
        <v>2101</v>
      </c>
    </row>
    <row r="533" spans="1:36">
      <c r="A533" s="350">
        <v>305</v>
      </c>
      <c r="B533" s="352" t="s">
        <v>1254</v>
      </c>
      <c r="C533" s="352" t="s">
        <v>532</v>
      </c>
      <c r="D533" s="355" t="s">
        <v>533</v>
      </c>
      <c r="E533" s="368">
        <v>45116</v>
      </c>
      <c r="F533" s="362">
        <v>45117</v>
      </c>
      <c r="G533" s="362">
        <v>45117</v>
      </c>
      <c r="H533" s="362">
        <v>45117</v>
      </c>
      <c r="I533" s="394">
        <v>45117</v>
      </c>
      <c r="J533" s="387" t="s">
        <v>275</v>
      </c>
      <c r="K533" s="387" t="s">
        <v>559</v>
      </c>
      <c r="L533" s="402">
        <v>25</v>
      </c>
      <c r="M533" s="352" t="s">
        <v>488</v>
      </c>
      <c r="N533" s="403">
        <v>45000</v>
      </c>
      <c r="O533" s="404">
        <v>1125000</v>
      </c>
      <c r="P533" s="421">
        <v>8</v>
      </c>
      <c r="Q533" s="429" t="s">
        <v>148</v>
      </c>
      <c r="R533" s="437">
        <v>35000</v>
      </c>
      <c r="S533" s="438">
        <f t="shared" si="57"/>
        <v>1175000</v>
      </c>
      <c r="T533" s="439" t="s">
        <v>227</v>
      </c>
      <c r="U533" s="460" t="str">
        <f t="shared" si="58"/>
        <v/>
      </c>
      <c r="V533" s="439" t="s">
        <v>1248</v>
      </c>
      <c r="W533" s="439" t="s">
        <v>540</v>
      </c>
      <c r="X533" s="439" t="s">
        <v>709</v>
      </c>
      <c r="Y533" s="275" t="s">
        <v>710</v>
      </c>
      <c r="Z533" s="616" t="s">
        <v>710</v>
      </c>
      <c r="AA533" s="440" t="s">
        <v>597</v>
      </c>
      <c r="AB533" s="441">
        <f t="shared" si="59"/>
        <v>40540.54054054054</v>
      </c>
      <c r="AC533" s="442">
        <f t="shared" si="60"/>
        <v>1013513.5135135135</v>
      </c>
      <c r="AD533" s="437">
        <v>35000</v>
      </c>
      <c r="AE533" s="447">
        <v>3440540.5405405411</v>
      </c>
      <c r="AF533" s="447">
        <v>3819000</v>
      </c>
      <c r="AG533" s="437">
        <v>35000</v>
      </c>
      <c r="AH533" s="443" t="s">
        <v>2101</v>
      </c>
      <c r="AI533" s="424"/>
      <c r="AJ533" s="424"/>
    </row>
    <row r="534" spans="1:36">
      <c r="A534" s="350">
        <v>305</v>
      </c>
      <c r="B534" s="352" t="s">
        <v>1254</v>
      </c>
      <c r="C534" s="352" t="s">
        <v>532</v>
      </c>
      <c r="D534" s="355" t="s">
        <v>533</v>
      </c>
      <c r="E534" s="368">
        <v>45116</v>
      </c>
      <c r="F534" s="362">
        <v>45117</v>
      </c>
      <c r="G534" s="362">
        <v>45117</v>
      </c>
      <c r="H534" s="362">
        <v>45117</v>
      </c>
      <c r="I534" s="394">
        <v>45117</v>
      </c>
      <c r="J534" s="387" t="s">
        <v>268</v>
      </c>
      <c r="K534" s="387" t="s">
        <v>557</v>
      </c>
      <c r="L534" s="402">
        <v>5</v>
      </c>
      <c r="M534" s="352" t="s">
        <v>488</v>
      </c>
      <c r="N534" s="403">
        <v>344000</v>
      </c>
      <c r="O534" s="404">
        <v>1720000</v>
      </c>
      <c r="P534" s="421">
        <v>8</v>
      </c>
      <c r="Q534" s="429" t="s">
        <v>109</v>
      </c>
      <c r="R534" s="437">
        <v>22000</v>
      </c>
      <c r="S534" s="438">
        <f t="shared" si="57"/>
        <v>1730000</v>
      </c>
      <c r="T534" s="439" t="s">
        <v>227</v>
      </c>
      <c r="U534" s="460" t="str">
        <f t="shared" si="58"/>
        <v/>
      </c>
      <c r="V534" s="439" t="s">
        <v>1248</v>
      </c>
      <c r="W534" s="439" t="s">
        <v>540</v>
      </c>
      <c r="X534" s="439" t="s">
        <v>709</v>
      </c>
      <c r="Y534" s="275" t="s">
        <v>710</v>
      </c>
      <c r="Z534" s="616" t="s">
        <v>710</v>
      </c>
      <c r="AA534" s="440" t="s">
        <v>551</v>
      </c>
      <c r="AB534" s="441">
        <f t="shared" si="59"/>
        <v>309909.90990990994</v>
      </c>
      <c r="AC534" s="442">
        <f t="shared" si="60"/>
        <v>1549549.5495495498</v>
      </c>
      <c r="AD534" s="437">
        <v>22000</v>
      </c>
      <c r="AE534" s="447">
        <v>3440540.5405405411</v>
      </c>
      <c r="AF534" s="447">
        <v>3819000</v>
      </c>
      <c r="AG534" s="437">
        <v>22000</v>
      </c>
      <c r="AH534" s="443" t="s">
        <v>2101</v>
      </c>
    </row>
    <row r="535" spans="1:36">
      <c r="A535" s="350">
        <v>305</v>
      </c>
      <c r="B535" s="352" t="s">
        <v>1254</v>
      </c>
      <c r="C535" s="352" t="s">
        <v>532</v>
      </c>
      <c r="D535" s="355" t="s">
        <v>533</v>
      </c>
      <c r="E535" s="368">
        <v>45116</v>
      </c>
      <c r="F535" s="362">
        <v>45117</v>
      </c>
      <c r="G535" s="362">
        <v>45117</v>
      </c>
      <c r="H535" s="362">
        <v>45117</v>
      </c>
      <c r="I535" s="394">
        <v>45117</v>
      </c>
      <c r="J535" s="387" t="s">
        <v>271</v>
      </c>
      <c r="K535" s="387" t="s">
        <v>666</v>
      </c>
      <c r="L535" s="402">
        <v>30</v>
      </c>
      <c r="M535" s="352" t="s">
        <v>667</v>
      </c>
      <c r="N535" s="403">
        <v>11000</v>
      </c>
      <c r="O535" s="404">
        <v>330000</v>
      </c>
      <c r="P535" s="421">
        <v>8</v>
      </c>
      <c r="Q535" s="429" t="s">
        <v>118</v>
      </c>
      <c r="R535" s="437">
        <v>95000</v>
      </c>
      <c r="S535" s="438">
        <f t="shared" si="57"/>
        <v>390000</v>
      </c>
      <c r="T535" s="439" t="s">
        <v>227</v>
      </c>
      <c r="U535" s="460" t="str">
        <f t="shared" si="58"/>
        <v/>
      </c>
      <c r="V535" s="439" t="s">
        <v>1248</v>
      </c>
      <c r="W535" s="439" t="s">
        <v>540</v>
      </c>
      <c r="X535" s="439" t="s">
        <v>709</v>
      </c>
      <c r="Y535" s="275" t="s">
        <v>710</v>
      </c>
      <c r="Z535" s="616" t="s">
        <v>710</v>
      </c>
      <c r="AA535" s="440" t="s">
        <v>488</v>
      </c>
      <c r="AB535" s="441">
        <f t="shared" si="59"/>
        <v>9909.9099099099094</v>
      </c>
      <c r="AC535" s="442">
        <f t="shared" si="60"/>
        <v>297297.29729729728</v>
      </c>
      <c r="AD535" s="437">
        <v>95000</v>
      </c>
      <c r="AE535" s="447">
        <v>3440540.5405405411</v>
      </c>
      <c r="AF535" s="447">
        <v>3819000</v>
      </c>
      <c r="AG535" s="437">
        <v>95000</v>
      </c>
      <c r="AH535" s="443" t="s">
        <v>2101</v>
      </c>
    </row>
    <row r="536" spans="1:36">
      <c r="A536" s="350">
        <v>305</v>
      </c>
      <c r="B536" s="352" t="s">
        <v>1254</v>
      </c>
      <c r="C536" s="352" t="s">
        <v>532</v>
      </c>
      <c r="D536" s="355" t="s">
        <v>533</v>
      </c>
      <c r="E536" s="368">
        <v>45116</v>
      </c>
      <c r="F536" s="362">
        <v>45117</v>
      </c>
      <c r="G536" s="362">
        <v>45117</v>
      </c>
      <c r="H536" s="362">
        <v>45117</v>
      </c>
      <c r="I536" s="394">
        <v>45117</v>
      </c>
      <c r="J536" s="387" t="s">
        <v>270</v>
      </c>
      <c r="K536" s="387" t="s">
        <v>547</v>
      </c>
      <c r="L536" s="402">
        <v>15</v>
      </c>
      <c r="M536" s="352" t="s">
        <v>244</v>
      </c>
      <c r="N536" s="403">
        <v>47000</v>
      </c>
      <c r="O536" s="404">
        <v>705000</v>
      </c>
      <c r="P536" s="421">
        <v>8</v>
      </c>
      <c r="Q536" s="429" t="s">
        <v>141</v>
      </c>
      <c r="R536" s="437">
        <v>15000</v>
      </c>
      <c r="S536" s="438">
        <f t="shared" si="57"/>
        <v>735000</v>
      </c>
      <c r="T536" s="439" t="s">
        <v>227</v>
      </c>
      <c r="U536" s="460" t="str">
        <f t="shared" si="58"/>
        <v/>
      </c>
      <c r="V536" s="439" t="s">
        <v>1248</v>
      </c>
      <c r="W536" s="439" t="s">
        <v>540</v>
      </c>
      <c r="X536" s="439" t="s">
        <v>709</v>
      </c>
      <c r="Y536" s="275" t="s">
        <v>710</v>
      </c>
      <c r="Z536" s="616" t="s">
        <v>710</v>
      </c>
      <c r="AA536" s="440" t="s">
        <v>488</v>
      </c>
      <c r="AB536" s="441">
        <f t="shared" si="59"/>
        <v>42342.342342342345</v>
      </c>
      <c r="AC536" s="442">
        <f t="shared" si="60"/>
        <v>635135.13513513515</v>
      </c>
      <c r="AD536" s="437">
        <v>15000</v>
      </c>
      <c r="AE536" s="447">
        <v>3440540.5405405411</v>
      </c>
      <c r="AF536" s="447">
        <v>3819000</v>
      </c>
      <c r="AG536" s="437">
        <v>15000</v>
      </c>
      <c r="AH536" s="271" t="s">
        <v>2101</v>
      </c>
    </row>
    <row r="537" spans="1:36">
      <c r="A537" s="350">
        <v>305</v>
      </c>
      <c r="B537" s="352" t="s">
        <v>1254</v>
      </c>
      <c r="C537" s="352" t="s">
        <v>532</v>
      </c>
      <c r="D537" s="355" t="s">
        <v>533</v>
      </c>
      <c r="E537" s="368">
        <v>45116</v>
      </c>
      <c r="F537" s="362">
        <v>45117</v>
      </c>
      <c r="G537" s="362">
        <v>45117</v>
      </c>
      <c r="H537" s="362">
        <v>45117</v>
      </c>
      <c r="I537" s="394">
        <v>45117</v>
      </c>
      <c r="J537" s="387" t="s">
        <v>272</v>
      </c>
      <c r="K537" s="387" t="s">
        <v>549</v>
      </c>
      <c r="L537" s="402">
        <v>60</v>
      </c>
      <c r="M537" s="352" t="s">
        <v>488</v>
      </c>
      <c r="N537" s="403">
        <v>65000</v>
      </c>
      <c r="O537" s="404">
        <v>3900000</v>
      </c>
      <c r="P537" s="421">
        <v>8</v>
      </c>
      <c r="Q537" s="429" t="s">
        <v>113</v>
      </c>
      <c r="R537" s="437">
        <v>26000</v>
      </c>
      <c r="S537" s="438">
        <f t="shared" si="57"/>
        <v>4020000</v>
      </c>
      <c r="T537" s="439" t="s">
        <v>227</v>
      </c>
      <c r="U537" s="460" t="str">
        <f t="shared" si="58"/>
        <v/>
      </c>
      <c r="V537" s="439" t="s">
        <v>1248</v>
      </c>
      <c r="W537" s="439" t="s">
        <v>540</v>
      </c>
      <c r="X537" s="439" t="s">
        <v>709</v>
      </c>
      <c r="Y537" s="275" t="s">
        <v>710</v>
      </c>
      <c r="Z537" s="616" t="s">
        <v>710</v>
      </c>
      <c r="AA537" s="440" t="s">
        <v>488</v>
      </c>
      <c r="AB537" s="441">
        <f t="shared" si="59"/>
        <v>58558.558558558558</v>
      </c>
      <c r="AC537" s="442">
        <f t="shared" si="60"/>
        <v>3513513.5135135134</v>
      </c>
      <c r="AD537" s="437">
        <v>26000</v>
      </c>
      <c r="AE537" s="447">
        <v>3440540.5405405411</v>
      </c>
      <c r="AF537" s="447">
        <v>3819000</v>
      </c>
      <c r="AG537" s="437">
        <v>26000</v>
      </c>
      <c r="AH537" s="271" t="s">
        <v>2101</v>
      </c>
      <c r="AI537" s="424"/>
      <c r="AJ537" s="424"/>
    </row>
    <row r="538" spans="1:36">
      <c r="A538" s="350">
        <v>305</v>
      </c>
      <c r="B538" s="352" t="s">
        <v>1254</v>
      </c>
      <c r="C538" s="352" t="s">
        <v>532</v>
      </c>
      <c r="D538" s="355" t="s">
        <v>533</v>
      </c>
      <c r="E538" s="368">
        <v>45116</v>
      </c>
      <c r="F538" s="362">
        <v>45117</v>
      </c>
      <c r="G538" s="362">
        <v>45117</v>
      </c>
      <c r="H538" s="362">
        <v>45117</v>
      </c>
      <c r="I538" s="394">
        <v>45117</v>
      </c>
      <c r="J538" s="387" t="s">
        <v>553</v>
      </c>
      <c r="K538" s="387" t="s">
        <v>554</v>
      </c>
      <c r="L538" s="402">
        <v>10</v>
      </c>
      <c r="M538" s="352" t="s">
        <v>488</v>
      </c>
      <c r="N538" s="403">
        <v>25000</v>
      </c>
      <c r="O538" s="404">
        <v>250000</v>
      </c>
      <c r="P538" s="421">
        <v>8</v>
      </c>
      <c r="Q538" s="429" t="s">
        <v>911</v>
      </c>
      <c r="R538" s="437">
        <v>15000</v>
      </c>
      <c r="S538" s="438">
        <f t="shared" si="57"/>
        <v>270000</v>
      </c>
      <c r="T538" s="439" t="s">
        <v>227</v>
      </c>
      <c r="U538" s="460" t="str">
        <f t="shared" si="58"/>
        <v/>
      </c>
      <c r="V538" s="439" t="s">
        <v>1248</v>
      </c>
      <c r="W538" s="439" t="s">
        <v>540</v>
      </c>
      <c r="X538" s="439" t="s">
        <v>709</v>
      </c>
      <c r="Y538" s="275" t="s">
        <v>710</v>
      </c>
      <c r="Z538" s="616" t="s">
        <v>710</v>
      </c>
      <c r="AA538" s="440" t="s">
        <v>753</v>
      </c>
      <c r="AB538" s="441">
        <f t="shared" si="59"/>
        <v>22522.522522522522</v>
      </c>
      <c r="AC538" s="442">
        <f t="shared" si="60"/>
        <v>225225.22522522521</v>
      </c>
      <c r="AD538" s="437">
        <v>15000</v>
      </c>
      <c r="AE538" s="447">
        <v>3440540.5405405411</v>
      </c>
      <c r="AF538" s="447">
        <v>3819000</v>
      </c>
      <c r="AG538" s="437">
        <v>15000</v>
      </c>
      <c r="AH538" s="271" t="s">
        <v>2101</v>
      </c>
    </row>
    <row r="539" spans="1:36">
      <c r="A539" s="350">
        <v>305</v>
      </c>
      <c r="B539" s="352" t="s">
        <v>1254</v>
      </c>
      <c r="C539" s="352" t="s">
        <v>532</v>
      </c>
      <c r="D539" s="355" t="s">
        <v>533</v>
      </c>
      <c r="E539" s="368">
        <v>45116</v>
      </c>
      <c r="F539" s="362">
        <v>45117</v>
      </c>
      <c r="G539" s="362">
        <v>45117</v>
      </c>
      <c r="H539" s="362">
        <v>45117</v>
      </c>
      <c r="I539" s="394">
        <v>45117</v>
      </c>
      <c r="J539" s="387" t="s">
        <v>665</v>
      </c>
      <c r="K539" s="387" t="s">
        <v>559</v>
      </c>
      <c r="L539" s="402">
        <v>5</v>
      </c>
      <c r="M539" s="352" t="s">
        <v>488</v>
      </c>
      <c r="N539" s="403">
        <v>20000</v>
      </c>
      <c r="O539" s="404">
        <v>100000</v>
      </c>
      <c r="P539" s="421">
        <v>8</v>
      </c>
      <c r="Q539" s="429" t="s">
        <v>918</v>
      </c>
      <c r="R539" s="437">
        <v>25000</v>
      </c>
      <c r="S539" s="438">
        <f t="shared" si="57"/>
        <v>110000</v>
      </c>
      <c r="T539" s="439" t="s">
        <v>227</v>
      </c>
      <c r="U539" s="460" t="str">
        <f t="shared" si="58"/>
        <v/>
      </c>
      <c r="V539" s="439" t="s">
        <v>1248</v>
      </c>
      <c r="W539" s="439" t="s">
        <v>540</v>
      </c>
      <c r="X539" s="439" t="s">
        <v>709</v>
      </c>
      <c r="Y539" s="275" t="s">
        <v>710</v>
      </c>
      <c r="Z539" s="616" t="s">
        <v>710</v>
      </c>
      <c r="AA539" s="440" t="s">
        <v>551</v>
      </c>
      <c r="AB539" s="441">
        <f t="shared" si="59"/>
        <v>18018.018018018018</v>
      </c>
      <c r="AC539" s="442">
        <f t="shared" si="60"/>
        <v>90090.090090090089</v>
      </c>
      <c r="AD539" s="437">
        <v>25000</v>
      </c>
      <c r="AE539" s="447">
        <v>3440540.5405405411</v>
      </c>
      <c r="AF539" s="447">
        <v>3819000</v>
      </c>
      <c r="AG539" s="437">
        <v>25000</v>
      </c>
      <c r="AH539" s="271" t="s">
        <v>2101</v>
      </c>
    </row>
    <row r="540" spans="1:36" ht="37.5">
      <c r="A540" s="350">
        <v>306</v>
      </c>
      <c r="B540" s="352" t="s">
        <v>1256</v>
      </c>
      <c r="C540" s="352" t="s">
        <v>1253</v>
      </c>
      <c r="D540" s="355" t="s">
        <v>464</v>
      </c>
      <c r="E540" s="368">
        <v>45116</v>
      </c>
      <c r="F540" s="362">
        <v>45117</v>
      </c>
      <c r="G540" s="362">
        <v>45117</v>
      </c>
      <c r="H540" s="362">
        <v>45117</v>
      </c>
      <c r="I540" s="394">
        <v>45117</v>
      </c>
      <c r="J540" s="387" t="s">
        <v>1257</v>
      </c>
      <c r="K540" s="387" t="s">
        <v>467</v>
      </c>
      <c r="L540" s="402">
        <v>110</v>
      </c>
      <c r="M540" s="352" t="s">
        <v>231</v>
      </c>
      <c r="N540" s="403">
        <v>35000</v>
      </c>
      <c r="O540" s="411">
        <v>3850000</v>
      </c>
      <c r="P540" s="421">
        <v>8</v>
      </c>
      <c r="Q540" s="429" t="s">
        <v>119</v>
      </c>
      <c r="R540" s="437">
        <v>95000</v>
      </c>
      <c r="S540" s="438">
        <f t="shared" si="57"/>
        <v>4070000</v>
      </c>
      <c r="T540" s="444" t="s">
        <v>282</v>
      </c>
      <c r="U540" s="460" t="str">
        <f t="shared" si="58"/>
        <v>Resto JFC Esther</v>
      </c>
      <c r="V540" s="444" t="s">
        <v>1258</v>
      </c>
      <c r="W540" s="444" t="s">
        <v>468</v>
      </c>
      <c r="X540" s="439" t="s">
        <v>709</v>
      </c>
      <c r="Y540" s="275" t="s">
        <v>710</v>
      </c>
      <c r="Z540" s="616" t="s">
        <v>710</v>
      </c>
      <c r="AA540" s="440" t="s">
        <v>597</v>
      </c>
      <c r="AB540" s="441">
        <f t="shared" si="59"/>
        <v>31531.531531531531</v>
      </c>
      <c r="AC540" s="442">
        <f t="shared" si="60"/>
        <v>3468468.4684684686</v>
      </c>
      <c r="AD540" s="437">
        <v>95000</v>
      </c>
      <c r="AE540" s="447">
        <v>3440540.5405405411</v>
      </c>
      <c r="AF540" s="447">
        <v>3819000</v>
      </c>
      <c r="AG540" s="437">
        <v>95000</v>
      </c>
      <c r="AH540" s="443" t="s">
        <v>2091</v>
      </c>
    </row>
    <row r="541" spans="1:36" ht="37.5">
      <c r="A541" s="350">
        <v>307</v>
      </c>
      <c r="B541" s="352" t="s">
        <v>1260</v>
      </c>
      <c r="C541" s="352" t="s">
        <v>1253</v>
      </c>
      <c r="D541" s="355" t="s">
        <v>464</v>
      </c>
      <c r="E541" s="368">
        <v>45116</v>
      </c>
      <c r="F541" s="362">
        <v>45117</v>
      </c>
      <c r="G541" s="362">
        <v>45117</v>
      </c>
      <c r="H541" s="362">
        <v>45117</v>
      </c>
      <c r="I541" s="394">
        <v>45117</v>
      </c>
      <c r="J541" s="387" t="s">
        <v>1261</v>
      </c>
      <c r="K541" s="387" t="s">
        <v>471</v>
      </c>
      <c r="L541" s="402">
        <v>15</v>
      </c>
      <c r="M541" s="352" t="s">
        <v>472</v>
      </c>
      <c r="N541" s="403">
        <v>70000</v>
      </c>
      <c r="O541" s="404">
        <v>1050000</v>
      </c>
      <c r="P541" s="421">
        <v>8</v>
      </c>
      <c r="Q541" s="429" t="s">
        <v>112</v>
      </c>
      <c r="R541" s="437">
        <v>11000</v>
      </c>
      <c r="S541" s="438">
        <f t="shared" si="57"/>
        <v>1080000</v>
      </c>
      <c r="T541" s="439" t="s">
        <v>10</v>
      </c>
      <c r="U541" s="460" t="str">
        <f t="shared" si="58"/>
        <v>UD. USAHA JAYA</v>
      </c>
      <c r="V541" s="439" t="s">
        <v>11</v>
      </c>
      <c r="W541" s="439" t="s">
        <v>473</v>
      </c>
      <c r="X541" s="439" t="s">
        <v>709</v>
      </c>
      <c r="Y541" s="275" t="s">
        <v>710</v>
      </c>
      <c r="Z541" s="616" t="s">
        <v>710</v>
      </c>
      <c r="AA541" s="440" t="s">
        <v>728</v>
      </c>
      <c r="AB541" s="441">
        <f t="shared" si="59"/>
        <v>63063.063063063062</v>
      </c>
      <c r="AC541" s="442">
        <f t="shared" si="60"/>
        <v>945945.94594594592</v>
      </c>
      <c r="AD541" s="437">
        <v>11000</v>
      </c>
      <c r="AE541" s="447">
        <v>3440540.5405405411</v>
      </c>
      <c r="AF541" s="447">
        <v>3819000</v>
      </c>
      <c r="AG541" s="437">
        <v>11000</v>
      </c>
      <c r="AH541" s="443" t="s">
        <v>2092</v>
      </c>
    </row>
    <row r="542" spans="1:36" ht="37.5">
      <c r="A542" s="350">
        <v>307</v>
      </c>
      <c r="B542" s="352" t="s">
        <v>1260</v>
      </c>
      <c r="C542" s="352" t="s">
        <v>1253</v>
      </c>
      <c r="D542" s="355" t="s">
        <v>464</v>
      </c>
      <c r="E542" s="368">
        <v>45116</v>
      </c>
      <c r="F542" s="362">
        <v>45117</v>
      </c>
      <c r="G542" s="362">
        <v>45117</v>
      </c>
      <c r="H542" s="362">
        <v>45117</v>
      </c>
      <c r="I542" s="394">
        <v>45117</v>
      </c>
      <c r="J542" s="387" t="s">
        <v>1262</v>
      </c>
      <c r="K542" s="387" t="s">
        <v>484</v>
      </c>
      <c r="L542" s="402">
        <v>9</v>
      </c>
      <c r="M542" s="352" t="s">
        <v>472</v>
      </c>
      <c r="N542" s="403">
        <v>50000</v>
      </c>
      <c r="O542" s="404">
        <v>450000</v>
      </c>
      <c r="P542" s="421">
        <v>8</v>
      </c>
      <c r="Q542" s="429" t="s">
        <v>145</v>
      </c>
      <c r="R542" s="437">
        <v>21000</v>
      </c>
      <c r="S542" s="438">
        <f t="shared" si="57"/>
        <v>468000</v>
      </c>
      <c r="T542" s="439" t="s">
        <v>10</v>
      </c>
      <c r="U542" s="460" t="str">
        <f t="shared" si="58"/>
        <v/>
      </c>
      <c r="V542" s="439" t="s">
        <v>11</v>
      </c>
      <c r="W542" s="439" t="s">
        <v>473</v>
      </c>
      <c r="X542" s="439" t="s">
        <v>709</v>
      </c>
      <c r="Y542" s="275" t="s">
        <v>710</v>
      </c>
      <c r="Z542" s="616" t="s">
        <v>710</v>
      </c>
      <c r="AA542" s="440" t="s">
        <v>735</v>
      </c>
      <c r="AB542" s="441">
        <f t="shared" si="59"/>
        <v>45045.045045045044</v>
      </c>
      <c r="AC542" s="442">
        <f t="shared" si="60"/>
        <v>405405.40540540538</v>
      </c>
      <c r="AD542" s="437">
        <v>21000</v>
      </c>
      <c r="AE542" s="447">
        <v>3440540.5405405411</v>
      </c>
      <c r="AF542" s="447">
        <v>3819000</v>
      </c>
      <c r="AG542" s="437">
        <v>21000</v>
      </c>
      <c r="AH542" s="443" t="s">
        <v>2092</v>
      </c>
    </row>
    <row r="543" spans="1:36" ht="37.5">
      <c r="A543" s="350">
        <v>307</v>
      </c>
      <c r="B543" s="352" t="s">
        <v>1260</v>
      </c>
      <c r="C543" s="352" t="s">
        <v>1253</v>
      </c>
      <c r="D543" s="355" t="s">
        <v>464</v>
      </c>
      <c r="E543" s="368">
        <v>45116</v>
      </c>
      <c r="F543" s="362">
        <v>45117</v>
      </c>
      <c r="G543" s="362">
        <v>45117</v>
      </c>
      <c r="H543" s="362">
        <v>45117</v>
      </c>
      <c r="I543" s="394">
        <v>45117</v>
      </c>
      <c r="J543" s="387" t="s">
        <v>1263</v>
      </c>
      <c r="K543" s="352" t="s">
        <v>487</v>
      </c>
      <c r="L543" s="402">
        <v>300</v>
      </c>
      <c r="M543" s="352" t="s">
        <v>488</v>
      </c>
      <c r="N543" s="403">
        <v>8000</v>
      </c>
      <c r="O543" s="404">
        <v>2400000</v>
      </c>
      <c r="P543" s="421">
        <v>8</v>
      </c>
      <c r="Q543" s="429" t="s">
        <v>133</v>
      </c>
      <c r="R543" s="437">
        <v>140000</v>
      </c>
      <c r="S543" s="438">
        <f t="shared" si="57"/>
        <v>3000000</v>
      </c>
      <c r="T543" s="439" t="s">
        <v>10</v>
      </c>
      <c r="U543" s="460" t="str">
        <f t="shared" si="58"/>
        <v/>
      </c>
      <c r="V543" s="439" t="s">
        <v>11</v>
      </c>
      <c r="W543" s="439" t="s">
        <v>473</v>
      </c>
      <c r="X543" s="439" t="s">
        <v>709</v>
      </c>
      <c r="Y543" s="275" t="s">
        <v>710</v>
      </c>
      <c r="Z543" s="616" t="s">
        <v>710</v>
      </c>
      <c r="AA543" s="440" t="s">
        <v>488</v>
      </c>
      <c r="AB543" s="441">
        <f t="shared" si="59"/>
        <v>7207.2072072072069</v>
      </c>
      <c r="AC543" s="442">
        <f t="shared" si="60"/>
        <v>2162162.1621621619</v>
      </c>
      <c r="AD543" s="437">
        <v>140000</v>
      </c>
      <c r="AE543" s="447">
        <v>3440540.5405405411</v>
      </c>
      <c r="AF543" s="447">
        <v>3819000</v>
      </c>
      <c r="AG543" s="437">
        <v>140000</v>
      </c>
      <c r="AH543" s="443" t="s">
        <v>2092</v>
      </c>
    </row>
    <row r="544" spans="1:36" ht="37.5">
      <c r="A544" s="350">
        <v>308</v>
      </c>
      <c r="B544" s="352" t="s">
        <v>1386</v>
      </c>
      <c r="C544" s="352" t="s">
        <v>1253</v>
      </c>
      <c r="D544" s="355" t="s">
        <v>464</v>
      </c>
      <c r="E544" s="368">
        <v>45116</v>
      </c>
      <c r="F544" s="362">
        <v>45117</v>
      </c>
      <c r="G544" s="362">
        <v>45117</v>
      </c>
      <c r="H544" s="362">
        <v>45117</v>
      </c>
      <c r="I544" s="394">
        <v>45199</v>
      </c>
      <c r="J544" s="387" t="s">
        <v>1257</v>
      </c>
      <c r="K544" s="387" t="s">
        <v>467</v>
      </c>
      <c r="L544" s="513"/>
      <c r="M544" s="513"/>
      <c r="N544" s="796"/>
      <c r="O544" s="404">
        <v>6650000</v>
      </c>
      <c r="P544" s="421">
        <v>8</v>
      </c>
      <c r="Q544" s="429" t="s">
        <v>137</v>
      </c>
      <c r="R544" s="437">
        <v>11500</v>
      </c>
      <c r="S544" s="438">
        <f t="shared" si="57"/>
        <v>0</v>
      </c>
      <c r="T544" s="444" t="s">
        <v>282</v>
      </c>
      <c r="U544" s="460" t="str">
        <f t="shared" si="58"/>
        <v>Resto JFC Esther</v>
      </c>
      <c r="V544" s="444" t="s">
        <v>1258</v>
      </c>
      <c r="W544" s="444" t="s">
        <v>468</v>
      </c>
      <c r="X544" s="454" t="s">
        <v>1315</v>
      </c>
      <c r="Y544" s="275" t="s">
        <v>710</v>
      </c>
      <c r="Z544" s="616" t="s">
        <v>710</v>
      </c>
      <c r="AA544" s="440" t="s">
        <v>735</v>
      </c>
      <c r="AB544" s="441">
        <f t="shared" si="59"/>
        <v>0</v>
      </c>
      <c r="AC544" s="442">
        <f t="shared" si="60"/>
        <v>0</v>
      </c>
      <c r="AD544" s="437">
        <v>11500</v>
      </c>
      <c r="AE544" s="447">
        <v>3440540.5405405411</v>
      </c>
      <c r="AF544" s="447">
        <v>3819000</v>
      </c>
      <c r="AG544" s="437">
        <v>11500</v>
      </c>
      <c r="AH544" s="443" t="s">
        <v>2091</v>
      </c>
    </row>
    <row r="545" spans="1:36">
      <c r="A545" s="350">
        <v>309</v>
      </c>
      <c r="B545" s="352" t="s">
        <v>1270</v>
      </c>
      <c r="C545" s="352" t="s">
        <v>504</v>
      </c>
      <c r="D545" s="355" t="s">
        <v>801</v>
      </c>
      <c r="E545" s="368">
        <v>45123</v>
      </c>
      <c r="F545" s="365">
        <v>45124</v>
      </c>
      <c r="G545" s="365">
        <v>45124</v>
      </c>
      <c r="H545" s="365">
        <v>45124</v>
      </c>
      <c r="I545" s="394">
        <v>45124</v>
      </c>
      <c r="J545" s="387" t="s">
        <v>807</v>
      </c>
      <c r="K545" s="387" t="s">
        <v>808</v>
      </c>
      <c r="L545" s="402">
        <v>3</v>
      </c>
      <c r="M545" s="352" t="s">
        <v>488</v>
      </c>
      <c r="N545" s="403">
        <v>300000</v>
      </c>
      <c r="O545" s="404">
        <v>900000</v>
      </c>
      <c r="P545" s="421">
        <v>8</v>
      </c>
      <c r="Q545" s="429" t="s">
        <v>1160</v>
      </c>
      <c r="R545" s="437">
        <v>1000000</v>
      </c>
      <c r="S545" s="438">
        <f t="shared" si="57"/>
        <v>906000</v>
      </c>
      <c r="T545" s="439" t="s">
        <v>12</v>
      </c>
      <c r="U545" s="460" t="str">
        <f t="shared" si="58"/>
        <v/>
      </c>
      <c r="V545" s="439" t="s">
        <v>13</v>
      </c>
      <c r="W545" s="439" t="s">
        <v>804</v>
      </c>
      <c r="X545" s="454" t="s">
        <v>1315</v>
      </c>
      <c r="Y545" s="275" t="s">
        <v>710</v>
      </c>
      <c r="Z545" s="616" t="s">
        <v>710</v>
      </c>
      <c r="AA545" s="440" t="s">
        <v>749</v>
      </c>
      <c r="AB545" s="441">
        <f t="shared" si="59"/>
        <v>270270.2702702703</v>
      </c>
      <c r="AC545" s="442">
        <f t="shared" si="60"/>
        <v>810810.81081081089</v>
      </c>
      <c r="AD545" s="437">
        <v>1000000</v>
      </c>
      <c r="AE545" s="447">
        <v>3440540.5405405411</v>
      </c>
      <c r="AF545" s="447">
        <v>3819000</v>
      </c>
      <c r="AG545" s="437">
        <v>1000000</v>
      </c>
      <c r="AH545" s="443" t="s">
        <v>2099</v>
      </c>
    </row>
    <row r="546" spans="1:36">
      <c r="A546" s="350">
        <v>309</v>
      </c>
      <c r="B546" s="352" t="s">
        <v>1270</v>
      </c>
      <c r="C546" s="352" t="s">
        <v>504</v>
      </c>
      <c r="D546" s="355" t="s">
        <v>801</v>
      </c>
      <c r="E546" s="368">
        <v>45123</v>
      </c>
      <c r="F546" s="365">
        <v>45124</v>
      </c>
      <c r="G546" s="365">
        <v>45124</v>
      </c>
      <c r="H546" s="365">
        <v>45124</v>
      </c>
      <c r="I546" s="394">
        <v>45124</v>
      </c>
      <c r="J546" s="387" t="s">
        <v>955</v>
      </c>
      <c r="K546" s="387" t="s">
        <v>956</v>
      </c>
      <c r="L546" s="402">
        <v>3</v>
      </c>
      <c r="M546" s="352" t="s">
        <v>488</v>
      </c>
      <c r="N546" s="403">
        <v>450000</v>
      </c>
      <c r="O546" s="404">
        <v>1350000</v>
      </c>
      <c r="P546" s="421">
        <v>8</v>
      </c>
      <c r="Q546" s="429" t="s">
        <v>131</v>
      </c>
      <c r="R546" s="437">
        <v>21000</v>
      </c>
      <c r="S546" s="438">
        <f t="shared" si="57"/>
        <v>1356000</v>
      </c>
      <c r="T546" s="439" t="s">
        <v>12</v>
      </c>
      <c r="U546" s="460" t="str">
        <f t="shared" si="58"/>
        <v/>
      </c>
      <c r="V546" s="439" t="s">
        <v>13</v>
      </c>
      <c r="W546" s="439" t="s">
        <v>804</v>
      </c>
      <c r="X546" s="454" t="s">
        <v>1315</v>
      </c>
      <c r="Y546" s="275" t="s">
        <v>710</v>
      </c>
      <c r="Z546" s="616" t="s">
        <v>710</v>
      </c>
      <c r="AA546" s="440" t="s">
        <v>597</v>
      </c>
      <c r="AB546" s="441">
        <f t="shared" si="59"/>
        <v>405405.40540540538</v>
      </c>
      <c r="AC546" s="442">
        <f t="shared" si="60"/>
        <v>1216216.2162162161</v>
      </c>
      <c r="AD546" s="437">
        <v>21000</v>
      </c>
      <c r="AE546" s="447">
        <v>3440540.5405405411</v>
      </c>
      <c r="AF546" s="447">
        <v>3819000</v>
      </c>
      <c r="AG546" s="437">
        <v>21000</v>
      </c>
      <c r="AH546" s="443" t="s">
        <v>2099</v>
      </c>
    </row>
    <row r="547" spans="1:36">
      <c r="A547" s="350">
        <v>309</v>
      </c>
      <c r="B547" s="352" t="s">
        <v>1270</v>
      </c>
      <c r="C547" s="352" t="s">
        <v>504</v>
      </c>
      <c r="D547" s="355" t="s">
        <v>801</v>
      </c>
      <c r="E547" s="368">
        <v>45123</v>
      </c>
      <c r="F547" s="365">
        <v>45124</v>
      </c>
      <c r="G547" s="365">
        <v>45124</v>
      </c>
      <c r="H547" s="365">
        <v>45124</v>
      </c>
      <c r="I547" s="394">
        <v>45124</v>
      </c>
      <c r="J547" s="387" t="s">
        <v>1271</v>
      </c>
      <c r="K547" s="387" t="s">
        <v>1271</v>
      </c>
      <c r="L547" s="402">
        <v>1</v>
      </c>
      <c r="M547" s="352" t="s">
        <v>753</v>
      </c>
      <c r="N547" s="403">
        <v>3430000</v>
      </c>
      <c r="O547" s="404">
        <v>3430000</v>
      </c>
      <c r="P547" s="421">
        <v>8</v>
      </c>
      <c r="Q547" s="429" t="s">
        <v>110</v>
      </c>
      <c r="R547" s="437">
        <v>16500</v>
      </c>
      <c r="S547" s="438">
        <f t="shared" si="57"/>
        <v>3432000</v>
      </c>
      <c r="T547" s="439" t="s">
        <v>12</v>
      </c>
      <c r="U547" s="460" t="str">
        <f t="shared" si="58"/>
        <v/>
      </c>
      <c r="V547" s="439" t="s">
        <v>13</v>
      </c>
      <c r="W547" s="439" t="s">
        <v>804</v>
      </c>
      <c r="X547" s="454" t="s">
        <v>1315</v>
      </c>
      <c r="Y547" s="275" t="s">
        <v>710</v>
      </c>
      <c r="Z547" s="616" t="s">
        <v>710</v>
      </c>
      <c r="AA547" s="440" t="s">
        <v>714</v>
      </c>
      <c r="AB547" s="441">
        <f t="shared" si="59"/>
        <v>3090090.0900900899</v>
      </c>
      <c r="AC547" s="442">
        <f t="shared" si="60"/>
        <v>3090090.0900900899</v>
      </c>
      <c r="AD547" s="437">
        <v>16500</v>
      </c>
      <c r="AE547" s="447">
        <v>3440540.5405405411</v>
      </c>
      <c r="AF547" s="447">
        <v>3819000</v>
      </c>
      <c r="AG547" s="437">
        <v>16500</v>
      </c>
      <c r="AH547" s="443" t="s">
        <v>2099</v>
      </c>
    </row>
    <row r="548" spans="1:36">
      <c r="A548" s="350">
        <v>309</v>
      </c>
      <c r="B548" s="352" t="s">
        <v>1270</v>
      </c>
      <c r="C548" s="352" t="s">
        <v>504</v>
      </c>
      <c r="D548" s="355" t="s">
        <v>801</v>
      </c>
      <c r="E548" s="368">
        <v>45123</v>
      </c>
      <c r="F548" s="365">
        <v>45124</v>
      </c>
      <c r="G548" s="365">
        <v>45124</v>
      </c>
      <c r="H548" s="365">
        <v>45124</v>
      </c>
      <c r="I548" s="394">
        <v>45124</v>
      </c>
      <c r="J548" s="387" t="s">
        <v>802</v>
      </c>
      <c r="K548" s="387" t="s">
        <v>803</v>
      </c>
      <c r="L548" s="402">
        <v>3</v>
      </c>
      <c r="M548" s="352" t="s">
        <v>488</v>
      </c>
      <c r="N548" s="403">
        <v>500000</v>
      </c>
      <c r="O548" s="404">
        <v>1500000</v>
      </c>
      <c r="P548" s="421">
        <v>8</v>
      </c>
      <c r="Q548" s="429" t="s">
        <v>102</v>
      </c>
      <c r="R548" s="437">
        <v>225000</v>
      </c>
      <c r="S548" s="438">
        <f t="shared" si="57"/>
        <v>1506000</v>
      </c>
      <c r="T548" s="439" t="s">
        <v>12</v>
      </c>
      <c r="U548" s="460" t="str">
        <f t="shared" si="58"/>
        <v/>
      </c>
      <c r="V548" s="439" t="s">
        <v>13</v>
      </c>
      <c r="W548" s="439" t="s">
        <v>804</v>
      </c>
      <c r="X548" s="454" t="s">
        <v>1315</v>
      </c>
      <c r="Y548" s="275" t="s">
        <v>710</v>
      </c>
      <c r="Z548" s="616" t="s">
        <v>710</v>
      </c>
      <c r="AA548" s="440" t="s">
        <v>714</v>
      </c>
      <c r="AB548" s="441">
        <f t="shared" si="59"/>
        <v>450450.45045045047</v>
      </c>
      <c r="AC548" s="442">
        <f t="shared" si="60"/>
        <v>1351351.3513513515</v>
      </c>
      <c r="AD548" s="437">
        <v>225000</v>
      </c>
      <c r="AE548" s="447">
        <v>3440540.5405405411</v>
      </c>
      <c r="AF548" s="447">
        <v>3819000</v>
      </c>
      <c r="AG548" s="437">
        <v>225000</v>
      </c>
      <c r="AH548" s="443" t="s">
        <v>2099</v>
      </c>
    </row>
    <row r="549" spans="1:36">
      <c r="A549" s="350">
        <v>309</v>
      </c>
      <c r="B549" s="352" t="s">
        <v>1270</v>
      </c>
      <c r="C549" s="352" t="s">
        <v>504</v>
      </c>
      <c r="D549" s="355" t="s">
        <v>801</v>
      </c>
      <c r="E549" s="368">
        <v>45123</v>
      </c>
      <c r="F549" s="365">
        <v>45124</v>
      </c>
      <c r="G549" s="365">
        <v>45124</v>
      </c>
      <c r="H549" s="365">
        <v>45124</v>
      </c>
      <c r="I549" s="394">
        <v>45124</v>
      </c>
      <c r="J549" s="387" t="s">
        <v>1272</v>
      </c>
      <c r="K549" s="387" t="s">
        <v>810</v>
      </c>
      <c r="L549" s="402">
        <v>3</v>
      </c>
      <c r="M549" s="352" t="s">
        <v>472</v>
      </c>
      <c r="N549" s="403">
        <v>120000</v>
      </c>
      <c r="O549" s="404">
        <v>360000</v>
      </c>
      <c r="P549" s="421">
        <v>8</v>
      </c>
      <c r="Q549" s="429" t="s">
        <v>151</v>
      </c>
      <c r="R549" s="437">
        <v>150000</v>
      </c>
      <c r="S549" s="438">
        <f t="shared" si="57"/>
        <v>366000</v>
      </c>
      <c r="T549" s="439" t="s">
        <v>12</v>
      </c>
      <c r="U549" s="460" t="str">
        <f t="shared" si="58"/>
        <v/>
      </c>
      <c r="V549" s="439" t="s">
        <v>13</v>
      </c>
      <c r="W549" s="439" t="s">
        <v>804</v>
      </c>
      <c r="X549" s="454" t="s">
        <v>1315</v>
      </c>
      <c r="Y549" s="275" t="s">
        <v>710</v>
      </c>
      <c r="Z549" s="616" t="s">
        <v>710</v>
      </c>
      <c r="AA549" s="440" t="s">
        <v>488</v>
      </c>
      <c r="AB549" s="441">
        <f t="shared" si="59"/>
        <v>108108.10810810811</v>
      </c>
      <c r="AC549" s="442">
        <f t="shared" si="60"/>
        <v>324324.32432432432</v>
      </c>
      <c r="AD549" s="437">
        <v>150000</v>
      </c>
      <c r="AE549" s="447">
        <v>3440540.5405405411</v>
      </c>
      <c r="AF549" s="447">
        <v>3819000</v>
      </c>
      <c r="AG549" s="437">
        <v>150000</v>
      </c>
      <c r="AH549" s="443" t="s">
        <v>2099</v>
      </c>
    </row>
    <row r="550" spans="1:36">
      <c r="A550" s="350">
        <v>310</v>
      </c>
      <c r="B550" s="352" t="s">
        <v>1264</v>
      </c>
      <c r="C550" s="352" t="s">
        <v>577</v>
      </c>
      <c r="D550" s="355" t="s">
        <v>464</v>
      </c>
      <c r="E550" s="368">
        <v>45125</v>
      </c>
      <c r="F550" s="365">
        <v>45126</v>
      </c>
      <c r="G550" s="365">
        <v>45126</v>
      </c>
      <c r="H550" s="365">
        <v>45126</v>
      </c>
      <c r="I550" s="394">
        <v>45126</v>
      </c>
      <c r="J550" s="387" t="s">
        <v>579</v>
      </c>
      <c r="K550" s="387" t="s">
        <v>467</v>
      </c>
      <c r="L550" s="402">
        <v>24</v>
      </c>
      <c r="M550" s="352" t="s">
        <v>231</v>
      </c>
      <c r="N550" s="403">
        <v>35000</v>
      </c>
      <c r="O550" s="404">
        <v>840000</v>
      </c>
      <c r="P550" s="421">
        <v>8</v>
      </c>
      <c r="Q550" s="429" t="s">
        <v>137</v>
      </c>
      <c r="R550" s="437">
        <v>14000</v>
      </c>
      <c r="S550" s="438">
        <f t="shared" si="57"/>
        <v>888000</v>
      </c>
      <c r="T550" s="444" t="s">
        <v>282</v>
      </c>
      <c r="U550" s="460" t="str">
        <f t="shared" si="58"/>
        <v>Resto JFC Esther</v>
      </c>
      <c r="V550" s="444" t="s">
        <v>1258</v>
      </c>
      <c r="W550" s="444" t="s">
        <v>468</v>
      </c>
      <c r="X550" s="454" t="s">
        <v>1315</v>
      </c>
      <c r="Y550" s="275" t="s">
        <v>710</v>
      </c>
      <c r="Z550" s="616" t="s">
        <v>710</v>
      </c>
      <c r="AA550" s="440" t="s">
        <v>714</v>
      </c>
      <c r="AB550" s="441">
        <f t="shared" si="59"/>
        <v>31531.531531531531</v>
      </c>
      <c r="AC550" s="442">
        <f t="shared" si="60"/>
        <v>756756.75675675669</v>
      </c>
      <c r="AD550" s="437">
        <v>14000</v>
      </c>
      <c r="AE550" s="447">
        <v>3440540.5405405411</v>
      </c>
      <c r="AF550" s="447">
        <v>3819000</v>
      </c>
      <c r="AG550" s="437">
        <v>14000</v>
      </c>
      <c r="AH550" s="443" t="s">
        <v>2091</v>
      </c>
    </row>
    <row r="551" spans="1:36" ht="25">
      <c r="A551" s="350">
        <v>311</v>
      </c>
      <c r="B551" s="352" t="s">
        <v>1265</v>
      </c>
      <c r="C551" s="352" t="s">
        <v>577</v>
      </c>
      <c r="D551" s="355" t="s">
        <v>464</v>
      </c>
      <c r="E551" s="368">
        <v>45125</v>
      </c>
      <c r="F551" s="365">
        <v>45126</v>
      </c>
      <c r="G551" s="365">
        <v>45126</v>
      </c>
      <c r="H551" s="365">
        <v>45126</v>
      </c>
      <c r="I551" s="394">
        <v>45126</v>
      </c>
      <c r="J551" s="387" t="s">
        <v>581</v>
      </c>
      <c r="K551" s="387" t="s">
        <v>471</v>
      </c>
      <c r="L551" s="402">
        <v>2</v>
      </c>
      <c r="M551" s="352" t="s">
        <v>472</v>
      </c>
      <c r="N551" s="403">
        <v>70000</v>
      </c>
      <c r="O551" s="404">
        <v>140000</v>
      </c>
      <c r="P551" s="421">
        <v>8</v>
      </c>
      <c r="Q551" s="429" t="s">
        <v>101</v>
      </c>
      <c r="R551" s="437">
        <v>97000</v>
      </c>
      <c r="S551" s="438">
        <f t="shared" si="57"/>
        <v>144000</v>
      </c>
      <c r="T551" s="439" t="s">
        <v>10</v>
      </c>
      <c r="U551" s="460" t="str">
        <f t="shared" si="58"/>
        <v>UD. USAHA JAYA</v>
      </c>
      <c r="V551" s="439" t="s">
        <v>11</v>
      </c>
      <c r="W551" s="439" t="s">
        <v>473</v>
      </c>
      <c r="X551" s="454" t="s">
        <v>1315</v>
      </c>
      <c r="Y551" s="275" t="s">
        <v>710</v>
      </c>
      <c r="Z551" s="616" t="s">
        <v>710</v>
      </c>
      <c r="AA551" s="440" t="s">
        <v>753</v>
      </c>
      <c r="AB551" s="441">
        <f t="shared" si="59"/>
        <v>63063.063063063062</v>
      </c>
      <c r="AC551" s="442">
        <f t="shared" si="60"/>
        <v>126126.12612612612</v>
      </c>
      <c r="AD551" s="437">
        <v>97000</v>
      </c>
      <c r="AE551" s="447">
        <v>3440540.5405405411</v>
      </c>
      <c r="AF551" s="447">
        <v>3819000</v>
      </c>
      <c r="AG551" s="437">
        <v>97000</v>
      </c>
      <c r="AH551" s="443" t="s">
        <v>2092</v>
      </c>
    </row>
    <row r="552" spans="1:36" ht="25">
      <c r="A552" s="350">
        <v>311</v>
      </c>
      <c r="B552" s="352" t="s">
        <v>1266</v>
      </c>
      <c r="C552" s="352" t="s">
        <v>463</v>
      </c>
      <c r="D552" s="355" t="s">
        <v>464</v>
      </c>
      <c r="E552" s="368">
        <v>45126</v>
      </c>
      <c r="F552" s="365">
        <v>45127</v>
      </c>
      <c r="G552" s="365">
        <v>45127</v>
      </c>
      <c r="H552" s="365">
        <v>45127</v>
      </c>
      <c r="I552" s="394">
        <v>45127</v>
      </c>
      <c r="J552" s="387" t="s">
        <v>1267</v>
      </c>
      <c r="K552" s="387" t="s">
        <v>471</v>
      </c>
      <c r="L552" s="402">
        <v>4</v>
      </c>
      <c r="M552" s="352" t="s">
        <v>472</v>
      </c>
      <c r="N552" s="403">
        <v>70000</v>
      </c>
      <c r="O552" s="404">
        <v>280000</v>
      </c>
      <c r="P552" s="421">
        <v>8</v>
      </c>
      <c r="Q552" s="429" t="s">
        <v>130</v>
      </c>
      <c r="R552" s="437">
        <v>75000</v>
      </c>
      <c r="S552" s="438">
        <f t="shared" si="57"/>
        <v>288000</v>
      </c>
      <c r="T552" s="439" t="s">
        <v>10</v>
      </c>
      <c r="U552" s="460" t="str">
        <f t="shared" si="58"/>
        <v>UD. USAHA JAYA</v>
      </c>
      <c r="V552" s="439" t="s">
        <v>11</v>
      </c>
      <c r="W552" s="439" t="s">
        <v>473</v>
      </c>
      <c r="X552" s="454" t="s">
        <v>1315</v>
      </c>
      <c r="Y552" s="275" t="s">
        <v>710</v>
      </c>
      <c r="Z552" s="616" t="s">
        <v>710</v>
      </c>
      <c r="AA552" s="440" t="s">
        <v>756</v>
      </c>
      <c r="AB552" s="441">
        <f t="shared" si="59"/>
        <v>63063.063063063062</v>
      </c>
      <c r="AC552" s="442">
        <f t="shared" si="60"/>
        <v>252252.25225225225</v>
      </c>
      <c r="AD552" s="437">
        <v>75000</v>
      </c>
      <c r="AE552" s="447">
        <v>3440540.5405405411</v>
      </c>
      <c r="AF552" s="447">
        <v>3819000</v>
      </c>
      <c r="AG552" s="437">
        <v>75000</v>
      </c>
      <c r="AH552" s="443" t="s">
        <v>2092</v>
      </c>
    </row>
    <row r="553" spans="1:36" ht="25">
      <c r="A553" s="350">
        <v>311</v>
      </c>
      <c r="B553" s="352" t="s">
        <v>1388</v>
      </c>
      <c r="C553" s="352" t="s">
        <v>463</v>
      </c>
      <c r="D553" s="355" t="s">
        <v>464</v>
      </c>
      <c r="E553" s="362">
        <v>45126</v>
      </c>
      <c r="F553" s="362">
        <v>45127</v>
      </c>
      <c r="G553" s="362">
        <v>45127</v>
      </c>
      <c r="H553" s="362">
        <v>45127</v>
      </c>
      <c r="I553" s="394">
        <v>45199</v>
      </c>
      <c r="J553" s="388" t="s">
        <v>1389</v>
      </c>
      <c r="K553" s="387" t="s">
        <v>467</v>
      </c>
      <c r="L553" s="402">
        <v>50</v>
      </c>
      <c r="M553" s="352" t="s">
        <v>231</v>
      </c>
      <c r="N553" s="403">
        <v>15000</v>
      </c>
      <c r="O553" s="404">
        <v>750000</v>
      </c>
      <c r="P553" s="421">
        <v>8</v>
      </c>
      <c r="Q553" s="429" t="s">
        <v>100</v>
      </c>
      <c r="R553" s="437">
        <v>26000</v>
      </c>
      <c r="S553" s="274">
        <f t="shared" si="57"/>
        <v>850000</v>
      </c>
      <c r="T553" s="444" t="s">
        <v>282</v>
      </c>
      <c r="U553" s="460" t="str">
        <f t="shared" si="58"/>
        <v>Resto JFC Esther</v>
      </c>
      <c r="V553" s="444" t="s">
        <v>1258</v>
      </c>
      <c r="W553" s="439" t="s">
        <v>473</v>
      </c>
      <c r="X553" s="454" t="s">
        <v>1315</v>
      </c>
      <c r="Y553" s="275" t="s">
        <v>710</v>
      </c>
      <c r="Z553" s="449" t="s">
        <v>710</v>
      </c>
      <c r="AA553" s="440" t="s">
        <v>753</v>
      </c>
      <c r="AB553" s="441">
        <f t="shared" si="59"/>
        <v>13513.513513513513</v>
      </c>
      <c r="AC553" s="442">
        <f t="shared" si="60"/>
        <v>675675.67567567562</v>
      </c>
      <c r="AD553" s="437">
        <v>26000</v>
      </c>
      <c r="AE553" s="447">
        <v>3440540.5405405411</v>
      </c>
      <c r="AF553" s="447">
        <v>3819000</v>
      </c>
      <c r="AG553" s="437">
        <v>26000</v>
      </c>
      <c r="AH553" s="271" t="s">
        <v>2091</v>
      </c>
    </row>
    <row r="554" spans="1:36">
      <c r="A554" s="350">
        <v>312</v>
      </c>
      <c r="B554" s="352" t="s">
        <v>1279</v>
      </c>
      <c r="C554" s="352" t="s">
        <v>492</v>
      </c>
      <c r="D554" s="355" t="s">
        <v>464</v>
      </c>
      <c r="E554" s="368">
        <v>45130</v>
      </c>
      <c r="F554" s="365">
        <v>45131</v>
      </c>
      <c r="G554" s="365">
        <v>45131</v>
      </c>
      <c r="H554" s="365">
        <v>45131</v>
      </c>
      <c r="I554" s="394">
        <v>45131</v>
      </c>
      <c r="J554" s="387" t="s">
        <v>494</v>
      </c>
      <c r="K554" s="387" t="s">
        <v>467</v>
      </c>
      <c r="L554" s="402">
        <v>8</v>
      </c>
      <c r="M554" s="352" t="s">
        <v>231</v>
      </c>
      <c r="N554" s="403">
        <v>35000</v>
      </c>
      <c r="O554" s="404">
        <v>280000</v>
      </c>
      <c r="P554" s="421">
        <v>8</v>
      </c>
      <c r="Q554" s="429" t="s">
        <v>157</v>
      </c>
      <c r="R554" s="437">
        <v>42000</v>
      </c>
      <c r="S554" s="274">
        <f t="shared" si="57"/>
        <v>296000</v>
      </c>
      <c r="T554" s="444" t="s">
        <v>282</v>
      </c>
      <c r="U554" s="460" t="str">
        <f t="shared" si="58"/>
        <v>Resto JFC Esther</v>
      </c>
      <c r="V554" s="444" t="s">
        <v>1258</v>
      </c>
      <c r="W554" s="439" t="s">
        <v>473</v>
      </c>
      <c r="X554" s="454" t="s">
        <v>1315</v>
      </c>
      <c r="Y554" s="275" t="s">
        <v>710</v>
      </c>
      <c r="Z554" s="449" t="s">
        <v>710</v>
      </c>
      <c r="AA554" s="440" t="s">
        <v>735</v>
      </c>
      <c r="AB554" s="441">
        <f t="shared" si="59"/>
        <v>31531.531531531531</v>
      </c>
      <c r="AC554" s="442">
        <f t="shared" si="60"/>
        <v>252252.25225225225</v>
      </c>
      <c r="AD554" s="437">
        <v>42000</v>
      </c>
      <c r="AE554" s="447">
        <v>3440540.5405405411</v>
      </c>
      <c r="AF554" s="447">
        <v>3819000</v>
      </c>
      <c r="AG554" s="437">
        <v>42000</v>
      </c>
      <c r="AH554" s="271" t="s">
        <v>2091</v>
      </c>
    </row>
    <row r="555" spans="1:36" ht="25">
      <c r="A555" s="350">
        <v>312</v>
      </c>
      <c r="B555" s="352" t="s">
        <v>1281</v>
      </c>
      <c r="C555" s="352" t="s">
        <v>498</v>
      </c>
      <c r="D555" s="355" t="s">
        <v>464</v>
      </c>
      <c r="E555" s="368">
        <v>45130</v>
      </c>
      <c r="F555" s="365">
        <v>45131</v>
      </c>
      <c r="G555" s="365">
        <v>45131</v>
      </c>
      <c r="H555" s="365">
        <v>45131</v>
      </c>
      <c r="I555" s="394">
        <v>45131</v>
      </c>
      <c r="J555" s="387" t="s">
        <v>500</v>
      </c>
      <c r="K555" s="387" t="s">
        <v>467</v>
      </c>
      <c r="L555" s="402">
        <v>4</v>
      </c>
      <c r="M555" s="352" t="s">
        <v>231</v>
      </c>
      <c r="N555" s="403">
        <v>35000</v>
      </c>
      <c r="O555" s="404">
        <v>140000</v>
      </c>
      <c r="P555" s="421">
        <v>8</v>
      </c>
      <c r="Q555" s="429" t="s">
        <v>127</v>
      </c>
      <c r="R555" s="437">
        <v>270000</v>
      </c>
      <c r="S555" s="274">
        <f t="shared" si="57"/>
        <v>148000</v>
      </c>
      <c r="T555" s="444" t="s">
        <v>282</v>
      </c>
      <c r="U555" s="460" t="str">
        <f t="shared" si="58"/>
        <v>Resto JFC Esther</v>
      </c>
      <c r="V555" s="444" t="s">
        <v>1258</v>
      </c>
      <c r="W555" s="439" t="s">
        <v>473</v>
      </c>
      <c r="X555" s="454" t="s">
        <v>1315</v>
      </c>
      <c r="Y555" s="275" t="s">
        <v>710</v>
      </c>
      <c r="Z555" s="449" t="s">
        <v>710</v>
      </c>
      <c r="AA555" s="440" t="s">
        <v>488</v>
      </c>
      <c r="AB555" s="441">
        <f t="shared" si="59"/>
        <v>31531.531531531531</v>
      </c>
      <c r="AC555" s="442">
        <f t="shared" si="60"/>
        <v>126126.12612612612</v>
      </c>
      <c r="AD555" s="437">
        <v>270000</v>
      </c>
      <c r="AE555" s="447">
        <v>3440540.5405405411</v>
      </c>
      <c r="AF555" s="447">
        <v>3819000</v>
      </c>
      <c r="AG555" s="437">
        <v>270000</v>
      </c>
      <c r="AH555" s="271" t="s">
        <v>2091</v>
      </c>
    </row>
    <row r="556" spans="1:36" ht="25">
      <c r="A556" s="350">
        <v>312</v>
      </c>
      <c r="B556" s="352" t="s">
        <v>1284</v>
      </c>
      <c r="C556" s="352" t="s">
        <v>507</v>
      </c>
      <c r="D556" s="355" t="s">
        <v>464</v>
      </c>
      <c r="E556" s="368">
        <v>45130</v>
      </c>
      <c r="F556" s="365">
        <v>45131</v>
      </c>
      <c r="G556" s="365">
        <v>45131</v>
      </c>
      <c r="H556" s="365">
        <v>45131</v>
      </c>
      <c r="I556" s="394">
        <v>45131</v>
      </c>
      <c r="J556" s="387" t="s">
        <v>508</v>
      </c>
      <c r="K556" s="387" t="s">
        <v>467</v>
      </c>
      <c r="L556" s="402">
        <v>4</v>
      </c>
      <c r="M556" s="352" t="s">
        <v>231</v>
      </c>
      <c r="N556" s="403">
        <v>35000</v>
      </c>
      <c r="O556" s="404">
        <v>140000</v>
      </c>
      <c r="P556" s="421">
        <v>8</v>
      </c>
      <c r="Q556" s="429" t="s">
        <v>909</v>
      </c>
      <c r="R556" s="437">
        <v>5000</v>
      </c>
      <c r="S556" s="274">
        <f t="shared" si="57"/>
        <v>148000</v>
      </c>
      <c r="T556" s="444" t="s">
        <v>282</v>
      </c>
      <c r="U556" s="460" t="str">
        <f t="shared" si="58"/>
        <v>Resto JFC Esther</v>
      </c>
      <c r="V556" s="444" t="s">
        <v>1258</v>
      </c>
      <c r="W556" s="439" t="s">
        <v>473</v>
      </c>
      <c r="X556" s="454" t="s">
        <v>1315</v>
      </c>
      <c r="Y556" s="275" t="s">
        <v>710</v>
      </c>
      <c r="Z556" s="449" t="s">
        <v>710</v>
      </c>
      <c r="AA556" s="440" t="s">
        <v>728</v>
      </c>
      <c r="AB556" s="441">
        <f t="shared" si="59"/>
        <v>31531.531531531531</v>
      </c>
      <c r="AC556" s="442">
        <f t="shared" si="60"/>
        <v>126126.12612612612</v>
      </c>
      <c r="AD556" s="437">
        <v>5000</v>
      </c>
      <c r="AE556" s="447">
        <v>3440540.5405405411</v>
      </c>
      <c r="AF556" s="447">
        <v>3819000</v>
      </c>
      <c r="AG556" s="437">
        <v>5000</v>
      </c>
      <c r="AH556" s="271" t="s">
        <v>2091</v>
      </c>
    </row>
    <row r="557" spans="1:36" ht="25">
      <c r="A557" s="350">
        <v>312</v>
      </c>
      <c r="B557" s="352" t="s">
        <v>1286</v>
      </c>
      <c r="C557" s="352" t="s">
        <v>512</v>
      </c>
      <c r="D557" s="355" t="s">
        <v>464</v>
      </c>
      <c r="E557" s="368">
        <v>45130</v>
      </c>
      <c r="F557" s="365">
        <v>45131</v>
      </c>
      <c r="G557" s="365">
        <v>45131</v>
      </c>
      <c r="H557" s="365">
        <v>45131</v>
      </c>
      <c r="I557" s="394">
        <v>45131</v>
      </c>
      <c r="J557" s="387" t="s">
        <v>515</v>
      </c>
      <c r="K557" s="387" t="s">
        <v>467</v>
      </c>
      <c r="L557" s="402">
        <v>3</v>
      </c>
      <c r="M557" s="352" t="s">
        <v>231</v>
      </c>
      <c r="N557" s="403">
        <v>35000</v>
      </c>
      <c r="O557" s="404">
        <v>105000</v>
      </c>
      <c r="P557" s="421">
        <v>8</v>
      </c>
      <c r="Q557" s="429" t="s">
        <v>144</v>
      </c>
      <c r="R557" s="437">
        <v>25000</v>
      </c>
      <c r="S557" s="274">
        <f t="shared" si="57"/>
        <v>111000</v>
      </c>
      <c r="T557" s="444" t="s">
        <v>282</v>
      </c>
      <c r="U557" s="460" t="str">
        <f t="shared" si="58"/>
        <v>Resto JFC Esther</v>
      </c>
      <c r="V557" s="444" t="s">
        <v>1258</v>
      </c>
      <c r="W557" s="439" t="s">
        <v>473</v>
      </c>
      <c r="X557" s="454" t="s">
        <v>1315</v>
      </c>
      <c r="Y557" s="275" t="s">
        <v>710</v>
      </c>
      <c r="Z557" s="449" t="s">
        <v>710</v>
      </c>
      <c r="AA557" s="440" t="s">
        <v>488</v>
      </c>
      <c r="AB557" s="441">
        <f t="shared" si="59"/>
        <v>31531.531531531531</v>
      </c>
      <c r="AC557" s="442">
        <f t="shared" si="60"/>
        <v>94594.594594594586</v>
      </c>
      <c r="AD557" s="437">
        <v>25000</v>
      </c>
      <c r="AE557" s="447">
        <v>3440540.5405405411</v>
      </c>
      <c r="AF557" s="447">
        <v>3819000</v>
      </c>
      <c r="AG557" s="437">
        <v>25000</v>
      </c>
      <c r="AH557" s="271" t="s">
        <v>2091</v>
      </c>
    </row>
    <row r="558" spans="1:36">
      <c r="A558" s="350">
        <v>313</v>
      </c>
      <c r="B558" s="352" t="s">
        <v>1280</v>
      </c>
      <c r="C558" s="352" t="s">
        <v>492</v>
      </c>
      <c r="D558" s="355" t="s">
        <v>464</v>
      </c>
      <c r="E558" s="368">
        <v>45130</v>
      </c>
      <c r="F558" s="365">
        <v>45131</v>
      </c>
      <c r="G558" s="365">
        <v>45131</v>
      </c>
      <c r="H558" s="365">
        <v>45131</v>
      </c>
      <c r="I558" s="394">
        <v>45131</v>
      </c>
      <c r="J558" s="387" t="s">
        <v>496</v>
      </c>
      <c r="K558" s="387" t="s">
        <v>484</v>
      </c>
      <c r="L558" s="402">
        <v>8</v>
      </c>
      <c r="M558" s="352" t="s">
        <v>472</v>
      </c>
      <c r="N558" s="403">
        <v>50000</v>
      </c>
      <c r="O558" s="404">
        <v>400000</v>
      </c>
      <c r="P558" s="421">
        <v>8</v>
      </c>
      <c r="Q558" s="429" t="s">
        <v>903</v>
      </c>
      <c r="R558" s="437">
        <v>11000</v>
      </c>
      <c r="S558" s="274">
        <f t="shared" si="57"/>
        <v>416000</v>
      </c>
      <c r="T558" s="439" t="s">
        <v>10</v>
      </c>
      <c r="U558" s="460" t="str">
        <f t="shared" si="58"/>
        <v/>
      </c>
      <c r="V558" s="439" t="s">
        <v>11</v>
      </c>
      <c r="W558" s="439" t="s">
        <v>473</v>
      </c>
      <c r="X558" s="454" t="s">
        <v>1315</v>
      </c>
      <c r="Y558" s="275" t="s">
        <v>710</v>
      </c>
      <c r="Z558" s="449" t="s">
        <v>710</v>
      </c>
      <c r="AA558" s="440" t="s">
        <v>488</v>
      </c>
      <c r="AB558" s="441">
        <f t="shared" si="59"/>
        <v>45045.045045045044</v>
      </c>
      <c r="AC558" s="442">
        <f t="shared" si="60"/>
        <v>360360.36036036036</v>
      </c>
      <c r="AD558" s="437">
        <v>11000</v>
      </c>
      <c r="AE558" s="447">
        <v>3440540.5405405411</v>
      </c>
      <c r="AF558" s="447">
        <v>3819000</v>
      </c>
      <c r="AG558" s="437">
        <v>11000</v>
      </c>
      <c r="AH558" s="271" t="s">
        <v>2092</v>
      </c>
    </row>
    <row r="559" spans="1:36" ht="25">
      <c r="A559" s="350">
        <v>313</v>
      </c>
      <c r="B559" s="352" t="s">
        <v>1282</v>
      </c>
      <c r="C559" s="352" t="s">
        <v>498</v>
      </c>
      <c r="D559" s="355" t="s">
        <v>464</v>
      </c>
      <c r="E559" s="368">
        <v>45130</v>
      </c>
      <c r="F559" s="365">
        <v>45131</v>
      </c>
      <c r="G559" s="365">
        <v>45131</v>
      </c>
      <c r="H559" s="365">
        <v>45131</v>
      </c>
      <c r="I559" s="394">
        <v>45131</v>
      </c>
      <c r="J559" s="387" t="s">
        <v>502</v>
      </c>
      <c r="K559" s="387" t="s">
        <v>484</v>
      </c>
      <c r="L559" s="402">
        <v>8</v>
      </c>
      <c r="M559" s="352" t="s">
        <v>472</v>
      </c>
      <c r="N559" s="403">
        <v>50000</v>
      </c>
      <c r="O559" s="404">
        <v>400000</v>
      </c>
      <c r="P559" s="421">
        <v>8</v>
      </c>
      <c r="Q559" s="431" t="s">
        <v>537</v>
      </c>
      <c r="R559" s="437">
        <v>240000</v>
      </c>
      <c r="S559" s="274">
        <f t="shared" si="57"/>
        <v>416000</v>
      </c>
      <c r="T559" s="439" t="s">
        <v>10</v>
      </c>
      <c r="U559" s="460" t="str">
        <f t="shared" si="58"/>
        <v/>
      </c>
      <c r="V559" s="439" t="s">
        <v>11</v>
      </c>
      <c r="W559" s="439" t="s">
        <v>473</v>
      </c>
      <c r="X559" s="615" t="s">
        <v>541</v>
      </c>
      <c r="Y559" s="439" t="s">
        <v>542</v>
      </c>
      <c r="Z559" s="449" t="s">
        <v>542</v>
      </c>
      <c r="AA559" s="440" t="s">
        <v>551</v>
      </c>
      <c r="AB559" s="441">
        <f t="shared" si="59"/>
        <v>45045.045045045044</v>
      </c>
      <c r="AC559" s="442">
        <f t="shared" si="60"/>
        <v>360360.36036036036</v>
      </c>
      <c r="AD559" s="437">
        <v>240000</v>
      </c>
      <c r="AE559" s="447">
        <v>297297.29729729734</v>
      </c>
      <c r="AF559" s="447">
        <v>330000</v>
      </c>
      <c r="AG559" s="437">
        <v>240000</v>
      </c>
      <c r="AH559" s="271" t="s">
        <v>2092</v>
      </c>
      <c r="AI559" s="277">
        <f>SUM(AC559:AC560)</f>
        <v>630630.63063063065</v>
      </c>
      <c r="AJ559" s="277">
        <f>SUM(AD559:AD560)</f>
        <v>330000</v>
      </c>
    </row>
    <row r="560" spans="1:36" ht="25">
      <c r="A560" s="350">
        <v>313</v>
      </c>
      <c r="B560" s="352" t="s">
        <v>1283</v>
      </c>
      <c r="C560" s="352" t="s">
        <v>504</v>
      </c>
      <c r="D560" s="355" t="s">
        <v>464</v>
      </c>
      <c r="E560" s="368">
        <v>45130</v>
      </c>
      <c r="F560" s="365">
        <v>45131</v>
      </c>
      <c r="G560" s="365">
        <v>45131</v>
      </c>
      <c r="H560" s="365">
        <v>45131</v>
      </c>
      <c r="I560" s="394">
        <v>45131</v>
      </c>
      <c r="J560" s="387" t="s">
        <v>505</v>
      </c>
      <c r="K560" s="387" t="s">
        <v>484</v>
      </c>
      <c r="L560" s="402">
        <v>6</v>
      </c>
      <c r="M560" s="352" t="s">
        <v>472</v>
      </c>
      <c r="N560" s="403">
        <v>50000</v>
      </c>
      <c r="O560" s="404">
        <v>300000</v>
      </c>
      <c r="P560" s="421">
        <v>8</v>
      </c>
      <c r="Q560" s="430" t="s">
        <v>668</v>
      </c>
      <c r="R560" s="437">
        <v>90000</v>
      </c>
      <c r="S560" s="274">
        <f t="shared" si="57"/>
        <v>312000</v>
      </c>
      <c r="T560" s="439" t="s">
        <v>10</v>
      </c>
      <c r="U560" s="460" t="str">
        <f t="shared" si="58"/>
        <v/>
      </c>
      <c r="V560" s="439" t="s">
        <v>11</v>
      </c>
      <c r="W560" s="439" t="s">
        <v>473</v>
      </c>
      <c r="X560" s="615" t="s">
        <v>541</v>
      </c>
      <c r="Y560" s="439" t="s">
        <v>542</v>
      </c>
      <c r="Z560" s="449" t="s">
        <v>542</v>
      </c>
      <c r="AA560" s="440" t="s">
        <v>231</v>
      </c>
      <c r="AB560" s="441">
        <f t="shared" si="59"/>
        <v>45045.045045045044</v>
      </c>
      <c r="AC560" s="442">
        <f t="shared" si="60"/>
        <v>270270.2702702703</v>
      </c>
      <c r="AD560" s="437">
        <v>90000</v>
      </c>
      <c r="AE560" s="447">
        <v>297297.29729729734</v>
      </c>
      <c r="AF560" s="447">
        <v>330000</v>
      </c>
      <c r="AG560" s="437">
        <v>90000</v>
      </c>
      <c r="AH560" s="271" t="s">
        <v>2092</v>
      </c>
    </row>
    <row r="561" spans="1:36">
      <c r="A561" s="350">
        <v>313</v>
      </c>
      <c r="B561" s="352" t="s">
        <v>1285</v>
      </c>
      <c r="C561" s="352" t="s">
        <v>507</v>
      </c>
      <c r="D561" s="355" t="s">
        <v>464</v>
      </c>
      <c r="E561" s="368">
        <v>45130</v>
      </c>
      <c r="F561" s="365">
        <v>45131</v>
      </c>
      <c r="G561" s="365">
        <v>45131</v>
      </c>
      <c r="H561" s="365">
        <v>45131</v>
      </c>
      <c r="I561" s="394">
        <v>45131</v>
      </c>
      <c r="J561" s="387" t="s">
        <v>510</v>
      </c>
      <c r="K561" s="387" t="s">
        <v>484</v>
      </c>
      <c r="L561" s="402">
        <v>8</v>
      </c>
      <c r="M561" s="352" t="s">
        <v>472</v>
      </c>
      <c r="N561" s="403">
        <v>50000</v>
      </c>
      <c r="O561" s="404">
        <v>400000</v>
      </c>
      <c r="P561" s="421">
        <v>9</v>
      </c>
      <c r="Q561" s="275"/>
      <c r="R561" s="437">
        <v>500000</v>
      </c>
      <c r="S561" s="274">
        <f t="shared" si="57"/>
        <v>416000</v>
      </c>
      <c r="T561" s="439" t="s">
        <v>10</v>
      </c>
      <c r="U561" s="460" t="str">
        <f t="shared" si="58"/>
        <v/>
      </c>
      <c r="V561" s="439" t="s">
        <v>11</v>
      </c>
      <c r="W561" s="439" t="s">
        <v>473</v>
      </c>
      <c r="X561" s="439"/>
      <c r="Y561" s="439" t="str">
        <f>J561</f>
        <v>Air Mineral pelaksanaan kegiatan ekstrakurikuler paskibra</v>
      </c>
      <c r="Z561" s="449"/>
      <c r="AA561" s="440" t="s">
        <v>488</v>
      </c>
      <c r="AB561" s="441">
        <f t="shared" si="59"/>
        <v>45045.045045045044</v>
      </c>
      <c r="AC561" s="442">
        <f t="shared" si="60"/>
        <v>360360.36036036036</v>
      </c>
      <c r="AD561" s="437">
        <v>500000</v>
      </c>
      <c r="AE561" s="447">
        <v>450450.45045045041</v>
      </c>
      <c r="AF561" s="447">
        <v>500000</v>
      </c>
      <c r="AG561" s="437">
        <v>500000</v>
      </c>
      <c r="AH561" s="271" t="s">
        <v>2092</v>
      </c>
    </row>
    <row r="562" spans="1:36" ht="15.5">
      <c r="A562" s="350">
        <v>313</v>
      </c>
      <c r="B562" s="352" t="s">
        <v>1287</v>
      </c>
      <c r="C562" s="352" t="s">
        <v>512</v>
      </c>
      <c r="D562" s="355" t="s">
        <v>464</v>
      </c>
      <c r="E562" s="368">
        <v>45130</v>
      </c>
      <c r="F562" s="365">
        <v>45131</v>
      </c>
      <c r="G562" s="365">
        <v>45131</v>
      </c>
      <c r="H562" s="365">
        <v>45131</v>
      </c>
      <c r="I562" s="394">
        <v>45131</v>
      </c>
      <c r="J562" s="387" t="s">
        <v>513</v>
      </c>
      <c r="K562" s="387" t="s">
        <v>484</v>
      </c>
      <c r="L562" s="402">
        <v>3</v>
      </c>
      <c r="M562" s="352" t="s">
        <v>472</v>
      </c>
      <c r="N562" s="403">
        <v>50000</v>
      </c>
      <c r="O562" s="404">
        <v>150000</v>
      </c>
      <c r="P562" s="421">
        <v>8</v>
      </c>
      <c r="Q562" s="426" t="s">
        <v>81</v>
      </c>
      <c r="R562" s="437">
        <v>525000</v>
      </c>
      <c r="S562" s="274">
        <f t="shared" si="57"/>
        <v>156000</v>
      </c>
      <c r="T562" s="439" t="s">
        <v>10</v>
      </c>
      <c r="U562" s="460" t="str">
        <f t="shared" si="58"/>
        <v/>
      </c>
      <c r="V562" s="275" t="s">
        <v>11</v>
      </c>
      <c r="W562" s="439" t="s">
        <v>473</v>
      </c>
      <c r="X562" s="439" t="s">
        <v>468</v>
      </c>
      <c r="Y562" s="439" t="str">
        <f>J562</f>
        <v>Air Mineral peserta kegiatan ekstrakurikuler band musik</v>
      </c>
      <c r="Z562" s="449" t="s">
        <v>8</v>
      </c>
      <c r="AA562" s="440" t="s">
        <v>472</v>
      </c>
      <c r="AB562" s="441">
        <f t="shared" si="59"/>
        <v>45045.045045045044</v>
      </c>
      <c r="AC562" s="442">
        <f t="shared" si="60"/>
        <v>135135.13513513515</v>
      </c>
      <c r="AD562" s="437">
        <v>525000</v>
      </c>
      <c r="AE562" s="447">
        <v>472972.97297297296</v>
      </c>
      <c r="AF562" s="447">
        <v>525000</v>
      </c>
      <c r="AG562" s="437">
        <v>525000</v>
      </c>
      <c r="AH562" s="271" t="s">
        <v>2092</v>
      </c>
    </row>
    <row r="563" spans="1:36">
      <c r="A563" s="350">
        <v>314</v>
      </c>
      <c r="B563" s="352" t="s">
        <v>1387</v>
      </c>
      <c r="C563" s="352" t="s">
        <v>1253</v>
      </c>
      <c r="D563" s="355" t="s">
        <v>571</v>
      </c>
      <c r="E563" s="368">
        <v>45130</v>
      </c>
      <c r="F563" s="362">
        <v>45131</v>
      </c>
      <c r="G563" s="362">
        <v>45131</v>
      </c>
      <c r="H563" s="362">
        <v>45131</v>
      </c>
      <c r="I563" s="394">
        <v>45199</v>
      </c>
      <c r="J563" s="387" t="s">
        <v>9</v>
      </c>
      <c r="K563" s="387" t="s">
        <v>573</v>
      </c>
      <c r="L563" s="402">
        <v>5830</v>
      </c>
      <c r="M563" s="352" t="s">
        <v>574</v>
      </c>
      <c r="N563" s="405">
        <v>300</v>
      </c>
      <c r="O563" s="404">
        <v>1749000</v>
      </c>
      <c r="P563" s="421">
        <v>8</v>
      </c>
      <c r="Q563" s="425" t="s">
        <v>164</v>
      </c>
      <c r="R563" s="437">
        <v>140000</v>
      </c>
      <c r="S563" s="274">
        <f t="shared" si="57"/>
        <v>13409000</v>
      </c>
      <c r="T563" s="439" t="s">
        <v>227</v>
      </c>
      <c r="U563" s="460" t="str">
        <f t="shared" si="58"/>
        <v/>
      </c>
      <c r="V563" s="439" t="s">
        <v>1248</v>
      </c>
      <c r="W563" s="439" t="s">
        <v>540</v>
      </c>
      <c r="X563" s="439" t="s">
        <v>474</v>
      </c>
      <c r="Y563" s="439" t="str">
        <f>J563</f>
        <v>Foto Copy Filio dan Kuarto</v>
      </c>
      <c r="Z563" s="449" t="s">
        <v>1545</v>
      </c>
      <c r="AA563" s="440" t="s">
        <v>488</v>
      </c>
      <c r="AB563" s="441">
        <f t="shared" si="59"/>
        <v>270.27027027027026</v>
      </c>
      <c r="AC563" s="442">
        <f t="shared" si="60"/>
        <v>1575675.6756756755</v>
      </c>
      <c r="AD563" s="437">
        <v>140000</v>
      </c>
      <c r="AE563" s="447">
        <v>5531531.5315315314</v>
      </c>
      <c r="AF563" s="447">
        <v>6140000</v>
      </c>
      <c r="AG563" s="437">
        <v>140000</v>
      </c>
      <c r="AI563" s="277">
        <f>SUM(AC563:AC565)</f>
        <v>2778378.3783783782</v>
      </c>
      <c r="AJ563" s="277">
        <f>SUM(AD563:AD565)</f>
        <v>6140000</v>
      </c>
    </row>
    <row r="564" spans="1:36" ht="25">
      <c r="A564" s="350">
        <v>315</v>
      </c>
      <c r="B564" s="352" t="s">
        <v>1390</v>
      </c>
      <c r="C564" s="352" t="s">
        <v>476</v>
      </c>
      <c r="D564" s="355" t="s">
        <v>464</v>
      </c>
      <c r="E564" s="362">
        <v>45127</v>
      </c>
      <c r="F564" s="362">
        <v>45128</v>
      </c>
      <c r="G564" s="362">
        <v>45128</v>
      </c>
      <c r="H564" s="362">
        <v>45128</v>
      </c>
      <c r="I564" s="394">
        <v>45199</v>
      </c>
      <c r="J564" s="387" t="s">
        <v>1391</v>
      </c>
      <c r="K564" s="352" t="s">
        <v>487</v>
      </c>
      <c r="L564" s="402">
        <v>75</v>
      </c>
      <c r="M564" s="352" t="s">
        <v>231</v>
      </c>
      <c r="N564" s="403">
        <v>15000</v>
      </c>
      <c r="O564" s="404">
        <v>1125000</v>
      </c>
      <c r="P564" s="421">
        <v>8</v>
      </c>
      <c r="Q564" s="427" t="s">
        <v>163</v>
      </c>
      <c r="R564" s="437">
        <v>3000000</v>
      </c>
      <c r="S564" s="274">
        <f t="shared" si="57"/>
        <v>1275000</v>
      </c>
      <c r="T564" s="439" t="s">
        <v>10</v>
      </c>
      <c r="U564" s="460" t="str">
        <f t="shared" si="58"/>
        <v/>
      </c>
      <c r="V564" s="275" t="s">
        <v>11</v>
      </c>
      <c r="W564" s="439" t="s">
        <v>473</v>
      </c>
      <c r="X564" s="439" t="s">
        <v>474</v>
      </c>
      <c r="Y564" s="439" t="str">
        <f>J564</f>
        <v>Snack pada kegiatan penyusunan program kesiswaan semester ganjil TP. 2023/2024</v>
      </c>
      <c r="Z564" s="449" t="s">
        <v>1545</v>
      </c>
      <c r="AA564" s="440" t="s">
        <v>472</v>
      </c>
      <c r="AB564" s="441">
        <f t="shared" si="59"/>
        <v>13513.513513513513</v>
      </c>
      <c r="AC564" s="442">
        <f t="shared" si="60"/>
        <v>1013513.5135135135</v>
      </c>
      <c r="AD564" s="437">
        <v>3000000</v>
      </c>
      <c r="AE564" s="447">
        <v>5531531.5315315314</v>
      </c>
      <c r="AF564" s="447">
        <v>6140000</v>
      </c>
      <c r="AG564" s="437">
        <v>3000000</v>
      </c>
      <c r="AH564" s="271" t="s">
        <v>2092</v>
      </c>
    </row>
    <row r="565" spans="1:36" ht="25">
      <c r="A565" s="350">
        <v>315</v>
      </c>
      <c r="B565" s="352" t="s">
        <v>1390</v>
      </c>
      <c r="C565" s="352" t="s">
        <v>476</v>
      </c>
      <c r="D565" s="355" t="s">
        <v>464</v>
      </c>
      <c r="E565" s="362">
        <v>45127</v>
      </c>
      <c r="F565" s="362">
        <v>45128</v>
      </c>
      <c r="G565" s="362">
        <v>45128</v>
      </c>
      <c r="H565" s="362">
        <v>45128</v>
      </c>
      <c r="I565" s="394">
        <v>45199</v>
      </c>
      <c r="J565" s="387" t="s">
        <v>1392</v>
      </c>
      <c r="K565" s="387" t="s">
        <v>471</v>
      </c>
      <c r="L565" s="402">
        <v>3</v>
      </c>
      <c r="M565" s="352" t="s">
        <v>472</v>
      </c>
      <c r="N565" s="403">
        <v>70000</v>
      </c>
      <c r="O565" s="404">
        <v>210000</v>
      </c>
      <c r="P565" s="421">
        <v>8</v>
      </c>
      <c r="Q565" s="425" t="s">
        <v>165</v>
      </c>
      <c r="R565" s="437">
        <v>3000000</v>
      </c>
      <c r="S565" s="274">
        <f t="shared" si="57"/>
        <v>216000</v>
      </c>
      <c r="T565" s="439" t="s">
        <v>10</v>
      </c>
      <c r="U565" s="460" t="str">
        <f t="shared" si="58"/>
        <v>UD. USAHA JAYA</v>
      </c>
      <c r="V565" s="439" t="s">
        <v>11</v>
      </c>
      <c r="W565" s="439" t="s">
        <v>473</v>
      </c>
      <c r="X565" s="439" t="s">
        <v>490</v>
      </c>
      <c r="Y565" s="439" t="str">
        <f>J565</f>
        <v>Air mineral botol 600ml kegiatan penyusunan program kesiswaan semester ganjil TP. 2023/2024</v>
      </c>
      <c r="Z565" s="449" t="s">
        <v>280</v>
      </c>
      <c r="AA565" s="440" t="s">
        <v>472</v>
      </c>
      <c r="AB565" s="441">
        <f t="shared" si="59"/>
        <v>63063.063063063062</v>
      </c>
      <c r="AC565" s="442">
        <f t="shared" si="60"/>
        <v>189189.18918918917</v>
      </c>
      <c r="AD565" s="437">
        <v>3000000</v>
      </c>
      <c r="AE565" s="447">
        <v>5531531.5315315314</v>
      </c>
      <c r="AF565" s="447">
        <v>6140000</v>
      </c>
      <c r="AG565" s="437">
        <v>3000000</v>
      </c>
      <c r="AH565" s="271" t="s">
        <v>2092</v>
      </c>
    </row>
    <row r="566" spans="1:36" ht="25">
      <c r="A566" s="350">
        <v>316</v>
      </c>
      <c r="B566" s="352" t="s">
        <v>1393</v>
      </c>
      <c r="C566" s="352" t="s">
        <v>621</v>
      </c>
      <c r="D566" s="355" t="s">
        <v>464</v>
      </c>
      <c r="E566" s="362">
        <v>45128</v>
      </c>
      <c r="F566" s="362">
        <v>45129</v>
      </c>
      <c r="G566" s="362">
        <v>45129</v>
      </c>
      <c r="H566" s="362">
        <v>45129</v>
      </c>
      <c r="I566" s="394">
        <v>45199</v>
      </c>
      <c r="J566" s="387" t="s">
        <v>1394</v>
      </c>
      <c r="K566" s="387" t="s">
        <v>471</v>
      </c>
      <c r="L566" s="402">
        <v>2</v>
      </c>
      <c r="M566" s="352" t="s">
        <v>472</v>
      </c>
      <c r="N566" s="403">
        <v>70000</v>
      </c>
      <c r="O566" s="404">
        <v>140000</v>
      </c>
      <c r="P566" s="421">
        <v>8</v>
      </c>
      <c r="Q566" s="427" t="s">
        <v>163</v>
      </c>
      <c r="R566" s="437">
        <v>1000000</v>
      </c>
      <c r="S566" s="274">
        <f t="shared" si="57"/>
        <v>144000</v>
      </c>
      <c r="T566" s="439" t="s">
        <v>10</v>
      </c>
      <c r="U566" s="460" t="str">
        <f t="shared" si="58"/>
        <v>UD. USAHA JAYA</v>
      </c>
      <c r="V566" s="275" t="s">
        <v>11</v>
      </c>
      <c r="W566" s="439" t="s">
        <v>473</v>
      </c>
      <c r="X566" s="439" t="s">
        <v>474</v>
      </c>
      <c r="Y566" s="439" t="str">
        <f t="shared" ref="Y566:Y585" si="61">J566</f>
        <v>Air mineral botol 600 ml  pada kegiatan penyusunan program ekstrakurikuler semester ganjil TP. 2023/2024</v>
      </c>
      <c r="Z566" s="449" t="s">
        <v>1545</v>
      </c>
      <c r="AA566" s="440" t="s">
        <v>472</v>
      </c>
      <c r="AB566" s="441">
        <f t="shared" si="59"/>
        <v>63063.063063063062</v>
      </c>
      <c r="AC566" s="442">
        <f t="shared" si="60"/>
        <v>126126.12612612612</v>
      </c>
      <c r="AD566" s="437">
        <v>2400000</v>
      </c>
      <c r="AE566" s="447">
        <v>2162162.1621621624</v>
      </c>
      <c r="AF566" s="447">
        <v>2400000</v>
      </c>
      <c r="AG566" s="437">
        <v>2400000</v>
      </c>
      <c r="AH566" s="271" t="s">
        <v>2092</v>
      </c>
    </row>
    <row r="567" spans="1:36" ht="25">
      <c r="A567" s="350">
        <v>316</v>
      </c>
      <c r="B567" s="352" t="s">
        <v>1393</v>
      </c>
      <c r="C567" s="352" t="s">
        <v>621</v>
      </c>
      <c r="D567" s="355" t="s">
        <v>464</v>
      </c>
      <c r="E567" s="362">
        <v>45128</v>
      </c>
      <c r="F567" s="362">
        <v>45129</v>
      </c>
      <c r="G567" s="362">
        <v>45129</v>
      </c>
      <c r="H567" s="362">
        <v>45129</v>
      </c>
      <c r="I567" s="394">
        <v>45199</v>
      </c>
      <c r="J567" s="387" t="s">
        <v>1395</v>
      </c>
      <c r="K567" s="352" t="s">
        <v>487</v>
      </c>
      <c r="L567" s="402">
        <v>50</v>
      </c>
      <c r="M567" s="352" t="s">
        <v>231</v>
      </c>
      <c r="N567" s="403">
        <v>15000</v>
      </c>
      <c r="O567" s="404">
        <v>750000</v>
      </c>
      <c r="P567" s="421">
        <v>8</v>
      </c>
      <c r="Q567" s="426" t="s">
        <v>81</v>
      </c>
      <c r="R567" s="437">
        <v>700000</v>
      </c>
      <c r="S567" s="274">
        <f t="shared" si="57"/>
        <v>850000</v>
      </c>
      <c r="T567" s="439" t="s">
        <v>10</v>
      </c>
      <c r="U567" s="460" t="str">
        <f t="shared" si="58"/>
        <v/>
      </c>
      <c r="V567" s="439" t="s">
        <v>11</v>
      </c>
      <c r="W567" s="439" t="s">
        <v>473</v>
      </c>
      <c r="X567" s="439" t="s">
        <v>468</v>
      </c>
      <c r="Y567" s="439" t="str">
        <f t="shared" si="61"/>
        <v>Snack pada kegiatan penyusunan program ekstrakurikuler semester ganjil TP. 2023/2024</v>
      </c>
      <c r="Z567" s="616" t="s">
        <v>8</v>
      </c>
      <c r="AA567" s="607" t="s">
        <v>231</v>
      </c>
      <c r="AB567" s="441">
        <f t="shared" si="59"/>
        <v>13513.513513513513</v>
      </c>
      <c r="AC567" s="442">
        <f t="shared" si="60"/>
        <v>675675.67567567562</v>
      </c>
      <c r="AD567" s="437">
        <v>1050000</v>
      </c>
      <c r="AE567" s="447">
        <v>945945.94594594592</v>
      </c>
      <c r="AF567" s="447">
        <v>1050000</v>
      </c>
      <c r="AG567" s="437">
        <v>1050000</v>
      </c>
      <c r="AH567" s="271" t="s">
        <v>2092</v>
      </c>
    </row>
    <row r="568" spans="1:36" ht="15.5">
      <c r="A568" s="350">
        <v>317</v>
      </c>
      <c r="B568" s="352" t="s">
        <v>1396</v>
      </c>
      <c r="C568" s="352" t="s">
        <v>1154</v>
      </c>
      <c r="D568" s="355" t="s">
        <v>1347</v>
      </c>
      <c r="E568" s="362">
        <v>45136</v>
      </c>
      <c r="F568" s="362">
        <v>45138</v>
      </c>
      <c r="G568" s="362">
        <v>45138</v>
      </c>
      <c r="H568" s="362">
        <v>45138</v>
      </c>
      <c r="I568" s="394">
        <v>45199</v>
      </c>
      <c r="J568" s="387" t="s">
        <v>1397</v>
      </c>
      <c r="K568" s="387" t="s">
        <v>1398</v>
      </c>
      <c r="L568" s="402">
        <v>3</v>
      </c>
      <c r="M568" s="352" t="s">
        <v>269</v>
      </c>
      <c r="N568" s="403">
        <v>800000</v>
      </c>
      <c r="O568" s="404">
        <v>2400000</v>
      </c>
      <c r="P568" s="421">
        <v>8</v>
      </c>
      <c r="Q568" s="426" t="s">
        <v>81</v>
      </c>
      <c r="R568" s="437">
        <v>350000</v>
      </c>
      <c r="S568" s="274">
        <f t="shared" si="57"/>
        <v>2406000</v>
      </c>
      <c r="T568" s="439" t="s">
        <v>12</v>
      </c>
      <c r="U568" s="460" t="str">
        <f t="shared" si="58"/>
        <v/>
      </c>
      <c r="V568" s="439" t="s">
        <v>13</v>
      </c>
      <c r="W568" s="439" t="s">
        <v>804</v>
      </c>
      <c r="X568" s="439" t="s">
        <v>468</v>
      </c>
      <c r="Y568" s="439" t="str">
        <f t="shared" si="61"/>
        <v>Kipas Angin</v>
      </c>
      <c r="Z568" s="449" t="s">
        <v>8</v>
      </c>
      <c r="AA568" s="440" t="s">
        <v>472</v>
      </c>
      <c r="AB568" s="441">
        <f t="shared" si="59"/>
        <v>720720.72072072071</v>
      </c>
      <c r="AC568" s="442">
        <f t="shared" si="60"/>
        <v>2162162.1621621624</v>
      </c>
      <c r="AD568" s="437">
        <v>350000</v>
      </c>
      <c r="AE568" s="447">
        <v>315315.31531531533</v>
      </c>
      <c r="AF568" s="447">
        <v>350000</v>
      </c>
      <c r="AG568" s="437">
        <v>350000</v>
      </c>
      <c r="AH568" s="271" t="s">
        <v>2099</v>
      </c>
    </row>
    <row r="569" spans="1:36">
      <c r="A569" s="350">
        <v>318</v>
      </c>
      <c r="B569" s="352" t="s">
        <v>1291</v>
      </c>
      <c r="C569" s="352" t="s">
        <v>639</v>
      </c>
      <c r="D569" s="355" t="s">
        <v>464</v>
      </c>
      <c r="E569" s="368">
        <v>45132</v>
      </c>
      <c r="F569" s="365">
        <v>45133</v>
      </c>
      <c r="G569" s="365">
        <v>45133</v>
      </c>
      <c r="H569" s="365">
        <v>45133</v>
      </c>
      <c r="I569" s="394">
        <v>45133</v>
      </c>
      <c r="J569" s="387" t="s">
        <v>640</v>
      </c>
      <c r="K569" s="387" t="s">
        <v>641</v>
      </c>
      <c r="L569" s="402">
        <v>72</v>
      </c>
      <c r="M569" s="352" t="s">
        <v>488</v>
      </c>
      <c r="N569" s="403">
        <v>5000</v>
      </c>
      <c r="O569" s="404">
        <v>360000</v>
      </c>
      <c r="P569" s="421">
        <v>8</v>
      </c>
      <c r="Q569" s="427" t="s">
        <v>163</v>
      </c>
      <c r="R569" s="437">
        <v>1000000</v>
      </c>
      <c r="S569" s="274">
        <f t="shared" si="57"/>
        <v>504000</v>
      </c>
      <c r="T569" s="275"/>
      <c r="U569" s="460" t="str">
        <f t="shared" si="58"/>
        <v/>
      </c>
      <c r="V569" s="439"/>
      <c r="W569" s="439"/>
      <c r="X569" s="439" t="s">
        <v>474</v>
      </c>
      <c r="Y569" s="439" t="str">
        <f t="shared" si="61"/>
        <v>Langganan Daya dan Jasa Isi ulang aqua galon</v>
      </c>
      <c r="Z569" s="449" t="s">
        <v>1545</v>
      </c>
      <c r="AA569" s="440" t="s">
        <v>472</v>
      </c>
      <c r="AB569" s="441">
        <f t="shared" si="59"/>
        <v>4504.5045045045044</v>
      </c>
      <c r="AC569" s="442">
        <f t="shared" si="60"/>
        <v>324324.32432432432</v>
      </c>
      <c r="AD569" s="437">
        <v>1200000</v>
      </c>
      <c r="AE569" s="447">
        <v>1081081.0810810812</v>
      </c>
      <c r="AF569" s="447">
        <v>1200000</v>
      </c>
      <c r="AG569" s="437">
        <v>1200000</v>
      </c>
    </row>
    <row r="570" spans="1:36" ht="25">
      <c r="A570" s="350">
        <v>321</v>
      </c>
      <c r="B570" s="352" t="s">
        <v>1294</v>
      </c>
      <c r="C570" s="352" t="s">
        <v>616</v>
      </c>
      <c r="D570" s="355" t="s">
        <v>464</v>
      </c>
      <c r="E570" s="368">
        <v>45133</v>
      </c>
      <c r="F570" s="365">
        <v>45134</v>
      </c>
      <c r="G570" s="365">
        <v>45134</v>
      </c>
      <c r="H570" s="365">
        <v>45134</v>
      </c>
      <c r="I570" s="394">
        <v>45134</v>
      </c>
      <c r="J570" s="387" t="s">
        <v>617</v>
      </c>
      <c r="K570" s="387" t="s">
        <v>467</v>
      </c>
      <c r="L570" s="402">
        <v>12</v>
      </c>
      <c r="M570" s="352" t="s">
        <v>488</v>
      </c>
      <c r="N570" s="403">
        <v>35000</v>
      </c>
      <c r="O570" s="404">
        <v>420000</v>
      </c>
      <c r="P570" s="421">
        <v>8</v>
      </c>
      <c r="Q570" s="426" t="s">
        <v>81</v>
      </c>
      <c r="R570" s="437">
        <v>140000</v>
      </c>
      <c r="S570" s="274">
        <f t="shared" si="57"/>
        <v>444000</v>
      </c>
      <c r="T570" s="439" t="s">
        <v>282</v>
      </c>
      <c r="U570" s="460" t="str">
        <f t="shared" si="58"/>
        <v>Resto JFC Esther</v>
      </c>
      <c r="V570" s="444" t="s">
        <v>1258</v>
      </c>
      <c r="W570" s="444" t="s">
        <v>468</v>
      </c>
      <c r="X570" s="439" t="s">
        <v>468</v>
      </c>
      <c r="Y570" s="439" t="str">
        <f t="shared" si="61"/>
        <v>konsumsi selama proses kegiatan pengayaan dan pendampingan karir calon lulusan tahun 2023</v>
      </c>
      <c r="Z570" s="449" t="s">
        <v>8</v>
      </c>
      <c r="AA570" s="440" t="s">
        <v>472</v>
      </c>
      <c r="AB570" s="441">
        <f t="shared" si="59"/>
        <v>31531.531531531531</v>
      </c>
      <c r="AC570" s="442">
        <f t="shared" si="60"/>
        <v>378378.37837837834</v>
      </c>
      <c r="AD570" s="437">
        <v>140000</v>
      </c>
      <c r="AE570" s="447">
        <v>126126.12612612612</v>
      </c>
      <c r="AF570" s="447">
        <v>140000</v>
      </c>
      <c r="AG570" s="437">
        <v>140000</v>
      </c>
      <c r="AH570" s="271" t="s">
        <v>2091</v>
      </c>
    </row>
    <row r="571" spans="1:36" ht="25">
      <c r="A571" s="350">
        <v>322</v>
      </c>
      <c r="B571" s="352" t="s">
        <v>1295</v>
      </c>
      <c r="C571" s="352" t="s">
        <v>616</v>
      </c>
      <c r="D571" s="355" t="s">
        <v>464</v>
      </c>
      <c r="E571" s="368">
        <v>45133</v>
      </c>
      <c r="F571" s="365">
        <v>45134</v>
      </c>
      <c r="G571" s="365">
        <v>45134</v>
      </c>
      <c r="H571" s="365">
        <v>45134</v>
      </c>
      <c r="I571" s="394">
        <v>45134</v>
      </c>
      <c r="J571" s="387" t="s">
        <v>619</v>
      </c>
      <c r="K571" s="387" t="s">
        <v>484</v>
      </c>
      <c r="L571" s="402">
        <v>1</v>
      </c>
      <c r="M571" s="352" t="s">
        <v>472</v>
      </c>
      <c r="N571" s="403">
        <v>50000</v>
      </c>
      <c r="O571" s="404">
        <v>50000</v>
      </c>
      <c r="P571" s="421">
        <v>8</v>
      </c>
      <c r="Q571" s="494" t="s">
        <v>163</v>
      </c>
      <c r="R571" s="437">
        <v>1000000</v>
      </c>
      <c r="S571" s="274">
        <f t="shared" si="57"/>
        <v>52000</v>
      </c>
      <c r="T571" s="439" t="s">
        <v>10</v>
      </c>
      <c r="U571" s="460" t="str">
        <f t="shared" si="58"/>
        <v/>
      </c>
      <c r="V571" s="439" t="s">
        <v>11</v>
      </c>
      <c r="W571" s="439" t="s">
        <v>473</v>
      </c>
      <c r="X571" s="439" t="s">
        <v>474</v>
      </c>
      <c r="Y571" s="439" t="str">
        <f t="shared" si="61"/>
        <v>Belanja aqua gelas selama proses kegiatan pengayaan dan pendampingan karir calon lulusan tahun 2023</v>
      </c>
      <c r="Z571" s="449" t="s">
        <v>1545</v>
      </c>
      <c r="AA571" s="440" t="s">
        <v>488</v>
      </c>
      <c r="AB571" s="441">
        <f t="shared" si="59"/>
        <v>45045.045045045044</v>
      </c>
      <c r="AC571" s="442">
        <f t="shared" si="60"/>
        <v>45045.045045045044</v>
      </c>
      <c r="AD571" s="437">
        <v>1000000</v>
      </c>
      <c r="AE571" s="447">
        <v>900900.90090090083</v>
      </c>
      <c r="AF571" s="447">
        <v>1000000</v>
      </c>
      <c r="AG571" s="437">
        <v>1000000</v>
      </c>
      <c r="AH571" s="271" t="s">
        <v>2092</v>
      </c>
    </row>
    <row r="572" spans="1:36" ht="25">
      <c r="A572" s="350">
        <v>323</v>
      </c>
      <c r="B572" s="352" t="s">
        <v>1296</v>
      </c>
      <c r="C572" s="352" t="s">
        <v>517</v>
      </c>
      <c r="D572" s="355" t="s">
        <v>464</v>
      </c>
      <c r="E572" s="368">
        <v>45135</v>
      </c>
      <c r="F572" s="365">
        <v>45136</v>
      </c>
      <c r="G572" s="365">
        <v>45136</v>
      </c>
      <c r="H572" s="365">
        <v>45136</v>
      </c>
      <c r="I572" s="394">
        <v>45136</v>
      </c>
      <c r="J572" s="387" t="s">
        <v>518</v>
      </c>
      <c r="K572" s="387" t="s">
        <v>484</v>
      </c>
      <c r="L572" s="402">
        <v>20</v>
      </c>
      <c r="M572" s="352" t="s">
        <v>472</v>
      </c>
      <c r="N572" s="403">
        <v>50000</v>
      </c>
      <c r="O572" s="404">
        <v>1000000</v>
      </c>
      <c r="P572" s="421">
        <v>8</v>
      </c>
      <c r="Q572" s="439"/>
      <c r="R572" s="437">
        <v>600000</v>
      </c>
      <c r="S572" s="274">
        <f t="shared" si="57"/>
        <v>1040000</v>
      </c>
      <c r="T572" s="439" t="s">
        <v>10</v>
      </c>
      <c r="U572" s="460" t="str">
        <f t="shared" si="58"/>
        <v/>
      </c>
      <c r="V572" s="439" t="s">
        <v>11</v>
      </c>
      <c r="W572" s="439" t="s">
        <v>473</v>
      </c>
      <c r="X572" s="439"/>
      <c r="Y572" s="439" t="str">
        <f t="shared" si="61"/>
        <v>Aqua gelas pelaksanaan kegiatan bulanan Gerakan Bersih Lingkungan Sekolah</v>
      </c>
      <c r="Z572" s="449"/>
      <c r="AA572" s="440" t="s">
        <v>608</v>
      </c>
      <c r="AB572" s="441">
        <f t="shared" si="59"/>
        <v>45045.045045045044</v>
      </c>
      <c r="AC572" s="442">
        <f t="shared" si="60"/>
        <v>900900.90090090083</v>
      </c>
      <c r="AD572" s="437">
        <v>600000</v>
      </c>
      <c r="AE572" s="447">
        <v>540540.54054054059</v>
      </c>
      <c r="AF572" s="447">
        <v>600000</v>
      </c>
      <c r="AG572" s="437">
        <v>600000</v>
      </c>
      <c r="AH572" s="271" t="s">
        <v>2092</v>
      </c>
    </row>
    <row r="573" spans="1:36">
      <c r="A573" s="350">
        <v>324</v>
      </c>
      <c r="B573" s="352" t="s">
        <v>1297</v>
      </c>
      <c r="C573" s="352" t="s">
        <v>594</v>
      </c>
      <c r="D573" s="355" t="s">
        <v>464</v>
      </c>
      <c r="E573" s="368">
        <v>45136</v>
      </c>
      <c r="F573" s="365">
        <v>45137</v>
      </c>
      <c r="G573" s="365">
        <v>45137</v>
      </c>
      <c r="H573" s="365">
        <v>45137</v>
      </c>
      <c r="I573" s="394">
        <v>45137</v>
      </c>
      <c r="J573" s="387" t="s">
        <v>596</v>
      </c>
      <c r="K573" s="387" t="s">
        <v>467</v>
      </c>
      <c r="L573" s="402">
        <v>70</v>
      </c>
      <c r="M573" s="352" t="s">
        <v>597</v>
      </c>
      <c r="N573" s="403">
        <v>35000</v>
      </c>
      <c r="O573" s="404">
        <v>2450000</v>
      </c>
      <c r="P573" s="421">
        <v>8</v>
      </c>
      <c r="Q573" s="275"/>
      <c r="R573" s="437">
        <v>3000000</v>
      </c>
      <c r="S573" s="274">
        <f t="shared" si="57"/>
        <v>2590000</v>
      </c>
      <c r="T573" s="444" t="s">
        <v>282</v>
      </c>
      <c r="U573" s="460" t="str">
        <f t="shared" si="58"/>
        <v>Resto JFC Esther</v>
      </c>
      <c r="V573" s="444" t="s">
        <v>1258</v>
      </c>
      <c r="W573" s="444" t="s">
        <v>468</v>
      </c>
      <c r="X573" s="439"/>
      <c r="Y573" s="439" t="str">
        <f t="shared" si="61"/>
        <v>Konsumsi rapat rutin sekolah</v>
      </c>
      <c r="Z573" s="449"/>
      <c r="AA573" s="440" t="s">
        <v>231</v>
      </c>
      <c r="AB573" s="441">
        <f t="shared" si="59"/>
        <v>31531.531531531531</v>
      </c>
      <c r="AC573" s="442">
        <f t="shared" si="60"/>
        <v>2207207.2072072071</v>
      </c>
      <c r="AD573" s="437">
        <v>3000000</v>
      </c>
      <c r="AE573" s="447">
        <v>2702702.702702703</v>
      </c>
      <c r="AF573" s="447">
        <v>3000000</v>
      </c>
      <c r="AG573" s="437">
        <v>3000000</v>
      </c>
      <c r="AH573" s="271" t="s">
        <v>2091</v>
      </c>
    </row>
    <row r="574" spans="1:36" ht="15.5">
      <c r="A574" s="350">
        <v>325</v>
      </c>
      <c r="B574" s="352" t="s">
        <v>1298</v>
      </c>
      <c r="C574" s="352" t="s">
        <v>594</v>
      </c>
      <c r="D574" s="355" t="s">
        <v>464</v>
      </c>
      <c r="E574" s="368">
        <v>45136</v>
      </c>
      <c r="F574" s="365">
        <v>45137</v>
      </c>
      <c r="G574" s="365">
        <v>45137</v>
      </c>
      <c r="H574" s="365">
        <v>45137</v>
      </c>
      <c r="I574" s="394">
        <v>45137</v>
      </c>
      <c r="J574" s="387" t="s">
        <v>599</v>
      </c>
      <c r="K574" s="387" t="s">
        <v>471</v>
      </c>
      <c r="L574" s="402">
        <v>8</v>
      </c>
      <c r="M574" s="352" t="s">
        <v>472</v>
      </c>
      <c r="N574" s="403">
        <v>70000</v>
      </c>
      <c r="O574" s="404">
        <v>560000</v>
      </c>
      <c r="P574" s="421">
        <v>8</v>
      </c>
      <c r="Q574" s="426" t="s">
        <v>81</v>
      </c>
      <c r="R574" s="437">
        <v>1050000</v>
      </c>
      <c r="S574" s="274">
        <f t="shared" si="57"/>
        <v>576000</v>
      </c>
      <c r="T574" s="439" t="s">
        <v>10</v>
      </c>
      <c r="U574" s="460" t="str">
        <f t="shared" si="58"/>
        <v>UD. USAHA JAYA</v>
      </c>
      <c r="V574" s="439" t="s">
        <v>11</v>
      </c>
      <c r="W574" s="439" t="s">
        <v>473</v>
      </c>
      <c r="X574" s="439" t="s">
        <v>468</v>
      </c>
      <c r="Y574" s="439" t="str">
        <f t="shared" si="61"/>
        <v>Air mineral botol 600 ml rapat rutin sekolah</v>
      </c>
      <c r="Z574" s="449" t="s">
        <v>8</v>
      </c>
      <c r="AA574" s="440" t="s">
        <v>472</v>
      </c>
      <c r="AB574" s="441">
        <f t="shared" si="59"/>
        <v>63063.063063063062</v>
      </c>
      <c r="AC574" s="442">
        <f t="shared" si="60"/>
        <v>504504.5045045045</v>
      </c>
      <c r="AD574" s="437">
        <v>1050000</v>
      </c>
      <c r="AE574" s="447">
        <v>945945.94594594592</v>
      </c>
      <c r="AF574" s="447">
        <v>1050000</v>
      </c>
      <c r="AG574" s="437">
        <v>1050000</v>
      </c>
      <c r="AH574" s="271" t="s">
        <v>2092</v>
      </c>
    </row>
    <row r="575" spans="1:36">
      <c r="A575" s="350">
        <v>325</v>
      </c>
      <c r="B575" s="352" t="s">
        <v>1298</v>
      </c>
      <c r="C575" s="352" t="s">
        <v>594</v>
      </c>
      <c r="D575" s="355" t="s">
        <v>464</v>
      </c>
      <c r="E575" s="368">
        <v>45136</v>
      </c>
      <c r="F575" s="365">
        <v>45137</v>
      </c>
      <c r="G575" s="365">
        <v>45137</v>
      </c>
      <c r="H575" s="365">
        <v>45137</v>
      </c>
      <c r="I575" s="394">
        <v>45137</v>
      </c>
      <c r="J575" s="387" t="s">
        <v>601</v>
      </c>
      <c r="K575" s="352" t="s">
        <v>487</v>
      </c>
      <c r="L575" s="402">
        <v>140</v>
      </c>
      <c r="M575" s="352" t="s">
        <v>488</v>
      </c>
      <c r="N575" s="403">
        <v>8000</v>
      </c>
      <c r="O575" s="404">
        <v>1120000</v>
      </c>
      <c r="P575" s="421">
        <v>8</v>
      </c>
      <c r="Q575" s="425" t="s">
        <v>164</v>
      </c>
      <c r="R575" s="437">
        <v>140000</v>
      </c>
      <c r="S575" s="274">
        <f t="shared" si="57"/>
        <v>1400000</v>
      </c>
      <c r="T575" s="439" t="s">
        <v>10</v>
      </c>
      <c r="U575" s="460" t="str">
        <f t="shared" si="58"/>
        <v/>
      </c>
      <c r="V575" s="439" t="s">
        <v>11</v>
      </c>
      <c r="W575" s="439" t="s">
        <v>473</v>
      </c>
      <c r="X575" s="439" t="s">
        <v>474</v>
      </c>
      <c r="Y575" s="439" t="str">
        <f t="shared" si="61"/>
        <v>Snack rapat rutin sekolah</v>
      </c>
      <c r="Z575" s="449" t="s">
        <v>1545</v>
      </c>
      <c r="AA575" s="440" t="s">
        <v>488</v>
      </c>
      <c r="AB575" s="441">
        <f t="shared" si="59"/>
        <v>7207.2072072072069</v>
      </c>
      <c r="AC575" s="442">
        <f t="shared" si="60"/>
        <v>1009009.009009009</v>
      </c>
      <c r="AD575" s="437">
        <v>140000</v>
      </c>
      <c r="AE575" s="447">
        <v>342342.34234234237</v>
      </c>
      <c r="AF575" s="447">
        <v>380000</v>
      </c>
      <c r="AG575" s="437">
        <v>140000</v>
      </c>
      <c r="AH575" s="271" t="s">
        <v>2092</v>
      </c>
      <c r="AI575" s="277">
        <f>SUM(AC575:AC576)</f>
        <v>2540540.5405405406</v>
      </c>
      <c r="AJ575" s="277">
        <f>SUM(AD575:AD576)</f>
        <v>380000</v>
      </c>
    </row>
    <row r="576" spans="1:36">
      <c r="A576" s="350">
        <v>327</v>
      </c>
      <c r="B576" s="352" t="s">
        <v>1300</v>
      </c>
      <c r="C576" s="352" t="s">
        <v>1274</v>
      </c>
      <c r="D576" s="355" t="s">
        <v>1301</v>
      </c>
      <c r="E576" s="368">
        <v>45137</v>
      </c>
      <c r="F576" s="365">
        <v>45138</v>
      </c>
      <c r="G576" s="365">
        <v>45138</v>
      </c>
      <c r="H576" s="365">
        <v>45138</v>
      </c>
      <c r="I576" s="394">
        <v>45138</v>
      </c>
      <c r="J576" s="387" t="s">
        <v>1302</v>
      </c>
      <c r="K576" s="387" t="s">
        <v>1303</v>
      </c>
      <c r="L576" s="402">
        <v>2</v>
      </c>
      <c r="M576" s="352" t="s">
        <v>792</v>
      </c>
      <c r="N576" s="403">
        <v>850000</v>
      </c>
      <c r="O576" s="404">
        <v>1700000</v>
      </c>
      <c r="P576" s="421">
        <v>8</v>
      </c>
      <c r="Q576" s="425" t="s">
        <v>165</v>
      </c>
      <c r="R576" s="437">
        <v>240000</v>
      </c>
      <c r="S576" s="274">
        <f t="shared" si="57"/>
        <v>1704000</v>
      </c>
      <c r="T576" s="439" t="s">
        <v>12</v>
      </c>
      <c r="U576" s="460" t="str">
        <f t="shared" si="58"/>
        <v/>
      </c>
      <c r="V576" s="439" t="s">
        <v>13</v>
      </c>
      <c r="W576" s="439" t="s">
        <v>804</v>
      </c>
      <c r="X576" s="439" t="s">
        <v>490</v>
      </c>
      <c r="Y576" s="439" t="str">
        <f t="shared" si="61"/>
        <v>Model-model Organ Tubuh Manusia</v>
      </c>
      <c r="Z576" s="449" t="s">
        <v>280</v>
      </c>
      <c r="AA576" s="440" t="s">
        <v>587</v>
      </c>
      <c r="AB576" s="441">
        <f t="shared" si="59"/>
        <v>765765.7657657658</v>
      </c>
      <c r="AC576" s="442">
        <f t="shared" si="60"/>
        <v>1531531.5315315316</v>
      </c>
      <c r="AD576" s="437">
        <v>240000</v>
      </c>
      <c r="AE576" s="447">
        <v>342342.34234234237</v>
      </c>
      <c r="AF576" s="447">
        <v>380000</v>
      </c>
      <c r="AG576" s="437">
        <v>240000</v>
      </c>
      <c r="AH576" s="271" t="s">
        <v>2099</v>
      </c>
    </row>
    <row r="577" spans="1:36">
      <c r="A577" s="350">
        <v>328</v>
      </c>
      <c r="B577" s="352" t="s">
        <v>1308</v>
      </c>
      <c r="C577" s="354" t="s">
        <v>481</v>
      </c>
      <c r="D577" s="355" t="s">
        <v>464</v>
      </c>
      <c r="E577" s="368">
        <v>45165</v>
      </c>
      <c r="F577" s="366">
        <v>45166</v>
      </c>
      <c r="G577" s="366">
        <v>45166</v>
      </c>
      <c r="H577" s="366">
        <v>45166</v>
      </c>
      <c r="I577" s="395">
        <v>45166</v>
      </c>
      <c r="J577" s="354" t="s">
        <v>486</v>
      </c>
      <c r="K577" s="352" t="s">
        <v>487</v>
      </c>
      <c r="L577" s="402">
        <v>750</v>
      </c>
      <c r="M577" s="352" t="s">
        <v>488</v>
      </c>
      <c r="N577" s="403">
        <v>8000</v>
      </c>
      <c r="O577" s="404">
        <v>6000000</v>
      </c>
      <c r="P577" s="421">
        <v>9</v>
      </c>
      <c r="Q577" s="428" t="s">
        <v>575</v>
      </c>
      <c r="R577" s="437">
        <v>7974000</v>
      </c>
      <c r="S577" s="274">
        <f t="shared" si="57"/>
        <v>7500000</v>
      </c>
      <c r="T577" s="439" t="s">
        <v>10</v>
      </c>
      <c r="U577" s="460" t="str">
        <f t="shared" si="58"/>
        <v/>
      </c>
      <c r="V577" s="439" t="s">
        <v>11</v>
      </c>
      <c r="W577" s="439" t="s">
        <v>473</v>
      </c>
      <c r="X577" s="445" t="s">
        <v>541</v>
      </c>
      <c r="Y577" s="439" t="str">
        <f t="shared" si="61"/>
        <v>Snack Kegiatan rubrik/Ibadah Bulanan</v>
      </c>
      <c r="Z577" s="449" t="str">
        <f>K577</f>
        <v xml:space="preserve">Kue </v>
      </c>
      <c r="AA577" s="440" t="s">
        <v>574</v>
      </c>
      <c r="AB577" s="441">
        <f t="shared" si="59"/>
        <v>7207.2072072072069</v>
      </c>
      <c r="AC577" s="442">
        <f t="shared" si="60"/>
        <v>5405405.405405405</v>
      </c>
      <c r="AD577" s="437">
        <v>7974000</v>
      </c>
      <c r="AE577" s="447">
        <v>7183783.7837837832</v>
      </c>
      <c r="AF577" s="447">
        <v>7974000</v>
      </c>
      <c r="AG577" s="437">
        <v>7974000</v>
      </c>
      <c r="AH577" s="271" t="s">
        <v>2092</v>
      </c>
    </row>
    <row r="578" spans="1:36" ht="25">
      <c r="A578" s="350">
        <v>328</v>
      </c>
      <c r="B578" s="352" t="s">
        <v>1308</v>
      </c>
      <c r="C578" s="354" t="s">
        <v>481</v>
      </c>
      <c r="D578" s="355" t="s">
        <v>464</v>
      </c>
      <c r="E578" s="368">
        <v>45165</v>
      </c>
      <c r="F578" s="366">
        <v>45166</v>
      </c>
      <c r="G578" s="366">
        <v>45166</v>
      </c>
      <c r="H578" s="366">
        <v>45166</v>
      </c>
      <c r="I578" s="395">
        <v>45166</v>
      </c>
      <c r="J578" s="354" t="s">
        <v>483</v>
      </c>
      <c r="K578" s="387" t="s">
        <v>484</v>
      </c>
      <c r="L578" s="402">
        <v>20</v>
      </c>
      <c r="M578" s="352" t="s">
        <v>472</v>
      </c>
      <c r="N578" s="403">
        <v>50000</v>
      </c>
      <c r="O578" s="404">
        <v>1000000</v>
      </c>
      <c r="P578" s="421">
        <v>8</v>
      </c>
      <c r="Q578" s="426" t="s">
        <v>81</v>
      </c>
      <c r="R578" s="437">
        <v>2450000</v>
      </c>
      <c r="S578" s="274">
        <f t="shared" si="57"/>
        <v>1040000</v>
      </c>
      <c r="T578" s="439" t="s">
        <v>10</v>
      </c>
      <c r="U578" s="460" t="str">
        <f t="shared" si="58"/>
        <v/>
      </c>
      <c r="V578" s="439" t="s">
        <v>11</v>
      </c>
      <c r="W578" s="439" t="s">
        <v>473</v>
      </c>
      <c r="X578" s="439" t="s">
        <v>468</v>
      </c>
      <c r="Y578" s="439" t="str">
        <f t="shared" si="61"/>
        <v>Air Mineral wadah gelaspada kegiatan rubrik/ibadah bulanan</v>
      </c>
      <c r="Z578" s="449" t="s">
        <v>8</v>
      </c>
      <c r="AA578" s="440" t="s">
        <v>472</v>
      </c>
      <c r="AB578" s="441">
        <f t="shared" si="59"/>
        <v>45045.045045045044</v>
      </c>
      <c r="AC578" s="442">
        <f t="shared" si="60"/>
        <v>900900.90090090083</v>
      </c>
      <c r="AD578" s="437">
        <v>2450000</v>
      </c>
      <c r="AE578" s="447">
        <v>2207207.2072072071</v>
      </c>
      <c r="AF578" s="447">
        <v>2450000</v>
      </c>
      <c r="AG578" s="437">
        <v>2450000</v>
      </c>
      <c r="AH578" s="271" t="s">
        <v>2092</v>
      </c>
    </row>
    <row r="579" spans="1:36">
      <c r="A579" s="350">
        <v>329</v>
      </c>
      <c r="B579" s="352" t="s">
        <v>1314</v>
      </c>
      <c r="C579" s="352" t="s">
        <v>704</v>
      </c>
      <c r="D579" s="355" t="s">
        <v>705</v>
      </c>
      <c r="E579" s="367">
        <v>45139</v>
      </c>
      <c r="F579" s="367">
        <v>45139</v>
      </c>
      <c r="G579" s="367">
        <v>45139</v>
      </c>
      <c r="H579" s="367">
        <v>45139</v>
      </c>
      <c r="I579" s="394">
        <v>45166</v>
      </c>
      <c r="J579" s="387" t="s">
        <v>711</v>
      </c>
      <c r="K579" s="387" t="s">
        <v>738</v>
      </c>
      <c r="L579" s="402">
        <v>1</v>
      </c>
      <c r="M579" s="352" t="s">
        <v>488</v>
      </c>
      <c r="N579" s="403">
        <v>20000</v>
      </c>
      <c r="O579" s="404">
        <v>20000</v>
      </c>
      <c r="P579" s="421">
        <v>8</v>
      </c>
      <c r="Q579" s="425" t="s">
        <v>164</v>
      </c>
      <c r="R579" s="437">
        <v>560000</v>
      </c>
      <c r="S579" s="274">
        <f t="shared" ref="S579:S642" si="62">L579*(N579+2000)</f>
        <v>22000</v>
      </c>
      <c r="T579" s="439" t="s">
        <v>227</v>
      </c>
      <c r="U579" s="460" t="str">
        <f t="shared" ref="U579:U642" si="63">IF(K579="Nasi Kotak","Resto JFC Esther",IF(K579="Aqua Botol 600 ml","UD. USAHA JAYA",""))</f>
        <v/>
      </c>
      <c r="V579" s="439" t="s">
        <v>1248</v>
      </c>
      <c r="W579" s="439" t="s">
        <v>540</v>
      </c>
      <c r="X579" s="439" t="s">
        <v>474</v>
      </c>
      <c r="Y579" s="439" t="str">
        <f t="shared" si="61"/>
        <v>Lakban Kain Warna Hitam</v>
      </c>
      <c r="Z579" s="449" t="s">
        <v>1545</v>
      </c>
      <c r="AA579" s="440" t="s">
        <v>488</v>
      </c>
      <c r="AB579" s="441">
        <f t="shared" ref="AB579:AB642" si="64">100/111*N579</f>
        <v>18018.018018018018</v>
      </c>
      <c r="AC579" s="442">
        <f t="shared" ref="AC579:AC642" si="65">AB579*L579</f>
        <v>18018.018018018018</v>
      </c>
      <c r="AD579" s="437">
        <v>560000</v>
      </c>
      <c r="AE579" s="447">
        <v>3089189.1891891891</v>
      </c>
      <c r="AF579" s="447">
        <v>3429000</v>
      </c>
      <c r="AG579" s="437">
        <v>560000</v>
      </c>
      <c r="AH579" s="271" t="s">
        <v>2101</v>
      </c>
      <c r="AI579" s="277">
        <f>SUM(AC579:AC581)</f>
        <v>405405.40540540544</v>
      </c>
      <c r="AJ579" s="277">
        <f>SUM(AD579:AD581)</f>
        <v>3429000</v>
      </c>
    </row>
    <row r="580" spans="1:36" ht="25">
      <c r="A580" s="350">
        <v>329</v>
      </c>
      <c r="B580" s="352" t="s">
        <v>1314</v>
      </c>
      <c r="C580" s="352" t="s">
        <v>704</v>
      </c>
      <c r="D580" s="355" t="s">
        <v>705</v>
      </c>
      <c r="E580" s="367">
        <v>45139</v>
      </c>
      <c r="F580" s="367">
        <v>45139</v>
      </c>
      <c r="G580" s="367">
        <v>45139</v>
      </c>
      <c r="H580" s="367">
        <v>45139</v>
      </c>
      <c r="I580" s="394">
        <v>45166</v>
      </c>
      <c r="J580" s="387" t="s">
        <v>781</v>
      </c>
      <c r="K580" s="387" t="s">
        <v>781</v>
      </c>
      <c r="L580" s="402">
        <v>2</v>
      </c>
      <c r="M580" s="352" t="s">
        <v>551</v>
      </c>
      <c r="N580" s="403">
        <v>95000</v>
      </c>
      <c r="O580" s="404">
        <v>190000</v>
      </c>
      <c r="P580" s="421">
        <v>8</v>
      </c>
      <c r="Q580" s="491" t="s">
        <v>165</v>
      </c>
      <c r="R580" s="437">
        <v>1120000</v>
      </c>
      <c r="S580" s="274">
        <f t="shared" si="62"/>
        <v>194000</v>
      </c>
      <c r="T580" s="439" t="s">
        <v>227</v>
      </c>
      <c r="U580" s="460" t="str">
        <f t="shared" si="63"/>
        <v/>
      </c>
      <c r="V580" s="439" t="s">
        <v>1248</v>
      </c>
      <c r="W580" s="439" t="s">
        <v>540</v>
      </c>
      <c r="X580" s="439" t="s">
        <v>490</v>
      </c>
      <c r="Y580" s="439" t="str">
        <f t="shared" si="61"/>
        <v>C. Tinta Printer EPSON Tinta Printer Epson Black</v>
      </c>
      <c r="Z580" s="449" t="s">
        <v>280</v>
      </c>
      <c r="AA580" s="440" t="s">
        <v>488</v>
      </c>
      <c r="AB580" s="441">
        <f t="shared" si="64"/>
        <v>85585.585585585592</v>
      </c>
      <c r="AC580" s="442">
        <f t="shared" si="65"/>
        <v>171171.17117117118</v>
      </c>
      <c r="AD580" s="437">
        <v>1120000</v>
      </c>
      <c r="AE580" s="447">
        <v>3089189.1891891891</v>
      </c>
      <c r="AF580" s="447">
        <v>3429000</v>
      </c>
      <c r="AG580" s="437">
        <v>1120000</v>
      </c>
      <c r="AH580" s="271" t="s">
        <v>2101</v>
      </c>
    </row>
    <row r="581" spans="1:36" ht="25">
      <c r="A581" s="350">
        <v>329</v>
      </c>
      <c r="B581" s="352" t="s">
        <v>1314</v>
      </c>
      <c r="C581" s="352" t="s">
        <v>704</v>
      </c>
      <c r="D581" s="355" t="s">
        <v>705</v>
      </c>
      <c r="E581" s="367">
        <v>45139</v>
      </c>
      <c r="F581" s="367">
        <v>45139</v>
      </c>
      <c r="G581" s="367">
        <v>45139</v>
      </c>
      <c r="H581" s="367">
        <v>45139</v>
      </c>
      <c r="I581" s="394">
        <v>45166</v>
      </c>
      <c r="J581" s="387" t="s">
        <v>261</v>
      </c>
      <c r="K581" s="387" t="s">
        <v>261</v>
      </c>
      <c r="L581" s="402">
        <v>12</v>
      </c>
      <c r="M581" s="352" t="s">
        <v>667</v>
      </c>
      <c r="N581" s="403">
        <v>20000</v>
      </c>
      <c r="O581" s="404">
        <v>240000</v>
      </c>
      <c r="P581" s="421">
        <v>9</v>
      </c>
      <c r="Q581" s="428" t="s">
        <v>575</v>
      </c>
      <c r="R581" s="437">
        <v>1749000</v>
      </c>
      <c r="S581" s="274">
        <f t="shared" si="62"/>
        <v>264000</v>
      </c>
      <c r="T581" s="439" t="s">
        <v>227</v>
      </c>
      <c r="U581" s="460" t="str">
        <f t="shared" si="63"/>
        <v/>
      </c>
      <c r="V581" s="439" t="s">
        <v>1248</v>
      </c>
      <c r="W581" s="439" t="s">
        <v>540</v>
      </c>
      <c r="X581" s="445" t="s">
        <v>541</v>
      </c>
      <c r="Y581" s="439" t="str">
        <f t="shared" si="61"/>
        <v>Spidol Refil Spidol White Board Snowman</v>
      </c>
      <c r="Z581" s="449" t="str">
        <f>K581</f>
        <v>Spidol Refil Spidol White Board Snowman</v>
      </c>
      <c r="AA581" s="440" t="s">
        <v>231</v>
      </c>
      <c r="AB581" s="441">
        <f t="shared" si="64"/>
        <v>18018.018018018018</v>
      </c>
      <c r="AC581" s="442">
        <f t="shared" si="65"/>
        <v>216216.21621621621</v>
      </c>
      <c r="AD581" s="437">
        <v>1749000</v>
      </c>
      <c r="AE581" s="447">
        <v>3089189.1891891891</v>
      </c>
      <c r="AF581" s="447">
        <v>3429000</v>
      </c>
      <c r="AG581" s="437">
        <v>1749000</v>
      </c>
      <c r="AH581" s="271" t="s">
        <v>2101</v>
      </c>
    </row>
    <row r="582" spans="1:36">
      <c r="A582" s="350">
        <v>329</v>
      </c>
      <c r="B582" s="352" t="s">
        <v>1314</v>
      </c>
      <c r="C582" s="352" t="s">
        <v>704</v>
      </c>
      <c r="D582" s="355" t="s">
        <v>705</v>
      </c>
      <c r="E582" s="367">
        <v>45139</v>
      </c>
      <c r="F582" s="367">
        <v>45139</v>
      </c>
      <c r="G582" s="367">
        <v>45139</v>
      </c>
      <c r="H582" s="367">
        <v>45139</v>
      </c>
      <c r="I582" s="394">
        <v>45166</v>
      </c>
      <c r="J582" s="387" t="s">
        <v>253</v>
      </c>
      <c r="K582" s="387" t="s">
        <v>719</v>
      </c>
      <c r="L582" s="402">
        <v>1</v>
      </c>
      <c r="M582" s="352" t="s">
        <v>720</v>
      </c>
      <c r="N582" s="403">
        <v>20000</v>
      </c>
      <c r="O582" s="404">
        <v>20000</v>
      </c>
      <c r="P582" s="421">
        <v>8</v>
      </c>
      <c r="Q582" s="425" t="s">
        <v>165</v>
      </c>
      <c r="R582" s="437">
        <v>560000</v>
      </c>
      <c r="S582" s="274">
        <f t="shared" si="62"/>
        <v>22000</v>
      </c>
      <c r="T582" s="439" t="s">
        <v>227</v>
      </c>
      <c r="U582" s="460" t="str">
        <f t="shared" si="63"/>
        <v/>
      </c>
      <c r="V582" s="439" t="s">
        <v>1248</v>
      </c>
      <c r="W582" s="439" t="s">
        <v>540</v>
      </c>
      <c r="X582" s="439" t="s">
        <v>490</v>
      </c>
      <c r="Y582" s="439" t="str">
        <f t="shared" si="61"/>
        <v>Lakban warna Uk 2" Warna Coklat Cofiie</v>
      </c>
      <c r="Z582" s="449" t="s">
        <v>280</v>
      </c>
      <c r="AA582" s="440" t="s">
        <v>472</v>
      </c>
      <c r="AB582" s="441">
        <f t="shared" si="64"/>
        <v>18018.018018018018</v>
      </c>
      <c r="AC582" s="442">
        <f t="shared" si="65"/>
        <v>18018.018018018018</v>
      </c>
      <c r="AD582" s="437">
        <v>560000</v>
      </c>
      <c r="AE582" s="447">
        <v>702702.70270270272</v>
      </c>
      <c r="AF582" s="447">
        <v>780000</v>
      </c>
      <c r="AG582" s="437">
        <v>560000</v>
      </c>
      <c r="AH582" s="271" t="s">
        <v>2101</v>
      </c>
      <c r="AI582" s="277">
        <f>SUM(AC582:AC584)</f>
        <v>288288.28828828828</v>
      </c>
      <c r="AJ582" s="277">
        <f>SUM(AD582:AD584)</f>
        <v>780000</v>
      </c>
    </row>
    <row r="583" spans="1:36" ht="25">
      <c r="A583" s="350">
        <v>329</v>
      </c>
      <c r="B583" s="352" t="s">
        <v>1314</v>
      </c>
      <c r="C583" s="352" t="s">
        <v>704</v>
      </c>
      <c r="D583" s="355" t="s">
        <v>705</v>
      </c>
      <c r="E583" s="367">
        <v>45139</v>
      </c>
      <c r="F583" s="367">
        <v>45139</v>
      </c>
      <c r="G583" s="367">
        <v>45139</v>
      </c>
      <c r="H583" s="367">
        <v>45139</v>
      </c>
      <c r="I583" s="394">
        <v>45166</v>
      </c>
      <c r="J583" s="387" t="s">
        <v>230</v>
      </c>
      <c r="K583" s="387" t="s">
        <v>230</v>
      </c>
      <c r="L583" s="402">
        <v>1</v>
      </c>
      <c r="M583" s="352" t="s">
        <v>728</v>
      </c>
      <c r="N583" s="403">
        <v>40000</v>
      </c>
      <c r="O583" s="404">
        <v>40000</v>
      </c>
      <c r="P583" s="421">
        <v>8</v>
      </c>
      <c r="Q583" s="427" t="s">
        <v>163</v>
      </c>
      <c r="R583" s="437">
        <v>150000</v>
      </c>
      <c r="S583" s="274">
        <f t="shared" si="62"/>
        <v>42000</v>
      </c>
      <c r="T583" s="439" t="s">
        <v>227</v>
      </c>
      <c r="U583" s="460" t="str">
        <f t="shared" si="63"/>
        <v/>
      </c>
      <c r="V583" s="439" t="s">
        <v>1248</v>
      </c>
      <c r="W583" s="439" t="s">
        <v>540</v>
      </c>
      <c r="X583" s="439" t="s">
        <v>474</v>
      </c>
      <c r="Y583" s="439" t="str">
        <f t="shared" si="61"/>
        <v>Amplop Coklat Merk : GSU Ukuran : 1/2 folio, bergaris</v>
      </c>
      <c r="Z583" s="449" t="s">
        <v>1545</v>
      </c>
      <c r="AA583" s="440" t="s">
        <v>472</v>
      </c>
      <c r="AB583" s="441">
        <f t="shared" si="64"/>
        <v>36036.036036036036</v>
      </c>
      <c r="AC583" s="442">
        <f t="shared" si="65"/>
        <v>36036.036036036036</v>
      </c>
      <c r="AD583" s="437">
        <v>150000</v>
      </c>
      <c r="AE583" s="447">
        <v>702702.70270270272</v>
      </c>
      <c r="AF583" s="447">
        <v>780000</v>
      </c>
      <c r="AG583" s="437">
        <v>150000</v>
      </c>
      <c r="AH583" s="271" t="s">
        <v>2101</v>
      </c>
    </row>
    <row r="584" spans="1:36">
      <c r="A584" s="350">
        <v>329</v>
      </c>
      <c r="B584" s="352" t="s">
        <v>1314</v>
      </c>
      <c r="C584" s="352" t="s">
        <v>704</v>
      </c>
      <c r="D584" s="355" t="s">
        <v>705</v>
      </c>
      <c r="E584" s="367">
        <v>45139</v>
      </c>
      <c r="F584" s="367">
        <v>45139</v>
      </c>
      <c r="G584" s="367">
        <v>45139</v>
      </c>
      <c r="H584" s="367">
        <v>45139</v>
      </c>
      <c r="I584" s="394">
        <v>45166</v>
      </c>
      <c r="J584" s="387" t="s">
        <v>236</v>
      </c>
      <c r="K584" s="389" t="s">
        <v>771</v>
      </c>
      <c r="L584" s="402">
        <v>4</v>
      </c>
      <c r="M584" s="352" t="s">
        <v>772</v>
      </c>
      <c r="N584" s="403">
        <v>65000</v>
      </c>
      <c r="O584" s="404">
        <v>260000</v>
      </c>
      <c r="P584" s="421">
        <v>8</v>
      </c>
      <c r="Q584" s="425" t="s">
        <v>164</v>
      </c>
      <c r="R584" s="437">
        <v>70000</v>
      </c>
      <c r="S584" s="274">
        <f t="shared" si="62"/>
        <v>268000</v>
      </c>
      <c r="T584" s="439" t="s">
        <v>227</v>
      </c>
      <c r="U584" s="460" t="str">
        <f t="shared" si="63"/>
        <v/>
      </c>
      <c r="V584" s="439" t="s">
        <v>1248</v>
      </c>
      <c r="W584" s="439" t="s">
        <v>540</v>
      </c>
      <c r="X584" s="439" t="s">
        <v>474</v>
      </c>
      <c r="Y584" s="439" t="str">
        <f t="shared" si="61"/>
        <v>Baterey Kecil</v>
      </c>
      <c r="Z584" s="449" t="s">
        <v>1545</v>
      </c>
      <c r="AA584" s="440" t="s">
        <v>587</v>
      </c>
      <c r="AB584" s="441">
        <f t="shared" si="64"/>
        <v>58558.558558558558</v>
      </c>
      <c r="AC584" s="442">
        <f t="shared" si="65"/>
        <v>234234.23423423423</v>
      </c>
      <c r="AD584" s="437">
        <v>70000</v>
      </c>
      <c r="AE584" s="447">
        <v>702702.70270270272</v>
      </c>
      <c r="AF584" s="447">
        <v>780000</v>
      </c>
      <c r="AG584" s="437">
        <v>70000</v>
      </c>
      <c r="AH584" s="271" t="s">
        <v>2101</v>
      </c>
    </row>
    <row r="585" spans="1:36">
      <c r="A585" s="350">
        <v>329</v>
      </c>
      <c r="B585" s="352" t="s">
        <v>1314</v>
      </c>
      <c r="C585" s="352" t="s">
        <v>704</v>
      </c>
      <c r="D585" s="355" t="s">
        <v>705</v>
      </c>
      <c r="E585" s="367">
        <v>45139</v>
      </c>
      <c r="F585" s="367">
        <v>45139</v>
      </c>
      <c r="G585" s="367">
        <v>45139</v>
      </c>
      <c r="H585" s="367">
        <v>45139</v>
      </c>
      <c r="I585" s="394">
        <v>45166</v>
      </c>
      <c r="J585" s="387" t="s">
        <v>260</v>
      </c>
      <c r="K585" s="388" t="s">
        <v>891</v>
      </c>
      <c r="L585" s="402">
        <v>5</v>
      </c>
      <c r="M585" s="352" t="s">
        <v>753</v>
      </c>
      <c r="N585" s="403">
        <v>65000</v>
      </c>
      <c r="O585" s="404">
        <v>325000</v>
      </c>
      <c r="P585" s="421">
        <v>8</v>
      </c>
      <c r="Q585" s="275"/>
      <c r="R585" s="437">
        <v>16500000</v>
      </c>
      <c r="S585" s="274">
        <f t="shared" si="62"/>
        <v>335000</v>
      </c>
      <c r="T585" s="439" t="s">
        <v>227</v>
      </c>
      <c r="U585" s="460" t="str">
        <f t="shared" si="63"/>
        <v/>
      </c>
      <c r="V585" s="439" t="s">
        <v>1248</v>
      </c>
      <c r="W585" s="439" t="s">
        <v>540</v>
      </c>
      <c r="X585" s="439"/>
      <c r="Y585" s="439" t="str">
        <f t="shared" si="61"/>
        <v>Sampul Plastik</v>
      </c>
      <c r="Z585" s="449"/>
      <c r="AA585" s="421"/>
      <c r="AB585" s="441">
        <f t="shared" si="64"/>
        <v>58558.558558558558</v>
      </c>
      <c r="AC585" s="442">
        <f t="shared" si="65"/>
        <v>292792.79279279278</v>
      </c>
      <c r="AD585" s="437">
        <v>16500000</v>
      </c>
      <c r="AE585" s="447">
        <v>14864864.864864863</v>
      </c>
      <c r="AF585" s="447">
        <v>16500000</v>
      </c>
      <c r="AG585" s="437">
        <v>16500000</v>
      </c>
      <c r="AH585" s="271" t="s">
        <v>2101</v>
      </c>
    </row>
    <row r="586" spans="1:36">
      <c r="A586" s="350">
        <v>329</v>
      </c>
      <c r="B586" s="352" t="s">
        <v>1314</v>
      </c>
      <c r="C586" s="352" t="s">
        <v>704</v>
      </c>
      <c r="D586" s="355" t="s">
        <v>705</v>
      </c>
      <c r="E586" s="367">
        <v>45139</v>
      </c>
      <c r="F586" s="367">
        <v>45139</v>
      </c>
      <c r="G586" s="367">
        <v>45139</v>
      </c>
      <c r="H586" s="367">
        <v>45139</v>
      </c>
      <c r="I586" s="394">
        <v>45166</v>
      </c>
      <c r="J586" s="387" t="s">
        <v>240</v>
      </c>
      <c r="K586" s="388" t="s">
        <v>731</v>
      </c>
      <c r="L586" s="402">
        <v>1</v>
      </c>
      <c r="M586" s="352" t="s">
        <v>597</v>
      </c>
      <c r="N586" s="403">
        <v>20000</v>
      </c>
      <c r="O586" s="404">
        <v>20000</v>
      </c>
      <c r="P586" s="421">
        <v>9</v>
      </c>
      <c r="Q586" s="429" t="s">
        <v>96</v>
      </c>
      <c r="R586" s="437">
        <v>40000</v>
      </c>
      <c r="S586" s="274">
        <f t="shared" si="62"/>
        <v>22000</v>
      </c>
      <c r="T586" s="439" t="s">
        <v>227</v>
      </c>
      <c r="U586" s="460" t="str">
        <f t="shared" si="63"/>
        <v/>
      </c>
      <c r="V586" s="439" t="s">
        <v>1248</v>
      </c>
      <c r="W586" s="439" t="s">
        <v>540</v>
      </c>
      <c r="X586" s="454" t="s">
        <v>1315</v>
      </c>
      <c r="Y586" s="439" t="s">
        <v>710</v>
      </c>
      <c r="Z586" s="449" t="s">
        <v>710</v>
      </c>
      <c r="AA586" s="440" t="s">
        <v>488</v>
      </c>
      <c r="AB586" s="441">
        <f t="shared" si="64"/>
        <v>18018.018018018018</v>
      </c>
      <c r="AC586" s="442">
        <f t="shared" si="65"/>
        <v>18018.018018018018</v>
      </c>
      <c r="AD586" s="437">
        <v>40000</v>
      </c>
      <c r="AE586" s="447">
        <v>4014414.4144144151</v>
      </c>
      <c r="AF586" s="447">
        <v>4456000</v>
      </c>
      <c r="AG586" s="437">
        <v>40000</v>
      </c>
      <c r="AH586" s="271" t="s">
        <v>2101</v>
      </c>
      <c r="AI586" s="277">
        <f>SUM(AC586:AC623)</f>
        <v>9206306.3063063063</v>
      </c>
      <c r="AJ586" s="277">
        <f>SUM(AD586:AD623)</f>
        <v>4456000</v>
      </c>
    </row>
    <row r="587" spans="1:36" ht="25">
      <c r="A587" s="350">
        <v>329</v>
      </c>
      <c r="B587" s="352" t="s">
        <v>1314</v>
      </c>
      <c r="C587" s="352" t="s">
        <v>704</v>
      </c>
      <c r="D587" s="355" t="s">
        <v>705</v>
      </c>
      <c r="E587" s="367">
        <v>45139</v>
      </c>
      <c r="F587" s="367">
        <v>45139</v>
      </c>
      <c r="G587" s="367">
        <v>45139</v>
      </c>
      <c r="H587" s="367">
        <v>45139</v>
      </c>
      <c r="I587" s="394">
        <v>45166</v>
      </c>
      <c r="J587" s="387" t="s">
        <v>243</v>
      </c>
      <c r="K587" s="387" t="s">
        <v>243</v>
      </c>
      <c r="L587" s="402">
        <v>1</v>
      </c>
      <c r="M587" s="352" t="s">
        <v>551</v>
      </c>
      <c r="N587" s="403">
        <v>95000</v>
      </c>
      <c r="O587" s="404">
        <v>95000</v>
      </c>
      <c r="P587" s="421">
        <v>9</v>
      </c>
      <c r="Q587" s="429" t="s">
        <v>1033</v>
      </c>
      <c r="R587" s="437">
        <v>11500</v>
      </c>
      <c r="S587" s="274">
        <f t="shared" si="62"/>
        <v>97000</v>
      </c>
      <c r="T587" s="439" t="s">
        <v>227</v>
      </c>
      <c r="U587" s="460" t="str">
        <f t="shared" si="63"/>
        <v/>
      </c>
      <c r="V587" s="439" t="s">
        <v>1248</v>
      </c>
      <c r="W587" s="439" t="s">
        <v>540</v>
      </c>
      <c r="X587" s="454" t="s">
        <v>1315</v>
      </c>
      <c r="Y587" s="439" t="s">
        <v>710</v>
      </c>
      <c r="Z587" s="449" t="s">
        <v>710</v>
      </c>
      <c r="AA587" s="440" t="s">
        <v>488</v>
      </c>
      <c r="AB587" s="441">
        <f t="shared" si="64"/>
        <v>85585.585585585592</v>
      </c>
      <c r="AC587" s="442">
        <f t="shared" si="65"/>
        <v>85585.585585585592</v>
      </c>
      <c r="AD587" s="437">
        <v>11500</v>
      </c>
      <c r="AE587" s="447">
        <v>4014414.4144144151</v>
      </c>
      <c r="AF587" s="447">
        <v>4456000</v>
      </c>
      <c r="AG587" s="437">
        <v>11500</v>
      </c>
      <c r="AH587" s="271" t="s">
        <v>2101</v>
      </c>
    </row>
    <row r="588" spans="1:36">
      <c r="A588" s="350">
        <v>329</v>
      </c>
      <c r="B588" s="352" t="s">
        <v>1314</v>
      </c>
      <c r="C588" s="352" t="s">
        <v>704</v>
      </c>
      <c r="D588" s="355" t="s">
        <v>705</v>
      </c>
      <c r="E588" s="367">
        <v>45139</v>
      </c>
      <c r="F588" s="367">
        <v>45139</v>
      </c>
      <c r="G588" s="367">
        <v>45139</v>
      </c>
      <c r="H588" s="367">
        <v>45139</v>
      </c>
      <c r="I588" s="394">
        <v>45166</v>
      </c>
      <c r="J588" s="387" t="s">
        <v>897</v>
      </c>
      <c r="K588" s="388" t="s">
        <v>723</v>
      </c>
      <c r="L588" s="402">
        <v>1</v>
      </c>
      <c r="M588" s="352" t="s">
        <v>724</v>
      </c>
      <c r="N588" s="403">
        <v>45000</v>
      </c>
      <c r="O588" s="404">
        <v>45000</v>
      </c>
      <c r="P588" s="421">
        <v>9</v>
      </c>
      <c r="Q588" s="429" t="s">
        <v>1034</v>
      </c>
      <c r="R588" s="437">
        <v>14000</v>
      </c>
      <c r="S588" s="274">
        <f t="shared" si="62"/>
        <v>47000</v>
      </c>
      <c r="T588" s="439" t="s">
        <v>227</v>
      </c>
      <c r="U588" s="460" t="str">
        <f t="shared" si="63"/>
        <v/>
      </c>
      <c r="V588" s="439" t="s">
        <v>1248</v>
      </c>
      <c r="W588" s="439" t="s">
        <v>540</v>
      </c>
      <c r="X588" s="454" t="s">
        <v>1315</v>
      </c>
      <c r="Y588" s="439" t="s">
        <v>710</v>
      </c>
      <c r="Z588" s="449" t="s">
        <v>710</v>
      </c>
      <c r="AA588" s="440" t="s">
        <v>488</v>
      </c>
      <c r="AB588" s="441">
        <f t="shared" si="64"/>
        <v>40540.54054054054</v>
      </c>
      <c r="AC588" s="442">
        <f t="shared" si="65"/>
        <v>40540.54054054054</v>
      </c>
      <c r="AD588" s="437">
        <v>14000</v>
      </c>
      <c r="AE588" s="447">
        <v>4014414.4144144151</v>
      </c>
      <c r="AF588" s="447">
        <v>4456000</v>
      </c>
      <c r="AG588" s="437">
        <v>14000</v>
      </c>
      <c r="AH588" s="271" t="s">
        <v>2101</v>
      </c>
    </row>
    <row r="589" spans="1:36">
      <c r="A589" s="350">
        <v>329</v>
      </c>
      <c r="B589" s="352" t="s">
        <v>1314</v>
      </c>
      <c r="C589" s="352" t="s">
        <v>704</v>
      </c>
      <c r="D589" s="355" t="s">
        <v>705</v>
      </c>
      <c r="E589" s="367">
        <v>45139</v>
      </c>
      <c r="F589" s="367">
        <v>45139</v>
      </c>
      <c r="G589" s="367">
        <v>45139</v>
      </c>
      <c r="H589" s="367">
        <v>45139</v>
      </c>
      <c r="I589" s="394">
        <v>45166</v>
      </c>
      <c r="J589" s="387" t="s">
        <v>237</v>
      </c>
      <c r="K589" s="388" t="s">
        <v>717</v>
      </c>
      <c r="L589" s="402">
        <v>2</v>
      </c>
      <c r="M589" s="352" t="s">
        <v>597</v>
      </c>
      <c r="N589" s="403">
        <v>7500</v>
      </c>
      <c r="O589" s="404">
        <v>15000</v>
      </c>
      <c r="P589" s="421">
        <v>9</v>
      </c>
      <c r="Q589" s="429" t="s">
        <v>139</v>
      </c>
      <c r="R589" s="437">
        <v>20000</v>
      </c>
      <c r="S589" s="274">
        <f t="shared" si="62"/>
        <v>19000</v>
      </c>
      <c r="T589" s="439" t="s">
        <v>227</v>
      </c>
      <c r="U589" s="460" t="str">
        <f t="shared" si="63"/>
        <v/>
      </c>
      <c r="V589" s="439" t="s">
        <v>1248</v>
      </c>
      <c r="W589" s="439" t="s">
        <v>540</v>
      </c>
      <c r="X589" s="454" t="s">
        <v>1315</v>
      </c>
      <c r="Y589" s="439" t="s">
        <v>710</v>
      </c>
      <c r="Z589" s="449" t="s">
        <v>710</v>
      </c>
      <c r="AA589" s="440" t="s">
        <v>728</v>
      </c>
      <c r="AB589" s="441">
        <f t="shared" si="64"/>
        <v>6756.7567567567567</v>
      </c>
      <c r="AC589" s="442">
        <f t="shared" si="65"/>
        <v>13513.513513513513</v>
      </c>
      <c r="AD589" s="437">
        <v>20000</v>
      </c>
      <c r="AE589" s="447">
        <v>4014414.4144144151</v>
      </c>
      <c r="AF589" s="447">
        <v>4456000</v>
      </c>
      <c r="AG589" s="437">
        <v>20000</v>
      </c>
      <c r="AH589" s="271" t="s">
        <v>2101</v>
      </c>
    </row>
    <row r="590" spans="1:36">
      <c r="A590" s="350">
        <v>329</v>
      </c>
      <c r="B590" s="352" t="s">
        <v>1314</v>
      </c>
      <c r="C590" s="352" t="s">
        <v>704</v>
      </c>
      <c r="D590" s="355" t="s">
        <v>705</v>
      </c>
      <c r="E590" s="367">
        <v>45139</v>
      </c>
      <c r="F590" s="367">
        <v>45139</v>
      </c>
      <c r="G590" s="367">
        <v>45139</v>
      </c>
      <c r="H590" s="367">
        <v>45139</v>
      </c>
      <c r="I590" s="394">
        <v>45166</v>
      </c>
      <c r="J590" s="387" t="s">
        <v>263</v>
      </c>
      <c r="K590" s="388" t="s">
        <v>885</v>
      </c>
      <c r="L590" s="402">
        <v>5</v>
      </c>
      <c r="M590" s="352" t="s">
        <v>753</v>
      </c>
      <c r="N590" s="403">
        <v>12000</v>
      </c>
      <c r="O590" s="404">
        <v>60000</v>
      </c>
      <c r="P590" s="421">
        <v>9</v>
      </c>
      <c r="Q590" s="429" t="s">
        <v>145</v>
      </c>
      <c r="R590" s="437">
        <v>21000</v>
      </c>
      <c r="S590" s="274">
        <f t="shared" si="62"/>
        <v>70000</v>
      </c>
      <c r="T590" s="439" t="s">
        <v>227</v>
      </c>
      <c r="U590" s="460" t="str">
        <f t="shared" si="63"/>
        <v/>
      </c>
      <c r="V590" s="439" t="s">
        <v>1248</v>
      </c>
      <c r="W590" s="439" t="s">
        <v>540</v>
      </c>
      <c r="X590" s="454" t="s">
        <v>1315</v>
      </c>
      <c r="Y590" s="439" t="s">
        <v>710</v>
      </c>
      <c r="Z590" s="449" t="s">
        <v>710</v>
      </c>
      <c r="AA590" s="440" t="s">
        <v>753</v>
      </c>
      <c r="AB590" s="441">
        <f t="shared" si="64"/>
        <v>10810.810810810812</v>
      </c>
      <c r="AC590" s="442">
        <f t="shared" si="65"/>
        <v>54054.054054054061</v>
      </c>
      <c r="AD590" s="437">
        <v>21000</v>
      </c>
      <c r="AE590" s="447">
        <v>4014414.4144144151</v>
      </c>
      <c r="AF590" s="447">
        <v>4456000</v>
      </c>
      <c r="AG590" s="437">
        <v>21000</v>
      </c>
      <c r="AH590" s="271" t="s">
        <v>2101</v>
      </c>
    </row>
    <row r="591" spans="1:36">
      <c r="A591" s="350">
        <v>329</v>
      </c>
      <c r="B591" s="352" t="s">
        <v>1314</v>
      </c>
      <c r="C591" s="352" t="s">
        <v>704</v>
      </c>
      <c r="D591" s="355" t="s">
        <v>705</v>
      </c>
      <c r="E591" s="367">
        <v>45139</v>
      </c>
      <c r="F591" s="367">
        <v>45139</v>
      </c>
      <c r="G591" s="367">
        <v>45139</v>
      </c>
      <c r="H591" s="367">
        <v>45139</v>
      </c>
      <c r="I591" s="394">
        <v>45166</v>
      </c>
      <c r="J591" s="387" t="s">
        <v>259</v>
      </c>
      <c r="K591" s="388" t="s">
        <v>752</v>
      </c>
      <c r="L591" s="402">
        <v>1</v>
      </c>
      <c r="M591" s="352" t="s">
        <v>753</v>
      </c>
      <c r="N591" s="403">
        <v>35000</v>
      </c>
      <c r="O591" s="404">
        <v>35000</v>
      </c>
      <c r="P591" s="421">
        <v>9</v>
      </c>
      <c r="Q591" s="429" t="s">
        <v>132</v>
      </c>
      <c r="R591" s="437">
        <v>440000</v>
      </c>
      <c r="S591" s="274">
        <f t="shared" si="62"/>
        <v>37000</v>
      </c>
      <c r="T591" s="439" t="s">
        <v>227</v>
      </c>
      <c r="U591" s="460" t="str">
        <f t="shared" si="63"/>
        <v/>
      </c>
      <c r="V591" s="439" t="s">
        <v>1248</v>
      </c>
      <c r="W591" s="439" t="s">
        <v>540</v>
      </c>
      <c r="X591" s="454" t="s">
        <v>1315</v>
      </c>
      <c r="Y591" s="439" t="s">
        <v>710</v>
      </c>
      <c r="Z591" s="449" t="s">
        <v>710</v>
      </c>
      <c r="AA591" s="440" t="s">
        <v>597</v>
      </c>
      <c r="AB591" s="441">
        <f t="shared" si="64"/>
        <v>31531.531531531531</v>
      </c>
      <c r="AC591" s="442">
        <f t="shared" si="65"/>
        <v>31531.531531531531</v>
      </c>
      <c r="AD591" s="437">
        <v>440000</v>
      </c>
      <c r="AE591" s="447">
        <v>4014414.4144144151</v>
      </c>
      <c r="AF591" s="447">
        <v>4456000</v>
      </c>
      <c r="AG591" s="437">
        <v>440000</v>
      </c>
      <c r="AH591" s="271" t="s">
        <v>2101</v>
      </c>
    </row>
    <row r="592" spans="1:36">
      <c r="A592" s="350">
        <v>329</v>
      </c>
      <c r="B592" s="352" t="s">
        <v>1314</v>
      </c>
      <c r="C592" s="352" t="s">
        <v>704</v>
      </c>
      <c r="D592" s="355" t="s">
        <v>705</v>
      </c>
      <c r="E592" s="367">
        <v>45139</v>
      </c>
      <c r="F592" s="367">
        <v>45139</v>
      </c>
      <c r="G592" s="367">
        <v>45139</v>
      </c>
      <c r="H592" s="367">
        <v>45139</v>
      </c>
      <c r="I592" s="394">
        <v>45166</v>
      </c>
      <c r="J592" s="387" t="s">
        <v>238</v>
      </c>
      <c r="K592" s="387" t="s">
        <v>238</v>
      </c>
      <c r="L592" s="402">
        <v>2</v>
      </c>
      <c r="M592" s="352" t="s">
        <v>597</v>
      </c>
      <c r="N592" s="403">
        <v>11000</v>
      </c>
      <c r="O592" s="404">
        <v>22000</v>
      </c>
      <c r="P592" s="421">
        <v>9</v>
      </c>
      <c r="Q592" s="429" t="s">
        <v>111</v>
      </c>
      <c r="R592" s="437">
        <v>20000</v>
      </c>
      <c r="S592" s="274">
        <f t="shared" si="62"/>
        <v>26000</v>
      </c>
      <c r="T592" s="439" t="s">
        <v>227</v>
      </c>
      <c r="U592" s="460" t="str">
        <f t="shared" si="63"/>
        <v/>
      </c>
      <c r="V592" s="439" t="s">
        <v>1248</v>
      </c>
      <c r="W592" s="439" t="s">
        <v>540</v>
      </c>
      <c r="X592" s="454" t="s">
        <v>1315</v>
      </c>
      <c r="Y592" s="439" t="s">
        <v>710</v>
      </c>
      <c r="Z592" s="449" t="s">
        <v>710</v>
      </c>
      <c r="AA592" s="440" t="s">
        <v>488</v>
      </c>
      <c r="AB592" s="441">
        <f t="shared" si="64"/>
        <v>9909.9099099099094</v>
      </c>
      <c r="AC592" s="442">
        <f t="shared" si="65"/>
        <v>19819.819819819819</v>
      </c>
      <c r="AD592" s="437">
        <v>20000</v>
      </c>
      <c r="AE592" s="447">
        <v>4014414.4144144151</v>
      </c>
      <c r="AF592" s="447">
        <v>4456000</v>
      </c>
      <c r="AG592" s="437">
        <v>20000</v>
      </c>
      <c r="AH592" s="271" t="s">
        <v>2101</v>
      </c>
    </row>
    <row r="593" spans="1:34" ht="25">
      <c r="A593" s="350">
        <v>329</v>
      </c>
      <c r="B593" s="352" t="s">
        <v>1314</v>
      </c>
      <c r="C593" s="352" t="s">
        <v>704</v>
      </c>
      <c r="D593" s="355" t="s">
        <v>705</v>
      </c>
      <c r="E593" s="367">
        <v>45139</v>
      </c>
      <c r="F593" s="367">
        <v>45139</v>
      </c>
      <c r="G593" s="367">
        <v>45139</v>
      </c>
      <c r="H593" s="367">
        <v>45139</v>
      </c>
      <c r="I593" s="394">
        <v>45166</v>
      </c>
      <c r="J593" s="387" t="s">
        <v>245</v>
      </c>
      <c r="K593" s="387" t="s">
        <v>245</v>
      </c>
      <c r="L593" s="402">
        <v>1</v>
      </c>
      <c r="M593" s="352" t="s">
        <v>551</v>
      </c>
      <c r="N593" s="403">
        <v>95000</v>
      </c>
      <c r="O593" s="404">
        <v>95000</v>
      </c>
      <c r="P593" s="272">
        <v>9</v>
      </c>
      <c r="Q593" s="429" t="s">
        <v>903</v>
      </c>
      <c r="R593" s="437">
        <v>11000</v>
      </c>
      <c r="S593" s="274">
        <f t="shared" si="62"/>
        <v>97000</v>
      </c>
      <c r="T593" s="439" t="s">
        <v>227</v>
      </c>
      <c r="U593" s="460" t="str">
        <f t="shared" si="63"/>
        <v/>
      </c>
      <c r="V593" s="439" t="s">
        <v>1248</v>
      </c>
      <c r="W593" s="439" t="s">
        <v>540</v>
      </c>
      <c r="X593" s="454" t="s">
        <v>1315</v>
      </c>
      <c r="Y593" s="439" t="s">
        <v>710</v>
      </c>
      <c r="Z593" s="449" t="s">
        <v>710</v>
      </c>
      <c r="AA593" s="440" t="s">
        <v>597</v>
      </c>
      <c r="AB593" s="441">
        <f t="shared" si="64"/>
        <v>85585.585585585592</v>
      </c>
      <c r="AC593" s="442">
        <f t="shared" si="65"/>
        <v>85585.585585585592</v>
      </c>
      <c r="AD593" s="437">
        <v>11000</v>
      </c>
      <c r="AE593" s="447">
        <v>4014414.4144144151</v>
      </c>
      <c r="AF593" s="447">
        <v>4456000</v>
      </c>
      <c r="AG593" s="437">
        <v>11000</v>
      </c>
      <c r="AH593" s="271" t="s">
        <v>2101</v>
      </c>
    </row>
    <row r="594" spans="1:34">
      <c r="A594" s="350">
        <v>329</v>
      </c>
      <c r="B594" s="352" t="s">
        <v>1314</v>
      </c>
      <c r="C594" s="352" t="s">
        <v>704</v>
      </c>
      <c r="D594" s="355" t="s">
        <v>705</v>
      </c>
      <c r="E594" s="367">
        <v>45139</v>
      </c>
      <c r="F594" s="367">
        <v>45139</v>
      </c>
      <c r="G594" s="367">
        <v>45139</v>
      </c>
      <c r="H594" s="367">
        <v>45139</v>
      </c>
      <c r="I594" s="394">
        <v>45166</v>
      </c>
      <c r="J594" s="387" t="s">
        <v>762</v>
      </c>
      <c r="K594" s="387" t="s">
        <v>762</v>
      </c>
      <c r="L594" s="402">
        <v>1</v>
      </c>
      <c r="M594" s="352" t="s">
        <v>488</v>
      </c>
      <c r="N594" s="403">
        <v>15000</v>
      </c>
      <c r="O594" s="404">
        <v>15000</v>
      </c>
      <c r="P594" s="272">
        <v>9</v>
      </c>
      <c r="Q594" s="492" t="s">
        <v>109</v>
      </c>
      <c r="R594" s="437">
        <v>22000</v>
      </c>
      <c r="S594" s="274">
        <f t="shared" si="62"/>
        <v>17000</v>
      </c>
      <c r="T594" s="439" t="s">
        <v>227</v>
      </c>
      <c r="U594" s="460" t="str">
        <f t="shared" si="63"/>
        <v/>
      </c>
      <c r="V594" s="439" t="s">
        <v>1248</v>
      </c>
      <c r="W594" s="439" t="s">
        <v>540</v>
      </c>
      <c r="X594" s="454" t="s">
        <v>1315</v>
      </c>
      <c r="Y594" s="439" t="s">
        <v>710</v>
      </c>
      <c r="Z594" s="449" t="s">
        <v>710</v>
      </c>
      <c r="AA594" s="440" t="s">
        <v>728</v>
      </c>
      <c r="AB594" s="441">
        <f t="shared" si="64"/>
        <v>13513.513513513513</v>
      </c>
      <c r="AC594" s="442">
        <f t="shared" si="65"/>
        <v>13513.513513513513</v>
      </c>
      <c r="AD594" s="437">
        <v>22000</v>
      </c>
      <c r="AE594" s="447">
        <v>4014414.4144144151</v>
      </c>
      <c r="AF594" s="447">
        <v>4456000</v>
      </c>
      <c r="AG594" s="437">
        <v>22000</v>
      </c>
      <c r="AH594" s="271" t="s">
        <v>2101</v>
      </c>
    </row>
    <row r="595" spans="1:34">
      <c r="A595" s="350">
        <v>329</v>
      </c>
      <c r="B595" s="352" t="s">
        <v>1314</v>
      </c>
      <c r="C595" s="352" t="s">
        <v>704</v>
      </c>
      <c r="D595" s="355" t="s">
        <v>705</v>
      </c>
      <c r="E595" s="367">
        <v>45139</v>
      </c>
      <c r="F595" s="367">
        <v>45139</v>
      </c>
      <c r="G595" s="367">
        <v>45139</v>
      </c>
      <c r="H595" s="367">
        <v>45139</v>
      </c>
      <c r="I595" s="394">
        <v>45166</v>
      </c>
      <c r="J595" s="387" t="s">
        <v>242</v>
      </c>
      <c r="K595" s="388" t="s">
        <v>760</v>
      </c>
      <c r="L595" s="402">
        <v>1</v>
      </c>
      <c r="M595" s="352" t="s">
        <v>488</v>
      </c>
      <c r="N595" s="403">
        <v>26000</v>
      </c>
      <c r="O595" s="404">
        <v>26000</v>
      </c>
      <c r="P595" s="272">
        <v>9</v>
      </c>
      <c r="Q595" s="429" t="s">
        <v>144</v>
      </c>
      <c r="R595" s="437">
        <v>25000</v>
      </c>
      <c r="S595" s="274">
        <f t="shared" si="62"/>
        <v>28000</v>
      </c>
      <c r="T595" s="439" t="s">
        <v>227</v>
      </c>
      <c r="U595" s="460" t="str">
        <f t="shared" si="63"/>
        <v/>
      </c>
      <c r="V595" s="439" t="s">
        <v>1248</v>
      </c>
      <c r="W595" s="439" t="s">
        <v>540</v>
      </c>
      <c r="X595" s="454" t="s">
        <v>1315</v>
      </c>
      <c r="Y595" s="439" t="s">
        <v>710</v>
      </c>
      <c r="Z595" s="449" t="s">
        <v>710</v>
      </c>
      <c r="AA595" s="440" t="s">
        <v>488</v>
      </c>
      <c r="AB595" s="441">
        <f t="shared" si="64"/>
        <v>23423.423423423425</v>
      </c>
      <c r="AC595" s="442">
        <f t="shared" si="65"/>
        <v>23423.423423423425</v>
      </c>
      <c r="AD595" s="437">
        <v>25000</v>
      </c>
      <c r="AE595" s="447">
        <v>4014414.4144144151</v>
      </c>
      <c r="AF595" s="447">
        <v>4456000</v>
      </c>
      <c r="AG595" s="437">
        <v>25000</v>
      </c>
      <c r="AH595" s="271" t="s">
        <v>2101</v>
      </c>
    </row>
    <row r="596" spans="1:34">
      <c r="A596" s="350">
        <v>329</v>
      </c>
      <c r="B596" s="352" t="s">
        <v>1314</v>
      </c>
      <c r="C596" s="352" t="s">
        <v>704</v>
      </c>
      <c r="D596" s="355" t="s">
        <v>705</v>
      </c>
      <c r="E596" s="367">
        <v>45139</v>
      </c>
      <c r="F596" s="367">
        <v>45139</v>
      </c>
      <c r="G596" s="367">
        <v>45139</v>
      </c>
      <c r="H596" s="367">
        <v>45139</v>
      </c>
      <c r="I596" s="394">
        <v>45166</v>
      </c>
      <c r="J596" s="387" t="s">
        <v>758</v>
      </c>
      <c r="K596" s="387" t="s">
        <v>758</v>
      </c>
      <c r="L596" s="402">
        <v>3</v>
      </c>
      <c r="M596" s="352" t="s">
        <v>488</v>
      </c>
      <c r="N596" s="403">
        <v>5000</v>
      </c>
      <c r="O596" s="404">
        <v>15000</v>
      </c>
      <c r="P596" s="272">
        <v>9</v>
      </c>
      <c r="Q596" s="429" t="s">
        <v>141</v>
      </c>
      <c r="R596" s="437">
        <v>15000</v>
      </c>
      <c r="S596" s="274">
        <f t="shared" si="62"/>
        <v>21000</v>
      </c>
      <c r="T596" s="439" t="s">
        <v>227</v>
      </c>
      <c r="U596" s="460" t="str">
        <f t="shared" si="63"/>
        <v/>
      </c>
      <c r="V596" s="439" t="s">
        <v>1248</v>
      </c>
      <c r="W596" s="439" t="s">
        <v>540</v>
      </c>
      <c r="X596" s="454" t="s">
        <v>1315</v>
      </c>
      <c r="Y596" s="439" t="s">
        <v>710</v>
      </c>
      <c r="Z596" s="449" t="s">
        <v>710</v>
      </c>
      <c r="AA596" s="440" t="s">
        <v>551</v>
      </c>
      <c r="AB596" s="441">
        <f t="shared" si="64"/>
        <v>4504.5045045045044</v>
      </c>
      <c r="AC596" s="442">
        <f t="shared" si="65"/>
        <v>13513.513513513513</v>
      </c>
      <c r="AD596" s="437">
        <v>15000</v>
      </c>
      <c r="AE596" s="447">
        <v>4014414.4144144151</v>
      </c>
      <c r="AF596" s="447">
        <v>4456000</v>
      </c>
      <c r="AG596" s="437">
        <v>15000</v>
      </c>
      <c r="AH596" s="271" t="s">
        <v>2101</v>
      </c>
    </row>
    <row r="597" spans="1:34">
      <c r="A597" s="350">
        <v>329</v>
      </c>
      <c r="B597" s="352" t="s">
        <v>1314</v>
      </c>
      <c r="C597" s="352" t="s">
        <v>704</v>
      </c>
      <c r="D597" s="355" t="s">
        <v>705</v>
      </c>
      <c r="E597" s="367">
        <v>45139</v>
      </c>
      <c r="F597" s="367">
        <v>45139</v>
      </c>
      <c r="G597" s="367">
        <v>45139</v>
      </c>
      <c r="H597" s="367">
        <v>45139</v>
      </c>
      <c r="I597" s="394">
        <v>45166</v>
      </c>
      <c r="J597" s="387" t="s">
        <v>252</v>
      </c>
      <c r="K597" s="387" t="s">
        <v>786</v>
      </c>
      <c r="L597" s="402">
        <v>1</v>
      </c>
      <c r="M597" s="352" t="s">
        <v>753</v>
      </c>
      <c r="N597" s="403">
        <v>25000</v>
      </c>
      <c r="O597" s="404">
        <v>25000</v>
      </c>
      <c r="P597" s="272">
        <v>9</v>
      </c>
      <c r="Q597" s="429" t="s">
        <v>161</v>
      </c>
      <c r="R597" s="437">
        <v>60000</v>
      </c>
      <c r="S597" s="274">
        <f t="shared" si="62"/>
        <v>27000</v>
      </c>
      <c r="T597" s="439" t="s">
        <v>227</v>
      </c>
      <c r="U597" s="460" t="str">
        <f t="shared" si="63"/>
        <v/>
      </c>
      <c r="V597" s="439" t="s">
        <v>1248</v>
      </c>
      <c r="W597" s="439" t="s">
        <v>540</v>
      </c>
      <c r="X597" s="454" t="s">
        <v>1315</v>
      </c>
      <c r="Y597" s="439" t="s">
        <v>710</v>
      </c>
      <c r="Z597" s="449" t="s">
        <v>710</v>
      </c>
      <c r="AA597" s="440" t="s">
        <v>488</v>
      </c>
      <c r="AB597" s="441">
        <f t="shared" si="64"/>
        <v>22522.522522522522</v>
      </c>
      <c r="AC597" s="442">
        <f t="shared" si="65"/>
        <v>22522.522522522522</v>
      </c>
      <c r="AD597" s="437">
        <v>60000</v>
      </c>
      <c r="AE597" s="447">
        <v>4014414.4144144151</v>
      </c>
      <c r="AF597" s="447">
        <v>4456000</v>
      </c>
      <c r="AG597" s="437">
        <v>60000</v>
      </c>
      <c r="AH597" s="271" t="s">
        <v>2101</v>
      </c>
    </row>
    <row r="598" spans="1:34" ht="25">
      <c r="A598" s="350">
        <v>329</v>
      </c>
      <c r="B598" s="352" t="s">
        <v>1314</v>
      </c>
      <c r="C598" s="352" t="s">
        <v>704</v>
      </c>
      <c r="D598" s="355" t="s">
        <v>705</v>
      </c>
      <c r="E598" s="367">
        <v>45139</v>
      </c>
      <c r="F598" s="367">
        <v>45139</v>
      </c>
      <c r="G598" s="367">
        <v>45139</v>
      </c>
      <c r="H598" s="367">
        <v>45139</v>
      </c>
      <c r="I598" s="394">
        <v>45166</v>
      </c>
      <c r="J598" s="387" t="s">
        <v>246</v>
      </c>
      <c r="K598" s="387" t="s">
        <v>246</v>
      </c>
      <c r="L598" s="402">
        <v>1</v>
      </c>
      <c r="M598" s="352" t="s">
        <v>551</v>
      </c>
      <c r="N598" s="403">
        <v>95000</v>
      </c>
      <c r="O598" s="404">
        <v>95000</v>
      </c>
      <c r="P598" s="272">
        <v>9</v>
      </c>
      <c r="Q598" s="429" t="s">
        <v>113</v>
      </c>
      <c r="R598" s="437">
        <v>26000</v>
      </c>
      <c r="S598" s="274">
        <f t="shared" si="62"/>
        <v>97000</v>
      </c>
      <c r="T598" s="439" t="s">
        <v>227</v>
      </c>
      <c r="U598" s="460" t="str">
        <f t="shared" si="63"/>
        <v/>
      </c>
      <c r="V598" s="439" t="s">
        <v>1248</v>
      </c>
      <c r="W598" s="439" t="s">
        <v>540</v>
      </c>
      <c r="X598" s="454" t="s">
        <v>1315</v>
      </c>
      <c r="Y598" s="439" t="s">
        <v>710</v>
      </c>
      <c r="Z598" s="616" t="s">
        <v>710</v>
      </c>
      <c r="AA598" s="440" t="s">
        <v>735</v>
      </c>
      <c r="AB598" s="441">
        <f t="shared" si="64"/>
        <v>85585.585585585592</v>
      </c>
      <c r="AC598" s="442">
        <f t="shared" si="65"/>
        <v>85585.585585585592</v>
      </c>
      <c r="AD598" s="437">
        <v>26000</v>
      </c>
      <c r="AE598" s="447">
        <v>4014414.4144144151</v>
      </c>
      <c r="AF598" s="447">
        <v>4456000</v>
      </c>
      <c r="AG598" s="437">
        <v>26000</v>
      </c>
      <c r="AH598" s="271" t="s">
        <v>2101</v>
      </c>
    </row>
    <row r="599" spans="1:34">
      <c r="A599" s="350">
        <v>329</v>
      </c>
      <c r="B599" s="352" t="s">
        <v>1314</v>
      </c>
      <c r="C599" s="352" t="s">
        <v>704</v>
      </c>
      <c r="D599" s="355" t="s">
        <v>705</v>
      </c>
      <c r="E599" s="367">
        <v>45139</v>
      </c>
      <c r="F599" s="367">
        <v>45139</v>
      </c>
      <c r="G599" s="367">
        <v>45139</v>
      </c>
      <c r="H599" s="367">
        <v>45139</v>
      </c>
      <c r="I599" s="394">
        <v>45166</v>
      </c>
      <c r="J599" s="387" t="s">
        <v>241</v>
      </c>
      <c r="K599" s="387" t="s">
        <v>767</v>
      </c>
      <c r="L599" s="402">
        <v>2</v>
      </c>
      <c r="M599" s="352" t="s">
        <v>597</v>
      </c>
      <c r="N599" s="403">
        <v>5500</v>
      </c>
      <c r="O599" s="404">
        <v>11000</v>
      </c>
      <c r="P599" s="272">
        <v>9</v>
      </c>
      <c r="Q599" s="429" t="s">
        <v>1351</v>
      </c>
      <c r="R599" s="437">
        <v>1000000</v>
      </c>
      <c r="S599" s="274">
        <f t="shared" si="62"/>
        <v>15000</v>
      </c>
      <c r="T599" s="439" t="s">
        <v>227</v>
      </c>
      <c r="U599" s="460" t="str">
        <f t="shared" si="63"/>
        <v/>
      </c>
      <c r="V599" s="439" t="s">
        <v>1248</v>
      </c>
      <c r="W599" s="439" t="s">
        <v>540</v>
      </c>
      <c r="X599" s="454" t="s">
        <v>1315</v>
      </c>
      <c r="Y599" s="439" t="s">
        <v>710</v>
      </c>
      <c r="Z599" s="616" t="s">
        <v>710</v>
      </c>
      <c r="AA599" s="440" t="s">
        <v>735</v>
      </c>
      <c r="AB599" s="441">
        <f t="shared" si="64"/>
        <v>4954.9549549549547</v>
      </c>
      <c r="AC599" s="442">
        <f t="shared" si="65"/>
        <v>9909.9099099099094</v>
      </c>
      <c r="AD599" s="437">
        <v>1000000</v>
      </c>
      <c r="AE599" s="447">
        <v>4014414.4144144151</v>
      </c>
      <c r="AF599" s="447">
        <v>4456000</v>
      </c>
      <c r="AG599" s="437">
        <v>1000000</v>
      </c>
      <c r="AH599" s="271" t="s">
        <v>2101</v>
      </c>
    </row>
    <row r="600" spans="1:34">
      <c r="A600" s="350">
        <v>329</v>
      </c>
      <c r="B600" s="352" t="s">
        <v>1314</v>
      </c>
      <c r="C600" s="352" t="s">
        <v>704</v>
      </c>
      <c r="D600" s="355" t="s">
        <v>705</v>
      </c>
      <c r="E600" s="367">
        <v>45139</v>
      </c>
      <c r="F600" s="367">
        <v>45139</v>
      </c>
      <c r="G600" s="367">
        <v>45139</v>
      </c>
      <c r="H600" s="367">
        <v>45139</v>
      </c>
      <c r="I600" s="394">
        <v>45166</v>
      </c>
      <c r="J600" s="387" t="s">
        <v>256</v>
      </c>
      <c r="K600" s="388" t="s">
        <v>727</v>
      </c>
      <c r="L600" s="402">
        <v>1</v>
      </c>
      <c r="M600" s="352" t="s">
        <v>728</v>
      </c>
      <c r="N600" s="403">
        <v>21000</v>
      </c>
      <c r="O600" s="404">
        <v>21000</v>
      </c>
      <c r="P600" s="272">
        <v>9</v>
      </c>
      <c r="Q600" s="429" t="s">
        <v>127</v>
      </c>
      <c r="R600" s="437">
        <v>270000</v>
      </c>
      <c r="S600" s="274">
        <f t="shared" si="62"/>
        <v>23000</v>
      </c>
      <c r="T600" s="439" t="s">
        <v>227</v>
      </c>
      <c r="U600" s="460" t="str">
        <f t="shared" si="63"/>
        <v/>
      </c>
      <c r="V600" s="439" t="s">
        <v>1248</v>
      </c>
      <c r="W600" s="439" t="s">
        <v>540</v>
      </c>
      <c r="X600" s="454" t="s">
        <v>1315</v>
      </c>
      <c r="Y600" s="439" t="s">
        <v>710</v>
      </c>
      <c r="Z600" s="616" t="s">
        <v>710</v>
      </c>
      <c r="AA600" s="440" t="s">
        <v>488</v>
      </c>
      <c r="AB600" s="441">
        <f t="shared" si="64"/>
        <v>18918.91891891892</v>
      </c>
      <c r="AC600" s="442">
        <f t="shared" si="65"/>
        <v>18918.91891891892</v>
      </c>
      <c r="AD600" s="437">
        <v>270000</v>
      </c>
      <c r="AE600" s="447">
        <v>4014414.4144144151</v>
      </c>
      <c r="AF600" s="447">
        <v>4456000</v>
      </c>
      <c r="AG600" s="437">
        <v>270000</v>
      </c>
      <c r="AH600" s="271" t="s">
        <v>2101</v>
      </c>
    </row>
    <row r="601" spans="1:34" ht="25">
      <c r="A601" s="350">
        <v>329</v>
      </c>
      <c r="B601" s="352" t="s">
        <v>1314</v>
      </c>
      <c r="C601" s="352" t="s">
        <v>704</v>
      </c>
      <c r="D601" s="355" t="s">
        <v>705</v>
      </c>
      <c r="E601" s="367">
        <v>45139</v>
      </c>
      <c r="F601" s="367">
        <v>45139</v>
      </c>
      <c r="G601" s="367">
        <v>45139</v>
      </c>
      <c r="H601" s="367">
        <v>45139</v>
      </c>
      <c r="I601" s="394">
        <v>45166</v>
      </c>
      <c r="J601" s="387" t="s">
        <v>251</v>
      </c>
      <c r="K601" s="388" t="s">
        <v>907</v>
      </c>
      <c r="L601" s="402">
        <v>2</v>
      </c>
      <c r="M601" s="352" t="s">
        <v>735</v>
      </c>
      <c r="N601" s="403">
        <v>70000</v>
      </c>
      <c r="O601" s="404">
        <v>140000</v>
      </c>
      <c r="P601" s="272">
        <v>9</v>
      </c>
      <c r="Q601" s="429" t="s">
        <v>911</v>
      </c>
      <c r="R601" s="437">
        <v>15000</v>
      </c>
      <c r="S601" s="274">
        <f t="shared" si="62"/>
        <v>144000</v>
      </c>
      <c r="T601" s="439" t="s">
        <v>227</v>
      </c>
      <c r="U601" s="460" t="str">
        <f t="shared" si="63"/>
        <v/>
      </c>
      <c r="V601" s="439" t="s">
        <v>1248</v>
      </c>
      <c r="W601" s="439" t="s">
        <v>540</v>
      </c>
      <c r="X601" s="454" t="s">
        <v>1315</v>
      </c>
      <c r="Y601" s="439" t="s">
        <v>710</v>
      </c>
      <c r="Z601" s="616" t="s">
        <v>710</v>
      </c>
      <c r="AA601" s="440" t="s">
        <v>772</v>
      </c>
      <c r="AB601" s="441">
        <f t="shared" si="64"/>
        <v>63063.063063063062</v>
      </c>
      <c r="AC601" s="442">
        <f t="shared" si="65"/>
        <v>126126.12612612612</v>
      </c>
      <c r="AD601" s="437">
        <v>15000</v>
      </c>
      <c r="AE601" s="447">
        <v>4014414.4144144151</v>
      </c>
      <c r="AF601" s="447">
        <v>4456000</v>
      </c>
      <c r="AG601" s="437">
        <v>15000</v>
      </c>
      <c r="AH601" s="271" t="s">
        <v>2101</v>
      </c>
    </row>
    <row r="602" spans="1:34">
      <c r="A602" s="350">
        <v>329</v>
      </c>
      <c r="B602" s="352" t="s">
        <v>1314</v>
      </c>
      <c r="C602" s="352" t="s">
        <v>704</v>
      </c>
      <c r="D602" s="355" t="s">
        <v>705</v>
      </c>
      <c r="E602" s="367">
        <v>45139</v>
      </c>
      <c r="F602" s="367">
        <v>45139</v>
      </c>
      <c r="G602" s="367">
        <v>45139</v>
      </c>
      <c r="H602" s="367">
        <v>45139</v>
      </c>
      <c r="I602" s="394">
        <v>45166</v>
      </c>
      <c r="J602" s="387" t="s">
        <v>711</v>
      </c>
      <c r="K602" s="387" t="s">
        <v>746</v>
      </c>
      <c r="L602" s="402">
        <v>1</v>
      </c>
      <c r="M602" s="352" t="s">
        <v>488</v>
      </c>
      <c r="N602" s="403">
        <v>11500</v>
      </c>
      <c r="O602" s="404">
        <v>11500</v>
      </c>
      <c r="P602" s="272">
        <v>9</v>
      </c>
      <c r="Q602" s="429" t="s">
        <v>106</v>
      </c>
      <c r="R602" s="437">
        <v>260000</v>
      </c>
      <c r="S602" s="274">
        <f t="shared" si="62"/>
        <v>13500</v>
      </c>
      <c r="T602" s="439" t="s">
        <v>227</v>
      </c>
      <c r="U602" s="460" t="str">
        <f t="shared" si="63"/>
        <v/>
      </c>
      <c r="V602" s="439" t="s">
        <v>1248</v>
      </c>
      <c r="W602" s="439" t="s">
        <v>540</v>
      </c>
      <c r="X602" s="454" t="s">
        <v>1315</v>
      </c>
      <c r="Y602" s="275" t="s">
        <v>710</v>
      </c>
      <c r="Z602" s="616" t="s">
        <v>710</v>
      </c>
      <c r="AA602" s="440" t="s">
        <v>551</v>
      </c>
      <c r="AB602" s="441">
        <f t="shared" si="64"/>
        <v>10360.360360360361</v>
      </c>
      <c r="AC602" s="442">
        <f t="shared" si="65"/>
        <v>10360.360360360361</v>
      </c>
      <c r="AD602" s="437">
        <v>260000</v>
      </c>
      <c r="AE602" s="447">
        <v>4014414.4144144151</v>
      </c>
      <c r="AF602" s="447">
        <v>4456000</v>
      </c>
      <c r="AG602" s="437">
        <v>260000</v>
      </c>
      <c r="AH602" s="271" t="s">
        <v>2101</v>
      </c>
    </row>
    <row r="603" spans="1:34" ht="37.5">
      <c r="A603" s="350">
        <v>329</v>
      </c>
      <c r="B603" s="352" t="s">
        <v>1314</v>
      </c>
      <c r="C603" s="352" t="s">
        <v>704</v>
      </c>
      <c r="D603" s="355" t="s">
        <v>705</v>
      </c>
      <c r="E603" s="367">
        <v>45139</v>
      </c>
      <c r="F603" s="367">
        <v>45139</v>
      </c>
      <c r="G603" s="367">
        <v>45139</v>
      </c>
      <c r="H603" s="367">
        <v>45139</v>
      </c>
      <c r="I603" s="394">
        <v>45166</v>
      </c>
      <c r="J603" s="387" t="s">
        <v>247</v>
      </c>
      <c r="K603" s="387" t="s">
        <v>247</v>
      </c>
      <c r="L603" s="402">
        <v>20</v>
      </c>
      <c r="M603" s="352" t="s">
        <v>735</v>
      </c>
      <c r="N603" s="403">
        <v>50000</v>
      </c>
      <c r="O603" s="404">
        <v>1000000</v>
      </c>
      <c r="P603" s="272">
        <v>9</v>
      </c>
      <c r="Q603" s="429" t="s">
        <v>120</v>
      </c>
      <c r="R603" s="437">
        <v>190000</v>
      </c>
      <c r="S603" s="274">
        <f t="shared" si="62"/>
        <v>1040000</v>
      </c>
      <c r="T603" s="439" t="s">
        <v>227</v>
      </c>
      <c r="U603" s="460" t="str">
        <f t="shared" si="63"/>
        <v/>
      </c>
      <c r="V603" s="439" t="s">
        <v>1248</v>
      </c>
      <c r="W603" s="439" t="s">
        <v>540</v>
      </c>
      <c r="X603" s="454" t="s">
        <v>1315</v>
      </c>
      <c r="Y603" s="275" t="s">
        <v>710</v>
      </c>
      <c r="Z603" s="616" t="s">
        <v>710</v>
      </c>
      <c r="AA603" s="440" t="s">
        <v>488</v>
      </c>
      <c r="AB603" s="441">
        <f t="shared" si="64"/>
        <v>45045.045045045044</v>
      </c>
      <c r="AC603" s="442">
        <f t="shared" si="65"/>
        <v>900900.90090090083</v>
      </c>
      <c r="AD603" s="437">
        <v>190000</v>
      </c>
      <c r="AE603" s="447">
        <v>4014414.4144144151</v>
      </c>
      <c r="AF603" s="447">
        <v>4456000</v>
      </c>
      <c r="AG603" s="437">
        <v>190000</v>
      </c>
      <c r="AH603" s="271" t="s">
        <v>2101</v>
      </c>
    </row>
    <row r="604" spans="1:34">
      <c r="A604" s="350">
        <v>329</v>
      </c>
      <c r="B604" s="352" t="s">
        <v>1314</v>
      </c>
      <c r="C604" s="352" t="s">
        <v>704</v>
      </c>
      <c r="D604" s="355" t="s">
        <v>705</v>
      </c>
      <c r="E604" s="367">
        <v>45139</v>
      </c>
      <c r="F604" s="367">
        <v>45139</v>
      </c>
      <c r="G604" s="367">
        <v>45139</v>
      </c>
      <c r="H604" s="367">
        <v>45139</v>
      </c>
      <c r="I604" s="394">
        <v>45166</v>
      </c>
      <c r="J604" s="387" t="s">
        <v>249</v>
      </c>
      <c r="K604" s="387" t="s">
        <v>888</v>
      </c>
      <c r="L604" s="402">
        <v>1</v>
      </c>
      <c r="M604" s="352" t="s">
        <v>749</v>
      </c>
      <c r="N604" s="403">
        <v>21000</v>
      </c>
      <c r="O604" s="404">
        <v>21000</v>
      </c>
      <c r="P604" s="272">
        <v>9</v>
      </c>
      <c r="Q604" s="429" t="s">
        <v>909</v>
      </c>
      <c r="R604" s="437">
        <v>5000</v>
      </c>
      <c r="S604" s="274">
        <f t="shared" si="62"/>
        <v>23000</v>
      </c>
      <c r="T604" s="439" t="s">
        <v>227</v>
      </c>
      <c r="U604" s="460" t="str">
        <f t="shared" si="63"/>
        <v/>
      </c>
      <c r="V604" s="439" t="s">
        <v>1248</v>
      </c>
      <c r="W604" s="439" t="s">
        <v>540</v>
      </c>
      <c r="X604" s="454" t="s">
        <v>1315</v>
      </c>
      <c r="Y604" s="275" t="s">
        <v>710</v>
      </c>
      <c r="Z604" s="449" t="s">
        <v>710</v>
      </c>
      <c r="AA604" s="440" t="s">
        <v>667</v>
      </c>
      <c r="AB604" s="441">
        <f t="shared" si="64"/>
        <v>18918.91891891892</v>
      </c>
      <c r="AC604" s="442">
        <f t="shared" si="65"/>
        <v>18918.91891891892</v>
      </c>
      <c r="AD604" s="437">
        <v>5000</v>
      </c>
      <c r="AE604" s="447">
        <v>4014414.4144144151</v>
      </c>
      <c r="AF604" s="447">
        <v>4456000</v>
      </c>
      <c r="AG604" s="437">
        <v>5000</v>
      </c>
      <c r="AH604" s="271" t="s">
        <v>2101</v>
      </c>
    </row>
    <row r="605" spans="1:34">
      <c r="A605" s="350">
        <v>329</v>
      </c>
      <c r="B605" s="352" t="s">
        <v>1314</v>
      </c>
      <c r="C605" s="352" t="s">
        <v>704</v>
      </c>
      <c r="D605" s="355" t="s">
        <v>705</v>
      </c>
      <c r="E605" s="367">
        <v>45139</v>
      </c>
      <c r="F605" s="367">
        <v>45139</v>
      </c>
      <c r="G605" s="367">
        <v>45139</v>
      </c>
      <c r="H605" s="367">
        <v>45139</v>
      </c>
      <c r="I605" s="394">
        <v>45166</v>
      </c>
      <c r="J605" s="387" t="s">
        <v>239</v>
      </c>
      <c r="K605" s="387" t="s">
        <v>239</v>
      </c>
      <c r="L605" s="402">
        <v>1</v>
      </c>
      <c r="M605" s="352" t="s">
        <v>597</v>
      </c>
      <c r="N605" s="403">
        <v>16500</v>
      </c>
      <c r="O605" s="404">
        <v>16500</v>
      </c>
      <c r="P605" s="272">
        <v>9</v>
      </c>
      <c r="Q605" s="429" t="s">
        <v>150</v>
      </c>
      <c r="R605" s="437">
        <v>240000</v>
      </c>
      <c r="S605" s="274">
        <f t="shared" si="62"/>
        <v>18500</v>
      </c>
      <c r="T605" s="439" t="s">
        <v>227</v>
      </c>
      <c r="U605" s="460" t="str">
        <f t="shared" si="63"/>
        <v/>
      </c>
      <c r="V605" s="439" t="s">
        <v>1248</v>
      </c>
      <c r="W605" s="439" t="s">
        <v>540</v>
      </c>
      <c r="X605" s="454" t="s">
        <v>1315</v>
      </c>
      <c r="Y605" s="275" t="s">
        <v>710</v>
      </c>
      <c r="Z605" s="449" t="s">
        <v>710</v>
      </c>
      <c r="AA605" s="440" t="s">
        <v>753</v>
      </c>
      <c r="AB605" s="441">
        <f t="shared" si="64"/>
        <v>14864.864864864865</v>
      </c>
      <c r="AC605" s="442">
        <f t="shared" si="65"/>
        <v>14864.864864864865</v>
      </c>
      <c r="AD605" s="437">
        <v>240000</v>
      </c>
      <c r="AE605" s="447">
        <v>4014414.4144144151</v>
      </c>
      <c r="AF605" s="447">
        <v>4456000</v>
      </c>
      <c r="AG605" s="437">
        <v>240000</v>
      </c>
      <c r="AH605" s="271" t="s">
        <v>2101</v>
      </c>
    </row>
    <row r="606" spans="1:34">
      <c r="A606" s="350">
        <v>329</v>
      </c>
      <c r="B606" s="352" t="s">
        <v>1314</v>
      </c>
      <c r="C606" s="352" t="s">
        <v>704</v>
      </c>
      <c r="D606" s="355" t="s">
        <v>705</v>
      </c>
      <c r="E606" s="367">
        <v>45139</v>
      </c>
      <c r="F606" s="367">
        <v>45139</v>
      </c>
      <c r="G606" s="367">
        <v>45139</v>
      </c>
      <c r="H606" s="367">
        <v>45139</v>
      </c>
      <c r="I606" s="394">
        <v>45166</v>
      </c>
      <c r="J606" s="389" t="s">
        <v>234</v>
      </c>
      <c r="K606" s="389" t="s">
        <v>234</v>
      </c>
      <c r="L606" s="402">
        <v>1</v>
      </c>
      <c r="M606" s="352" t="s">
        <v>714</v>
      </c>
      <c r="N606" s="403">
        <v>225000</v>
      </c>
      <c r="O606" s="404">
        <v>225000</v>
      </c>
      <c r="P606" s="272">
        <v>9</v>
      </c>
      <c r="Q606" s="429" t="s">
        <v>157</v>
      </c>
      <c r="R606" s="437">
        <v>84000</v>
      </c>
      <c r="S606" s="274">
        <f t="shared" si="62"/>
        <v>227000</v>
      </c>
      <c r="T606" s="439" t="s">
        <v>227</v>
      </c>
      <c r="U606" s="460" t="str">
        <f t="shared" si="63"/>
        <v/>
      </c>
      <c r="V606" s="439" t="s">
        <v>1248</v>
      </c>
      <c r="W606" s="439" t="s">
        <v>540</v>
      </c>
      <c r="X606" s="454" t="s">
        <v>1315</v>
      </c>
      <c r="Y606" s="275" t="s">
        <v>710</v>
      </c>
      <c r="Z606" s="449" t="s">
        <v>710</v>
      </c>
      <c r="AA606" s="440" t="s">
        <v>597</v>
      </c>
      <c r="AB606" s="441">
        <f t="shared" si="64"/>
        <v>202702.70270270269</v>
      </c>
      <c r="AC606" s="442">
        <f t="shared" si="65"/>
        <v>202702.70270270269</v>
      </c>
      <c r="AD606" s="437">
        <v>84000</v>
      </c>
      <c r="AE606" s="447">
        <v>4014414.4144144151</v>
      </c>
      <c r="AF606" s="447">
        <v>4456000</v>
      </c>
      <c r="AG606" s="437">
        <v>84000</v>
      </c>
      <c r="AH606" s="271" t="s">
        <v>2101</v>
      </c>
    </row>
    <row r="607" spans="1:34">
      <c r="A607" s="350">
        <v>329</v>
      </c>
      <c r="B607" s="352" t="s">
        <v>1314</v>
      </c>
      <c r="C607" s="352" t="s">
        <v>704</v>
      </c>
      <c r="D607" s="355" t="s">
        <v>705</v>
      </c>
      <c r="E607" s="367">
        <v>45139</v>
      </c>
      <c r="F607" s="367">
        <v>45139</v>
      </c>
      <c r="G607" s="367">
        <v>45139</v>
      </c>
      <c r="H607" s="367">
        <v>45139</v>
      </c>
      <c r="I607" s="394">
        <v>45166</v>
      </c>
      <c r="J607" s="387" t="s">
        <v>262</v>
      </c>
      <c r="K607" s="388" t="s">
        <v>744</v>
      </c>
      <c r="L607" s="402">
        <v>1</v>
      </c>
      <c r="M607" s="352" t="s">
        <v>714</v>
      </c>
      <c r="N607" s="403">
        <v>150000</v>
      </c>
      <c r="O607" s="404">
        <v>150000</v>
      </c>
      <c r="P607" s="272">
        <v>9</v>
      </c>
      <c r="Q607" s="429" t="s">
        <v>112</v>
      </c>
      <c r="R607" s="437">
        <v>11000</v>
      </c>
      <c r="S607" s="274">
        <f t="shared" si="62"/>
        <v>152000</v>
      </c>
      <c r="T607" s="439" t="s">
        <v>227</v>
      </c>
      <c r="U607" s="460" t="str">
        <f t="shared" si="63"/>
        <v/>
      </c>
      <c r="V607" s="439" t="s">
        <v>1248</v>
      </c>
      <c r="W607" s="439" t="s">
        <v>540</v>
      </c>
      <c r="X607" s="454" t="s">
        <v>1315</v>
      </c>
      <c r="Y607" s="275" t="s">
        <v>710</v>
      </c>
      <c r="Z607" s="449" t="s">
        <v>710</v>
      </c>
      <c r="AA607" s="440" t="s">
        <v>756</v>
      </c>
      <c r="AB607" s="441">
        <f t="shared" si="64"/>
        <v>135135.13513513515</v>
      </c>
      <c r="AC607" s="442">
        <f t="shared" si="65"/>
        <v>135135.13513513515</v>
      </c>
      <c r="AD607" s="437">
        <v>11000</v>
      </c>
      <c r="AE607" s="447">
        <v>4014414.4144144151</v>
      </c>
      <c r="AF607" s="447">
        <v>4456000</v>
      </c>
      <c r="AG607" s="437">
        <v>11000</v>
      </c>
      <c r="AH607" s="271" t="s">
        <v>2101</v>
      </c>
    </row>
    <row r="608" spans="1:34">
      <c r="A608" s="350">
        <v>329</v>
      </c>
      <c r="B608" s="352" t="s">
        <v>1314</v>
      </c>
      <c r="C608" s="352" t="s">
        <v>704</v>
      </c>
      <c r="D608" s="355" t="s">
        <v>705</v>
      </c>
      <c r="E608" s="367">
        <v>45139</v>
      </c>
      <c r="F608" s="367">
        <v>45139</v>
      </c>
      <c r="G608" s="367">
        <v>45139</v>
      </c>
      <c r="H608" s="367">
        <v>45139</v>
      </c>
      <c r="I608" s="394">
        <v>45166</v>
      </c>
      <c r="J608" s="387" t="s">
        <v>711</v>
      </c>
      <c r="K608" s="387" t="s">
        <v>712</v>
      </c>
      <c r="L608" s="402">
        <v>1</v>
      </c>
      <c r="M608" s="352" t="s">
        <v>488</v>
      </c>
      <c r="N608" s="403">
        <v>14000</v>
      </c>
      <c r="O608" s="404">
        <v>14000</v>
      </c>
      <c r="P608" s="272">
        <v>9</v>
      </c>
      <c r="Q608" s="429" t="s">
        <v>100</v>
      </c>
      <c r="R608" s="437">
        <v>26000</v>
      </c>
      <c r="S608" s="274">
        <f t="shared" si="62"/>
        <v>16000</v>
      </c>
      <c r="T608" s="439" t="s">
        <v>227</v>
      </c>
      <c r="U608" s="460" t="str">
        <f t="shared" si="63"/>
        <v/>
      </c>
      <c r="V608" s="439" t="s">
        <v>1248</v>
      </c>
      <c r="W608" s="439" t="s">
        <v>540</v>
      </c>
      <c r="X608" s="454" t="s">
        <v>1315</v>
      </c>
      <c r="Y608" s="275" t="s">
        <v>710</v>
      </c>
      <c r="Z608" s="449" t="s">
        <v>710</v>
      </c>
      <c r="AA608" s="440" t="s">
        <v>714</v>
      </c>
      <c r="AB608" s="441">
        <f t="shared" si="64"/>
        <v>12612.612612612613</v>
      </c>
      <c r="AC608" s="442">
        <f t="shared" si="65"/>
        <v>12612.612612612613</v>
      </c>
      <c r="AD608" s="437">
        <v>26000</v>
      </c>
      <c r="AE608" s="447">
        <v>4014414.4144144151</v>
      </c>
      <c r="AF608" s="447">
        <v>4456000</v>
      </c>
      <c r="AG608" s="437">
        <v>26000</v>
      </c>
      <c r="AH608" s="271" t="s">
        <v>2101</v>
      </c>
    </row>
    <row r="609" spans="1:36">
      <c r="A609" s="350">
        <v>329</v>
      </c>
      <c r="B609" s="352" t="s">
        <v>1314</v>
      </c>
      <c r="C609" s="352" t="s">
        <v>704</v>
      </c>
      <c r="D609" s="355" t="s">
        <v>705</v>
      </c>
      <c r="E609" s="367">
        <v>45139</v>
      </c>
      <c r="F609" s="367">
        <v>45139</v>
      </c>
      <c r="G609" s="367">
        <v>45139</v>
      </c>
      <c r="H609" s="367">
        <v>45139</v>
      </c>
      <c r="I609" s="394">
        <v>45166</v>
      </c>
      <c r="J609" s="389" t="s">
        <v>233</v>
      </c>
      <c r="K609" s="389" t="s">
        <v>233</v>
      </c>
      <c r="L609" s="402">
        <v>1</v>
      </c>
      <c r="M609" s="352" t="s">
        <v>714</v>
      </c>
      <c r="N609" s="403">
        <v>97000</v>
      </c>
      <c r="O609" s="404">
        <v>97000</v>
      </c>
      <c r="P609" s="272">
        <v>9</v>
      </c>
      <c r="Q609" s="492" t="s">
        <v>101</v>
      </c>
      <c r="R609" s="437">
        <v>97000</v>
      </c>
      <c r="S609" s="274">
        <f t="shared" si="62"/>
        <v>99000</v>
      </c>
      <c r="T609" s="439" t="s">
        <v>227</v>
      </c>
      <c r="U609" s="460" t="str">
        <f t="shared" si="63"/>
        <v/>
      </c>
      <c r="V609" s="439" t="s">
        <v>1248</v>
      </c>
      <c r="W609" s="439" t="s">
        <v>540</v>
      </c>
      <c r="X609" s="454" t="s">
        <v>1315</v>
      </c>
      <c r="Y609" s="275" t="s">
        <v>710</v>
      </c>
      <c r="Z609" s="449" t="s">
        <v>710</v>
      </c>
      <c r="AA609" s="440" t="s">
        <v>597</v>
      </c>
      <c r="AB609" s="441">
        <f t="shared" si="64"/>
        <v>87387.387387387382</v>
      </c>
      <c r="AC609" s="442">
        <f t="shared" si="65"/>
        <v>87387.387387387382</v>
      </c>
      <c r="AD609" s="437">
        <v>97000</v>
      </c>
      <c r="AE609" s="447">
        <v>4014414.4144144151</v>
      </c>
      <c r="AF609" s="447">
        <v>4456000</v>
      </c>
      <c r="AG609" s="437">
        <v>97000</v>
      </c>
      <c r="AH609" s="271" t="s">
        <v>2101</v>
      </c>
    </row>
    <row r="610" spans="1:36">
      <c r="A610" s="350">
        <v>329</v>
      </c>
      <c r="B610" s="352" t="s">
        <v>1314</v>
      </c>
      <c r="C610" s="352" t="s">
        <v>704</v>
      </c>
      <c r="D610" s="355" t="s">
        <v>705</v>
      </c>
      <c r="E610" s="367">
        <v>45139</v>
      </c>
      <c r="F610" s="367">
        <v>45139</v>
      </c>
      <c r="G610" s="367">
        <v>45139</v>
      </c>
      <c r="H610" s="367">
        <v>45139</v>
      </c>
      <c r="I610" s="394">
        <v>45166</v>
      </c>
      <c r="J610" s="387" t="s">
        <v>779</v>
      </c>
      <c r="K610" s="388" t="s">
        <v>906</v>
      </c>
      <c r="L610" s="402">
        <v>1</v>
      </c>
      <c r="M610" s="352" t="s">
        <v>753</v>
      </c>
      <c r="N610" s="403">
        <v>75000</v>
      </c>
      <c r="O610" s="404">
        <v>75000</v>
      </c>
      <c r="P610" s="272">
        <v>9</v>
      </c>
      <c r="Q610" s="429" t="s">
        <v>108</v>
      </c>
      <c r="R610" s="437">
        <v>15000</v>
      </c>
      <c r="S610" s="274">
        <f t="shared" si="62"/>
        <v>77000</v>
      </c>
      <c r="T610" s="439" t="s">
        <v>227</v>
      </c>
      <c r="U610" s="460" t="str">
        <f t="shared" si="63"/>
        <v/>
      </c>
      <c r="V610" s="439" t="s">
        <v>1248</v>
      </c>
      <c r="W610" s="439" t="s">
        <v>540</v>
      </c>
      <c r="X610" s="454" t="s">
        <v>1315</v>
      </c>
      <c r="Y610" s="275" t="s">
        <v>710</v>
      </c>
      <c r="Z610" s="449" t="s">
        <v>710</v>
      </c>
      <c r="AA610" s="440" t="s">
        <v>488</v>
      </c>
      <c r="AB610" s="441">
        <f t="shared" si="64"/>
        <v>67567.567567567574</v>
      </c>
      <c r="AC610" s="442">
        <f t="shared" si="65"/>
        <v>67567.567567567574</v>
      </c>
      <c r="AD610" s="437">
        <v>15000</v>
      </c>
      <c r="AE610" s="447">
        <v>4014414.4144144151</v>
      </c>
      <c r="AF610" s="447">
        <v>4456000</v>
      </c>
      <c r="AG610" s="437">
        <v>15000</v>
      </c>
      <c r="AH610" s="271" t="s">
        <v>2101</v>
      </c>
    </row>
    <row r="611" spans="1:36">
      <c r="A611" s="350">
        <v>329</v>
      </c>
      <c r="B611" s="352" t="s">
        <v>1314</v>
      </c>
      <c r="C611" s="352" t="s">
        <v>704</v>
      </c>
      <c r="D611" s="355" t="s">
        <v>705</v>
      </c>
      <c r="E611" s="367">
        <v>45139</v>
      </c>
      <c r="F611" s="367">
        <v>45139</v>
      </c>
      <c r="G611" s="367">
        <v>45139</v>
      </c>
      <c r="H611" s="367">
        <v>45139</v>
      </c>
      <c r="I611" s="394">
        <v>45166</v>
      </c>
      <c r="J611" s="389" t="s">
        <v>755</v>
      </c>
      <c r="K611" s="389" t="s">
        <v>755</v>
      </c>
      <c r="L611" s="402">
        <v>1</v>
      </c>
      <c r="M611" s="352" t="s">
        <v>756</v>
      </c>
      <c r="N611" s="403">
        <v>26000</v>
      </c>
      <c r="O611" s="404">
        <v>26000</v>
      </c>
      <c r="P611" s="272">
        <v>9</v>
      </c>
      <c r="Q611" s="429" t="s">
        <v>154</v>
      </c>
      <c r="R611" s="437">
        <v>450000</v>
      </c>
      <c r="S611" s="274">
        <f t="shared" si="62"/>
        <v>28000</v>
      </c>
      <c r="T611" s="439" t="s">
        <v>227</v>
      </c>
      <c r="U611" s="460" t="str">
        <f t="shared" si="63"/>
        <v/>
      </c>
      <c r="V611" s="439" t="s">
        <v>1248</v>
      </c>
      <c r="W611" s="439" t="s">
        <v>540</v>
      </c>
      <c r="X611" s="454" t="s">
        <v>1315</v>
      </c>
      <c r="Y611" s="275" t="s">
        <v>710</v>
      </c>
      <c r="Z611" s="449" t="s">
        <v>710</v>
      </c>
      <c r="AA611" s="440" t="s">
        <v>714</v>
      </c>
      <c r="AB611" s="441">
        <f t="shared" si="64"/>
        <v>23423.423423423425</v>
      </c>
      <c r="AC611" s="442">
        <f t="shared" si="65"/>
        <v>23423.423423423425</v>
      </c>
      <c r="AD611" s="437">
        <v>450000</v>
      </c>
      <c r="AE611" s="447">
        <v>4014414.4144144151</v>
      </c>
      <c r="AF611" s="447">
        <v>4456000</v>
      </c>
      <c r="AG611" s="437">
        <v>450000</v>
      </c>
      <c r="AH611" s="271" t="s">
        <v>2101</v>
      </c>
    </row>
    <row r="612" spans="1:36">
      <c r="A612" s="350">
        <v>329</v>
      </c>
      <c r="B612" s="352" t="s">
        <v>1314</v>
      </c>
      <c r="C612" s="352" t="s">
        <v>704</v>
      </c>
      <c r="D612" s="355" t="s">
        <v>705</v>
      </c>
      <c r="E612" s="367">
        <v>45139</v>
      </c>
      <c r="F612" s="367">
        <v>45139</v>
      </c>
      <c r="G612" s="367">
        <v>45139</v>
      </c>
      <c r="H612" s="367">
        <v>45139</v>
      </c>
      <c r="I612" s="394">
        <v>45166</v>
      </c>
      <c r="J612" s="387" t="s">
        <v>264</v>
      </c>
      <c r="K612" s="387" t="s">
        <v>882</v>
      </c>
      <c r="L612" s="402">
        <v>1</v>
      </c>
      <c r="M612" s="352" t="s">
        <v>753</v>
      </c>
      <c r="N612" s="403">
        <v>42000</v>
      </c>
      <c r="O612" s="404">
        <v>42000</v>
      </c>
      <c r="P612" s="272">
        <v>9</v>
      </c>
      <c r="Q612" s="429" t="s">
        <v>102</v>
      </c>
      <c r="R612" s="437">
        <v>225000</v>
      </c>
      <c r="S612" s="274">
        <f t="shared" si="62"/>
        <v>44000</v>
      </c>
      <c r="T612" s="439" t="s">
        <v>227</v>
      </c>
      <c r="U612" s="460" t="str">
        <f t="shared" si="63"/>
        <v/>
      </c>
      <c r="V612" s="439" t="s">
        <v>1248</v>
      </c>
      <c r="W612" s="439" t="s">
        <v>540</v>
      </c>
      <c r="X612" s="454" t="s">
        <v>1315</v>
      </c>
      <c r="Y612" s="275" t="s">
        <v>710</v>
      </c>
      <c r="Z612" s="449" t="s">
        <v>710</v>
      </c>
      <c r="AA612" s="440" t="s">
        <v>714</v>
      </c>
      <c r="AB612" s="441">
        <f t="shared" si="64"/>
        <v>37837.83783783784</v>
      </c>
      <c r="AC612" s="442">
        <f t="shared" si="65"/>
        <v>37837.83783783784</v>
      </c>
      <c r="AD612" s="437">
        <v>225000</v>
      </c>
      <c r="AE612" s="447">
        <v>4014414.4144144151</v>
      </c>
      <c r="AF612" s="447">
        <v>4456000</v>
      </c>
      <c r="AG612" s="437">
        <v>225000</v>
      </c>
      <c r="AH612" s="271" t="s">
        <v>2101</v>
      </c>
    </row>
    <row r="613" spans="1:36" ht="25">
      <c r="A613" s="350">
        <v>329</v>
      </c>
      <c r="B613" s="352" t="s">
        <v>1314</v>
      </c>
      <c r="C613" s="352" t="s">
        <v>704</v>
      </c>
      <c r="D613" s="355" t="s">
        <v>705</v>
      </c>
      <c r="E613" s="367">
        <v>45139</v>
      </c>
      <c r="F613" s="367">
        <v>45139</v>
      </c>
      <c r="G613" s="367">
        <v>45139</v>
      </c>
      <c r="H613" s="367">
        <v>45139</v>
      </c>
      <c r="I613" s="394">
        <v>45166</v>
      </c>
      <c r="J613" s="387" t="s">
        <v>733</v>
      </c>
      <c r="K613" s="388" t="s">
        <v>734</v>
      </c>
      <c r="L613" s="402">
        <v>5</v>
      </c>
      <c r="M613" s="352" t="s">
        <v>735</v>
      </c>
      <c r="N613" s="403">
        <v>54000</v>
      </c>
      <c r="O613" s="404">
        <v>270000</v>
      </c>
      <c r="P613" s="272">
        <v>9</v>
      </c>
      <c r="Q613" s="429" t="s">
        <v>151</v>
      </c>
      <c r="R613" s="437">
        <v>150000</v>
      </c>
      <c r="S613" s="274">
        <f t="shared" si="62"/>
        <v>280000</v>
      </c>
      <c r="T613" s="439" t="s">
        <v>227</v>
      </c>
      <c r="U613" s="460" t="str">
        <f t="shared" si="63"/>
        <v/>
      </c>
      <c r="V613" s="439" t="s">
        <v>1248</v>
      </c>
      <c r="W613" s="439" t="s">
        <v>540</v>
      </c>
      <c r="X613" s="454" t="s">
        <v>1315</v>
      </c>
      <c r="Y613" s="275" t="s">
        <v>710</v>
      </c>
      <c r="Z613" s="449" t="s">
        <v>710</v>
      </c>
      <c r="AA613" s="440" t="s">
        <v>753</v>
      </c>
      <c r="AB613" s="441">
        <f t="shared" si="64"/>
        <v>48648.648648648646</v>
      </c>
      <c r="AC613" s="442">
        <f t="shared" si="65"/>
        <v>243243.24324324323</v>
      </c>
      <c r="AD613" s="437">
        <v>150000</v>
      </c>
      <c r="AE613" s="447">
        <v>4014414.4144144151</v>
      </c>
      <c r="AF613" s="447">
        <v>4456000</v>
      </c>
      <c r="AG613" s="437">
        <v>150000</v>
      </c>
      <c r="AH613" s="271" t="s">
        <v>2101</v>
      </c>
    </row>
    <row r="614" spans="1:36">
      <c r="A614" s="350">
        <v>329</v>
      </c>
      <c r="B614" s="352" t="s">
        <v>1314</v>
      </c>
      <c r="C614" s="352" t="s">
        <v>704</v>
      </c>
      <c r="D614" s="355" t="s">
        <v>705</v>
      </c>
      <c r="E614" s="367">
        <v>45139</v>
      </c>
      <c r="F614" s="367">
        <v>45139</v>
      </c>
      <c r="G614" s="367">
        <v>45139</v>
      </c>
      <c r="H614" s="367">
        <v>45139</v>
      </c>
      <c r="I614" s="394">
        <v>45166</v>
      </c>
      <c r="J614" s="387" t="s">
        <v>747</v>
      </c>
      <c r="K614" s="388" t="s">
        <v>886</v>
      </c>
      <c r="L614" s="402">
        <v>1</v>
      </c>
      <c r="M614" s="352" t="s">
        <v>488</v>
      </c>
      <c r="N614" s="403">
        <v>5000</v>
      </c>
      <c r="O614" s="404">
        <v>5000</v>
      </c>
      <c r="P614" s="272">
        <v>9</v>
      </c>
      <c r="Q614" s="429" t="s">
        <v>148</v>
      </c>
      <c r="R614" s="437">
        <v>35000</v>
      </c>
      <c r="S614" s="274">
        <f t="shared" si="62"/>
        <v>7000</v>
      </c>
      <c r="T614" s="439" t="s">
        <v>227</v>
      </c>
      <c r="U614" s="460" t="str">
        <f t="shared" si="63"/>
        <v/>
      </c>
      <c r="V614" s="439" t="s">
        <v>1248</v>
      </c>
      <c r="W614" s="439" t="s">
        <v>540</v>
      </c>
      <c r="X614" s="454" t="s">
        <v>1315</v>
      </c>
      <c r="Y614" s="275" t="s">
        <v>710</v>
      </c>
      <c r="Z614" s="449" t="s">
        <v>710</v>
      </c>
      <c r="AA614" s="440" t="s">
        <v>753</v>
      </c>
      <c r="AB614" s="441">
        <f t="shared" si="64"/>
        <v>4504.5045045045044</v>
      </c>
      <c r="AC614" s="442">
        <f t="shared" si="65"/>
        <v>4504.5045045045044</v>
      </c>
      <c r="AD614" s="437">
        <v>35000</v>
      </c>
      <c r="AE614" s="447">
        <v>4014414.4144144151</v>
      </c>
      <c r="AF614" s="447">
        <v>4456000</v>
      </c>
      <c r="AG614" s="437">
        <v>35000</v>
      </c>
      <c r="AH614" s="271" t="s">
        <v>2101</v>
      </c>
    </row>
    <row r="615" spans="1:36">
      <c r="A615" s="350">
        <v>329</v>
      </c>
      <c r="B615" s="352" t="s">
        <v>1314</v>
      </c>
      <c r="C615" s="352" t="s">
        <v>704</v>
      </c>
      <c r="D615" s="355" t="s">
        <v>705</v>
      </c>
      <c r="E615" s="367">
        <v>45139</v>
      </c>
      <c r="F615" s="367">
        <v>45139</v>
      </c>
      <c r="G615" s="367">
        <v>45139</v>
      </c>
      <c r="H615" s="367">
        <v>45139</v>
      </c>
      <c r="I615" s="394">
        <v>45166</v>
      </c>
      <c r="J615" s="387" t="s">
        <v>255</v>
      </c>
      <c r="K615" s="388" t="s">
        <v>889</v>
      </c>
      <c r="L615" s="402">
        <v>1</v>
      </c>
      <c r="M615" s="352" t="s">
        <v>728</v>
      </c>
      <c r="N615" s="403">
        <v>25000</v>
      </c>
      <c r="O615" s="404">
        <v>25000</v>
      </c>
      <c r="P615" s="272">
        <v>9</v>
      </c>
      <c r="Q615" s="429" t="s">
        <v>130</v>
      </c>
      <c r="R615" s="437">
        <v>75000</v>
      </c>
      <c r="S615" s="274">
        <f t="shared" si="62"/>
        <v>27000</v>
      </c>
      <c r="T615" s="439" t="s">
        <v>227</v>
      </c>
      <c r="U615" s="460" t="str">
        <f t="shared" si="63"/>
        <v/>
      </c>
      <c r="V615" s="439" t="s">
        <v>1248</v>
      </c>
      <c r="W615" s="439" t="s">
        <v>540</v>
      </c>
      <c r="X615" s="454" t="s">
        <v>1315</v>
      </c>
      <c r="Y615" s="275" t="s">
        <v>710</v>
      </c>
      <c r="Z615" s="616" t="s">
        <v>710</v>
      </c>
      <c r="AA615" s="440" t="s">
        <v>753</v>
      </c>
      <c r="AB615" s="441">
        <f t="shared" si="64"/>
        <v>22522.522522522522</v>
      </c>
      <c r="AC615" s="442">
        <f t="shared" si="65"/>
        <v>22522.522522522522</v>
      </c>
      <c r="AD615" s="437">
        <v>75000</v>
      </c>
      <c r="AE615" s="447">
        <v>4014414.4144144151</v>
      </c>
      <c r="AF615" s="447">
        <v>4456000</v>
      </c>
      <c r="AG615" s="437">
        <v>75000</v>
      </c>
      <c r="AH615" s="271" t="s">
        <v>2101</v>
      </c>
    </row>
    <row r="616" spans="1:36">
      <c r="A616" s="350">
        <v>329</v>
      </c>
      <c r="B616" s="352" t="s">
        <v>1314</v>
      </c>
      <c r="C616" s="352" t="s">
        <v>704</v>
      </c>
      <c r="D616" s="355" t="s">
        <v>705</v>
      </c>
      <c r="E616" s="367">
        <v>45139</v>
      </c>
      <c r="F616" s="367">
        <v>45139</v>
      </c>
      <c r="G616" s="367">
        <v>45139</v>
      </c>
      <c r="H616" s="367">
        <v>45139</v>
      </c>
      <c r="I616" s="394">
        <v>45166</v>
      </c>
      <c r="J616" s="387" t="s">
        <v>740</v>
      </c>
      <c r="K616" s="388" t="s">
        <v>741</v>
      </c>
      <c r="L616" s="402">
        <v>2</v>
      </c>
      <c r="M616" s="352" t="s">
        <v>488</v>
      </c>
      <c r="N616" s="403">
        <v>5500</v>
      </c>
      <c r="O616" s="404">
        <v>11000</v>
      </c>
      <c r="P616" s="272">
        <v>9</v>
      </c>
      <c r="Q616" s="429" t="s">
        <v>156</v>
      </c>
      <c r="R616" s="437">
        <v>60000</v>
      </c>
      <c r="S616" s="274">
        <f t="shared" si="62"/>
        <v>15000</v>
      </c>
      <c r="T616" s="439" t="s">
        <v>227</v>
      </c>
      <c r="U616" s="460" t="str">
        <f t="shared" si="63"/>
        <v/>
      </c>
      <c r="V616" s="439" t="s">
        <v>1248</v>
      </c>
      <c r="W616" s="439" t="s">
        <v>540</v>
      </c>
      <c r="X616" s="454" t="s">
        <v>1315</v>
      </c>
      <c r="Y616" s="275" t="s">
        <v>710</v>
      </c>
      <c r="Z616" s="616" t="s">
        <v>710</v>
      </c>
      <c r="AA616" s="440" t="s">
        <v>753</v>
      </c>
      <c r="AB616" s="441">
        <f t="shared" si="64"/>
        <v>4954.9549549549547</v>
      </c>
      <c r="AC616" s="442">
        <f t="shared" si="65"/>
        <v>9909.9099099099094</v>
      </c>
      <c r="AD616" s="437">
        <v>60000</v>
      </c>
      <c r="AE616" s="447">
        <v>4014414.4144144151</v>
      </c>
      <c r="AF616" s="447">
        <v>4456000</v>
      </c>
      <c r="AG616" s="437">
        <v>60000</v>
      </c>
      <c r="AH616" s="271" t="s">
        <v>2101</v>
      </c>
    </row>
    <row r="617" spans="1:36">
      <c r="A617" s="350">
        <v>330</v>
      </c>
      <c r="B617" s="352" t="s">
        <v>1316</v>
      </c>
      <c r="C617" s="352" t="s">
        <v>532</v>
      </c>
      <c r="D617" s="355" t="s">
        <v>533</v>
      </c>
      <c r="E617" s="367">
        <v>45139</v>
      </c>
      <c r="F617" s="364">
        <v>45140</v>
      </c>
      <c r="G617" s="364">
        <v>45140</v>
      </c>
      <c r="H617" s="364">
        <v>45140</v>
      </c>
      <c r="I617" s="394">
        <v>45166</v>
      </c>
      <c r="J617" s="387" t="s">
        <v>669</v>
      </c>
      <c r="K617" s="352" t="s">
        <v>536</v>
      </c>
      <c r="L617" s="402">
        <v>20</v>
      </c>
      <c r="M617" s="352" t="s">
        <v>488</v>
      </c>
      <c r="N617" s="403">
        <v>12000</v>
      </c>
      <c r="O617" s="404">
        <v>240000</v>
      </c>
      <c r="P617" s="272">
        <v>9</v>
      </c>
      <c r="Q617" s="429" t="s">
        <v>918</v>
      </c>
      <c r="R617" s="437">
        <v>25000</v>
      </c>
      <c r="S617" s="274">
        <f t="shared" si="62"/>
        <v>280000</v>
      </c>
      <c r="T617" s="439" t="s">
        <v>227</v>
      </c>
      <c r="U617" s="460" t="str">
        <f t="shared" si="63"/>
        <v/>
      </c>
      <c r="V617" s="439" t="s">
        <v>1248</v>
      </c>
      <c r="W617" s="439" t="s">
        <v>540</v>
      </c>
      <c r="X617" s="454" t="s">
        <v>1315</v>
      </c>
      <c r="Y617" s="275" t="s">
        <v>710</v>
      </c>
      <c r="Z617" s="616" t="s">
        <v>710</v>
      </c>
      <c r="AA617" s="440" t="s">
        <v>724</v>
      </c>
      <c r="AB617" s="441">
        <f t="shared" si="64"/>
        <v>10810.810810810812</v>
      </c>
      <c r="AC617" s="442">
        <f t="shared" si="65"/>
        <v>216216.21621621624</v>
      </c>
      <c r="AD617" s="437">
        <v>25000</v>
      </c>
      <c r="AE617" s="447">
        <v>4014414.4144144151</v>
      </c>
      <c r="AF617" s="447">
        <v>4456000</v>
      </c>
      <c r="AG617" s="437">
        <v>25000</v>
      </c>
      <c r="AH617" s="271" t="s">
        <v>2101</v>
      </c>
    </row>
    <row r="618" spans="1:36">
      <c r="A618" s="350">
        <v>330</v>
      </c>
      <c r="B618" s="352" t="s">
        <v>1316</v>
      </c>
      <c r="C618" s="352" t="s">
        <v>532</v>
      </c>
      <c r="D618" s="355" t="s">
        <v>533</v>
      </c>
      <c r="E618" s="368">
        <v>45139</v>
      </c>
      <c r="F618" s="362">
        <v>45140</v>
      </c>
      <c r="G618" s="362">
        <v>45140</v>
      </c>
      <c r="H618" s="362">
        <v>45140</v>
      </c>
      <c r="I618" s="394">
        <v>45166</v>
      </c>
      <c r="J618" s="387" t="s">
        <v>276</v>
      </c>
      <c r="K618" s="352" t="s">
        <v>276</v>
      </c>
      <c r="L618" s="402">
        <v>5</v>
      </c>
      <c r="M618" s="352" t="s">
        <v>551</v>
      </c>
      <c r="N618" s="403">
        <v>18000</v>
      </c>
      <c r="O618" s="404">
        <v>90000</v>
      </c>
      <c r="P618" s="272">
        <v>9</v>
      </c>
      <c r="Q618" s="429" t="s">
        <v>914</v>
      </c>
      <c r="R618" s="437">
        <v>45000</v>
      </c>
      <c r="S618" s="274">
        <f t="shared" si="62"/>
        <v>100000</v>
      </c>
      <c r="T618" s="439" t="s">
        <v>227</v>
      </c>
      <c r="U618" s="460" t="str">
        <f t="shared" si="63"/>
        <v/>
      </c>
      <c r="V618" s="439" t="s">
        <v>1248</v>
      </c>
      <c r="W618" s="439" t="s">
        <v>540</v>
      </c>
      <c r="X618" s="454" t="s">
        <v>1315</v>
      </c>
      <c r="Y618" s="275" t="s">
        <v>710</v>
      </c>
      <c r="Z618" s="616" t="s">
        <v>710</v>
      </c>
      <c r="AA618" s="440" t="s">
        <v>753</v>
      </c>
      <c r="AB618" s="441">
        <f t="shared" si="64"/>
        <v>16216.216216216217</v>
      </c>
      <c r="AC618" s="442">
        <f t="shared" si="65"/>
        <v>81081.08108108108</v>
      </c>
      <c r="AD618" s="437">
        <v>45000</v>
      </c>
      <c r="AE618" s="447">
        <v>4014414.4144144151</v>
      </c>
      <c r="AF618" s="447">
        <v>4456000</v>
      </c>
      <c r="AG618" s="437">
        <v>45000</v>
      </c>
      <c r="AH618" s="271" t="s">
        <v>2101</v>
      </c>
    </row>
    <row r="619" spans="1:36">
      <c r="A619" s="350">
        <v>331</v>
      </c>
      <c r="B619" s="352" t="s">
        <v>1399</v>
      </c>
      <c r="C619" s="352" t="s">
        <v>1026</v>
      </c>
      <c r="D619" s="355" t="s">
        <v>1027</v>
      </c>
      <c r="E619" s="362">
        <v>45140</v>
      </c>
      <c r="F619" s="362">
        <v>45141</v>
      </c>
      <c r="G619" s="362">
        <v>45141</v>
      </c>
      <c r="H619" s="362">
        <v>45141</v>
      </c>
      <c r="I619" s="394">
        <v>45199</v>
      </c>
      <c r="J619" s="387" t="s">
        <v>1028</v>
      </c>
      <c r="K619" s="387" t="s">
        <v>1029</v>
      </c>
      <c r="L619" s="402">
        <v>50</v>
      </c>
      <c r="M619" s="352" t="s">
        <v>574</v>
      </c>
      <c r="N619" s="403">
        <v>10000</v>
      </c>
      <c r="O619" s="404">
        <v>500000</v>
      </c>
      <c r="P619" s="272">
        <v>9</v>
      </c>
      <c r="Q619" s="492" t="s">
        <v>149</v>
      </c>
      <c r="R619" s="437">
        <v>325000</v>
      </c>
      <c r="S619" s="274">
        <f t="shared" si="62"/>
        <v>600000</v>
      </c>
      <c r="T619" s="439" t="s">
        <v>227</v>
      </c>
      <c r="U619" s="460" t="str">
        <f t="shared" si="63"/>
        <v/>
      </c>
      <c r="V619" s="439" t="s">
        <v>1248</v>
      </c>
      <c r="W619" s="439" t="s">
        <v>540</v>
      </c>
      <c r="X619" s="454" t="s">
        <v>1315</v>
      </c>
      <c r="Y619" s="275" t="s">
        <v>710</v>
      </c>
      <c r="Z619" s="616" t="s">
        <v>710</v>
      </c>
      <c r="AA619" s="440" t="s">
        <v>597</v>
      </c>
      <c r="AB619" s="441">
        <f t="shared" si="64"/>
        <v>9009.0090090090089</v>
      </c>
      <c r="AC619" s="442">
        <f t="shared" si="65"/>
        <v>450450.45045045041</v>
      </c>
      <c r="AD619" s="437">
        <v>325000</v>
      </c>
      <c r="AE619" s="447">
        <v>4014414.4144144151</v>
      </c>
      <c r="AF619" s="447">
        <v>4456000</v>
      </c>
      <c r="AG619" s="437">
        <v>325000</v>
      </c>
      <c r="AH619" s="271" t="s">
        <v>2101</v>
      </c>
    </row>
    <row r="620" spans="1:36" ht="25">
      <c r="A620" s="350">
        <v>332</v>
      </c>
      <c r="B620" s="352" t="s">
        <v>1317</v>
      </c>
      <c r="C620" s="352" t="s">
        <v>1060</v>
      </c>
      <c r="D620" s="355" t="s">
        <v>464</v>
      </c>
      <c r="E620" s="367">
        <v>45142</v>
      </c>
      <c r="F620" s="364">
        <v>45143</v>
      </c>
      <c r="G620" s="364">
        <v>45143</v>
      </c>
      <c r="H620" s="364">
        <v>45143</v>
      </c>
      <c r="I620" s="394">
        <v>45166</v>
      </c>
      <c r="J620" s="387" t="s">
        <v>1318</v>
      </c>
      <c r="K620" s="387" t="s">
        <v>467</v>
      </c>
      <c r="L620" s="402">
        <v>15</v>
      </c>
      <c r="M620" s="352" t="s">
        <v>231</v>
      </c>
      <c r="N620" s="403">
        <v>35000</v>
      </c>
      <c r="O620" s="404">
        <v>525000</v>
      </c>
      <c r="P620" s="272">
        <v>9</v>
      </c>
      <c r="Q620" s="429" t="s">
        <v>110</v>
      </c>
      <c r="R620" s="437">
        <v>16500</v>
      </c>
      <c r="S620" s="274">
        <f t="shared" si="62"/>
        <v>555000</v>
      </c>
      <c r="T620" s="444" t="s">
        <v>282</v>
      </c>
      <c r="U620" s="460" t="str">
        <f t="shared" si="63"/>
        <v>Resto JFC Esther</v>
      </c>
      <c r="V620" s="444" t="s">
        <v>1258</v>
      </c>
      <c r="W620" s="444" t="s">
        <v>468</v>
      </c>
      <c r="X620" s="454" t="s">
        <v>1315</v>
      </c>
      <c r="Y620" s="275" t="s">
        <v>710</v>
      </c>
      <c r="Z620" s="616" t="s">
        <v>710</v>
      </c>
      <c r="AA620" s="440" t="s">
        <v>735</v>
      </c>
      <c r="AB620" s="441">
        <f t="shared" si="64"/>
        <v>31531.531531531531</v>
      </c>
      <c r="AC620" s="442">
        <f t="shared" si="65"/>
        <v>472972.97297297296</v>
      </c>
      <c r="AD620" s="437">
        <v>16500</v>
      </c>
      <c r="AE620" s="447">
        <v>4014414.4144144151</v>
      </c>
      <c r="AF620" s="447">
        <v>4456000</v>
      </c>
      <c r="AG620" s="437">
        <v>16500</v>
      </c>
      <c r="AH620" s="271" t="s">
        <v>2091</v>
      </c>
    </row>
    <row r="621" spans="1:36" ht="25">
      <c r="A621" s="350">
        <v>333</v>
      </c>
      <c r="B621" s="352" t="s">
        <v>1319</v>
      </c>
      <c r="C621" s="352" t="s">
        <v>1060</v>
      </c>
      <c r="D621" s="355" t="s">
        <v>464</v>
      </c>
      <c r="E621" s="367">
        <v>45142</v>
      </c>
      <c r="F621" s="364">
        <v>45143</v>
      </c>
      <c r="G621" s="364">
        <v>45143</v>
      </c>
      <c r="H621" s="364">
        <v>45143</v>
      </c>
      <c r="I621" s="394">
        <v>45166</v>
      </c>
      <c r="J621" s="387" t="s">
        <v>1064</v>
      </c>
      <c r="K621" s="387" t="s">
        <v>471</v>
      </c>
      <c r="L621" s="402">
        <v>2</v>
      </c>
      <c r="M621" s="352" t="s">
        <v>472</v>
      </c>
      <c r="N621" s="403">
        <v>70000</v>
      </c>
      <c r="O621" s="404">
        <v>140000</v>
      </c>
      <c r="P621" s="272">
        <v>9</v>
      </c>
      <c r="Q621" s="429" t="s">
        <v>133</v>
      </c>
      <c r="R621" s="437">
        <v>70000</v>
      </c>
      <c r="S621" s="274">
        <f t="shared" si="62"/>
        <v>144000</v>
      </c>
      <c r="T621" s="439" t="s">
        <v>10</v>
      </c>
      <c r="U621" s="460" t="str">
        <f t="shared" si="63"/>
        <v>UD. USAHA JAYA</v>
      </c>
      <c r="V621" s="439" t="s">
        <v>11</v>
      </c>
      <c r="W621" s="439" t="s">
        <v>473</v>
      </c>
      <c r="X621" s="454" t="s">
        <v>1315</v>
      </c>
      <c r="Y621" s="275" t="s">
        <v>710</v>
      </c>
      <c r="Z621" s="616" t="s">
        <v>710</v>
      </c>
      <c r="AA621" s="440" t="s">
        <v>749</v>
      </c>
      <c r="AB621" s="441">
        <f t="shared" si="64"/>
        <v>63063.063063063062</v>
      </c>
      <c r="AC621" s="442">
        <f t="shared" si="65"/>
        <v>126126.12612612612</v>
      </c>
      <c r="AD621" s="437">
        <v>70000</v>
      </c>
      <c r="AE621" s="447">
        <v>4014414.4144144151</v>
      </c>
      <c r="AF621" s="447">
        <v>4456000</v>
      </c>
      <c r="AG621" s="437">
        <v>70000</v>
      </c>
      <c r="AH621" s="271" t="s">
        <v>2092</v>
      </c>
    </row>
    <row r="622" spans="1:36" ht="25">
      <c r="A622" s="350">
        <v>333</v>
      </c>
      <c r="B622" s="352" t="s">
        <v>1319</v>
      </c>
      <c r="C622" s="352" t="s">
        <v>1060</v>
      </c>
      <c r="D622" s="355" t="s">
        <v>464</v>
      </c>
      <c r="E622" s="367">
        <v>45142</v>
      </c>
      <c r="F622" s="364">
        <v>45143</v>
      </c>
      <c r="G622" s="364">
        <v>45143</v>
      </c>
      <c r="H622" s="364">
        <v>45143</v>
      </c>
      <c r="I622" s="394">
        <v>45166</v>
      </c>
      <c r="J622" s="387" t="s">
        <v>1062</v>
      </c>
      <c r="K622" s="387" t="s">
        <v>484</v>
      </c>
      <c r="L622" s="402">
        <v>375</v>
      </c>
      <c r="M622" s="352" t="s">
        <v>488</v>
      </c>
      <c r="N622" s="403">
        <v>8000</v>
      </c>
      <c r="O622" s="404">
        <v>3000000</v>
      </c>
      <c r="P622" s="272">
        <v>9</v>
      </c>
      <c r="Q622" s="429" t="s">
        <v>131</v>
      </c>
      <c r="R622" s="437">
        <v>21000</v>
      </c>
      <c r="S622" s="274">
        <f t="shared" si="62"/>
        <v>3750000</v>
      </c>
      <c r="T622" s="439" t="s">
        <v>10</v>
      </c>
      <c r="U622" s="460" t="str">
        <f t="shared" si="63"/>
        <v/>
      </c>
      <c r="V622" s="439" t="s">
        <v>11</v>
      </c>
      <c r="W622" s="439" t="s">
        <v>473</v>
      </c>
      <c r="X622" s="454" t="s">
        <v>1315</v>
      </c>
      <c r="Y622" s="275" t="s">
        <v>710</v>
      </c>
      <c r="Z622" s="616" t="s">
        <v>710</v>
      </c>
      <c r="AA622" s="440" t="s">
        <v>720</v>
      </c>
      <c r="AB622" s="441">
        <f t="shared" si="64"/>
        <v>7207.2072072072069</v>
      </c>
      <c r="AC622" s="442">
        <f t="shared" si="65"/>
        <v>2702702.7027027025</v>
      </c>
      <c r="AD622" s="437">
        <v>21000</v>
      </c>
      <c r="AE622" s="447">
        <v>4014414.4144144151</v>
      </c>
      <c r="AF622" s="447">
        <v>4456000</v>
      </c>
      <c r="AG622" s="437">
        <v>21000</v>
      </c>
      <c r="AH622" s="271" t="s">
        <v>2092</v>
      </c>
    </row>
    <row r="623" spans="1:36" ht="25">
      <c r="A623" s="350">
        <v>333</v>
      </c>
      <c r="B623" s="352" t="s">
        <v>1319</v>
      </c>
      <c r="C623" s="352" t="s">
        <v>1060</v>
      </c>
      <c r="D623" s="355" t="s">
        <v>464</v>
      </c>
      <c r="E623" s="367">
        <v>45142</v>
      </c>
      <c r="F623" s="364">
        <v>45143</v>
      </c>
      <c r="G623" s="364">
        <v>45143</v>
      </c>
      <c r="H623" s="364">
        <v>45143</v>
      </c>
      <c r="I623" s="394">
        <v>45166</v>
      </c>
      <c r="J623" s="387" t="s">
        <v>1066</v>
      </c>
      <c r="K623" s="352" t="s">
        <v>487</v>
      </c>
      <c r="L623" s="402">
        <v>60</v>
      </c>
      <c r="M623" s="352" t="s">
        <v>472</v>
      </c>
      <c r="N623" s="403">
        <v>50000</v>
      </c>
      <c r="O623" s="404">
        <v>3000000</v>
      </c>
      <c r="P623" s="272">
        <v>9</v>
      </c>
      <c r="Q623" s="429" t="s">
        <v>140</v>
      </c>
      <c r="R623" s="437">
        <v>20000</v>
      </c>
      <c r="S623" s="274">
        <f t="shared" si="62"/>
        <v>3120000</v>
      </c>
      <c r="T623" s="439" t="s">
        <v>10</v>
      </c>
      <c r="U623" s="460" t="str">
        <f t="shared" si="63"/>
        <v/>
      </c>
      <c r="V623" s="439" t="s">
        <v>11</v>
      </c>
      <c r="W623" s="439" t="s">
        <v>473</v>
      </c>
      <c r="X623" s="454" t="s">
        <v>1315</v>
      </c>
      <c r="Y623" s="275" t="s">
        <v>710</v>
      </c>
      <c r="Z623" s="616" t="s">
        <v>710</v>
      </c>
      <c r="AA623" s="440" t="s">
        <v>551</v>
      </c>
      <c r="AB623" s="441">
        <f t="shared" si="64"/>
        <v>45045.045045045044</v>
      </c>
      <c r="AC623" s="442">
        <f t="shared" si="65"/>
        <v>2702702.7027027025</v>
      </c>
      <c r="AD623" s="437">
        <v>20000</v>
      </c>
      <c r="AE623" s="447">
        <v>4014414.4144144151</v>
      </c>
      <c r="AF623" s="447">
        <v>4456000</v>
      </c>
      <c r="AG623" s="437">
        <v>20000</v>
      </c>
      <c r="AH623" s="271" t="s">
        <v>2092</v>
      </c>
    </row>
    <row r="624" spans="1:36">
      <c r="A624" s="350">
        <v>334</v>
      </c>
      <c r="B624" s="352" t="s">
        <v>1320</v>
      </c>
      <c r="C624" s="352" t="s">
        <v>492</v>
      </c>
      <c r="D624" s="355" t="s">
        <v>464</v>
      </c>
      <c r="E624" s="367">
        <v>45142</v>
      </c>
      <c r="F624" s="364">
        <v>45143</v>
      </c>
      <c r="G624" s="364">
        <v>45143</v>
      </c>
      <c r="H624" s="364">
        <v>45143</v>
      </c>
      <c r="I624" s="394">
        <v>45166</v>
      </c>
      <c r="J624" s="387" t="s">
        <v>496</v>
      </c>
      <c r="K624" s="387" t="s">
        <v>484</v>
      </c>
      <c r="L624" s="402">
        <v>20</v>
      </c>
      <c r="M624" s="352" t="s">
        <v>472</v>
      </c>
      <c r="N624" s="403">
        <v>50000</v>
      </c>
      <c r="O624" s="404">
        <v>1000000</v>
      </c>
      <c r="P624" s="272">
        <v>9</v>
      </c>
      <c r="Q624" s="430" t="s">
        <v>668</v>
      </c>
      <c r="R624" s="437">
        <v>90000</v>
      </c>
      <c r="S624" s="274">
        <f t="shared" si="62"/>
        <v>1040000</v>
      </c>
      <c r="T624" s="439" t="s">
        <v>10</v>
      </c>
      <c r="U624" s="460" t="str">
        <f t="shared" si="63"/>
        <v/>
      </c>
      <c r="V624" s="439" t="s">
        <v>11</v>
      </c>
      <c r="W624" s="439" t="s">
        <v>473</v>
      </c>
      <c r="X624" s="615" t="s">
        <v>541</v>
      </c>
      <c r="Y624" s="439" t="s">
        <v>542</v>
      </c>
      <c r="Z624" s="449" t="s">
        <v>542</v>
      </c>
      <c r="AA624" s="440" t="s">
        <v>488</v>
      </c>
      <c r="AB624" s="441">
        <f t="shared" si="64"/>
        <v>45045.045045045044</v>
      </c>
      <c r="AC624" s="442">
        <f t="shared" si="65"/>
        <v>900900.90090090083</v>
      </c>
      <c r="AD624" s="437">
        <v>90000</v>
      </c>
      <c r="AE624" s="447">
        <v>297297.29729729734</v>
      </c>
      <c r="AF624" s="447">
        <v>330000</v>
      </c>
      <c r="AG624" s="437">
        <v>90000</v>
      </c>
      <c r="AH624" s="271" t="s">
        <v>2092</v>
      </c>
      <c r="AI624" s="277">
        <f>SUM(AC624:AC625)</f>
        <v>1801801.8018018017</v>
      </c>
      <c r="AJ624" s="277">
        <f>SUM(AD624:AD625)</f>
        <v>330000</v>
      </c>
    </row>
    <row r="625" spans="1:36" ht="25">
      <c r="A625" s="350">
        <v>334</v>
      </c>
      <c r="B625" s="352" t="s">
        <v>1321</v>
      </c>
      <c r="C625" s="352" t="s">
        <v>498</v>
      </c>
      <c r="D625" s="355" t="s">
        <v>464</v>
      </c>
      <c r="E625" s="367">
        <v>45142</v>
      </c>
      <c r="F625" s="364">
        <v>45143</v>
      </c>
      <c r="G625" s="364">
        <v>45143</v>
      </c>
      <c r="H625" s="364">
        <v>45143</v>
      </c>
      <c r="I625" s="394">
        <v>45166</v>
      </c>
      <c r="J625" s="387" t="s">
        <v>502</v>
      </c>
      <c r="K625" s="387" t="s">
        <v>484</v>
      </c>
      <c r="L625" s="402">
        <v>20</v>
      </c>
      <c r="M625" s="352" t="s">
        <v>472</v>
      </c>
      <c r="N625" s="403">
        <v>50000</v>
      </c>
      <c r="O625" s="404">
        <v>1000000</v>
      </c>
      <c r="P625" s="272">
        <v>9</v>
      </c>
      <c r="Q625" s="431" t="s">
        <v>537</v>
      </c>
      <c r="R625" s="437">
        <v>240000</v>
      </c>
      <c r="S625" s="274">
        <f t="shared" si="62"/>
        <v>1040000</v>
      </c>
      <c r="T625" s="439" t="s">
        <v>10</v>
      </c>
      <c r="U625" s="460" t="str">
        <f t="shared" si="63"/>
        <v/>
      </c>
      <c r="V625" s="439" t="s">
        <v>11</v>
      </c>
      <c r="W625" s="439" t="s">
        <v>473</v>
      </c>
      <c r="X625" s="615" t="s">
        <v>541</v>
      </c>
      <c r="Y625" s="439" t="s">
        <v>542</v>
      </c>
      <c r="Z625" s="449" t="s">
        <v>542</v>
      </c>
      <c r="AA625" s="440" t="s">
        <v>231</v>
      </c>
      <c r="AB625" s="441">
        <f t="shared" si="64"/>
        <v>45045.045045045044</v>
      </c>
      <c r="AC625" s="442">
        <f t="shared" si="65"/>
        <v>900900.90090090083</v>
      </c>
      <c r="AD625" s="437">
        <v>240000</v>
      </c>
      <c r="AE625" s="447">
        <v>297297.29729729734</v>
      </c>
      <c r="AF625" s="447">
        <v>330000</v>
      </c>
      <c r="AG625" s="437">
        <v>240000</v>
      </c>
      <c r="AH625" s="271" t="s">
        <v>2092</v>
      </c>
    </row>
    <row r="626" spans="1:36" ht="25">
      <c r="A626" s="350">
        <v>334</v>
      </c>
      <c r="B626" s="352" t="s">
        <v>1322</v>
      </c>
      <c r="C626" s="352" t="s">
        <v>504</v>
      </c>
      <c r="D626" s="355" t="s">
        <v>464</v>
      </c>
      <c r="E626" s="367">
        <v>45142</v>
      </c>
      <c r="F626" s="364">
        <v>45143</v>
      </c>
      <c r="G626" s="364">
        <v>45143</v>
      </c>
      <c r="H626" s="364">
        <v>45143</v>
      </c>
      <c r="I626" s="394">
        <v>45166</v>
      </c>
      <c r="J626" s="387" t="s">
        <v>505</v>
      </c>
      <c r="K626" s="387" t="s">
        <v>484</v>
      </c>
      <c r="L626" s="402">
        <v>8</v>
      </c>
      <c r="M626" s="352" t="s">
        <v>472</v>
      </c>
      <c r="N626" s="403">
        <v>50000</v>
      </c>
      <c r="O626" s="404">
        <v>400000</v>
      </c>
      <c r="P626" s="272">
        <v>9</v>
      </c>
      <c r="Q626" s="426" t="s">
        <v>81</v>
      </c>
      <c r="R626" s="437">
        <v>560000</v>
      </c>
      <c r="S626" s="274">
        <f t="shared" si="62"/>
        <v>416000</v>
      </c>
      <c r="T626" s="439" t="s">
        <v>10</v>
      </c>
      <c r="U626" s="460" t="str">
        <f t="shared" si="63"/>
        <v/>
      </c>
      <c r="V626" s="439" t="s">
        <v>11</v>
      </c>
      <c r="W626" s="439" t="s">
        <v>473</v>
      </c>
      <c r="X626" s="439" t="s">
        <v>468</v>
      </c>
      <c r="Y626" s="439" t="str">
        <f t="shared" ref="Y626:Y649" si="66">J626</f>
        <v>aqua gelas siswa/i peserta kegiatan ekstrakurikuler olahraga karate</v>
      </c>
      <c r="Z626" s="449" t="s">
        <v>8</v>
      </c>
      <c r="AA626" s="440" t="s">
        <v>472</v>
      </c>
      <c r="AB626" s="441">
        <f t="shared" si="64"/>
        <v>45045.045045045044</v>
      </c>
      <c r="AC626" s="442">
        <f t="shared" si="65"/>
        <v>360360.36036036036</v>
      </c>
      <c r="AD626" s="437">
        <v>560000</v>
      </c>
      <c r="AE626" s="447">
        <v>504504.5045045045</v>
      </c>
      <c r="AF626" s="447">
        <v>560000</v>
      </c>
      <c r="AG626" s="437">
        <v>560000</v>
      </c>
      <c r="AH626" s="271" t="s">
        <v>2092</v>
      </c>
    </row>
    <row r="627" spans="1:36">
      <c r="A627" s="350">
        <v>335</v>
      </c>
      <c r="B627" s="352" t="s">
        <v>1323</v>
      </c>
      <c r="C627" s="352" t="s">
        <v>492</v>
      </c>
      <c r="D627" s="355" t="s">
        <v>464</v>
      </c>
      <c r="E627" s="367">
        <v>45142</v>
      </c>
      <c r="F627" s="364">
        <v>45143</v>
      </c>
      <c r="G627" s="364">
        <v>45143</v>
      </c>
      <c r="H627" s="364">
        <v>45143</v>
      </c>
      <c r="I627" s="394">
        <v>45166</v>
      </c>
      <c r="J627" s="387" t="s">
        <v>494</v>
      </c>
      <c r="K627" s="387" t="s">
        <v>467</v>
      </c>
      <c r="L627" s="402">
        <v>20</v>
      </c>
      <c r="M627" s="352" t="s">
        <v>231</v>
      </c>
      <c r="N627" s="403">
        <v>35000</v>
      </c>
      <c r="O627" s="404">
        <v>700000</v>
      </c>
      <c r="P627" s="272">
        <v>9</v>
      </c>
      <c r="Q627" s="427" t="s">
        <v>163</v>
      </c>
      <c r="R627" s="437">
        <v>800000</v>
      </c>
      <c r="S627" s="274">
        <f t="shared" si="62"/>
        <v>740000</v>
      </c>
      <c r="T627" s="444" t="s">
        <v>282</v>
      </c>
      <c r="U627" s="460" t="str">
        <f t="shared" si="63"/>
        <v>Resto JFC Esther</v>
      </c>
      <c r="V627" s="444" t="s">
        <v>1258</v>
      </c>
      <c r="W627" s="444" t="s">
        <v>468</v>
      </c>
      <c r="X627" s="439" t="s">
        <v>474</v>
      </c>
      <c r="Y627" s="439" t="str">
        <f t="shared" si="66"/>
        <v>Konsumsi Pembina pramuka Putera/Puteri</v>
      </c>
      <c r="Z627" s="449" t="s">
        <v>1545</v>
      </c>
      <c r="AA627" s="440" t="s">
        <v>472</v>
      </c>
      <c r="AB627" s="441">
        <f t="shared" si="64"/>
        <v>31531.531531531531</v>
      </c>
      <c r="AC627" s="442">
        <f t="shared" si="65"/>
        <v>630630.63063063065</v>
      </c>
      <c r="AD627" s="437">
        <v>800000</v>
      </c>
      <c r="AE627" s="447">
        <v>1621621.6216216215</v>
      </c>
      <c r="AF627" s="447">
        <v>1800000</v>
      </c>
      <c r="AG627" s="437">
        <v>800000</v>
      </c>
      <c r="AH627" s="271" t="s">
        <v>2091</v>
      </c>
      <c r="AI627" s="277">
        <f>SUM(AC627:AC628)</f>
        <v>945945.94594594603</v>
      </c>
      <c r="AJ627" s="277">
        <f>SUM(AD627:AD628)</f>
        <v>1800000</v>
      </c>
    </row>
    <row r="628" spans="1:36" ht="25">
      <c r="A628" s="350">
        <v>335</v>
      </c>
      <c r="B628" s="352" t="s">
        <v>1324</v>
      </c>
      <c r="C628" s="352" t="s">
        <v>498</v>
      </c>
      <c r="D628" s="355" t="s">
        <v>464</v>
      </c>
      <c r="E628" s="367">
        <v>45142</v>
      </c>
      <c r="F628" s="364">
        <v>45143</v>
      </c>
      <c r="G628" s="364">
        <v>45143</v>
      </c>
      <c r="H628" s="364">
        <v>45143</v>
      </c>
      <c r="I628" s="394">
        <v>45166</v>
      </c>
      <c r="J628" s="387" t="s">
        <v>500</v>
      </c>
      <c r="K628" s="387" t="s">
        <v>467</v>
      </c>
      <c r="L628" s="402">
        <v>10</v>
      </c>
      <c r="M628" s="352" t="s">
        <v>231</v>
      </c>
      <c r="N628" s="403">
        <v>35000</v>
      </c>
      <c r="O628" s="404">
        <v>350000</v>
      </c>
      <c r="P628" s="272">
        <v>9</v>
      </c>
      <c r="Q628" s="427" t="s">
        <v>163</v>
      </c>
      <c r="R628" s="437">
        <v>1000000</v>
      </c>
      <c r="S628" s="274">
        <f t="shared" si="62"/>
        <v>370000</v>
      </c>
      <c r="T628" s="444" t="s">
        <v>282</v>
      </c>
      <c r="U628" s="460" t="str">
        <f t="shared" si="63"/>
        <v>Resto JFC Esther</v>
      </c>
      <c r="V628" s="444" t="s">
        <v>1258</v>
      </c>
      <c r="W628" s="444" t="s">
        <v>468</v>
      </c>
      <c r="X628" s="439" t="s">
        <v>474</v>
      </c>
      <c r="Y628" s="439" t="str">
        <f t="shared" si="66"/>
        <v>Konsumsi pembina pada kegiatan ekstrakurikuler seni dan budaya (paduan suara)</v>
      </c>
      <c r="Z628" s="449" t="s">
        <v>1545</v>
      </c>
      <c r="AA628" s="440" t="s">
        <v>472</v>
      </c>
      <c r="AB628" s="441">
        <f t="shared" si="64"/>
        <v>31531.531531531531</v>
      </c>
      <c r="AC628" s="442">
        <f t="shared" si="65"/>
        <v>315315.31531531533</v>
      </c>
      <c r="AD628" s="437">
        <v>1000000</v>
      </c>
      <c r="AE628" s="447">
        <v>1621621.6216216215</v>
      </c>
      <c r="AF628" s="447">
        <v>1800000</v>
      </c>
      <c r="AG628" s="437">
        <v>1000000</v>
      </c>
      <c r="AH628" s="271" t="s">
        <v>2091</v>
      </c>
    </row>
    <row r="629" spans="1:36" ht="25">
      <c r="A629" s="351">
        <v>336</v>
      </c>
      <c r="B629" s="352" t="s">
        <v>1325</v>
      </c>
      <c r="C629" s="352" t="s">
        <v>507</v>
      </c>
      <c r="D629" s="355" t="s">
        <v>464</v>
      </c>
      <c r="E629" s="367">
        <v>45144</v>
      </c>
      <c r="F629" s="364">
        <v>45145</v>
      </c>
      <c r="G629" s="364">
        <v>45145</v>
      </c>
      <c r="H629" s="364">
        <v>45145</v>
      </c>
      <c r="I629" s="394">
        <v>45166</v>
      </c>
      <c r="J629" s="387" t="s">
        <v>508</v>
      </c>
      <c r="K629" s="387" t="s">
        <v>467</v>
      </c>
      <c r="L629" s="402">
        <v>10</v>
      </c>
      <c r="M629" s="352" t="s">
        <v>231</v>
      </c>
      <c r="N629" s="403">
        <v>35000</v>
      </c>
      <c r="O629" s="404">
        <v>350000</v>
      </c>
      <c r="P629" s="272">
        <v>9</v>
      </c>
      <c r="Q629" s="427" t="s">
        <v>163</v>
      </c>
      <c r="R629" s="437">
        <v>1000000</v>
      </c>
      <c r="S629" s="274">
        <f t="shared" si="62"/>
        <v>370000</v>
      </c>
      <c r="T629" s="444" t="s">
        <v>282</v>
      </c>
      <c r="U629" s="460" t="str">
        <f t="shared" si="63"/>
        <v>Resto JFC Esther</v>
      </c>
      <c r="V629" s="444" t="s">
        <v>1258</v>
      </c>
      <c r="W629" s="444" t="s">
        <v>468</v>
      </c>
      <c r="X629" s="439" t="s">
        <v>474</v>
      </c>
      <c r="Y629" s="439" t="str">
        <f t="shared" si="66"/>
        <v>Konsumsi pendamping/pembina kegiatan ekstrakurikuler paskibra</v>
      </c>
      <c r="Z629" s="449" t="s">
        <v>1545</v>
      </c>
      <c r="AA629" s="440" t="s">
        <v>488</v>
      </c>
      <c r="AB629" s="441">
        <f t="shared" si="64"/>
        <v>31531.531531531531</v>
      </c>
      <c r="AC629" s="442">
        <f t="shared" si="65"/>
        <v>315315.31531531533</v>
      </c>
      <c r="AD629" s="437">
        <v>1000000</v>
      </c>
      <c r="AE629" s="447">
        <v>6306306.3063063063</v>
      </c>
      <c r="AF629" s="447">
        <v>7000000</v>
      </c>
      <c r="AG629" s="437">
        <v>1000000</v>
      </c>
      <c r="AH629" s="271" t="s">
        <v>2091</v>
      </c>
      <c r="AI629" s="277">
        <f>SUM(AC629:AC630)</f>
        <v>1216216.2162162161</v>
      </c>
      <c r="AJ629" s="277">
        <f>SUM(AD629:AD630)</f>
        <v>7000000</v>
      </c>
    </row>
    <row r="630" spans="1:36">
      <c r="A630" s="350">
        <v>337</v>
      </c>
      <c r="B630" s="352" t="s">
        <v>1326</v>
      </c>
      <c r="C630" s="352" t="s">
        <v>507</v>
      </c>
      <c r="D630" s="355" t="s">
        <v>464</v>
      </c>
      <c r="E630" s="367">
        <v>45144</v>
      </c>
      <c r="F630" s="364">
        <v>45145</v>
      </c>
      <c r="G630" s="364">
        <v>45145</v>
      </c>
      <c r="H630" s="364">
        <v>45145</v>
      </c>
      <c r="I630" s="394">
        <v>45166</v>
      </c>
      <c r="J630" s="387" t="s">
        <v>510</v>
      </c>
      <c r="K630" s="387" t="s">
        <v>484</v>
      </c>
      <c r="L630" s="402">
        <v>20</v>
      </c>
      <c r="M630" s="352" t="s">
        <v>472</v>
      </c>
      <c r="N630" s="403">
        <v>50000</v>
      </c>
      <c r="O630" s="404">
        <v>1000000</v>
      </c>
      <c r="P630" s="421">
        <v>9</v>
      </c>
      <c r="Q630" s="425" t="s">
        <v>165</v>
      </c>
      <c r="R630" s="437">
        <v>6000000</v>
      </c>
      <c r="S630" s="274">
        <f t="shared" si="62"/>
        <v>1040000</v>
      </c>
      <c r="T630" s="439" t="s">
        <v>10</v>
      </c>
      <c r="U630" s="460" t="str">
        <f t="shared" si="63"/>
        <v/>
      </c>
      <c r="V630" s="439" t="s">
        <v>11</v>
      </c>
      <c r="W630" s="439" t="s">
        <v>473</v>
      </c>
      <c r="X630" s="439" t="s">
        <v>490</v>
      </c>
      <c r="Y630" s="439" t="str">
        <f t="shared" si="66"/>
        <v>Air Mineral pelaksanaan kegiatan ekstrakurikuler paskibra</v>
      </c>
      <c r="Z630" s="449" t="s">
        <v>280</v>
      </c>
      <c r="AA630" s="607" t="s">
        <v>231</v>
      </c>
      <c r="AB630" s="441">
        <f t="shared" si="64"/>
        <v>45045.045045045044</v>
      </c>
      <c r="AC630" s="442">
        <f t="shared" si="65"/>
        <v>900900.90090090083</v>
      </c>
      <c r="AD630" s="437">
        <v>6000000</v>
      </c>
      <c r="AE630" s="447">
        <v>6306306.3063063063</v>
      </c>
      <c r="AF630" s="447">
        <v>7000000</v>
      </c>
      <c r="AG630" s="437">
        <v>6000000</v>
      </c>
      <c r="AH630" s="271" t="s">
        <v>2092</v>
      </c>
    </row>
    <row r="631" spans="1:36" ht="15.5">
      <c r="A631" s="350">
        <v>337</v>
      </c>
      <c r="B631" s="352" t="s">
        <v>1327</v>
      </c>
      <c r="C631" s="352" t="s">
        <v>512</v>
      </c>
      <c r="D631" s="355" t="s">
        <v>464</v>
      </c>
      <c r="E631" s="367">
        <v>45144</v>
      </c>
      <c r="F631" s="364">
        <v>45145</v>
      </c>
      <c r="G631" s="364">
        <v>45145</v>
      </c>
      <c r="H631" s="364">
        <v>45145</v>
      </c>
      <c r="I631" s="394">
        <v>45166</v>
      </c>
      <c r="J631" s="387" t="s">
        <v>513</v>
      </c>
      <c r="K631" s="387" t="s">
        <v>484</v>
      </c>
      <c r="L631" s="402">
        <v>4</v>
      </c>
      <c r="M631" s="352" t="s">
        <v>472</v>
      </c>
      <c r="N631" s="403">
        <v>50000</v>
      </c>
      <c r="O631" s="404">
        <v>200000</v>
      </c>
      <c r="P631" s="421">
        <v>9</v>
      </c>
      <c r="Q631" s="426" t="s">
        <v>81</v>
      </c>
      <c r="R631" s="437">
        <v>280000</v>
      </c>
      <c r="S631" s="274">
        <f t="shared" si="62"/>
        <v>208000</v>
      </c>
      <c r="T631" s="439" t="s">
        <v>10</v>
      </c>
      <c r="U631" s="460" t="str">
        <f t="shared" si="63"/>
        <v/>
      </c>
      <c r="V631" s="439" t="s">
        <v>11</v>
      </c>
      <c r="W631" s="439" t="s">
        <v>473</v>
      </c>
      <c r="X631" s="439" t="s">
        <v>468</v>
      </c>
      <c r="Y631" s="439" t="str">
        <f t="shared" si="66"/>
        <v>Air Mineral peserta kegiatan ekstrakurikuler band musik</v>
      </c>
      <c r="Z631" s="449" t="s">
        <v>8</v>
      </c>
      <c r="AA631" s="440" t="s">
        <v>472</v>
      </c>
      <c r="AB631" s="441">
        <f t="shared" si="64"/>
        <v>45045.045045045044</v>
      </c>
      <c r="AC631" s="442">
        <f t="shared" si="65"/>
        <v>180180.18018018018</v>
      </c>
      <c r="AD631" s="437">
        <v>280000</v>
      </c>
      <c r="AE631" s="447">
        <v>252252.25225225225</v>
      </c>
      <c r="AF631" s="447">
        <v>280000</v>
      </c>
      <c r="AG631" s="437">
        <v>280000</v>
      </c>
      <c r="AH631" s="271" t="s">
        <v>2092</v>
      </c>
    </row>
    <row r="632" spans="1:36" ht="25">
      <c r="A632" s="350">
        <v>338</v>
      </c>
      <c r="B632" s="352" t="s">
        <v>1328</v>
      </c>
      <c r="C632" s="352" t="s">
        <v>512</v>
      </c>
      <c r="D632" s="355" t="s">
        <v>464</v>
      </c>
      <c r="E632" s="367">
        <v>45144</v>
      </c>
      <c r="F632" s="364">
        <v>45145</v>
      </c>
      <c r="G632" s="364">
        <v>45145</v>
      </c>
      <c r="H632" s="364">
        <v>45145</v>
      </c>
      <c r="I632" s="394">
        <v>45166</v>
      </c>
      <c r="J632" s="387" t="s">
        <v>515</v>
      </c>
      <c r="K632" s="387" t="s">
        <v>467</v>
      </c>
      <c r="L632" s="402">
        <v>4</v>
      </c>
      <c r="M632" s="352" t="s">
        <v>231</v>
      </c>
      <c r="N632" s="403">
        <v>35000</v>
      </c>
      <c r="O632" s="404">
        <v>140000</v>
      </c>
      <c r="P632" s="421">
        <v>9</v>
      </c>
      <c r="Q632" s="427" t="s">
        <v>163</v>
      </c>
      <c r="R632" s="437">
        <v>800000</v>
      </c>
      <c r="S632" s="274">
        <f t="shared" si="62"/>
        <v>148000</v>
      </c>
      <c r="T632" s="444" t="s">
        <v>282</v>
      </c>
      <c r="U632" s="460" t="str">
        <f t="shared" si="63"/>
        <v>Resto JFC Esther</v>
      </c>
      <c r="V632" s="444" t="s">
        <v>1258</v>
      </c>
      <c r="W632" s="444" t="s">
        <v>468</v>
      </c>
      <c r="X632" s="439" t="s">
        <v>474</v>
      </c>
      <c r="Y632" s="439" t="str">
        <f t="shared" si="66"/>
        <v>Konsumsi pendamping/pembina kegiatan ekstrakurikuler band musik</v>
      </c>
      <c r="Z632" s="449" t="s">
        <v>1545</v>
      </c>
      <c r="AA632" s="440" t="s">
        <v>472</v>
      </c>
      <c r="AB632" s="441">
        <f t="shared" si="64"/>
        <v>31531.531531531531</v>
      </c>
      <c r="AC632" s="442">
        <f t="shared" si="65"/>
        <v>126126.12612612612</v>
      </c>
      <c r="AD632" s="437">
        <v>1200000</v>
      </c>
      <c r="AE632" s="447">
        <v>1081081.0810810812</v>
      </c>
      <c r="AF632" s="447">
        <v>1200000</v>
      </c>
      <c r="AG632" s="437">
        <v>1200000</v>
      </c>
      <c r="AH632" s="271" t="s">
        <v>2091</v>
      </c>
    </row>
    <row r="633" spans="1:36" ht="25">
      <c r="A633" s="350">
        <v>339</v>
      </c>
      <c r="B633" s="352" t="s">
        <v>1329</v>
      </c>
      <c r="C633" s="352" t="s">
        <v>517</v>
      </c>
      <c r="D633" s="355" t="s">
        <v>464</v>
      </c>
      <c r="E633" s="367">
        <v>45151</v>
      </c>
      <c r="F633" s="364">
        <v>45152</v>
      </c>
      <c r="G633" s="364">
        <v>45152</v>
      </c>
      <c r="H633" s="364">
        <v>45152</v>
      </c>
      <c r="I633" s="394">
        <v>45166</v>
      </c>
      <c r="J633" s="387" t="s">
        <v>518</v>
      </c>
      <c r="K633" s="387" t="s">
        <v>484</v>
      </c>
      <c r="L633" s="402">
        <v>20</v>
      </c>
      <c r="M633" s="352" t="s">
        <v>472</v>
      </c>
      <c r="N633" s="403">
        <v>50000</v>
      </c>
      <c r="O633" s="404">
        <v>1000000</v>
      </c>
      <c r="P633" s="421">
        <v>9</v>
      </c>
      <c r="Q633" s="426" t="s">
        <v>81</v>
      </c>
      <c r="R633" s="437">
        <v>280000</v>
      </c>
      <c r="S633" s="274">
        <f t="shared" si="62"/>
        <v>1040000</v>
      </c>
      <c r="T633" s="439" t="s">
        <v>10</v>
      </c>
      <c r="U633" s="460" t="str">
        <f t="shared" si="63"/>
        <v/>
      </c>
      <c r="V633" s="439" t="s">
        <v>11</v>
      </c>
      <c r="W633" s="439" t="s">
        <v>473</v>
      </c>
      <c r="X633" s="439" t="s">
        <v>468</v>
      </c>
      <c r="Y633" s="439" t="str">
        <f t="shared" si="66"/>
        <v>Aqua gelas pelaksanaan kegiatan bulanan Gerakan Bersih Lingkungan Sekolah</v>
      </c>
      <c r="Z633" s="449" t="s">
        <v>8</v>
      </c>
      <c r="AA633" s="440" t="s">
        <v>472</v>
      </c>
      <c r="AB633" s="441">
        <f t="shared" si="64"/>
        <v>45045.045045045044</v>
      </c>
      <c r="AC633" s="442">
        <f t="shared" si="65"/>
        <v>900900.90090090083</v>
      </c>
      <c r="AD633" s="437">
        <v>280000</v>
      </c>
      <c r="AE633" s="447">
        <v>252252.25225225225</v>
      </c>
      <c r="AF633" s="447">
        <v>280000</v>
      </c>
      <c r="AG633" s="437">
        <v>280000</v>
      </c>
      <c r="AH633" s="271" t="s">
        <v>2092</v>
      </c>
    </row>
    <row r="634" spans="1:36">
      <c r="A634" s="350">
        <v>340</v>
      </c>
      <c r="B634" s="352" t="s">
        <v>1330</v>
      </c>
      <c r="C634" s="352" t="s">
        <v>974</v>
      </c>
      <c r="D634" s="355" t="s">
        <v>571</v>
      </c>
      <c r="E634" s="367">
        <v>45153</v>
      </c>
      <c r="F634" s="364">
        <v>45154</v>
      </c>
      <c r="G634" s="364">
        <v>45154</v>
      </c>
      <c r="H634" s="364">
        <v>45154</v>
      </c>
      <c r="I634" s="394">
        <v>45166</v>
      </c>
      <c r="J634" s="387" t="s">
        <v>1039</v>
      </c>
      <c r="K634" s="387" t="s">
        <v>296</v>
      </c>
      <c r="L634" s="402">
        <v>2</v>
      </c>
      <c r="M634" s="352" t="s">
        <v>488</v>
      </c>
      <c r="N634" s="403">
        <v>300000</v>
      </c>
      <c r="O634" s="404">
        <v>600000</v>
      </c>
      <c r="P634" s="421">
        <v>9</v>
      </c>
      <c r="Q634" s="427" t="s">
        <v>163</v>
      </c>
      <c r="R634" s="437">
        <v>800000</v>
      </c>
      <c r="S634" s="274">
        <f t="shared" si="62"/>
        <v>604000</v>
      </c>
      <c r="T634" s="439" t="s">
        <v>1040</v>
      </c>
      <c r="U634" s="460" t="str">
        <f t="shared" si="63"/>
        <v/>
      </c>
      <c r="V634" s="439" t="s">
        <v>1561</v>
      </c>
      <c r="W634" s="444" t="s">
        <v>468</v>
      </c>
      <c r="X634" s="439" t="s">
        <v>474</v>
      </c>
      <c r="Y634" s="439" t="str">
        <f t="shared" si="66"/>
        <v>Spanduk</v>
      </c>
      <c r="Z634" s="449" t="s">
        <v>1545</v>
      </c>
      <c r="AA634" s="440" t="s">
        <v>488</v>
      </c>
      <c r="AB634" s="441">
        <f t="shared" si="64"/>
        <v>270270.2702702703</v>
      </c>
      <c r="AC634" s="442">
        <f t="shared" si="65"/>
        <v>540540.54054054059</v>
      </c>
      <c r="AD634" s="437">
        <v>800000</v>
      </c>
      <c r="AE634" s="447">
        <v>720720.72072072071</v>
      </c>
      <c r="AF634" s="447">
        <v>800000</v>
      </c>
      <c r="AG634" s="437">
        <v>800000</v>
      </c>
      <c r="AH634" s="271" t="s">
        <v>2103</v>
      </c>
    </row>
    <row r="635" spans="1:36">
      <c r="A635" s="350">
        <v>341</v>
      </c>
      <c r="B635" s="352" t="s">
        <v>1331</v>
      </c>
      <c r="C635" s="352" t="s">
        <v>974</v>
      </c>
      <c r="D635" s="355" t="s">
        <v>1174</v>
      </c>
      <c r="E635" s="367">
        <v>45163</v>
      </c>
      <c r="F635" s="364">
        <v>45164</v>
      </c>
      <c r="G635" s="364">
        <v>45164</v>
      </c>
      <c r="H635" s="364">
        <v>45164</v>
      </c>
      <c r="I635" s="394">
        <v>45166</v>
      </c>
      <c r="J635" s="387" t="s">
        <v>1175</v>
      </c>
      <c r="K635" s="390"/>
      <c r="L635" s="402">
        <v>5</v>
      </c>
      <c r="M635" s="352" t="s">
        <v>608</v>
      </c>
      <c r="N635" s="403">
        <v>600000</v>
      </c>
      <c r="O635" s="404">
        <v>3000000</v>
      </c>
      <c r="P635" s="421">
        <v>9</v>
      </c>
      <c r="Q635" s="275"/>
      <c r="R635" s="437">
        <v>800000</v>
      </c>
      <c r="S635" s="274">
        <f t="shared" si="62"/>
        <v>3010000</v>
      </c>
      <c r="T635" s="439" t="s">
        <v>227</v>
      </c>
      <c r="U635" s="460" t="str">
        <f t="shared" si="63"/>
        <v/>
      </c>
      <c r="V635" s="599" t="s">
        <v>1248</v>
      </c>
      <c r="W635" s="439" t="s">
        <v>540</v>
      </c>
      <c r="X635" s="439"/>
      <c r="Y635" s="439" t="str">
        <f t="shared" si="66"/>
        <v>Hadiah Lomba</v>
      </c>
      <c r="Z635" s="449"/>
      <c r="AA635" s="440" t="s">
        <v>472</v>
      </c>
      <c r="AB635" s="441">
        <f t="shared" si="64"/>
        <v>540540.54054054059</v>
      </c>
      <c r="AC635" s="442">
        <f t="shared" si="65"/>
        <v>2702702.702702703</v>
      </c>
      <c r="AD635" s="437">
        <v>800000</v>
      </c>
      <c r="AE635" s="447">
        <v>720720.72072072071</v>
      </c>
      <c r="AF635" s="447">
        <v>800000</v>
      </c>
      <c r="AG635" s="437">
        <v>800000</v>
      </c>
    </row>
    <row r="636" spans="1:36">
      <c r="A636" s="350">
        <v>342</v>
      </c>
      <c r="B636" s="352" t="s">
        <v>1332</v>
      </c>
      <c r="C636" s="352" t="s">
        <v>562</v>
      </c>
      <c r="D636" s="355" t="s">
        <v>464</v>
      </c>
      <c r="E636" s="367">
        <v>45156</v>
      </c>
      <c r="F636" s="364">
        <v>45157</v>
      </c>
      <c r="G636" s="364">
        <v>45157</v>
      </c>
      <c r="H636" s="364">
        <v>45157</v>
      </c>
      <c r="I636" s="394">
        <v>45166</v>
      </c>
      <c r="J636" s="387" t="s">
        <v>564</v>
      </c>
      <c r="K636" s="387" t="s">
        <v>467</v>
      </c>
      <c r="L636" s="402">
        <v>30</v>
      </c>
      <c r="M636" s="352" t="s">
        <v>231</v>
      </c>
      <c r="N636" s="403">
        <v>35000</v>
      </c>
      <c r="O636" s="404">
        <v>1050000</v>
      </c>
      <c r="P636" s="421">
        <v>9</v>
      </c>
      <c r="Q636" s="427" t="s">
        <v>163</v>
      </c>
      <c r="R636" s="437">
        <v>200000</v>
      </c>
      <c r="S636" s="274">
        <f t="shared" si="62"/>
        <v>1110000</v>
      </c>
      <c r="T636" s="444" t="s">
        <v>282</v>
      </c>
      <c r="U636" s="460" t="str">
        <f t="shared" si="63"/>
        <v>Resto JFC Esther</v>
      </c>
      <c r="V636" s="444" t="s">
        <v>1258</v>
      </c>
      <c r="W636" s="444" t="s">
        <v>468</v>
      </c>
      <c r="X636" s="439" t="s">
        <v>474</v>
      </c>
      <c r="Y636" s="439" t="str">
        <f t="shared" si="66"/>
        <v>Konsumsi Penyusunan dan pelaporan RKAS</v>
      </c>
      <c r="Z636" s="449" t="s">
        <v>1545</v>
      </c>
      <c r="AA636" s="440" t="s">
        <v>231</v>
      </c>
      <c r="AB636" s="441">
        <f t="shared" si="64"/>
        <v>31531.531531531531</v>
      </c>
      <c r="AC636" s="442">
        <f t="shared" si="65"/>
        <v>945945.94594594592</v>
      </c>
      <c r="AD636" s="437">
        <v>200000</v>
      </c>
      <c r="AE636" s="447">
        <v>180180.18018018018</v>
      </c>
      <c r="AF636" s="447">
        <v>200000</v>
      </c>
      <c r="AG636" s="437">
        <v>200000</v>
      </c>
      <c r="AH636" s="271" t="s">
        <v>2091</v>
      </c>
    </row>
    <row r="637" spans="1:36" ht="15.5">
      <c r="A637" s="350">
        <v>342</v>
      </c>
      <c r="B637" s="352" t="s">
        <v>1370</v>
      </c>
      <c r="C637" s="352" t="s">
        <v>818</v>
      </c>
      <c r="D637" s="355" t="s">
        <v>571</v>
      </c>
      <c r="E637" s="368">
        <v>45158</v>
      </c>
      <c r="F637" s="368">
        <v>45159</v>
      </c>
      <c r="G637" s="368">
        <v>45159</v>
      </c>
      <c r="H637" s="368">
        <v>45159</v>
      </c>
      <c r="I637" s="394">
        <v>45192</v>
      </c>
      <c r="J637" s="387" t="s">
        <v>9</v>
      </c>
      <c r="K637" s="387" t="s">
        <v>1178</v>
      </c>
      <c r="L637" s="402">
        <v>26580</v>
      </c>
      <c r="M637" s="352" t="s">
        <v>574</v>
      </c>
      <c r="N637" s="405">
        <v>300</v>
      </c>
      <c r="O637" s="404">
        <v>7974000</v>
      </c>
      <c r="P637" s="421">
        <v>9</v>
      </c>
      <c r="Q637" s="426" t="s">
        <v>81</v>
      </c>
      <c r="R637" s="437">
        <v>140000</v>
      </c>
      <c r="S637" s="274">
        <f t="shared" si="62"/>
        <v>61134000</v>
      </c>
      <c r="T637" s="439" t="s">
        <v>227</v>
      </c>
      <c r="U637" s="460" t="str">
        <f t="shared" si="63"/>
        <v/>
      </c>
      <c r="V637" s="439" t="s">
        <v>1248</v>
      </c>
      <c r="W637" s="439" t="s">
        <v>540</v>
      </c>
      <c r="X637" s="439" t="s">
        <v>468</v>
      </c>
      <c r="Y637" s="439" t="str">
        <f t="shared" si="66"/>
        <v>Foto Copy Filio dan Kuarto</v>
      </c>
      <c r="Z637" s="449" t="s">
        <v>8</v>
      </c>
      <c r="AA637" s="440" t="s">
        <v>304</v>
      </c>
      <c r="AB637" s="441">
        <f t="shared" si="64"/>
        <v>270.27027027027026</v>
      </c>
      <c r="AC637" s="442">
        <f t="shared" si="65"/>
        <v>7183783.7837837832</v>
      </c>
      <c r="AD637" s="437">
        <v>140000</v>
      </c>
      <c r="AE637" s="447">
        <v>126126.12612612612</v>
      </c>
      <c r="AF637" s="447">
        <v>140000</v>
      </c>
      <c r="AG637" s="437">
        <v>140000</v>
      </c>
      <c r="AH637" s="271" t="s">
        <v>2101</v>
      </c>
    </row>
    <row r="638" spans="1:36" ht="25">
      <c r="A638" s="350">
        <v>343</v>
      </c>
      <c r="B638" s="352" t="s">
        <v>1333</v>
      </c>
      <c r="C638" s="352" t="s">
        <v>562</v>
      </c>
      <c r="D638" s="355" t="s">
        <v>464</v>
      </c>
      <c r="E638" s="367">
        <v>45156</v>
      </c>
      <c r="F638" s="364">
        <v>45157</v>
      </c>
      <c r="G638" s="364">
        <v>45157</v>
      </c>
      <c r="H638" s="364">
        <v>45157</v>
      </c>
      <c r="I638" s="394">
        <v>45166</v>
      </c>
      <c r="J638" s="387" t="s">
        <v>566</v>
      </c>
      <c r="K638" s="387" t="s">
        <v>471</v>
      </c>
      <c r="L638" s="402">
        <v>2</v>
      </c>
      <c r="M638" s="352" t="s">
        <v>472</v>
      </c>
      <c r="N638" s="403">
        <v>70000</v>
      </c>
      <c r="O638" s="404">
        <v>140000</v>
      </c>
      <c r="P638" s="421">
        <v>9</v>
      </c>
      <c r="Q638" s="428" t="s">
        <v>575</v>
      </c>
      <c r="R638" s="437">
        <v>7974000</v>
      </c>
      <c r="S638" s="274">
        <f t="shared" si="62"/>
        <v>144000</v>
      </c>
      <c r="T638" s="439" t="s">
        <v>10</v>
      </c>
      <c r="U638" s="460" t="str">
        <f t="shared" si="63"/>
        <v>UD. USAHA JAYA</v>
      </c>
      <c r="V638" s="439" t="s">
        <v>11</v>
      </c>
      <c r="W638" s="439" t="s">
        <v>473</v>
      </c>
      <c r="X638" s="615" t="s">
        <v>541</v>
      </c>
      <c r="Y638" s="439" t="str">
        <f t="shared" si="66"/>
        <v>Air Mineral pada kegiatan Penyusunan dan Pelaporan RKAS</v>
      </c>
      <c r="Z638" s="449" t="str">
        <f>K638</f>
        <v>Aqua Botol 600 ml</v>
      </c>
      <c r="AA638" s="440" t="s">
        <v>472</v>
      </c>
      <c r="AB638" s="441">
        <f t="shared" si="64"/>
        <v>63063.063063063062</v>
      </c>
      <c r="AC638" s="442">
        <f t="shared" si="65"/>
        <v>126126.12612612612</v>
      </c>
      <c r="AD638" s="437">
        <v>7974000</v>
      </c>
      <c r="AE638" s="447">
        <v>7183783.7837837832</v>
      </c>
      <c r="AF638" s="447">
        <v>7974000</v>
      </c>
      <c r="AG638" s="437">
        <v>7974000</v>
      </c>
      <c r="AH638" s="271" t="s">
        <v>2092</v>
      </c>
    </row>
    <row r="639" spans="1:36">
      <c r="A639" s="350">
        <v>343</v>
      </c>
      <c r="B639" s="352" t="s">
        <v>1333</v>
      </c>
      <c r="C639" s="352" t="s">
        <v>562</v>
      </c>
      <c r="D639" s="355" t="s">
        <v>464</v>
      </c>
      <c r="E639" s="367">
        <v>45156</v>
      </c>
      <c r="F639" s="364">
        <v>45157</v>
      </c>
      <c r="G639" s="364">
        <v>45157</v>
      </c>
      <c r="H639" s="364">
        <v>45157</v>
      </c>
      <c r="I639" s="394">
        <v>45166</v>
      </c>
      <c r="J639" s="387" t="s">
        <v>568</v>
      </c>
      <c r="K639" s="352" t="s">
        <v>487</v>
      </c>
      <c r="L639" s="402">
        <v>30</v>
      </c>
      <c r="M639" s="352" t="s">
        <v>488</v>
      </c>
      <c r="N639" s="403">
        <v>8000</v>
      </c>
      <c r="O639" s="404">
        <v>240000</v>
      </c>
      <c r="P639" s="421">
        <v>9</v>
      </c>
      <c r="Q639" s="425" t="s">
        <v>164</v>
      </c>
      <c r="R639" s="437">
        <v>1260000</v>
      </c>
      <c r="S639" s="274">
        <f t="shared" si="62"/>
        <v>300000</v>
      </c>
      <c r="T639" s="439" t="s">
        <v>10</v>
      </c>
      <c r="U639" s="460" t="str">
        <f t="shared" si="63"/>
        <v/>
      </c>
      <c r="V639" s="439" t="s">
        <v>11</v>
      </c>
      <c r="W639" s="439" t="s">
        <v>473</v>
      </c>
      <c r="X639" s="439" t="s">
        <v>474</v>
      </c>
      <c r="Y639" s="439" t="str">
        <f t="shared" si="66"/>
        <v>Snack pada kegiatan penyusunan dan pelaporan RKAS</v>
      </c>
      <c r="Z639" s="449" t="s">
        <v>1545</v>
      </c>
      <c r="AA639" s="440" t="s">
        <v>488</v>
      </c>
      <c r="AB639" s="441">
        <f t="shared" si="64"/>
        <v>7207.2072072072069</v>
      </c>
      <c r="AC639" s="442">
        <f t="shared" si="65"/>
        <v>216216.21621621621</v>
      </c>
      <c r="AD639" s="437">
        <v>1260000</v>
      </c>
      <c r="AE639" s="447">
        <v>4162162.1621621619</v>
      </c>
      <c r="AF639" s="447">
        <v>4620000</v>
      </c>
      <c r="AG639" s="437">
        <v>1260000</v>
      </c>
      <c r="AH639" s="271" t="s">
        <v>2092</v>
      </c>
      <c r="AI639" s="277">
        <f>SUM(AC639:AC640)</f>
        <v>2423423.4234234234</v>
      </c>
      <c r="AJ639" s="277">
        <f>SUM(AD639:AD640)</f>
        <v>4620000</v>
      </c>
    </row>
    <row r="640" spans="1:36">
      <c r="A640" s="350">
        <v>345</v>
      </c>
      <c r="B640" s="352" t="s">
        <v>1336</v>
      </c>
      <c r="C640" s="352" t="s">
        <v>594</v>
      </c>
      <c r="D640" s="355" t="s">
        <v>464</v>
      </c>
      <c r="E640" s="367">
        <v>45159</v>
      </c>
      <c r="F640" s="364">
        <v>45160</v>
      </c>
      <c r="G640" s="364">
        <v>45160</v>
      </c>
      <c r="H640" s="364">
        <v>45160</v>
      </c>
      <c r="I640" s="394">
        <v>45166</v>
      </c>
      <c r="J640" s="387" t="s">
        <v>596</v>
      </c>
      <c r="K640" s="387" t="s">
        <v>467</v>
      </c>
      <c r="L640" s="402">
        <v>70</v>
      </c>
      <c r="M640" s="352" t="s">
        <v>597</v>
      </c>
      <c r="N640" s="403">
        <v>35000</v>
      </c>
      <c r="O640" s="404">
        <v>2450000</v>
      </c>
      <c r="P640" s="421">
        <v>9</v>
      </c>
      <c r="Q640" s="425" t="s">
        <v>165</v>
      </c>
      <c r="R640" s="437">
        <v>3360000</v>
      </c>
      <c r="S640" s="274">
        <f t="shared" si="62"/>
        <v>2590000</v>
      </c>
      <c r="T640" s="444" t="s">
        <v>282</v>
      </c>
      <c r="U640" s="460" t="str">
        <f t="shared" si="63"/>
        <v>Resto JFC Esther</v>
      </c>
      <c r="V640" s="444" t="s">
        <v>1258</v>
      </c>
      <c r="W640" s="444" t="s">
        <v>468</v>
      </c>
      <c r="X640" s="439" t="s">
        <v>490</v>
      </c>
      <c r="Y640" s="439" t="str">
        <f t="shared" si="66"/>
        <v>Konsumsi rapat rutin sekolah</v>
      </c>
      <c r="Z640" s="449" t="s">
        <v>280</v>
      </c>
      <c r="AA640" s="440" t="s">
        <v>587</v>
      </c>
      <c r="AB640" s="441">
        <f t="shared" si="64"/>
        <v>31531.531531531531</v>
      </c>
      <c r="AC640" s="442">
        <f t="shared" si="65"/>
        <v>2207207.2072072071</v>
      </c>
      <c r="AD640" s="437">
        <v>3360000</v>
      </c>
      <c r="AE640" s="447">
        <v>4162162.1621621619</v>
      </c>
      <c r="AF640" s="447">
        <v>4620000</v>
      </c>
      <c r="AG640" s="437">
        <v>3360000</v>
      </c>
      <c r="AH640" s="271" t="s">
        <v>2091</v>
      </c>
    </row>
    <row r="641" spans="1:36">
      <c r="A641" s="350">
        <v>346</v>
      </c>
      <c r="B641" s="352" t="s">
        <v>1337</v>
      </c>
      <c r="C641" s="352" t="s">
        <v>594</v>
      </c>
      <c r="D641" s="355" t="s">
        <v>464</v>
      </c>
      <c r="E641" s="367">
        <v>45159</v>
      </c>
      <c r="F641" s="364">
        <v>45160</v>
      </c>
      <c r="G641" s="364">
        <v>45160</v>
      </c>
      <c r="H641" s="364">
        <v>45160</v>
      </c>
      <c r="I641" s="394">
        <v>45166</v>
      </c>
      <c r="J641" s="387" t="s">
        <v>599</v>
      </c>
      <c r="K641" s="387" t="s">
        <v>471</v>
      </c>
      <c r="L641" s="402">
        <v>8</v>
      </c>
      <c r="M641" s="352" t="s">
        <v>472</v>
      </c>
      <c r="N641" s="403">
        <v>70000</v>
      </c>
      <c r="O641" s="404">
        <v>560000</v>
      </c>
      <c r="P641" s="421">
        <v>9</v>
      </c>
      <c r="Q641" s="275"/>
      <c r="R641" s="437">
        <v>360000</v>
      </c>
      <c r="S641" s="274">
        <f t="shared" si="62"/>
        <v>576000</v>
      </c>
      <c r="T641" s="439" t="s">
        <v>10</v>
      </c>
      <c r="U641" s="460" t="str">
        <f t="shared" si="63"/>
        <v>UD. USAHA JAYA</v>
      </c>
      <c r="V641" s="439" t="s">
        <v>11</v>
      </c>
      <c r="W641" s="439" t="s">
        <v>473</v>
      </c>
      <c r="X641" s="439"/>
      <c r="Y641" s="439" t="str">
        <f t="shared" si="66"/>
        <v>Air mineral botol 600 ml rapat rutin sekolah</v>
      </c>
      <c r="Z641" s="449" t="s">
        <v>1555</v>
      </c>
      <c r="AA641" s="440" t="s">
        <v>574</v>
      </c>
      <c r="AB641" s="441">
        <f t="shared" si="64"/>
        <v>63063.063063063062</v>
      </c>
      <c r="AC641" s="442">
        <f t="shared" si="65"/>
        <v>504504.5045045045</v>
      </c>
      <c r="AD641" s="437">
        <v>360000</v>
      </c>
      <c r="AE641" s="447">
        <v>324324.32432432432</v>
      </c>
      <c r="AF641" s="447">
        <v>360000</v>
      </c>
      <c r="AG641" s="437">
        <v>360000</v>
      </c>
      <c r="AH641" s="271" t="s">
        <v>2092</v>
      </c>
    </row>
    <row r="642" spans="1:36">
      <c r="A642" s="350">
        <v>346</v>
      </c>
      <c r="B642" s="352" t="s">
        <v>1337</v>
      </c>
      <c r="C642" s="352" t="s">
        <v>594</v>
      </c>
      <c r="D642" s="355" t="s">
        <v>464</v>
      </c>
      <c r="E642" s="367">
        <v>45159</v>
      </c>
      <c r="F642" s="364">
        <v>45160</v>
      </c>
      <c r="G642" s="364">
        <v>45160</v>
      </c>
      <c r="H642" s="364">
        <v>45160</v>
      </c>
      <c r="I642" s="394">
        <v>45166</v>
      </c>
      <c r="J642" s="387" t="s">
        <v>601</v>
      </c>
      <c r="K642" s="352" t="s">
        <v>487</v>
      </c>
      <c r="L642" s="402">
        <v>140</v>
      </c>
      <c r="M642" s="352" t="s">
        <v>488</v>
      </c>
      <c r="N642" s="403">
        <v>8000</v>
      </c>
      <c r="O642" s="404">
        <v>1120000</v>
      </c>
      <c r="P642" s="421">
        <v>9</v>
      </c>
      <c r="Q642" s="425" t="s">
        <v>164</v>
      </c>
      <c r="R642" s="437">
        <v>140000</v>
      </c>
      <c r="S642" s="274">
        <f t="shared" si="62"/>
        <v>1400000</v>
      </c>
      <c r="T642" s="439" t="s">
        <v>10</v>
      </c>
      <c r="U642" s="460" t="str">
        <f t="shared" si="63"/>
        <v/>
      </c>
      <c r="V642" s="439" t="s">
        <v>11</v>
      </c>
      <c r="W642" s="439" t="s">
        <v>473</v>
      </c>
      <c r="X642" s="439" t="s">
        <v>474</v>
      </c>
      <c r="Y642" s="439" t="str">
        <f t="shared" si="66"/>
        <v>Snack rapat rutin sekolah</v>
      </c>
      <c r="Z642" s="449" t="s">
        <v>1545</v>
      </c>
      <c r="AA642" s="440" t="s">
        <v>472</v>
      </c>
      <c r="AB642" s="441">
        <f t="shared" si="64"/>
        <v>7207.2072072072069</v>
      </c>
      <c r="AC642" s="442">
        <f t="shared" si="65"/>
        <v>1009009.009009009</v>
      </c>
      <c r="AD642" s="437">
        <v>140000</v>
      </c>
      <c r="AE642" s="447">
        <v>1027027.027027027</v>
      </c>
      <c r="AF642" s="447">
        <v>1140000</v>
      </c>
      <c r="AG642" s="437">
        <v>140000</v>
      </c>
      <c r="AH642" s="271" t="s">
        <v>2092</v>
      </c>
      <c r="AI642" s="277">
        <f>SUM(AC642:AC644)</f>
        <v>2909009.0090090088</v>
      </c>
      <c r="AJ642" s="277">
        <f>SUM(AD642:AD644)</f>
        <v>1140000</v>
      </c>
    </row>
    <row r="643" spans="1:36">
      <c r="A643" s="350">
        <v>346</v>
      </c>
      <c r="B643" s="352" t="s">
        <v>1387</v>
      </c>
      <c r="C643" s="352" t="s">
        <v>1253</v>
      </c>
      <c r="D643" s="355" t="s">
        <v>571</v>
      </c>
      <c r="E643" s="368">
        <v>45162</v>
      </c>
      <c r="F643" s="362">
        <v>45163</v>
      </c>
      <c r="G643" s="362">
        <v>45163</v>
      </c>
      <c r="H643" s="362">
        <v>45163</v>
      </c>
      <c r="I643" s="394">
        <v>45199</v>
      </c>
      <c r="J643" s="387" t="s">
        <v>9</v>
      </c>
      <c r="K643" s="387" t="s">
        <v>573</v>
      </c>
      <c r="L643" s="402">
        <v>5830</v>
      </c>
      <c r="M643" s="352" t="s">
        <v>574</v>
      </c>
      <c r="N643" s="405">
        <v>300</v>
      </c>
      <c r="O643" s="404">
        <v>1749000</v>
      </c>
      <c r="P643" s="421">
        <v>9</v>
      </c>
      <c r="Q643" s="427" t="s">
        <v>163</v>
      </c>
      <c r="R643" s="437">
        <v>200000</v>
      </c>
      <c r="S643" s="274">
        <f t="shared" ref="S643:S706" si="67">L643*(N643+2000)</f>
        <v>13409000</v>
      </c>
      <c r="T643" s="439" t="s">
        <v>227</v>
      </c>
      <c r="U643" s="460" t="str">
        <f t="shared" ref="U643:U706" si="68">IF(K643="Nasi Kotak","Resto JFC Esther",IF(K643="Aqua Botol 600 ml","UD. USAHA JAYA",""))</f>
        <v/>
      </c>
      <c r="V643" s="439" t="s">
        <v>1248</v>
      </c>
      <c r="W643" s="439" t="s">
        <v>540</v>
      </c>
      <c r="X643" s="439" t="s">
        <v>474</v>
      </c>
      <c r="Y643" s="439" t="str">
        <f t="shared" si="66"/>
        <v>Foto Copy Filio dan Kuarto</v>
      </c>
      <c r="Z643" s="449" t="s">
        <v>1545</v>
      </c>
      <c r="AA643" s="440" t="s">
        <v>488</v>
      </c>
      <c r="AB643" s="441">
        <f t="shared" ref="AB643:AB706" si="69">100/111*N643</f>
        <v>270.27027027027026</v>
      </c>
      <c r="AC643" s="442">
        <f t="shared" ref="AC643:AC706" si="70">AB643*L643</f>
        <v>1575675.6756756755</v>
      </c>
      <c r="AD643" s="437">
        <v>200000</v>
      </c>
      <c r="AE643" s="447">
        <v>1027027.027027027</v>
      </c>
      <c r="AF643" s="447">
        <v>1140000</v>
      </c>
      <c r="AG643" s="437">
        <v>200000</v>
      </c>
      <c r="AH643" s="271" t="s">
        <v>2101</v>
      </c>
    </row>
    <row r="644" spans="1:36">
      <c r="A644" s="350">
        <v>347</v>
      </c>
      <c r="B644" s="352" t="s">
        <v>1338</v>
      </c>
      <c r="C644" s="352" t="s">
        <v>639</v>
      </c>
      <c r="D644" s="355" t="s">
        <v>464</v>
      </c>
      <c r="E644" s="367">
        <v>45163</v>
      </c>
      <c r="F644" s="364">
        <v>45164</v>
      </c>
      <c r="G644" s="364">
        <v>45164</v>
      </c>
      <c r="H644" s="364">
        <v>45164</v>
      </c>
      <c r="I644" s="394">
        <v>45166</v>
      </c>
      <c r="J644" s="387" t="s">
        <v>640</v>
      </c>
      <c r="K644" s="387" t="s">
        <v>641</v>
      </c>
      <c r="L644" s="402">
        <v>72</v>
      </c>
      <c r="M644" s="352" t="s">
        <v>488</v>
      </c>
      <c r="N644" s="403">
        <v>5000</v>
      </c>
      <c r="O644" s="404">
        <v>360000</v>
      </c>
      <c r="P644" s="421">
        <v>9</v>
      </c>
      <c r="Q644" s="425" t="s">
        <v>165</v>
      </c>
      <c r="R644" s="437">
        <v>800000</v>
      </c>
      <c r="S644" s="274">
        <f t="shared" si="67"/>
        <v>504000</v>
      </c>
      <c r="T644" s="275"/>
      <c r="U644" s="460" t="str">
        <f t="shared" si="68"/>
        <v/>
      </c>
      <c r="V644" s="439"/>
      <c r="W644" s="439"/>
      <c r="X644" s="439" t="s">
        <v>490</v>
      </c>
      <c r="Y644" s="439" t="str">
        <f t="shared" si="66"/>
        <v>Langganan Daya dan Jasa Isi ulang aqua galon</v>
      </c>
      <c r="Z644" s="449" t="s">
        <v>280</v>
      </c>
      <c r="AA644" s="440" t="s">
        <v>231</v>
      </c>
      <c r="AB644" s="441">
        <f t="shared" si="69"/>
        <v>4504.5045045045044</v>
      </c>
      <c r="AC644" s="442">
        <f t="shared" si="70"/>
        <v>324324.32432432432</v>
      </c>
      <c r="AD644" s="437">
        <v>800000</v>
      </c>
      <c r="AE644" s="447">
        <v>1027027.027027027</v>
      </c>
      <c r="AF644" s="447">
        <v>1140000</v>
      </c>
      <c r="AG644" s="437">
        <v>800000</v>
      </c>
    </row>
    <row r="645" spans="1:36" ht="15.5">
      <c r="A645" s="350">
        <v>348</v>
      </c>
      <c r="B645" s="352" t="s">
        <v>1339</v>
      </c>
      <c r="C645" s="352" t="s">
        <v>1340</v>
      </c>
      <c r="D645" s="355" t="s">
        <v>464</v>
      </c>
      <c r="E645" s="367">
        <v>45163</v>
      </c>
      <c r="F645" s="364">
        <v>45164</v>
      </c>
      <c r="G645" s="364">
        <v>45164</v>
      </c>
      <c r="H645" s="364">
        <v>45164</v>
      </c>
      <c r="I645" s="394">
        <v>45168</v>
      </c>
      <c r="J645" s="387" t="s">
        <v>1341</v>
      </c>
      <c r="K645" s="352" t="s">
        <v>487</v>
      </c>
      <c r="L645" s="402">
        <v>70</v>
      </c>
      <c r="M645" s="352" t="s">
        <v>488</v>
      </c>
      <c r="N645" s="403">
        <v>8000</v>
      </c>
      <c r="O645" s="404">
        <v>560000</v>
      </c>
      <c r="P645" s="421">
        <v>9</v>
      </c>
      <c r="Q645" s="493" t="s">
        <v>81</v>
      </c>
      <c r="R645" s="437">
        <v>3500000</v>
      </c>
      <c r="S645" s="274">
        <f t="shared" si="67"/>
        <v>700000</v>
      </c>
      <c r="T645" s="439" t="s">
        <v>10</v>
      </c>
      <c r="U645" s="460" t="str">
        <f t="shared" si="68"/>
        <v/>
      </c>
      <c r="V645" s="439" t="s">
        <v>11</v>
      </c>
      <c r="W645" s="439" t="s">
        <v>473</v>
      </c>
      <c r="X645" s="439" t="s">
        <v>468</v>
      </c>
      <c r="Y645" s="439" t="str">
        <f t="shared" si="66"/>
        <v>Snack pelaksanaan simulasi asesmen nasional</v>
      </c>
      <c r="Z645" s="449" t="s">
        <v>8</v>
      </c>
      <c r="AA645" s="440" t="s">
        <v>614</v>
      </c>
      <c r="AB645" s="441">
        <f t="shared" si="69"/>
        <v>7207.2072072072069</v>
      </c>
      <c r="AC645" s="442">
        <f t="shared" si="70"/>
        <v>504504.5045045045</v>
      </c>
      <c r="AD645" s="437">
        <v>3500000</v>
      </c>
      <c r="AE645" s="447">
        <v>3153153.1531531531</v>
      </c>
      <c r="AF645" s="447">
        <v>3500000</v>
      </c>
      <c r="AG645" s="437">
        <v>3500000</v>
      </c>
      <c r="AH645" s="271" t="s">
        <v>2092</v>
      </c>
    </row>
    <row r="646" spans="1:36" ht="15.5">
      <c r="A646" s="350">
        <v>348</v>
      </c>
      <c r="B646" s="352" t="s">
        <v>1339</v>
      </c>
      <c r="C646" s="352" t="s">
        <v>1340</v>
      </c>
      <c r="D646" s="355" t="s">
        <v>464</v>
      </c>
      <c r="E646" s="367">
        <v>45163</v>
      </c>
      <c r="F646" s="364">
        <v>45164</v>
      </c>
      <c r="G646" s="364">
        <v>45164</v>
      </c>
      <c r="H646" s="364">
        <v>45164</v>
      </c>
      <c r="I646" s="394">
        <v>45168</v>
      </c>
      <c r="J646" s="387" t="s">
        <v>1342</v>
      </c>
      <c r="K646" s="387" t="s">
        <v>484</v>
      </c>
      <c r="L646" s="402">
        <v>3</v>
      </c>
      <c r="M646" s="352" t="s">
        <v>472</v>
      </c>
      <c r="N646" s="403">
        <v>50000</v>
      </c>
      <c r="O646" s="404">
        <v>150000</v>
      </c>
      <c r="P646" s="421">
        <v>9</v>
      </c>
      <c r="Q646" s="426" t="s">
        <v>81</v>
      </c>
      <c r="R646" s="437">
        <v>2450000</v>
      </c>
      <c r="S646" s="274">
        <f t="shared" si="67"/>
        <v>156000</v>
      </c>
      <c r="T646" s="439" t="s">
        <v>10</v>
      </c>
      <c r="U646" s="460" t="str">
        <f t="shared" si="68"/>
        <v/>
      </c>
      <c r="V646" s="439" t="s">
        <v>11</v>
      </c>
      <c r="W646" s="439" t="s">
        <v>473</v>
      </c>
      <c r="X646" s="439" t="s">
        <v>468</v>
      </c>
      <c r="Y646" s="439" t="str">
        <f t="shared" si="66"/>
        <v>Aqua gelas pelaksanaan simulasi asesmen nasional</v>
      </c>
      <c r="Z646" s="449" t="s">
        <v>8</v>
      </c>
      <c r="AA646" s="440" t="s">
        <v>472</v>
      </c>
      <c r="AB646" s="441">
        <f t="shared" si="69"/>
        <v>45045.045045045044</v>
      </c>
      <c r="AC646" s="442">
        <f t="shared" si="70"/>
        <v>135135.13513513515</v>
      </c>
      <c r="AD646" s="437">
        <v>2450000</v>
      </c>
      <c r="AE646" s="447">
        <v>3720720.7207207205</v>
      </c>
      <c r="AF646" s="447">
        <v>4130000</v>
      </c>
      <c r="AG646" s="437">
        <v>2450000</v>
      </c>
      <c r="AH646" s="271" t="s">
        <v>2092</v>
      </c>
      <c r="AI646" s="277">
        <f>SUM(AC646:AC648)</f>
        <v>15063063.063063061</v>
      </c>
      <c r="AJ646" s="277">
        <f>SUM(AD646:AD648)</f>
        <v>4130000</v>
      </c>
    </row>
    <row r="647" spans="1:36">
      <c r="A647" s="350">
        <v>348</v>
      </c>
      <c r="B647" s="352" t="s">
        <v>1339</v>
      </c>
      <c r="C647" s="352" t="s">
        <v>1340</v>
      </c>
      <c r="D647" s="355" t="s">
        <v>464</v>
      </c>
      <c r="E647" s="367">
        <v>45163</v>
      </c>
      <c r="F647" s="364">
        <v>45164</v>
      </c>
      <c r="G647" s="364">
        <v>45164</v>
      </c>
      <c r="H647" s="364">
        <v>45164</v>
      </c>
      <c r="I647" s="394">
        <v>45168</v>
      </c>
      <c r="J647" s="387" t="s">
        <v>1343</v>
      </c>
      <c r="K647" s="387" t="s">
        <v>471</v>
      </c>
      <c r="L647" s="402">
        <v>1</v>
      </c>
      <c r="M647" s="352" t="s">
        <v>472</v>
      </c>
      <c r="N647" s="403">
        <v>70000</v>
      </c>
      <c r="O647" s="404">
        <v>70000</v>
      </c>
      <c r="P647" s="421">
        <v>9</v>
      </c>
      <c r="Q647" s="425" t="s">
        <v>164</v>
      </c>
      <c r="R647" s="437">
        <v>560000</v>
      </c>
      <c r="S647" s="274">
        <f t="shared" si="67"/>
        <v>72000</v>
      </c>
      <c r="T647" s="439" t="s">
        <v>10</v>
      </c>
      <c r="U647" s="460" t="str">
        <f t="shared" si="68"/>
        <v>UD. USAHA JAYA</v>
      </c>
      <c r="V647" s="439" t="s">
        <v>11</v>
      </c>
      <c r="W647" s="439" t="s">
        <v>473</v>
      </c>
      <c r="X647" s="439" t="s">
        <v>474</v>
      </c>
      <c r="Y647" s="439" t="str">
        <f t="shared" si="66"/>
        <v>Aqua botol pelaksanaan simulasi asesmen nasional</v>
      </c>
      <c r="Z647" s="449" t="s">
        <v>1545</v>
      </c>
      <c r="AA647" s="440" t="s">
        <v>488</v>
      </c>
      <c r="AB647" s="441">
        <f t="shared" si="69"/>
        <v>63063.063063063062</v>
      </c>
      <c r="AC647" s="442">
        <f t="shared" si="70"/>
        <v>63063.063063063062</v>
      </c>
      <c r="AD647" s="437">
        <v>560000</v>
      </c>
      <c r="AE647" s="447">
        <v>3720720.7207207205</v>
      </c>
      <c r="AF647" s="447">
        <v>4130000</v>
      </c>
      <c r="AG647" s="437">
        <v>560000</v>
      </c>
      <c r="AH647" s="271" t="s">
        <v>2092</v>
      </c>
    </row>
    <row r="648" spans="1:36">
      <c r="A648" s="350">
        <v>349</v>
      </c>
      <c r="B648" s="352" t="s">
        <v>1345</v>
      </c>
      <c r="C648" s="352" t="s">
        <v>1346</v>
      </c>
      <c r="D648" s="355" t="s">
        <v>1347</v>
      </c>
      <c r="E648" s="367">
        <v>45167</v>
      </c>
      <c r="F648" s="362">
        <v>45168</v>
      </c>
      <c r="G648" s="362">
        <v>45168</v>
      </c>
      <c r="H648" s="362">
        <v>45168</v>
      </c>
      <c r="I648" s="394">
        <v>45168</v>
      </c>
      <c r="J648" s="387" t="s">
        <v>1348</v>
      </c>
      <c r="K648" s="388" t="s">
        <v>1349</v>
      </c>
      <c r="L648" s="402">
        <v>3</v>
      </c>
      <c r="M648" s="352" t="s">
        <v>792</v>
      </c>
      <c r="N648" s="403">
        <v>5500000</v>
      </c>
      <c r="O648" s="404">
        <v>16500000</v>
      </c>
      <c r="P648" s="421">
        <v>9</v>
      </c>
      <c r="Q648" s="425" t="s">
        <v>165</v>
      </c>
      <c r="R648" s="437">
        <v>1120000</v>
      </c>
      <c r="S648" s="274">
        <f t="shared" si="67"/>
        <v>16506000</v>
      </c>
      <c r="T648" s="439" t="s">
        <v>12</v>
      </c>
      <c r="U648" s="460" t="str">
        <f t="shared" si="68"/>
        <v/>
      </c>
      <c r="V648" s="439" t="s">
        <v>13</v>
      </c>
      <c r="W648" s="439" t="s">
        <v>804</v>
      </c>
      <c r="X648" s="439" t="s">
        <v>490</v>
      </c>
      <c r="Y648" s="439" t="str">
        <f t="shared" si="66"/>
        <v>Perangkat proyektor</v>
      </c>
      <c r="Z648" s="449" t="s">
        <v>280</v>
      </c>
      <c r="AA648" s="421"/>
      <c r="AB648" s="441">
        <f t="shared" si="69"/>
        <v>4954954.9549549548</v>
      </c>
      <c r="AC648" s="442">
        <f t="shared" si="70"/>
        <v>14864864.864864863</v>
      </c>
      <c r="AD648" s="437">
        <v>1120000</v>
      </c>
      <c r="AE648" s="447">
        <v>3720720.7207207205</v>
      </c>
      <c r="AF648" s="447">
        <v>4130000</v>
      </c>
      <c r="AG648" s="437">
        <v>1120000</v>
      </c>
      <c r="AH648" s="271" t="s">
        <v>2099</v>
      </c>
    </row>
    <row r="649" spans="1:36" ht="25">
      <c r="A649" s="350">
        <v>351</v>
      </c>
      <c r="B649" s="352" t="s">
        <v>1350</v>
      </c>
      <c r="C649" s="354" t="s">
        <v>704</v>
      </c>
      <c r="D649" s="355" t="s">
        <v>705</v>
      </c>
      <c r="E649" s="368">
        <v>45170</v>
      </c>
      <c r="F649" s="362">
        <v>45170</v>
      </c>
      <c r="G649" s="362">
        <v>45170</v>
      </c>
      <c r="H649" s="362">
        <v>45170</v>
      </c>
      <c r="I649" s="395">
        <v>45170</v>
      </c>
      <c r="J649" s="354" t="s">
        <v>230</v>
      </c>
      <c r="K649" s="387" t="s">
        <v>230</v>
      </c>
      <c r="L649" s="402">
        <v>1</v>
      </c>
      <c r="M649" s="352" t="s">
        <v>728</v>
      </c>
      <c r="N649" s="403">
        <v>40000</v>
      </c>
      <c r="O649" s="404">
        <v>40000</v>
      </c>
      <c r="P649" s="421">
        <v>9</v>
      </c>
      <c r="Q649" s="275"/>
      <c r="R649" s="437">
        <v>600000</v>
      </c>
      <c r="S649" s="274">
        <f t="shared" si="67"/>
        <v>42000</v>
      </c>
      <c r="T649" s="439" t="s">
        <v>227</v>
      </c>
      <c r="U649" s="460" t="str">
        <f t="shared" si="68"/>
        <v/>
      </c>
      <c r="V649" s="439" t="s">
        <v>1248</v>
      </c>
      <c r="W649" s="439" t="s">
        <v>540</v>
      </c>
      <c r="X649" s="439"/>
      <c r="Y649" s="439" t="str">
        <f t="shared" si="66"/>
        <v>Amplop Coklat Merk : GSU Ukuran : 1/2 folio, bergaris</v>
      </c>
      <c r="Z649" s="449"/>
      <c r="AA649" s="421"/>
      <c r="AB649" s="441">
        <f t="shared" si="69"/>
        <v>36036.036036036036</v>
      </c>
      <c r="AC649" s="442">
        <f t="shared" si="70"/>
        <v>36036.036036036036</v>
      </c>
      <c r="AD649" s="437">
        <v>600000</v>
      </c>
      <c r="AE649" s="447">
        <v>540540.54054054059</v>
      </c>
      <c r="AF649" s="447">
        <v>600000</v>
      </c>
      <c r="AG649" s="437">
        <v>600000</v>
      </c>
      <c r="AH649" s="271" t="s">
        <v>2101</v>
      </c>
    </row>
    <row r="650" spans="1:36">
      <c r="A650" s="350">
        <v>351</v>
      </c>
      <c r="B650" s="352" t="s">
        <v>1350</v>
      </c>
      <c r="C650" s="354" t="s">
        <v>704</v>
      </c>
      <c r="D650" s="355" t="s">
        <v>705</v>
      </c>
      <c r="E650" s="368">
        <v>45170</v>
      </c>
      <c r="F650" s="362">
        <v>45170</v>
      </c>
      <c r="G650" s="362">
        <v>45170</v>
      </c>
      <c r="H650" s="362">
        <v>45170</v>
      </c>
      <c r="I650" s="395">
        <v>45170</v>
      </c>
      <c r="J650" s="354" t="s">
        <v>711</v>
      </c>
      <c r="K650" s="387" t="s">
        <v>746</v>
      </c>
      <c r="L650" s="402">
        <v>1</v>
      </c>
      <c r="M650" s="352" t="s">
        <v>488</v>
      </c>
      <c r="N650" s="403">
        <v>11500</v>
      </c>
      <c r="O650" s="404">
        <v>11500</v>
      </c>
      <c r="P650" s="421">
        <v>10</v>
      </c>
      <c r="Q650" s="429" t="s">
        <v>926</v>
      </c>
      <c r="R650" s="437">
        <v>31000</v>
      </c>
      <c r="S650" s="274">
        <f t="shared" si="67"/>
        <v>13500</v>
      </c>
      <c r="T650" s="439" t="s">
        <v>227</v>
      </c>
      <c r="U650" s="460" t="str">
        <f t="shared" si="68"/>
        <v/>
      </c>
      <c r="V650" s="439" t="s">
        <v>1248</v>
      </c>
      <c r="W650" s="439" t="s">
        <v>540</v>
      </c>
      <c r="X650" s="454" t="s">
        <v>1315</v>
      </c>
      <c r="Y650" s="439" t="s">
        <v>710</v>
      </c>
      <c r="Z650" s="449" t="s">
        <v>710</v>
      </c>
      <c r="AA650" s="440" t="s">
        <v>488</v>
      </c>
      <c r="AB650" s="441">
        <f t="shared" si="69"/>
        <v>10360.360360360361</v>
      </c>
      <c r="AC650" s="442">
        <f t="shared" si="70"/>
        <v>10360.360360360361</v>
      </c>
      <c r="AD650" s="437">
        <v>31000</v>
      </c>
      <c r="AE650" s="447">
        <v>4447747.7477477482</v>
      </c>
      <c r="AF650" s="447">
        <v>4937000</v>
      </c>
      <c r="AG650" s="437">
        <v>31000</v>
      </c>
      <c r="AH650" s="271" t="s">
        <v>2101</v>
      </c>
      <c r="AI650" s="277">
        <f>SUM(AC650:AC693)</f>
        <v>12708108.108108107</v>
      </c>
      <c r="AJ650" s="277">
        <f>SUM(AD650:AD693)</f>
        <v>4937000</v>
      </c>
    </row>
    <row r="651" spans="1:36">
      <c r="A651" s="350">
        <v>351</v>
      </c>
      <c r="B651" s="352" t="s">
        <v>1350</v>
      </c>
      <c r="C651" s="354" t="s">
        <v>704</v>
      </c>
      <c r="D651" s="355" t="s">
        <v>705</v>
      </c>
      <c r="E651" s="368">
        <v>45170</v>
      </c>
      <c r="F651" s="362">
        <v>45170</v>
      </c>
      <c r="G651" s="362">
        <v>45170</v>
      </c>
      <c r="H651" s="362">
        <v>45170</v>
      </c>
      <c r="I651" s="395">
        <v>45170</v>
      </c>
      <c r="J651" s="354" t="s">
        <v>711</v>
      </c>
      <c r="K651" s="387" t="s">
        <v>712</v>
      </c>
      <c r="L651" s="402">
        <v>1</v>
      </c>
      <c r="M651" s="352" t="s">
        <v>488</v>
      </c>
      <c r="N651" s="403">
        <v>14000</v>
      </c>
      <c r="O651" s="404">
        <v>14000</v>
      </c>
      <c r="P651" s="421">
        <v>10</v>
      </c>
      <c r="Q651" s="429" t="s">
        <v>116</v>
      </c>
      <c r="R651" s="437">
        <v>240000</v>
      </c>
      <c r="S651" s="274">
        <f t="shared" si="67"/>
        <v>16000</v>
      </c>
      <c r="T651" s="439" t="s">
        <v>227</v>
      </c>
      <c r="U651" s="460" t="str">
        <f t="shared" si="68"/>
        <v/>
      </c>
      <c r="V651" s="439" t="s">
        <v>1248</v>
      </c>
      <c r="W651" s="439" t="s">
        <v>540</v>
      </c>
      <c r="X651" s="454" t="s">
        <v>1315</v>
      </c>
      <c r="Y651" s="439" t="s">
        <v>710</v>
      </c>
      <c r="Z651" s="449" t="s">
        <v>710</v>
      </c>
      <c r="AA651" s="440" t="s">
        <v>728</v>
      </c>
      <c r="AB651" s="441">
        <f t="shared" si="69"/>
        <v>12612.612612612613</v>
      </c>
      <c r="AC651" s="442">
        <f t="shared" si="70"/>
        <v>12612.612612612613</v>
      </c>
      <c r="AD651" s="437">
        <v>240000</v>
      </c>
      <c r="AE651" s="447">
        <v>4447747.7477477482</v>
      </c>
      <c r="AF651" s="447">
        <v>4937000</v>
      </c>
      <c r="AG651" s="437">
        <v>240000</v>
      </c>
      <c r="AH651" s="271" t="s">
        <v>2101</v>
      </c>
    </row>
    <row r="652" spans="1:36">
      <c r="A652" s="350">
        <v>351</v>
      </c>
      <c r="B652" s="352" t="s">
        <v>1350</v>
      </c>
      <c r="C652" s="354" t="s">
        <v>704</v>
      </c>
      <c r="D652" s="355" t="s">
        <v>705</v>
      </c>
      <c r="E652" s="368">
        <v>45170</v>
      </c>
      <c r="F652" s="362">
        <v>45170</v>
      </c>
      <c r="G652" s="362">
        <v>45170</v>
      </c>
      <c r="H652" s="362">
        <v>45170</v>
      </c>
      <c r="I652" s="395">
        <v>45170</v>
      </c>
      <c r="J652" s="354" t="s">
        <v>711</v>
      </c>
      <c r="K652" s="387" t="s">
        <v>738</v>
      </c>
      <c r="L652" s="402">
        <v>1</v>
      </c>
      <c r="M652" s="352" t="s">
        <v>488</v>
      </c>
      <c r="N652" s="403">
        <v>20000</v>
      </c>
      <c r="O652" s="404">
        <v>20000</v>
      </c>
      <c r="P652" s="421">
        <v>10</v>
      </c>
      <c r="Q652" s="429" t="s">
        <v>96</v>
      </c>
      <c r="R652" s="437">
        <v>40000</v>
      </c>
      <c r="S652" s="274">
        <f t="shared" si="67"/>
        <v>22000</v>
      </c>
      <c r="T652" s="439" t="s">
        <v>227</v>
      </c>
      <c r="U652" s="460" t="str">
        <f t="shared" si="68"/>
        <v/>
      </c>
      <c r="V652" s="439" t="s">
        <v>1248</v>
      </c>
      <c r="W652" s="439" t="s">
        <v>540</v>
      </c>
      <c r="X652" s="454" t="s">
        <v>1315</v>
      </c>
      <c r="Y652" s="439" t="s">
        <v>710</v>
      </c>
      <c r="Z652" s="449" t="s">
        <v>710</v>
      </c>
      <c r="AA652" s="440" t="s">
        <v>488</v>
      </c>
      <c r="AB652" s="441">
        <f t="shared" si="69"/>
        <v>18018.018018018018</v>
      </c>
      <c r="AC652" s="442">
        <f t="shared" si="70"/>
        <v>18018.018018018018</v>
      </c>
      <c r="AD652" s="437">
        <v>40000</v>
      </c>
      <c r="AE652" s="447">
        <v>4447747.7477477482</v>
      </c>
      <c r="AF652" s="447">
        <v>4937000</v>
      </c>
      <c r="AG652" s="437">
        <v>40000</v>
      </c>
      <c r="AH652" s="271" t="s">
        <v>2101</v>
      </c>
    </row>
    <row r="653" spans="1:36">
      <c r="A653" s="350">
        <v>351</v>
      </c>
      <c r="B653" s="352" t="s">
        <v>1350</v>
      </c>
      <c r="C653" s="354" t="s">
        <v>704</v>
      </c>
      <c r="D653" s="355" t="s">
        <v>705</v>
      </c>
      <c r="E653" s="368">
        <v>45170</v>
      </c>
      <c r="F653" s="362">
        <v>45170</v>
      </c>
      <c r="G653" s="362">
        <v>45170</v>
      </c>
      <c r="H653" s="362">
        <v>45170</v>
      </c>
      <c r="I653" s="395">
        <v>45170</v>
      </c>
      <c r="J653" s="354" t="s">
        <v>256</v>
      </c>
      <c r="K653" s="388" t="s">
        <v>727</v>
      </c>
      <c r="L653" s="402">
        <v>1</v>
      </c>
      <c r="M653" s="352" t="s">
        <v>728</v>
      </c>
      <c r="N653" s="403">
        <v>21000</v>
      </c>
      <c r="O653" s="404">
        <v>21000</v>
      </c>
      <c r="P653" s="421">
        <v>10</v>
      </c>
      <c r="Q653" s="429" t="s">
        <v>1033</v>
      </c>
      <c r="R653" s="437">
        <v>11500</v>
      </c>
      <c r="S653" s="274">
        <f t="shared" si="67"/>
        <v>23000</v>
      </c>
      <c r="T653" s="439" t="s">
        <v>227</v>
      </c>
      <c r="U653" s="460" t="str">
        <f t="shared" si="68"/>
        <v/>
      </c>
      <c r="V653" s="439" t="s">
        <v>1248</v>
      </c>
      <c r="W653" s="439" t="s">
        <v>540</v>
      </c>
      <c r="X653" s="454" t="s">
        <v>1315</v>
      </c>
      <c r="Y653" s="439" t="s">
        <v>710</v>
      </c>
      <c r="Z653" s="449" t="s">
        <v>710</v>
      </c>
      <c r="AA653" s="440" t="s">
        <v>488</v>
      </c>
      <c r="AB653" s="441">
        <f t="shared" si="69"/>
        <v>18918.91891891892</v>
      </c>
      <c r="AC653" s="442">
        <f t="shared" si="70"/>
        <v>18918.91891891892</v>
      </c>
      <c r="AD653" s="437">
        <v>11500</v>
      </c>
      <c r="AE653" s="447">
        <v>4447747.7477477482</v>
      </c>
      <c r="AF653" s="447">
        <v>4937000</v>
      </c>
      <c r="AG653" s="437">
        <v>11500</v>
      </c>
      <c r="AH653" s="271" t="s">
        <v>2101</v>
      </c>
    </row>
    <row r="654" spans="1:36">
      <c r="A654" s="350">
        <v>351</v>
      </c>
      <c r="B654" s="352" t="s">
        <v>1350</v>
      </c>
      <c r="C654" s="354" t="s">
        <v>704</v>
      </c>
      <c r="D654" s="355" t="s">
        <v>705</v>
      </c>
      <c r="E654" s="368">
        <v>45170</v>
      </c>
      <c r="F654" s="362">
        <v>45170</v>
      </c>
      <c r="G654" s="362">
        <v>45170</v>
      </c>
      <c r="H654" s="362">
        <v>45170</v>
      </c>
      <c r="I654" s="395">
        <v>45170</v>
      </c>
      <c r="J654" s="354" t="s">
        <v>250</v>
      </c>
      <c r="K654" s="388" t="s">
        <v>1159</v>
      </c>
      <c r="L654" s="402">
        <v>10</v>
      </c>
      <c r="M654" s="352" t="s">
        <v>753</v>
      </c>
      <c r="N654" s="403">
        <v>44000</v>
      </c>
      <c r="O654" s="404">
        <v>440000</v>
      </c>
      <c r="P654" s="421">
        <v>10</v>
      </c>
      <c r="Q654" s="429" t="s">
        <v>1034</v>
      </c>
      <c r="R654" s="437">
        <v>14000</v>
      </c>
      <c r="S654" s="274">
        <f t="shared" si="67"/>
        <v>460000</v>
      </c>
      <c r="T654" s="439" t="s">
        <v>227</v>
      </c>
      <c r="U654" s="460" t="str">
        <f t="shared" si="68"/>
        <v/>
      </c>
      <c r="V654" s="439" t="s">
        <v>1248</v>
      </c>
      <c r="W654" s="439" t="s">
        <v>540</v>
      </c>
      <c r="X654" s="454" t="s">
        <v>1315</v>
      </c>
      <c r="Y654" s="275" t="s">
        <v>710</v>
      </c>
      <c r="Z654" s="449" t="s">
        <v>710</v>
      </c>
      <c r="AA654" s="440" t="s">
        <v>488</v>
      </c>
      <c r="AB654" s="441">
        <f t="shared" si="69"/>
        <v>39639.639639639638</v>
      </c>
      <c r="AC654" s="442">
        <f t="shared" si="70"/>
        <v>396396.39639639639</v>
      </c>
      <c r="AD654" s="437">
        <v>14000</v>
      </c>
      <c r="AE654" s="447">
        <v>4447747.7477477482</v>
      </c>
      <c r="AF654" s="447">
        <v>4937000</v>
      </c>
      <c r="AG654" s="437">
        <v>14000</v>
      </c>
      <c r="AH654" s="271" t="s">
        <v>2101</v>
      </c>
    </row>
    <row r="655" spans="1:36">
      <c r="A655" s="350">
        <v>351</v>
      </c>
      <c r="B655" s="352" t="s">
        <v>1350</v>
      </c>
      <c r="C655" s="354" t="s">
        <v>704</v>
      </c>
      <c r="D655" s="355" t="s">
        <v>705</v>
      </c>
      <c r="E655" s="368">
        <v>45170</v>
      </c>
      <c r="F655" s="362">
        <v>45170</v>
      </c>
      <c r="G655" s="362">
        <v>45170</v>
      </c>
      <c r="H655" s="362">
        <v>45170</v>
      </c>
      <c r="I655" s="395">
        <v>45170</v>
      </c>
      <c r="J655" s="354" t="s">
        <v>240</v>
      </c>
      <c r="K655" s="388" t="s">
        <v>731</v>
      </c>
      <c r="L655" s="402">
        <v>1</v>
      </c>
      <c r="M655" s="352" t="s">
        <v>597</v>
      </c>
      <c r="N655" s="403">
        <v>20000</v>
      </c>
      <c r="O655" s="404">
        <v>20000</v>
      </c>
      <c r="P655" s="421">
        <v>10</v>
      </c>
      <c r="Q655" s="429" t="s">
        <v>139</v>
      </c>
      <c r="R655" s="437">
        <v>20000</v>
      </c>
      <c r="S655" s="438">
        <f t="shared" si="67"/>
        <v>22000</v>
      </c>
      <c r="T655" s="439" t="s">
        <v>227</v>
      </c>
      <c r="U655" s="460" t="str">
        <f t="shared" si="68"/>
        <v/>
      </c>
      <c r="V655" s="439" t="s">
        <v>1248</v>
      </c>
      <c r="W655" s="439" t="s">
        <v>540</v>
      </c>
      <c r="X655" s="454" t="s">
        <v>1315</v>
      </c>
      <c r="Y655" s="275" t="s">
        <v>710</v>
      </c>
      <c r="Z655" s="449" t="s">
        <v>710</v>
      </c>
      <c r="AA655" s="440" t="s">
        <v>728</v>
      </c>
      <c r="AB655" s="441">
        <f t="shared" si="69"/>
        <v>18018.018018018018</v>
      </c>
      <c r="AC655" s="442">
        <f t="shared" si="70"/>
        <v>18018.018018018018</v>
      </c>
      <c r="AD655" s="437">
        <v>20000</v>
      </c>
      <c r="AE655" s="447">
        <v>4447747.7477477482</v>
      </c>
      <c r="AF655" s="447">
        <v>4937000</v>
      </c>
      <c r="AG655" s="437">
        <v>20000</v>
      </c>
      <c r="AH655" s="271" t="s">
        <v>2101</v>
      </c>
    </row>
    <row r="656" spans="1:36">
      <c r="A656" s="350">
        <v>351</v>
      </c>
      <c r="B656" s="352" t="s">
        <v>1350</v>
      </c>
      <c r="C656" s="354" t="s">
        <v>704</v>
      </c>
      <c r="D656" s="355" t="s">
        <v>705</v>
      </c>
      <c r="E656" s="368">
        <v>45170</v>
      </c>
      <c r="F656" s="362">
        <v>45170</v>
      </c>
      <c r="G656" s="362">
        <v>45170</v>
      </c>
      <c r="H656" s="362">
        <v>45170</v>
      </c>
      <c r="I656" s="395">
        <v>45170</v>
      </c>
      <c r="J656" s="354" t="s">
        <v>740</v>
      </c>
      <c r="K656" s="388" t="s">
        <v>741</v>
      </c>
      <c r="L656" s="402">
        <v>2</v>
      </c>
      <c r="M656" s="352" t="s">
        <v>488</v>
      </c>
      <c r="N656" s="403">
        <v>5500</v>
      </c>
      <c r="O656" s="404">
        <v>11000</v>
      </c>
      <c r="P656" s="421">
        <v>10</v>
      </c>
      <c r="Q656" s="429" t="s">
        <v>145</v>
      </c>
      <c r="R656" s="437">
        <v>21000</v>
      </c>
      <c r="S656" s="438">
        <f t="shared" si="67"/>
        <v>15000</v>
      </c>
      <c r="T656" s="439" t="s">
        <v>227</v>
      </c>
      <c r="U656" s="460" t="str">
        <f t="shared" si="68"/>
        <v/>
      </c>
      <c r="V656" s="439" t="s">
        <v>1248</v>
      </c>
      <c r="W656" s="439" t="s">
        <v>540</v>
      </c>
      <c r="X656" s="454" t="s">
        <v>1315</v>
      </c>
      <c r="Y656" s="275" t="s">
        <v>710</v>
      </c>
      <c r="Z656" s="449" t="s">
        <v>710</v>
      </c>
      <c r="AA656" s="440" t="s">
        <v>597</v>
      </c>
      <c r="AB656" s="441">
        <f t="shared" si="69"/>
        <v>4954.9549549549547</v>
      </c>
      <c r="AC656" s="442">
        <f t="shared" si="70"/>
        <v>9909.9099099099094</v>
      </c>
      <c r="AD656" s="437">
        <v>21000</v>
      </c>
      <c r="AE656" s="447">
        <v>4447747.7477477482</v>
      </c>
      <c r="AF656" s="447">
        <v>4937000</v>
      </c>
      <c r="AG656" s="437">
        <v>21000</v>
      </c>
      <c r="AH656" s="271" t="s">
        <v>2101</v>
      </c>
    </row>
    <row r="657" spans="1:34">
      <c r="A657" s="350">
        <v>351</v>
      </c>
      <c r="B657" s="352" t="s">
        <v>1350</v>
      </c>
      <c r="C657" s="354" t="s">
        <v>704</v>
      </c>
      <c r="D657" s="355" t="s">
        <v>705</v>
      </c>
      <c r="E657" s="368">
        <v>45170</v>
      </c>
      <c r="F657" s="362">
        <v>45170</v>
      </c>
      <c r="G657" s="362">
        <v>45170</v>
      </c>
      <c r="H657" s="362">
        <v>45170</v>
      </c>
      <c r="I657" s="395">
        <v>45170</v>
      </c>
      <c r="J657" s="354" t="s">
        <v>238</v>
      </c>
      <c r="K657" s="387" t="s">
        <v>238</v>
      </c>
      <c r="L657" s="402">
        <v>2</v>
      </c>
      <c r="M657" s="352" t="s">
        <v>597</v>
      </c>
      <c r="N657" s="403">
        <v>11000</v>
      </c>
      <c r="O657" s="404">
        <v>22000</v>
      </c>
      <c r="P657" s="421">
        <v>10</v>
      </c>
      <c r="Q657" s="429" t="s">
        <v>111</v>
      </c>
      <c r="R657" s="437">
        <v>20000</v>
      </c>
      <c r="S657" s="438">
        <f t="shared" si="67"/>
        <v>26000</v>
      </c>
      <c r="T657" s="439" t="s">
        <v>227</v>
      </c>
      <c r="U657" s="460" t="str">
        <f t="shared" si="68"/>
        <v/>
      </c>
      <c r="V657" s="439" t="s">
        <v>1248</v>
      </c>
      <c r="W657" s="439" t="s">
        <v>540</v>
      </c>
      <c r="X657" s="454" t="s">
        <v>1315</v>
      </c>
      <c r="Y657" s="275" t="s">
        <v>710</v>
      </c>
      <c r="Z657" s="449" t="s">
        <v>710</v>
      </c>
      <c r="AA657" s="440" t="s">
        <v>488</v>
      </c>
      <c r="AB657" s="441">
        <f t="shared" si="69"/>
        <v>9909.9099099099094</v>
      </c>
      <c r="AC657" s="442">
        <f t="shared" si="70"/>
        <v>19819.819819819819</v>
      </c>
      <c r="AD657" s="437">
        <v>20000</v>
      </c>
      <c r="AE657" s="447">
        <v>4447747.7477477482</v>
      </c>
      <c r="AF657" s="447">
        <v>4937000</v>
      </c>
      <c r="AG657" s="437">
        <v>20000</v>
      </c>
      <c r="AH657" s="271" t="s">
        <v>2101</v>
      </c>
    </row>
    <row r="658" spans="1:34">
      <c r="A658" s="350">
        <v>351</v>
      </c>
      <c r="B658" s="352" t="s">
        <v>1350</v>
      </c>
      <c r="C658" s="354" t="s">
        <v>704</v>
      </c>
      <c r="D658" s="355" t="s">
        <v>705</v>
      </c>
      <c r="E658" s="368">
        <v>45170</v>
      </c>
      <c r="F658" s="362">
        <v>45170</v>
      </c>
      <c r="G658" s="362">
        <v>45170</v>
      </c>
      <c r="H658" s="362">
        <v>45170</v>
      </c>
      <c r="I658" s="395">
        <v>45170</v>
      </c>
      <c r="J658" s="354" t="s">
        <v>255</v>
      </c>
      <c r="K658" s="388" t="s">
        <v>889</v>
      </c>
      <c r="L658" s="402">
        <v>1</v>
      </c>
      <c r="M658" s="352" t="s">
        <v>728</v>
      </c>
      <c r="N658" s="403">
        <v>25000</v>
      </c>
      <c r="O658" s="404">
        <v>25000</v>
      </c>
      <c r="P658" s="421">
        <v>10</v>
      </c>
      <c r="Q658" s="429" t="s">
        <v>1402</v>
      </c>
      <c r="R658" s="437">
        <v>30000</v>
      </c>
      <c r="S658" s="438">
        <f t="shared" si="67"/>
        <v>27000</v>
      </c>
      <c r="T658" s="439" t="s">
        <v>227</v>
      </c>
      <c r="U658" s="460" t="str">
        <f t="shared" si="68"/>
        <v/>
      </c>
      <c r="V658" s="439" t="s">
        <v>1248</v>
      </c>
      <c r="W658" s="439" t="s">
        <v>540</v>
      </c>
      <c r="X658" s="454" t="s">
        <v>1315</v>
      </c>
      <c r="Y658" s="275" t="s">
        <v>710</v>
      </c>
      <c r="Z658" s="449" t="s">
        <v>710</v>
      </c>
      <c r="AA658" s="440" t="s">
        <v>488</v>
      </c>
      <c r="AB658" s="441">
        <f t="shared" si="69"/>
        <v>22522.522522522522</v>
      </c>
      <c r="AC658" s="442">
        <f t="shared" si="70"/>
        <v>22522.522522522522</v>
      </c>
      <c r="AD658" s="437">
        <v>30000</v>
      </c>
      <c r="AE658" s="447">
        <v>4447747.7477477482</v>
      </c>
      <c r="AF658" s="447">
        <v>4937000</v>
      </c>
      <c r="AG658" s="437">
        <v>30000</v>
      </c>
      <c r="AH658" s="271" t="s">
        <v>2101</v>
      </c>
    </row>
    <row r="659" spans="1:34">
      <c r="A659" s="350">
        <v>351</v>
      </c>
      <c r="B659" s="352" t="s">
        <v>1350</v>
      </c>
      <c r="C659" s="354" t="s">
        <v>704</v>
      </c>
      <c r="D659" s="355" t="s">
        <v>705</v>
      </c>
      <c r="E659" s="368">
        <v>45170</v>
      </c>
      <c r="F659" s="362">
        <v>45170</v>
      </c>
      <c r="G659" s="362">
        <v>45170</v>
      </c>
      <c r="H659" s="362">
        <v>45170</v>
      </c>
      <c r="I659" s="395">
        <v>45170</v>
      </c>
      <c r="J659" s="354" t="s">
        <v>762</v>
      </c>
      <c r="K659" s="387" t="s">
        <v>762</v>
      </c>
      <c r="L659" s="402">
        <v>1</v>
      </c>
      <c r="M659" s="352" t="s">
        <v>488</v>
      </c>
      <c r="N659" s="403">
        <v>15000</v>
      </c>
      <c r="O659" s="404">
        <v>15000</v>
      </c>
      <c r="P659" s="421">
        <v>10</v>
      </c>
      <c r="Q659" s="429" t="s">
        <v>903</v>
      </c>
      <c r="R659" s="437">
        <v>11000</v>
      </c>
      <c r="S659" s="438">
        <f t="shared" si="67"/>
        <v>17000</v>
      </c>
      <c r="T659" s="439" t="s">
        <v>227</v>
      </c>
      <c r="U659" s="460" t="str">
        <f t="shared" si="68"/>
        <v/>
      </c>
      <c r="V659" s="439" t="s">
        <v>1248</v>
      </c>
      <c r="W659" s="439" t="s">
        <v>540</v>
      </c>
      <c r="X659" s="454" t="s">
        <v>1315</v>
      </c>
      <c r="Y659" s="275" t="s">
        <v>710</v>
      </c>
      <c r="Z659" s="616" t="s">
        <v>710</v>
      </c>
      <c r="AA659" s="440" t="s">
        <v>597</v>
      </c>
      <c r="AB659" s="441">
        <f t="shared" si="69"/>
        <v>13513.513513513513</v>
      </c>
      <c r="AC659" s="442">
        <f t="shared" si="70"/>
        <v>13513.513513513513</v>
      </c>
      <c r="AD659" s="437">
        <v>11000</v>
      </c>
      <c r="AE659" s="447">
        <v>4447747.7477477482</v>
      </c>
      <c r="AF659" s="447">
        <v>4937000</v>
      </c>
      <c r="AG659" s="437">
        <v>11000</v>
      </c>
      <c r="AH659" s="271" t="s">
        <v>2101</v>
      </c>
    </row>
    <row r="660" spans="1:34">
      <c r="A660" s="350">
        <v>351</v>
      </c>
      <c r="B660" s="352" t="s">
        <v>1350</v>
      </c>
      <c r="C660" s="354" t="s">
        <v>704</v>
      </c>
      <c r="D660" s="355" t="s">
        <v>705</v>
      </c>
      <c r="E660" s="368">
        <v>45170</v>
      </c>
      <c r="F660" s="362">
        <v>45170</v>
      </c>
      <c r="G660" s="362">
        <v>45170</v>
      </c>
      <c r="H660" s="362">
        <v>45170</v>
      </c>
      <c r="I660" s="395">
        <v>45170</v>
      </c>
      <c r="J660" s="354" t="s">
        <v>265</v>
      </c>
      <c r="K660" s="388" t="s">
        <v>890</v>
      </c>
      <c r="L660" s="402">
        <v>2</v>
      </c>
      <c r="M660" s="352" t="s">
        <v>551</v>
      </c>
      <c r="N660" s="403">
        <v>30000</v>
      </c>
      <c r="O660" s="404">
        <v>60000</v>
      </c>
      <c r="P660" s="421">
        <v>10</v>
      </c>
      <c r="Q660" s="429" t="s">
        <v>109</v>
      </c>
      <c r="R660" s="437">
        <v>22000</v>
      </c>
      <c r="S660" s="438">
        <f t="shared" si="67"/>
        <v>64000</v>
      </c>
      <c r="T660" s="439" t="s">
        <v>227</v>
      </c>
      <c r="U660" s="460" t="str">
        <f t="shared" si="68"/>
        <v/>
      </c>
      <c r="V660" s="439" t="s">
        <v>1248</v>
      </c>
      <c r="W660" s="439" t="s">
        <v>540</v>
      </c>
      <c r="X660" s="454" t="s">
        <v>1315</v>
      </c>
      <c r="Y660" s="275" t="s">
        <v>710</v>
      </c>
      <c r="Z660" s="616" t="s">
        <v>710</v>
      </c>
      <c r="AA660" s="440" t="s">
        <v>728</v>
      </c>
      <c r="AB660" s="441">
        <f t="shared" si="69"/>
        <v>27027.027027027027</v>
      </c>
      <c r="AC660" s="442">
        <f t="shared" si="70"/>
        <v>54054.054054054053</v>
      </c>
      <c r="AD660" s="437">
        <v>22000</v>
      </c>
      <c r="AE660" s="447">
        <v>4447747.7477477482</v>
      </c>
      <c r="AF660" s="447">
        <v>4937000</v>
      </c>
      <c r="AG660" s="437">
        <v>22000</v>
      </c>
      <c r="AH660" s="271" t="s">
        <v>2101</v>
      </c>
    </row>
    <row r="661" spans="1:34">
      <c r="A661" s="350">
        <v>351</v>
      </c>
      <c r="B661" s="352" t="s">
        <v>1350</v>
      </c>
      <c r="C661" s="352" t="s">
        <v>704</v>
      </c>
      <c r="D661" s="355" t="s">
        <v>705</v>
      </c>
      <c r="E661" s="368">
        <v>45170</v>
      </c>
      <c r="F661" s="362">
        <v>45170</v>
      </c>
      <c r="G661" s="362">
        <v>45170</v>
      </c>
      <c r="H661" s="362">
        <v>45170</v>
      </c>
      <c r="I661" s="394">
        <v>45170</v>
      </c>
      <c r="J661" s="387" t="s">
        <v>242</v>
      </c>
      <c r="K661" s="388" t="s">
        <v>760</v>
      </c>
      <c r="L661" s="402">
        <v>1</v>
      </c>
      <c r="M661" s="352" t="s">
        <v>488</v>
      </c>
      <c r="N661" s="403">
        <v>26000</v>
      </c>
      <c r="O661" s="404">
        <v>26000</v>
      </c>
      <c r="P661" s="421">
        <v>10</v>
      </c>
      <c r="Q661" s="429" t="s">
        <v>144</v>
      </c>
      <c r="R661" s="437">
        <v>25000</v>
      </c>
      <c r="S661" s="438">
        <f t="shared" si="67"/>
        <v>28000</v>
      </c>
      <c r="T661" s="439" t="s">
        <v>227</v>
      </c>
      <c r="U661" s="460" t="str">
        <f t="shared" si="68"/>
        <v/>
      </c>
      <c r="V661" s="439" t="s">
        <v>1248</v>
      </c>
      <c r="W661" s="439" t="s">
        <v>540</v>
      </c>
      <c r="X661" s="454" t="s">
        <v>1315</v>
      </c>
      <c r="Y661" s="275" t="s">
        <v>710</v>
      </c>
      <c r="Z661" s="616" t="s">
        <v>710</v>
      </c>
      <c r="AA661" s="440" t="s">
        <v>488</v>
      </c>
      <c r="AB661" s="441">
        <f t="shared" si="69"/>
        <v>23423.423423423425</v>
      </c>
      <c r="AC661" s="442">
        <f t="shared" si="70"/>
        <v>23423.423423423425</v>
      </c>
      <c r="AD661" s="437">
        <v>25000</v>
      </c>
      <c r="AE661" s="447">
        <v>4447747.7477477482</v>
      </c>
      <c r="AF661" s="447">
        <v>4937000</v>
      </c>
      <c r="AG661" s="437">
        <v>25000</v>
      </c>
      <c r="AH661" s="271" t="s">
        <v>2101</v>
      </c>
    </row>
    <row r="662" spans="1:34" ht="37.5">
      <c r="A662" s="350">
        <v>351</v>
      </c>
      <c r="B662" s="352" t="s">
        <v>1350</v>
      </c>
      <c r="C662" s="352" t="s">
        <v>704</v>
      </c>
      <c r="D662" s="355" t="s">
        <v>705</v>
      </c>
      <c r="E662" s="368">
        <v>45170</v>
      </c>
      <c r="F662" s="362">
        <v>45170</v>
      </c>
      <c r="G662" s="362">
        <v>45170</v>
      </c>
      <c r="H662" s="362">
        <v>45170</v>
      </c>
      <c r="I662" s="394">
        <v>45170</v>
      </c>
      <c r="J662" s="387" t="s">
        <v>247</v>
      </c>
      <c r="K662" s="387" t="s">
        <v>247</v>
      </c>
      <c r="L662" s="402">
        <v>20</v>
      </c>
      <c r="M662" s="352" t="s">
        <v>735</v>
      </c>
      <c r="N662" s="403">
        <v>50000</v>
      </c>
      <c r="O662" s="404">
        <v>1000000</v>
      </c>
      <c r="P662" s="421">
        <v>10</v>
      </c>
      <c r="Q662" s="429" t="s">
        <v>141</v>
      </c>
      <c r="R662" s="437">
        <v>15000</v>
      </c>
      <c r="S662" s="438">
        <f t="shared" si="67"/>
        <v>1040000</v>
      </c>
      <c r="T662" s="439" t="s">
        <v>227</v>
      </c>
      <c r="U662" s="460" t="str">
        <f t="shared" si="68"/>
        <v/>
      </c>
      <c r="V662" s="439" t="s">
        <v>1248</v>
      </c>
      <c r="W662" s="439" t="s">
        <v>540</v>
      </c>
      <c r="X662" s="454" t="s">
        <v>1315</v>
      </c>
      <c r="Y662" s="275" t="s">
        <v>710</v>
      </c>
      <c r="Z662" s="616" t="s">
        <v>710</v>
      </c>
      <c r="AA662" s="440" t="s">
        <v>488</v>
      </c>
      <c r="AB662" s="441">
        <f t="shared" si="69"/>
        <v>45045.045045045044</v>
      </c>
      <c r="AC662" s="442">
        <f t="shared" si="70"/>
        <v>900900.90090090083</v>
      </c>
      <c r="AD662" s="437">
        <v>15000</v>
      </c>
      <c r="AE662" s="447">
        <v>4447747.7477477482</v>
      </c>
      <c r="AF662" s="447">
        <v>4937000</v>
      </c>
      <c r="AG662" s="437">
        <v>15000</v>
      </c>
      <c r="AH662" s="271" t="s">
        <v>2101</v>
      </c>
    </row>
    <row r="663" spans="1:34" ht="25">
      <c r="A663" s="350">
        <v>351</v>
      </c>
      <c r="B663" s="352" t="s">
        <v>1350</v>
      </c>
      <c r="C663" s="352" t="s">
        <v>704</v>
      </c>
      <c r="D663" s="355" t="s">
        <v>705</v>
      </c>
      <c r="E663" s="368">
        <v>45170</v>
      </c>
      <c r="F663" s="362">
        <v>45170</v>
      </c>
      <c r="G663" s="362">
        <v>45170</v>
      </c>
      <c r="H663" s="362">
        <v>45170</v>
      </c>
      <c r="I663" s="394">
        <v>45170</v>
      </c>
      <c r="J663" s="387" t="s">
        <v>733</v>
      </c>
      <c r="K663" s="388" t="s">
        <v>734</v>
      </c>
      <c r="L663" s="402">
        <v>5</v>
      </c>
      <c r="M663" s="352" t="s">
        <v>735</v>
      </c>
      <c r="N663" s="403">
        <v>54000</v>
      </c>
      <c r="O663" s="404">
        <v>270000</v>
      </c>
      <c r="P663" s="421">
        <v>10</v>
      </c>
      <c r="Q663" s="429" t="s">
        <v>114</v>
      </c>
      <c r="R663" s="437">
        <v>350000</v>
      </c>
      <c r="S663" s="438">
        <f t="shared" si="67"/>
        <v>280000</v>
      </c>
      <c r="T663" s="439" t="s">
        <v>227</v>
      </c>
      <c r="U663" s="460" t="str">
        <f t="shared" si="68"/>
        <v/>
      </c>
      <c r="V663" s="439" t="s">
        <v>1248</v>
      </c>
      <c r="W663" s="439" t="s">
        <v>540</v>
      </c>
      <c r="X663" s="454" t="s">
        <v>1315</v>
      </c>
      <c r="Y663" s="275" t="s">
        <v>710</v>
      </c>
      <c r="Z663" s="616" t="s">
        <v>710</v>
      </c>
      <c r="AA663" s="440" t="s">
        <v>488</v>
      </c>
      <c r="AB663" s="441">
        <f t="shared" si="69"/>
        <v>48648.648648648646</v>
      </c>
      <c r="AC663" s="442">
        <f t="shared" si="70"/>
        <v>243243.24324324323</v>
      </c>
      <c r="AD663" s="437">
        <v>350000</v>
      </c>
      <c r="AE663" s="447">
        <v>4447747.7477477482</v>
      </c>
      <c r="AF663" s="447">
        <v>4937000</v>
      </c>
      <c r="AG663" s="437">
        <v>350000</v>
      </c>
      <c r="AH663" s="271" t="s">
        <v>2101</v>
      </c>
    </row>
    <row r="664" spans="1:34">
      <c r="A664" s="350">
        <v>351</v>
      </c>
      <c r="B664" s="352" t="s">
        <v>1350</v>
      </c>
      <c r="C664" s="352" t="s">
        <v>704</v>
      </c>
      <c r="D664" s="355" t="s">
        <v>705</v>
      </c>
      <c r="E664" s="368">
        <v>45170</v>
      </c>
      <c r="F664" s="362">
        <v>45170</v>
      </c>
      <c r="G664" s="362">
        <v>45170</v>
      </c>
      <c r="H664" s="362">
        <v>45170</v>
      </c>
      <c r="I664" s="394">
        <v>45170</v>
      </c>
      <c r="J664" s="387" t="s">
        <v>758</v>
      </c>
      <c r="K664" s="387" t="s">
        <v>758</v>
      </c>
      <c r="L664" s="402">
        <v>3</v>
      </c>
      <c r="M664" s="352" t="s">
        <v>488</v>
      </c>
      <c r="N664" s="403">
        <v>5000</v>
      </c>
      <c r="O664" s="404">
        <v>15000</v>
      </c>
      <c r="P664" s="421">
        <v>10</v>
      </c>
      <c r="Q664" s="429" t="s">
        <v>142</v>
      </c>
      <c r="R664" s="437">
        <v>140000</v>
      </c>
      <c r="S664" s="438">
        <f t="shared" si="67"/>
        <v>21000</v>
      </c>
      <c r="T664" s="439" t="s">
        <v>227</v>
      </c>
      <c r="U664" s="460" t="str">
        <f t="shared" si="68"/>
        <v/>
      </c>
      <c r="V664" s="439" t="s">
        <v>1248</v>
      </c>
      <c r="W664" s="439" t="s">
        <v>540</v>
      </c>
      <c r="X664" s="454" t="s">
        <v>1315</v>
      </c>
      <c r="Y664" s="275" t="s">
        <v>710</v>
      </c>
      <c r="Z664" s="616" t="s">
        <v>710</v>
      </c>
      <c r="AA664" s="440" t="s">
        <v>488</v>
      </c>
      <c r="AB664" s="441">
        <f t="shared" si="69"/>
        <v>4504.5045045045044</v>
      </c>
      <c r="AC664" s="442">
        <f t="shared" si="70"/>
        <v>13513.513513513513</v>
      </c>
      <c r="AD664" s="437">
        <v>140000</v>
      </c>
      <c r="AE664" s="447">
        <v>4447747.7477477482</v>
      </c>
      <c r="AF664" s="447">
        <v>4937000</v>
      </c>
      <c r="AG664" s="437">
        <v>140000</v>
      </c>
      <c r="AH664" s="271" t="s">
        <v>2101</v>
      </c>
    </row>
    <row r="665" spans="1:34">
      <c r="A665" s="350">
        <v>351</v>
      </c>
      <c r="B665" s="352" t="s">
        <v>1350</v>
      </c>
      <c r="C665" s="352" t="s">
        <v>704</v>
      </c>
      <c r="D665" s="355" t="s">
        <v>705</v>
      </c>
      <c r="E665" s="368">
        <v>45170</v>
      </c>
      <c r="F665" s="362">
        <v>45170</v>
      </c>
      <c r="G665" s="362">
        <v>45170</v>
      </c>
      <c r="H665" s="362">
        <v>45170</v>
      </c>
      <c r="I665" s="394">
        <v>45170</v>
      </c>
      <c r="J665" s="387" t="s">
        <v>236</v>
      </c>
      <c r="K665" s="389" t="s">
        <v>771</v>
      </c>
      <c r="L665" s="402">
        <v>4</v>
      </c>
      <c r="M665" s="352" t="s">
        <v>772</v>
      </c>
      <c r="N665" s="403">
        <v>65000</v>
      </c>
      <c r="O665" s="404">
        <v>260000</v>
      </c>
      <c r="P665" s="421">
        <v>10</v>
      </c>
      <c r="Q665" s="429" t="s">
        <v>113</v>
      </c>
      <c r="R665" s="437">
        <v>26000</v>
      </c>
      <c r="S665" s="274">
        <f t="shared" si="67"/>
        <v>268000</v>
      </c>
      <c r="T665" s="439" t="s">
        <v>227</v>
      </c>
      <c r="U665" s="460" t="str">
        <f t="shared" si="68"/>
        <v/>
      </c>
      <c r="V665" s="439" t="s">
        <v>1248</v>
      </c>
      <c r="W665" s="439" t="s">
        <v>540</v>
      </c>
      <c r="X665" s="454" t="s">
        <v>1315</v>
      </c>
      <c r="Y665" s="275" t="s">
        <v>710</v>
      </c>
      <c r="Z665" s="616" t="s">
        <v>710</v>
      </c>
      <c r="AA665" s="440" t="s">
        <v>735</v>
      </c>
      <c r="AB665" s="441">
        <f t="shared" si="69"/>
        <v>58558.558558558558</v>
      </c>
      <c r="AC665" s="442">
        <f t="shared" si="70"/>
        <v>234234.23423423423</v>
      </c>
      <c r="AD665" s="437">
        <v>26000</v>
      </c>
      <c r="AE665" s="447">
        <v>4447747.7477477482</v>
      </c>
      <c r="AF665" s="447">
        <v>4937000</v>
      </c>
      <c r="AG665" s="437">
        <v>26000</v>
      </c>
      <c r="AH665" s="271" t="s">
        <v>2101</v>
      </c>
    </row>
    <row r="666" spans="1:34" ht="25">
      <c r="A666" s="350">
        <v>351</v>
      </c>
      <c r="B666" s="352" t="s">
        <v>1350</v>
      </c>
      <c r="C666" s="352" t="s">
        <v>704</v>
      </c>
      <c r="D666" s="355" t="s">
        <v>705</v>
      </c>
      <c r="E666" s="368">
        <v>45170</v>
      </c>
      <c r="F666" s="362">
        <v>45170</v>
      </c>
      <c r="G666" s="362">
        <v>45170</v>
      </c>
      <c r="H666" s="362">
        <v>45170</v>
      </c>
      <c r="I666" s="394">
        <v>45170</v>
      </c>
      <c r="J666" s="387" t="s">
        <v>781</v>
      </c>
      <c r="K666" s="387" t="s">
        <v>781</v>
      </c>
      <c r="L666" s="402">
        <v>2</v>
      </c>
      <c r="M666" s="352" t="s">
        <v>551</v>
      </c>
      <c r="N666" s="403">
        <v>95000</v>
      </c>
      <c r="O666" s="404">
        <v>190000</v>
      </c>
      <c r="P666" s="421">
        <v>10</v>
      </c>
      <c r="Q666" s="429" t="s">
        <v>1351</v>
      </c>
      <c r="R666" s="437">
        <v>1000000</v>
      </c>
      <c r="S666" s="274">
        <f t="shared" si="67"/>
        <v>194000</v>
      </c>
      <c r="T666" s="439" t="s">
        <v>227</v>
      </c>
      <c r="U666" s="460" t="str">
        <f t="shared" si="68"/>
        <v/>
      </c>
      <c r="V666" s="439" t="s">
        <v>1248</v>
      </c>
      <c r="W666" s="439" t="s">
        <v>540</v>
      </c>
      <c r="X666" s="454" t="s">
        <v>1315</v>
      </c>
      <c r="Y666" s="275" t="s">
        <v>710</v>
      </c>
      <c r="Z666" s="616" t="s">
        <v>710</v>
      </c>
      <c r="AA666" s="440" t="s">
        <v>735</v>
      </c>
      <c r="AB666" s="441">
        <f t="shared" si="69"/>
        <v>85585.585585585592</v>
      </c>
      <c r="AC666" s="442">
        <f t="shared" si="70"/>
        <v>171171.17117117118</v>
      </c>
      <c r="AD666" s="437">
        <v>1000000</v>
      </c>
      <c r="AE666" s="447">
        <v>4447747.7477477482</v>
      </c>
      <c r="AF666" s="447">
        <v>4937000</v>
      </c>
      <c r="AG666" s="437">
        <v>1000000</v>
      </c>
      <c r="AH666" s="271" t="s">
        <v>2101</v>
      </c>
    </row>
    <row r="667" spans="1:34">
      <c r="A667" s="350">
        <v>351</v>
      </c>
      <c r="B667" s="352" t="s">
        <v>1350</v>
      </c>
      <c r="C667" s="352" t="s">
        <v>704</v>
      </c>
      <c r="D667" s="355" t="s">
        <v>705</v>
      </c>
      <c r="E667" s="368">
        <v>45170</v>
      </c>
      <c r="F667" s="362">
        <v>45170</v>
      </c>
      <c r="G667" s="362">
        <v>45170</v>
      </c>
      <c r="H667" s="362">
        <v>45170</v>
      </c>
      <c r="I667" s="394">
        <v>45170</v>
      </c>
      <c r="J667" s="387" t="s">
        <v>747</v>
      </c>
      <c r="K667" s="388" t="s">
        <v>886</v>
      </c>
      <c r="L667" s="402">
        <v>1</v>
      </c>
      <c r="M667" s="352" t="s">
        <v>488</v>
      </c>
      <c r="N667" s="403">
        <v>5000</v>
      </c>
      <c r="O667" s="404">
        <v>5000</v>
      </c>
      <c r="P667" s="421">
        <v>10</v>
      </c>
      <c r="Q667" s="429" t="s">
        <v>127</v>
      </c>
      <c r="R667" s="437">
        <v>270000</v>
      </c>
      <c r="S667" s="274">
        <f t="shared" si="67"/>
        <v>7000</v>
      </c>
      <c r="T667" s="439" t="s">
        <v>227</v>
      </c>
      <c r="U667" s="460" t="str">
        <f t="shared" si="68"/>
        <v/>
      </c>
      <c r="V667" s="439" t="s">
        <v>1248</v>
      </c>
      <c r="W667" s="439" t="s">
        <v>540</v>
      </c>
      <c r="X667" s="454" t="s">
        <v>1315</v>
      </c>
      <c r="Y667" s="275" t="s">
        <v>710</v>
      </c>
      <c r="Z667" s="616" t="s">
        <v>710</v>
      </c>
      <c r="AA667" s="440" t="s">
        <v>488</v>
      </c>
      <c r="AB667" s="441">
        <f t="shared" si="69"/>
        <v>4504.5045045045044</v>
      </c>
      <c r="AC667" s="442">
        <f t="shared" si="70"/>
        <v>4504.5045045045044</v>
      </c>
      <c r="AD667" s="437">
        <v>270000</v>
      </c>
      <c r="AE667" s="447">
        <v>4447747.7477477482</v>
      </c>
      <c r="AF667" s="447">
        <v>4937000</v>
      </c>
      <c r="AG667" s="437">
        <v>270000</v>
      </c>
      <c r="AH667" s="271" t="s">
        <v>2101</v>
      </c>
    </row>
    <row r="668" spans="1:34" ht="25">
      <c r="A668" s="350">
        <v>351</v>
      </c>
      <c r="B668" s="352" t="s">
        <v>1350</v>
      </c>
      <c r="C668" s="352" t="s">
        <v>704</v>
      </c>
      <c r="D668" s="355" t="s">
        <v>705</v>
      </c>
      <c r="E668" s="368">
        <v>45170</v>
      </c>
      <c r="F668" s="362">
        <v>45170</v>
      </c>
      <c r="G668" s="362">
        <v>45170</v>
      </c>
      <c r="H668" s="362">
        <v>45170</v>
      </c>
      <c r="I668" s="394">
        <v>45170</v>
      </c>
      <c r="J668" s="387" t="s">
        <v>261</v>
      </c>
      <c r="K668" s="387" t="s">
        <v>261</v>
      </c>
      <c r="L668" s="402">
        <v>12</v>
      </c>
      <c r="M668" s="352" t="s">
        <v>667</v>
      </c>
      <c r="N668" s="403">
        <v>20000</v>
      </c>
      <c r="O668" s="404">
        <v>240000</v>
      </c>
      <c r="P668" s="421">
        <v>10</v>
      </c>
      <c r="Q668" s="429" t="s">
        <v>911</v>
      </c>
      <c r="R668" s="437">
        <v>15000</v>
      </c>
      <c r="S668" s="274">
        <f t="shared" si="67"/>
        <v>264000</v>
      </c>
      <c r="T668" s="439" t="s">
        <v>227</v>
      </c>
      <c r="U668" s="460" t="str">
        <f t="shared" si="68"/>
        <v/>
      </c>
      <c r="V668" s="439" t="s">
        <v>1248</v>
      </c>
      <c r="W668" s="439" t="s">
        <v>540</v>
      </c>
      <c r="X668" s="454" t="s">
        <v>1315</v>
      </c>
      <c r="Y668" s="275" t="s">
        <v>710</v>
      </c>
      <c r="Z668" s="616" t="s">
        <v>710</v>
      </c>
      <c r="AA668" s="440" t="s">
        <v>772</v>
      </c>
      <c r="AB668" s="441">
        <f t="shared" si="69"/>
        <v>18018.018018018018</v>
      </c>
      <c r="AC668" s="442">
        <f t="shared" si="70"/>
        <v>216216.21621621621</v>
      </c>
      <c r="AD668" s="437">
        <v>15000</v>
      </c>
      <c r="AE668" s="447">
        <v>4447747.7477477482</v>
      </c>
      <c r="AF668" s="447">
        <v>4937000</v>
      </c>
      <c r="AG668" s="437">
        <v>15000</v>
      </c>
      <c r="AH668" s="271" t="s">
        <v>2101</v>
      </c>
    </row>
    <row r="669" spans="1:34">
      <c r="A669" s="350">
        <v>351</v>
      </c>
      <c r="B669" s="352" t="s">
        <v>1350</v>
      </c>
      <c r="C669" s="352" t="s">
        <v>704</v>
      </c>
      <c r="D669" s="355" t="s">
        <v>705</v>
      </c>
      <c r="E669" s="368">
        <v>45170</v>
      </c>
      <c r="F669" s="362">
        <v>45170</v>
      </c>
      <c r="G669" s="362">
        <v>45170</v>
      </c>
      <c r="H669" s="362">
        <v>45170</v>
      </c>
      <c r="I669" s="394">
        <v>45170</v>
      </c>
      <c r="J669" s="387" t="s">
        <v>264</v>
      </c>
      <c r="K669" s="387" t="s">
        <v>882</v>
      </c>
      <c r="L669" s="402">
        <v>2</v>
      </c>
      <c r="M669" s="352" t="s">
        <v>753</v>
      </c>
      <c r="N669" s="403">
        <v>42000</v>
      </c>
      <c r="O669" s="404">
        <v>84000</v>
      </c>
      <c r="P669" s="421">
        <v>10</v>
      </c>
      <c r="Q669" s="429" t="s">
        <v>106</v>
      </c>
      <c r="R669" s="437">
        <v>260000</v>
      </c>
      <c r="S669" s="274">
        <f t="shared" si="67"/>
        <v>88000</v>
      </c>
      <c r="T669" s="439" t="s">
        <v>227</v>
      </c>
      <c r="U669" s="460" t="str">
        <f t="shared" si="68"/>
        <v/>
      </c>
      <c r="V669" s="439" t="s">
        <v>1248</v>
      </c>
      <c r="W669" s="439" t="s">
        <v>540</v>
      </c>
      <c r="X669" s="454" t="s">
        <v>1315</v>
      </c>
      <c r="Y669" s="275" t="s">
        <v>710</v>
      </c>
      <c r="Z669" s="616" t="s">
        <v>710</v>
      </c>
      <c r="AA669" s="440" t="s">
        <v>488</v>
      </c>
      <c r="AB669" s="441">
        <f t="shared" si="69"/>
        <v>37837.83783783784</v>
      </c>
      <c r="AC669" s="442">
        <f t="shared" si="70"/>
        <v>75675.67567567568</v>
      </c>
      <c r="AD669" s="437">
        <v>260000</v>
      </c>
      <c r="AE669" s="447">
        <v>4447747.7477477482</v>
      </c>
      <c r="AF669" s="447">
        <v>4937000</v>
      </c>
      <c r="AG669" s="437">
        <v>260000</v>
      </c>
      <c r="AH669" s="271" t="s">
        <v>2101</v>
      </c>
    </row>
    <row r="670" spans="1:34">
      <c r="A670" s="350">
        <v>351</v>
      </c>
      <c r="B670" s="352" t="s">
        <v>1350</v>
      </c>
      <c r="C670" s="352" t="s">
        <v>704</v>
      </c>
      <c r="D670" s="355" t="s">
        <v>705</v>
      </c>
      <c r="E670" s="368">
        <v>45170</v>
      </c>
      <c r="F670" s="362">
        <v>45170</v>
      </c>
      <c r="G670" s="362">
        <v>45170</v>
      </c>
      <c r="H670" s="362">
        <v>45170</v>
      </c>
      <c r="I670" s="394">
        <v>45170</v>
      </c>
      <c r="J670" s="387" t="s">
        <v>241</v>
      </c>
      <c r="K670" s="387" t="s">
        <v>767</v>
      </c>
      <c r="L670" s="402">
        <v>2</v>
      </c>
      <c r="M670" s="352" t="s">
        <v>597</v>
      </c>
      <c r="N670" s="403">
        <v>5500</v>
      </c>
      <c r="O670" s="404">
        <v>11000</v>
      </c>
      <c r="P670" s="421">
        <v>10</v>
      </c>
      <c r="Q670" s="429" t="s">
        <v>104</v>
      </c>
      <c r="R670" s="437">
        <v>17000</v>
      </c>
      <c r="S670" s="274">
        <f t="shared" si="67"/>
        <v>15000</v>
      </c>
      <c r="T670" s="439" t="s">
        <v>227</v>
      </c>
      <c r="U670" s="460" t="str">
        <f t="shared" si="68"/>
        <v/>
      </c>
      <c r="V670" s="439" t="s">
        <v>1248</v>
      </c>
      <c r="W670" s="439" t="s">
        <v>540</v>
      </c>
      <c r="X670" s="454" t="s">
        <v>1315</v>
      </c>
      <c r="Y670" s="275" t="s">
        <v>710</v>
      </c>
      <c r="Z670" s="616" t="s">
        <v>710</v>
      </c>
      <c r="AA670" s="440" t="s">
        <v>551</v>
      </c>
      <c r="AB670" s="441">
        <f t="shared" si="69"/>
        <v>4954.9549549549547</v>
      </c>
      <c r="AC670" s="442">
        <f t="shared" si="70"/>
        <v>9909.9099099099094</v>
      </c>
      <c r="AD670" s="437">
        <v>17000</v>
      </c>
      <c r="AE670" s="447">
        <v>4447747.7477477482</v>
      </c>
      <c r="AF670" s="447">
        <v>4937000</v>
      </c>
      <c r="AG670" s="437">
        <v>17000</v>
      </c>
      <c r="AH670" s="271" t="s">
        <v>2101</v>
      </c>
    </row>
    <row r="671" spans="1:34">
      <c r="A671" s="350">
        <v>351</v>
      </c>
      <c r="B671" s="352" t="s">
        <v>1350</v>
      </c>
      <c r="C671" s="352" t="s">
        <v>704</v>
      </c>
      <c r="D671" s="355" t="s">
        <v>705</v>
      </c>
      <c r="E671" s="368">
        <v>45170</v>
      </c>
      <c r="F671" s="362">
        <v>45170</v>
      </c>
      <c r="G671" s="362">
        <v>45170</v>
      </c>
      <c r="H671" s="362">
        <v>45170</v>
      </c>
      <c r="I671" s="394">
        <v>45170</v>
      </c>
      <c r="J671" s="389" t="s">
        <v>755</v>
      </c>
      <c r="K671" s="389" t="s">
        <v>755</v>
      </c>
      <c r="L671" s="402">
        <v>1</v>
      </c>
      <c r="M671" s="352" t="s">
        <v>756</v>
      </c>
      <c r="N671" s="403">
        <v>26000</v>
      </c>
      <c r="O671" s="404">
        <v>26000</v>
      </c>
      <c r="P671" s="421">
        <v>10</v>
      </c>
      <c r="Q671" s="429" t="s">
        <v>120</v>
      </c>
      <c r="R671" s="437">
        <v>190000</v>
      </c>
      <c r="S671" s="274">
        <f t="shared" si="67"/>
        <v>28000</v>
      </c>
      <c r="T671" s="439" t="s">
        <v>227</v>
      </c>
      <c r="U671" s="460" t="str">
        <f t="shared" si="68"/>
        <v/>
      </c>
      <c r="V671" s="439" t="s">
        <v>1248</v>
      </c>
      <c r="W671" s="439" t="s">
        <v>540</v>
      </c>
      <c r="X671" s="454" t="s">
        <v>1315</v>
      </c>
      <c r="Y671" s="275" t="s">
        <v>710</v>
      </c>
      <c r="Z671" s="616" t="s">
        <v>710</v>
      </c>
      <c r="AA671" s="440" t="s">
        <v>488</v>
      </c>
      <c r="AB671" s="441">
        <f t="shared" si="69"/>
        <v>23423.423423423425</v>
      </c>
      <c r="AC671" s="442">
        <f t="shared" si="70"/>
        <v>23423.423423423425</v>
      </c>
      <c r="AD671" s="437">
        <v>190000</v>
      </c>
      <c r="AE671" s="447">
        <v>4447747.7477477482</v>
      </c>
      <c r="AF671" s="447">
        <v>4937000</v>
      </c>
      <c r="AG671" s="437">
        <v>190000</v>
      </c>
      <c r="AH671" s="271" t="s">
        <v>2101</v>
      </c>
    </row>
    <row r="672" spans="1:34">
      <c r="A672" s="350">
        <v>351</v>
      </c>
      <c r="B672" s="352" t="s">
        <v>1350</v>
      </c>
      <c r="C672" s="352" t="s">
        <v>704</v>
      </c>
      <c r="D672" s="355" t="s">
        <v>705</v>
      </c>
      <c r="E672" s="368">
        <v>45170</v>
      </c>
      <c r="F672" s="362">
        <v>45170</v>
      </c>
      <c r="G672" s="362">
        <v>45170</v>
      </c>
      <c r="H672" s="362">
        <v>45170</v>
      </c>
      <c r="I672" s="394">
        <v>45170</v>
      </c>
      <c r="J672" s="389" t="s">
        <v>233</v>
      </c>
      <c r="K672" s="389" t="s">
        <v>233</v>
      </c>
      <c r="L672" s="402">
        <v>1</v>
      </c>
      <c r="M672" s="352" t="s">
        <v>714</v>
      </c>
      <c r="N672" s="403">
        <v>97000</v>
      </c>
      <c r="O672" s="404">
        <v>97000</v>
      </c>
      <c r="P672" s="421">
        <v>10</v>
      </c>
      <c r="Q672" s="429" t="s">
        <v>909</v>
      </c>
      <c r="R672" s="437">
        <v>5000</v>
      </c>
      <c r="S672" s="274">
        <f t="shared" si="67"/>
        <v>99000</v>
      </c>
      <c r="T672" s="439" t="s">
        <v>227</v>
      </c>
      <c r="U672" s="460" t="str">
        <f t="shared" si="68"/>
        <v/>
      </c>
      <c r="V672" s="439" t="s">
        <v>1248</v>
      </c>
      <c r="W672" s="439" t="s">
        <v>540</v>
      </c>
      <c r="X672" s="454" t="s">
        <v>1315</v>
      </c>
      <c r="Y672" s="275" t="s">
        <v>710</v>
      </c>
      <c r="Z672" s="616" t="s">
        <v>710</v>
      </c>
      <c r="AA672" s="440" t="s">
        <v>667</v>
      </c>
      <c r="AB672" s="441">
        <f t="shared" si="69"/>
        <v>87387.387387387382</v>
      </c>
      <c r="AC672" s="442">
        <f t="shared" si="70"/>
        <v>87387.387387387382</v>
      </c>
      <c r="AD672" s="437">
        <v>5000</v>
      </c>
      <c r="AE672" s="447">
        <v>4447747.7477477482</v>
      </c>
      <c r="AF672" s="447">
        <v>4937000</v>
      </c>
      <c r="AG672" s="437">
        <v>5000</v>
      </c>
      <c r="AH672" s="271" t="s">
        <v>2101</v>
      </c>
    </row>
    <row r="673" spans="1:34">
      <c r="A673" s="350">
        <v>351</v>
      </c>
      <c r="B673" s="352" t="s">
        <v>1350</v>
      </c>
      <c r="C673" s="352" t="s">
        <v>704</v>
      </c>
      <c r="D673" s="355" t="s">
        <v>705</v>
      </c>
      <c r="E673" s="368">
        <v>45170</v>
      </c>
      <c r="F673" s="362">
        <v>45170</v>
      </c>
      <c r="G673" s="362">
        <v>45170</v>
      </c>
      <c r="H673" s="362">
        <v>45170</v>
      </c>
      <c r="I673" s="394">
        <v>45170</v>
      </c>
      <c r="J673" s="387" t="s">
        <v>237</v>
      </c>
      <c r="K673" s="388" t="s">
        <v>717</v>
      </c>
      <c r="L673" s="402">
        <v>2</v>
      </c>
      <c r="M673" s="352" t="s">
        <v>597</v>
      </c>
      <c r="N673" s="403">
        <v>7500</v>
      </c>
      <c r="O673" s="404">
        <v>15000</v>
      </c>
      <c r="P673" s="421">
        <v>10</v>
      </c>
      <c r="Q673" s="492" t="s">
        <v>150</v>
      </c>
      <c r="R673" s="437">
        <v>240000</v>
      </c>
      <c r="S673" s="274">
        <f t="shared" si="67"/>
        <v>19000</v>
      </c>
      <c r="T673" s="439" t="s">
        <v>227</v>
      </c>
      <c r="U673" s="460" t="str">
        <f t="shared" si="68"/>
        <v/>
      </c>
      <c r="V673" s="439" t="s">
        <v>1248</v>
      </c>
      <c r="W673" s="439" t="s">
        <v>540</v>
      </c>
      <c r="X673" s="454" t="s">
        <v>1315</v>
      </c>
      <c r="Y673" s="275" t="s">
        <v>710</v>
      </c>
      <c r="Z673" s="616" t="s">
        <v>710</v>
      </c>
      <c r="AA673" s="440" t="s">
        <v>753</v>
      </c>
      <c r="AB673" s="441">
        <f t="shared" si="69"/>
        <v>6756.7567567567567</v>
      </c>
      <c r="AC673" s="442">
        <f t="shared" si="70"/>
        <v>13513.513513513513</v>
      </c>
      <c r="AD673" s="437">
        <v>240000</v>
      </c>
      <c r="AE673" s="447">
        <v>4447747.7477477482</v>
      </c>
      <c r="AF673" s="447">
        <v>4937000</v>
      </c>
      <c r="AG673" s="437">
        <v>240000</v>
      </c>
      <c r="AH673" s="271" t="s">
        <v>2101</v>
      </c>
    </row>
    <row r="674" spans="1:34">
      <c r="A674" s="350">
        <v>351</v>
      </c>
      <c r="B674" s="352" t="s">
        <v>1350</v>
      </c>
      <c r="C674" s="352" t="s">
        <v>704</v>
      </c>
      <c r="D674" s="355" t="s">
        <v>705</v>
      </c>
      <c r="E674" s="368">
        <v>45170</v>
      </c>
      <c r="F674" s="362">
        <v>45170</v>
      </c>
      <c r="G674" s="362">
        <v>45170</v>
      </c>
      <c r="H674" s="362">
        <v>45170</v>
      </c>
      <c r="I674" s="394">
        <v>45170</v>
      </c>
      <c r="J674" s="387" t="s">
        <v>289</v>
      </c>
      <c r="K674" s="387" t="s">
        <v>289</v>
      </c>
      <c r="L674" s="402">
        <v>3</v>
      </c>
      <c r="M674" s="352" t="s">
        <v>488</v>
      </c>
      <c r="N674" s="403">
        <v>150000</v>
      </c>
      <c r="O674" s="404">
        <v>450000</v>
      </c>
      <c r="P674" s="421">
        <v>10</v>
      </c>
      <c r="Q674" s="429" t="s">
        <v>157</v>
      </c>
      <c r="R674" s="437">
        <v>42000</v>
      </c>
      <c r="S674" s="274">
        <f t="shared" si="67"/>
        <v>456000</v>
      </c>
      <c r="T674" s="439" t="s">
        <v>227</v>
      </c>
      <c r="U674" s="460" t="str">
        <f t="shared" si="68"/>
        <v/>
      </c>
      <c r="V674" s="439" t="s">
        <v>1248</v>
      </c>
      <c r="W674" s="439" t="s">
        <v>540</v>
      </c>
      <c r="X674" s="454" t="s">
        <v>1315</v>
      </c>
      <c r="Y674" s="275" t="s">
        <v>710</v>
      </c>
      <c r="Z674" s="616" t="s">
        <v>710</v>
      </c>
      <c r="AA674" s="440" t="s">
        <v>597</v>
      </c>
      <c r="AB674" s="441">
        <f t="shared" si="69"/>
        <v>135135.13513513515</v>
      </c>
      <c r="AC674" s="442">
        <f t="shared" si="70"/>
        <v>405405.40540540544</v>
      </c>
      <c r="AD674" s="437">
        <v>42000</v>
      </c>
      <c r="AE674" s="447">
        <v>4447747.7477477482</v>
      </c>
      <c r="AF674" s="447">
        <v>4937000</v>
      </c>
      <c r="AG674" s="437">
        <v>42000</v>
      </c>
      <c r="AH674" s="271" t="s">
        <v>2101</v>
      </c>
    </row>
    <row r="675" spans="1:34">
      <c r="A675" s="350">
        <v>351</v>
      </c>
      <c r="B675" s="352" t="s">
        <v>1350</v>
      </c>
      <c r="C675" s="352" t="s">
        <v>704</v>
      </c>
      <c r="D675" s="355" t="s">
        <v>705</v>
      </c>
      <c r="E675" s="368">
        <v>45170</v>
      </c>
      <c r="F675" s="362">
        <v>45170</v>
      </c>
      <c r="G675" s="362">
        <v>45170</v>
      </c>
      <c r="H675" s="362">
        <v>45170</v>
      </c>
      <c r="I675" s="394">
        <v>45170</v>
      </c>
      <c r="J675" s="389" t="s">
        <v>234</v>
      </c>
      <c r="K675" s="389" t="s">
        <v>234</v>
      </c>
      <c r="L675" s="402">
        <v>1</v>
      </c>
      <c r="M675" s="352" t="s">
        <v>714</v>
      </c>
      <c r="N675" s="403">
        <v>225000</v>
      </c>
      <c r="O675" s="404">
        <v>225000</v>
      </c>
      <c r="P675" s="421">
        <v>10</v>
      </c>
      <c r="Q675" s="429" t="s">
        <v>112</v>
      </c>
      <c r="R675" s="437">
        <v>11000</v>
      </c>
      <c r="S675" s="274">
        <f t="shared" si="67"/>
        <v>227000</v>
      </c>
      <c r="T675" s="439" t="s">
        <v>227</v>
      </c>
      <c r="U675" s="460" t="str">
        <f t="shared" si="68"/>
        <v/>
      </c>
      <c r="V675" s="439" t="s">
        <v>1248</v>
      </c>
      <c r="W675" s="439" t="s">
        <v>540</v>
      </c>
      <c r="X675" s="454" t="s">
        <v>1315</v>
      </c>
      <c r="Y675" s="275" t="s">
        <v>710</v>
      </c>
      <c r="Z675" s="616" t="s">
        <v>710</v>
      </c>
      <c r="AA675" s="440" t="s">
        <v>488</v>
      </c>
      <c r="AB675" s="441">
        <f t="shared" si="69"/>
        <v>202702.70270270269</v>
      </c>
      <c r="AC675" s="442">
        <f t="shared" si="70"/>
        <v>202702.70270270269</v>
      </c>
      <c r="AD675" s="437">
        <v>11000</v>
      </c>
      <c r="AE675" s="447">
        <v>4447747.7477477482</v>
      </c>
      <c r="AF675" s="447">
        <v>4937000</v>
      </c>
      <c r="AG675" s="437">
        <v>11000</v>
      </c>
      <c r="AH675" s="271" t="s">
        <v>2101</v>
      </c>
    </row>
    <row r="676" spans="1:34">
      <c r="A676" s="350">
        <v>351</v>
      </c>
      <c r="B676" s="352" t="s">
        <v>1350</v>
      </c>
      <c r="C676" s="352" t="s">
        <v>704</v>
      </c>
      <c r="D676" s="355" t="s">
        <v>705</v>
      </c>
      <c r="E676" s="368">
        <v>45170</v>
      </c>
      <c r="F676" s="362">
        <v>45170</v>
      </c>
      <c r="G676" s="362">
        <v>45170</v>
      </c>
      <c r="H676" s="362">
        <v>45170</v>
      </c>
      <c r="I676" s="394">
        <v>45170</v>
      </c>
      <c r="J676" s="387" t="s">
        <v>262</v>
      </c>
      <c r="K676" s="388" t="s">
        <v>744</v>
      </c>
      <c r="L676" s="402">
        <v>1</v>
      </c>
      <c r="M676" s="352" t="s">
        <v>714</v>
      </c>
      <c r="N676" s="403">
        <v>150000</v>
      </c>
      <c r="O676" s="404">
        <v>150000</v>
      </c>
      <c r="P676" s="421">
        <v>10</v>
      </c>
      <c r="Q676" s="429" t="s">
        <v>153</v>
      </c>
      <c r="R676" s="437">
        <v>40000</v>
      </c>
      <c r="S676" s="274">
        <f t="shared" si="67"/>
        <v>152000</v>
      </c>
      <c r="T676" s="439" t="s">
        <v>227</v>
      </c>
      <c r="U676" s="460" t="str">
        <f t="shared" si="68"/>
        <v/>
      </c>
      <c r="V676" s="439" t="s">
        <v>1248</v>
      </c>
      <c r="W676" s="439" t="s">
        <v>540</v>
      </c>
      <c r="X676" s="454" t="s">
        <v>1315</v>
      </c>
      <c r="Y676" s="275" t="s">
        <v>710</v>
      </c>
      <c r="Z676" s="616" t="s">
        <v>710</v>
      </c>
      <c r="AA676" s="440" t="s">
        <v>756</v>
      </c>
      <c r="AB676" s="441">
        <f t="shared" si="69"/>
        <v>135135.13513513515</v>
      </c>
      <c r="AC676" s="442">
        <f t="shared" si="70"/>
        <v>135135.13513513515</v>
      </c>
      <c r="AD676" s="437">
        <v>40000</v>
      </c>
      <c r="AE676" s="447">
        <v>4447747.7477477482</v>
      </c>
      <c r="AF676" s="447">
        <v>4937000</v>
      </c>
      <c r="AG676" s="437">
        <v>40000</v>
      </c>
      <c r="AH676" s="271" t="s">
        <v>2101</v>
      </c>
    </row>
    <row r="677" spans="1:34">
      <c r="A677" s="350">
        <v>351</v>
      </c>
      <c r="B677" s="352" t="s">
        <v>1350</v>
      </c>
      <c r="C677" s="352" t="s">
        <v>704</v>
      </c>
      <c r="D677" s="355" t="s">
        <v>705</v>
      </c>
      <c r="E677" s="368">
        <v>45170</v>
      </c>
      <c r="F677" s="362">
        <v>45170</v>
      </c>
      <c r="G677" s="362">
        <v>45170</v>
      </c>
      <c r="H677" s="362">
        <v>45170</v>
      </c>
      <c r="I677" s="394">
        <v>45170</v>
      </c>
      <c r="J677" s="387" t="s">
        <v>259</v>
      </c>
      <c r="K677" s="388" t="s">
        <v>752</v>
      </c>
      <c r="L677" s="402">
        <v>1</v>
      </c>
      <c r="M677" s="352" t="s">
        <v>753</v>
      </c>
      <c r="N677" s="403">
        <v>35000</v>
      </c>
      <c r="O677" s="404">
        <v>35000</v>
      </c>
      <c r="P677" s="421">
        <v>10</v>
      </c>
      <c r="Q677" s="429" t="s">
        <v>100</v>
      </c>
      <c r="R677" s="437">
        <v>26000</v>
      </c>
      <c r="S677" s="274">
        <f t="shared" si="67"/>
        <v>37000</v>
      </c>
      <c r="T677" s="439" t="s">
        <v>227</v>
      </c>
      <c r="U677" s="460" t="str">
        <f t="shared" si="68"/>
        <v/>
      </c>
      <c r="V677" s="439" t="s">
        <v>1248</v>
      </c>
      <c r="W677" s="439" t="s">
        <v>540</v>
      </c>
      <c r="X677" s="454" t="s">
        <v>1315</v>
      </c>
      <c r="Y677" s="275" t="s">
        <v>710</v>
      </c>
      <c r="Z677" s="616" t="s">
        <v>710</v>
      </c>
      <c r="AA677" s="440" t="s">
        <v>488</v>
      </c>
      <c r="AB677" s="441">
        <f t="shared" si="69"/>
        <v>31531.531531531531</v>
      </c>
      <c r="AC677" s="442">
        <f t="shared" si="70"/>
        <v>31531.531531531531</v>
      </c>
      <c r="AD677" s="437">
        <v>26000</v>
      </c>
      <c r="AE677" s="447">
        <v>4447747.7477477482</v>
      </c>
      <c r="AF677" s="447">
        <v>4937000</v>
      </c>
      <c r="AG677" s="437">
        <v>26000</v>
      </c>
      <c r="AH677" s="271" t="s">
        <v>2101</v>
      </c>
    </row>
    <row r="678" spans="1:34">
      <c r="A678" s="350">
        <v>351</v>
      </c>
      <c r="B678" s="352" t="s">
        <v>1350</v>
      </c>
      <c r="C678" s="352" t="s">
        <v>704</v>
      </c>
      <c r="D678" s="355" t="s">
        <v>705</v>
      </c>
      <c r="E678" s="368">
        <v>45170</v>
      </c>
      <c r="F678" s="362">
        <v>45170</v>
      </c>
      <c r="G678" s="362">
        <v>45170</v>
      </c>
      <c r="H678" s="362">
        <v>45170</v>
      </c>
      <c r="I678" s="394">
        <v>45170</v>
      </c>
      <c r="J678" s="387" t="s">
        <v>779</v>
      </c>
      <c r="K678" s="388" t="s">
        <v>906</v>
      </c>
      <c r="L678" s="402">
        <v>1</v>
      </c>
      <c r="M678" s="352" t="s">
        <v>753</v>
      </c>
      <c r="N678" s="403">
        <v>75000</v>
      </c>
      <c r="O678" s="404">
        <v>75000</v>
      </c>
      <c r="P678" s="421">
        <v>10</v>
      </c>
      <c r="Q678" s="492" t="s">
        <v>146</v>
      </c>
      <c r="R678" s="437">
        <v>380000</v>
      </c>
      <c r="S678" s="274">
        <f t="shared" si="67"/>
        <v>77000</v>
      </c>
      <c r="T678" s="439" t="s">
        <v>227</v>
      </c>
      <c r="U678" s="460" t="str">
        <f t="shared" si="68"/>
        <v/>
      </c>
      <c r="V678" s="439" t="s">
        <v>1248</v>
      </c>
      <c r="W678" s="439" t="s">
        <v>540</v>
      </c>
      <c r="X678" s="454" t="s">
        <v>1315</v>
      </c>
      <c r="Y678" s="275" t="s">
        <v>710</v>
      </c>
      <c r="Z678" s="616" t="s">
        <v>710</v>
      </c>
      <c r="AA678" s="440"/>
      <c r="AB678" s="441">
        <f t="shared" si="69"/>
        <v>67567.567567567574</v>
      </c>
      <c r="AC678" s="442">
        <f t="shared" si="70"/>
        <v>67567.567567567574</v>
      </c>
      <c r="AD678" s="437">
        <v>380000</v>
      </c>
      <c r="AE678" s="447">
        <v>4447747.7477477482</v>
      </c>
      <c r="AF678" s="447">
        <v>4937000</v>
      </c>
      <c r="AG678" s="437">
        <v>380000</v>
      </c>
      <c r="AH678" s="271" t="s">
        <v>2101</v>
      </c>
    </row>
    <row r="679" spans="1:34">
      <c r="A679" s="350">
        <v>351</v>
      </c>
      <c r="B679" s="352" t="s">
        <v>1350</v>
      </c>
      <c r="C679" s="352" t="s">
        <v>704</v>
      </c>
      <c r="D679" s="355" t="s">
        <v>705</v>
      </c>
      <c r="E679" s="368">
        <v>45170</v>
      </c>
      <c r="F679" s="362">
        <v>45170</v>
      </c>
      <c r="G679" s="362">
        <v>45170</v>
      </c>
      <c r="H679" s="362">
        <v>45170</v>
      </c>
      <c r="I679" s="394">
        <v>45170</v>
      </c>
      <c r="J679" s="387" t="s">
        <v>263</v>
      </c>
      <c r="K679" s="388" t="s">
        <v>885</v>
      </c>
      <c r="L679" s="402">
        <v>5</v>
      </c>
      <c r="M679" s="352" t="s">
        <v>753</v>
      </c>
      <c r="N679" s="403">
        <v>12000</v>
      </c>
      <c r="O679" s="404">
        <v>60000</v>
      </c>
      <c r="P679" s="421">
        <v>10</v>
      </c>
      <c r="Q679" s="429" t="s">
        <v>101</v>
      </c>
      <c r="R679" s="437">
        <v>97000</v>
      </c>
      <c r="S679" s="274">
        <f t="shared" si="67"/>
        <v>70000</v>
      </c>
      <c r="T679" s="439" t="s">
        <v>227</v>
      </c>
      <c r="U679" s="460" t="str">
        <f t="shared" si="68"/>
        <v/>
      </c>
      <c r="V679" s="439" t="s">
        <v>1248</v>
      </c>
      <c r="W679" s="439" t="s">
        <v>540</v>
      </c>
      <c r="X679" s="454" t="s">
        <v>1315</v>
      </c>
      <c r="Y679" s="275" t="s">
        <v>710</v>
      </c>
      <c r="Z679" s="616" t="s">
        <v>710</v>
      </c>
      <c r="AA679" s="440" t="s">
        <v>597</v>
      </c>
      <c r="AB679" s="441">
        <f t="shared" si="69"/>
        <v>10810.810810810812</v>
      </c>
      <c r="AC679" s="442">
        <f t="shared" si="70"/>
        <v>54054.054054054061</v>
      </c>
      <c r="AD679" s="437">
        <v>97000</v>
      </c>
      <c r="AE679" s="447">
        <v>4447747.7477477482</v>
      </c>
      <c r="AF679" s="447">
        <v>4937000</v>
      </c>
      <c r="AG679" s="437">
        <v>97000</v>
      </c>
      <c r="AH679" s="271" t="s">
        <v>2101</v>
      </c>
    </row>
    <row r="680" spans="1:34">
      <c r="A680" s="350">
        <v>351</v>
      </c>
      <c r="B680" s="352" t="s">
        <v>1350</v>
      </c>
      <c r="C680" s="352" t="s">
        <v>704</v>
      </c>
      <c r="D680" s="355" t="s">
        <v>705</v>
      </c>
      <c r="E680" s="368">
        <v>45170</v>
      </c>
      <c r="F680" s="362">
        <v>45170</v>
      </c>
      <c r="G680" s="362">
        <v>45170</v>
      </c>
      <c r="H680" s="362">
        <v>45170</v>
      </c>
      <c r="I680" s="394">
        <v>45170</v>
      </c>
      <c r="J680" s="387" t="s">
        <v>252</v>
      </c>
      <c r="K680" s="387" t="s">
        <v>786</v>
      </c>
      <c r="L680" s="402">
        <v>1</v>
      </c>
      <c r="M680" s="352" t="s">
        <v>753</v>
      </c>
      <c r="N680" s="403">
        <v>25000</v>
      </c>
      <c r="O680" s="404">
        <v>25000</v>
      </c>
      <c r="P680" s="421">
        <v>10</v>
      </c>
      <c r="Q680" s="429" t="s">
        <v>108</v>
      </c>
      <c r="R680" s="437">
        <v>15000</v>
      </c>
      <c r="S680" s="274">
        <f t="shared" si="67"/>
        <v>27000</v>
      </c>
      <c r="T680" s="439" t="s">
        <v>227</v>
      </c>
      <c r="U680" s="460" t="str">
        <f t="shared" si="68"/>
        <v/>
      </c>
      <c r="V680" s="439" t="s">
        <v>1248</v>
      </c>
      <c r="W680" s="439" t="s">
        <v>540</v>
      </c>
      <c r="X680" s="454" t="s">
        <v>1315</v>
      </c>
      <c r="Y680" s="275" t="s">
        <v>710</v>
      </c>
      <c r="Z680" s="616" t="s">
        <v>710</v>
      </c>
      <c r="AA680" s="440" t="s">
        <v>714</v>
      </c>
      <c r="AB680" s="441">
        <f t="shared" si="69"/>
        <v>22522.522522522522</v>
      </c>
      <c r="AC680" s="442">
        <f t="shared" si="70"/>
        <v>22522.522522522522</v>
      </c>
      <c r="AD680" s="437">
        <v>15000</v>
      </c>
      <c r="AE680" s="447">
        <v>4447747.7477477482</v>
      </c>
      <c r="AF680" s="447">
        <v>4937000</v>
      </c>
      <c r="AG680" s="437">
        <v>15000</v>
      </c>
      <c r="AH680" s="271" t="s">
        <v>2101</v>
      </c>
    </row>
    <row r="681" spans="1:34">
      <c r="A681" s="350">
        <v>351</v>
      </c>
      <c r="B681" s="352" t="s">
        <v>1350</v>
      </c>
      <c r="C681" s="352" t="s">
        <v>704</v>
      </c>
      <c r="D681" s="355" t="s">
        <v>705</v>
      </c>
      <c r="E681" s="368">
        <v>45170</v>
      </c>
      <c r="F681" s="362">
        <v>45170</v>
      </c>
      <c r="G681" s="362">
        <v>45170</v>
      </c>
      <c r="H681" s="362">
        <v>45170</v>
      </c>
      <c r="I681" s="394">
        <v>45170</v>
      </c>
      <c r="J681" s="387" t="s">
        <v>897</v>
      </c>
      <c r="K681" s="388" t="s">
        <v>723</v>
      </c>
      <c r="L681" s="402">
        <v>1</v>
      </c>
      <c r="M681" s="352" t="s">
        <v>724</v>
      </c>
      <c r="N681" s="403">
        <v>45000</v>
      </c>
      <c r="O681" s="404">
        <v>45000</v>
      </c>
      <c r="P681" s="421">
        <v>10</v>
      </c>
      <c r="Q681" s="492" t="s">
        <v>102</v>
      </c>
      <c r="R681" s="437">
        <v>225000</v>
      </c>
      <c r="S681" s="274">
        <f t="shared" si="67"/>
        <v>47000</v>
      </c>
      <c r="T681" s="439" t="s">
        <v>227</v>
      </c>
      <c r="U681" s="460" t="str">
        <f t="shared" si="68"/>
        <v/>
      </c>
      <c r="V681" s="439" t="s">
        <v>1248</v>
      </c>
      <c r="W681" s="439" t="s">
        <v>540</v>
      </c>
      <c r="X681" s="454" t="s">
        <v>1315</v>
      </c>
      <c r="Y681" s="275" t="s">
        <v>710</v>
      </c>
      <c r="Z681" s="616" t="s">
        <v>710</v>
      </c>
      <c r="AA681" s="440" t="s">
        <v>714</v>
      </c>
      <c r="AB681" s="441">
        <f t="shared" si="69"/>
        <v>40540.54054054054</v>
      </c>
      <c r="AC681" s="442">
        <f t="shared" si="70"/>
        <v>40540.54054054054</v>
      </c>
      <c r="AD681" s="437">
        <v>225000</v>
      </c>
      <c r="AE681" s="447">
        <v>4447747.7477477482</v>
      </c>
      <c r="AF681" s="447">
        <v>4937000</v>
      </c>
      <c r="AG681" s="437">
        <v>225000</v>
      </c>
      <c r="AH681" s="271" t="s">
        <v>2101</v>
      </c>
    </row>
    <row r="682" spans="1:34">
      <c r="A682" s="350">
        <v>351</v>
      </c>
      <c r="B682" s="352" t="s">
        <v>1350</v>
      </c>
      <c r="C682" s="352" t="s">
        <v>704</v>
      </c>
      <c r="D682" s="355" t="s">
        <v>705</v>
      </c>
      <c r="E682" s="368">
        <v>45170</v>
      </c>
      <c r="F682" s="362">
        <v>45170</v>
      </c>
      <c r="G682" s="362">
        <v>45170</v>
      </c>
      <c r="H682" s="362">
        <v>45170</v>
      </c>
      <c r="I682" s="394">
        <v>45170</v>
      </c>
      <c r="J682" s="387" t="s">
        <v>260</v>
      </c>
      <c r="K682" s="388" t="s">
        <v>891</v>
      </c>
      <c r="L682" s="402">
        <v>5</v>
      </c>
      <c r="M682" s="352" t="s">
        <v>753</v>
      </c>
      <c r="N682" s="403">
        <v>65000</v>
      </c>
      <c r="O682" s="404">
        <v>325000</v>
      </c>
      <c r="P682" s="421">
        <v>10</v>
      </c>
      <c r="Q682" s="492" t="s">
        <v>151</v>
      </c>
      <c r="R682" s="437">
        <v>150000</v>
      </c>
      <c r="S682" s="274">
        <f t="shared" si="67"/>
        <v>335000</v>
      </c>
      <c r="T682" s="439" t="s">
        <v>227</v>
      </c>
      <c r="U682" s="460" t="str">
        <f t="shared" si="68"/>
        <v/>
      </c>
      <c r="V682" s="439" t="s">
        <v>1248</v>
      </c>
      <c r="W682" s="439" t="s">
        <v>540</v>
      </c>
      <c r="X682" s="454" t="s">
        <v>1315</v>
      </c>
      <c r="Y682" s="439" t="s">
        <v>710</v>
      </c>
      <c r="Z682" s="616" t="s">
        <v>710</v>
      </c>
      <c r="AA682" s="440" t="s">
        <v>753</v>
      </c>
      <c r="AB682" s="441">
        <f t="shared" si="69"/>
        <v>58558.558558558558</v>
      </c>
      <c r="AC682" s="442">
        <f t="shared" si="70"/>
        <v>292792.79279279278</v>
      </c>
      <c r="AD682" s="437">
        <v>150000</v>
      </c>
      <c r="AE682" s="447">
        <v>4447747.7477477482</v>
      </c>
      <c r="AF682" s="447">
        <v>4937000</v>
      </c>
      <c r="AG682" s="437">
        <v>150000</v>
      </c>
      <c r="AH682" s="271" t="s">
        <v>2101</v>
      </c>
    </row>
    <row r="683" spans="1:34">
      <c r="A683" s="350">
        <v>351</v>
      </c>
      <c r="B683" s="352" t="s">
        <v>1350</v>
      </c>
      <c r="C683" s="352" t="s">
        <v>704</v>
      </c>
      <c r="D683" s="355" t="s">
        <v>705</v>
      </c>
      <c r="E683" s="368">
        <v>45170</v>
      </c>
      <c r="F683" s="362">
        <v>45170</v>
      </c>
      <c r="G683" s="362">
        <v>45170</v>
      </c>
      <c r="H683" s="362">
        <v>45170</v>
      </c>
      <c r="I683" s="394">
        <v>45170</v>
      </c>
      <c r="J683" s="387" t="s">
        <v>239</v>
      </c>
      <c r="K683" s="387" t="s">
        <v>239</v>
      </c>
      <c r="L683" s="402">
        <v>1</v>
      </c>
      <c r="M683" s="352" t="s">
        <v>597</v>
      </c>
      <c r="N683" s="403">
        <v>16500</v>
      </c>
      <c r="O683" s="404">
        <v>16500</v>
      </c>
      <c r="P683" s="421">
        <v>10</v>
      </c>
      <c r="Q683" s="429" t="s">
        <v>148</v>
      </c>
      <c r="R683" s="437">
        <v>35000</v>
      </c>
      <c r="S683" s="274">
        <f t="shared" si="67"/>
        <v>18500</v>
      </c>
      <c r="T683" s="439" t="s">
        <v>227</v>
      </c>
      <c r="U683" s="460" t="str">
        <f t="shared" si="68"/>
        <v/>
      </c>
      <c r="V683" s="439" t="s">
        <v>1248</v>
      </c>
      <c r="W683" s="439" t="s">
        <v>540</v>
      </c>
      <c r="X683" s="454" t="s">
        <v>1315</v>
      </c>
      <c r="Y683" s="439" t="s">
        <v>710</v>
      </c>
      <c r="Z683" s="616" t="s">
        <v>710</v>
      </c>
      <c r="AA683" s="440" t="s">
        <v>753</v>
      </c>
      <c r="AB683" s="441">
        <f t="shared" si="69"/>
        <v>14864.864864864865</v>
      </c>
      <c r="AC683" s="442">
        <f t="shared" si="70"/>
        <v>14864.864864864865</v>
      </c>
      <c r="AD683" s="437">
        <v>35000</v>
      </c>
      <c r="AE683" s="447">
        <v>4447747.7477477482</v>
      </c>
      <c r="AF683" s="447">
        <v>4937000</v>
      </c>
      <c r="AG683" s="437">
        <v>35000</v>
      </c>
      <c r="AH683" s="271" t="s">
        <v>2101</v>
      </c>
    </row>
    <row r="684" spans="1:34" ht="25">
      <c r="A684" s="350">
        <v>351</v>
      </c>
      <c r="B684" s="352" t="s">
        <v>1350</v>
      </c>
      <c r="C684" s="352" t="s">
        <v>704</v>
      </c>
      <c r="D684" s="355" t="s">
        <v>705</v>
      </c>
      <c r="E684" s="368">
        <v>45170</v>
      </c>
      <c r="F684" s="362">
        <v>45170</v>
      </c>
      <c r="G684" s="362">
        <v>45170</v>
      </c>
      <c r="H684" s="362">
        <v>45170</v>
      </c>
      <c r="I684" s="394">
        <v>45170</v>
      </c>
      <c r="J684" s="387" t="s">
        <v>251</v>
      </c>
      <c r="K684" s="388" t="s">
        <v>907</v>
      </c>
      <c r="L684" s="402">
        <v>1</v>
      </c>
      <c r="M684" s="352" t="s">
        <v>735</v>
      </c>
      <c r="N684" s="403">
        <v>70000</v>
      </c>
      <c r="O684" s="404">
        <v>70000</v>
      </c>
      <c r="P684" s="421">
        <v>10</v>
      </c>
      <c r="Q684" s="429" t="s">
        <v>130</v>
      </c>
      <c r="R684" s="437">
        <v>150000</v>
      </c>
      <c r="S684" s="274">
        <f t="shared" si="67"/>
        <v>72000</v>
      </c>
      <c r="T684" s="439" t="s">
        <v>227</v>
      </c>
      <c r="U684" s="460" t="str">
        <f t="shared" si="68"/>
        <v/>
      </c>
      <c r="V684" s="439" t="s">
        <v>1248</v>
      </c>
      <c r="W684" s="439" t="s">
        <v>540</v>
      </c>
      <c r="X684" s="454" t="s">
        <v>1315</v>
      </c>
      <c r="Y684" s="439" t="s">
        <v>710</v>
      </c>
      <c r="Z684" s="616" t="s">
        <v>710</v>
      </c>
      <c r="AA684" s="440" t="s">
        <v>753</v>
      </c>
      <c r="AB684" s="441">
        <f t="shared" si="69"/>
        <v>63063.063063063062</v>
      </c>
      <c r="AC684" s="442">
        <f t="shared" si="70"/>
        <v>63063.063063063062</v>
      </c>
      <c r="AD684" s="437">
        <v>150000</v>
      </c>
      <c r="AE684" s="447">
        <v>4447747.7477477482</v>
      </c>
      <c r="AF684" s="447">
        <v>4937000</v>
      </c>
      <c r="AG684" s="437">
        <v>150000</v>
      </c>
      <c r="AH684" s="271" t="s">
        <v>2101</v>
      </c>
    </row>
    <row r="685" spans="1:34">
      <c r="A685" s="350">
        <v>351</v>
      </c>
      <c r="B685" s="352" t="s">
        <v>1350</v>
      </c>
      <c r="C685" s="352" t="s">
        <v>704</v>
      </c>
      <c r="D685" s="355" t="s">
        <v>705</v>
      </c>
      <c r="E685" s="368">
        <v>45170</v>
      </c>
      <c r="F685" s="362">
        <v>45170</v>
      </c>
      <c r="G685" s="362">
        <v>45170</v>
      </c>
      <c r="H685" s="362">
        <v>45170</v>
      </c>
      <c r="I685" s="394">
        <v>45170</v>
      </c>
      <c r="J685" s="387" t="s">
        <v>249</v>
      </c>
      <c r="K685" s="387" t="s">
        <v>888</v>
      </c>
      <c r="L685" s="402">
        <v>1</v>
      </c>
      <c r="M685" s="352" t="s">
        <v>749</v>
      </c>
      <c r="N685" s="403">
        <v>21000</v>
      </c>
      <c r="O685" s="404">
        <v>21000</v>
      </c>
      <c r="P685" s="421">
        <v>10</v>
      </c>
      <c r="Q685" s="492" t="s">
        <v>156</v>
      </c>
      <c r="R685" s="437">
        <v>60000</v>
      </c>
      <c r="S685" s="274">
        <f t="shared" si="67"/>
        <v>23000</v>
      </c>
      <c r="T685" s="439" t="s">
        <v>227</v>
      </c>
      <c r="U685" s="460" t="str">
        <f t="shared" si="68"/>
        <v/>
      </c>
      <c r="V685" s="439" t="s">
        <v>1248</v>
      </c>
      <c r="W685" s="439" t="s">
        <v>540</v>
      </c>
      <c r="X685" s="454" t="s">
        <v>1315</v>
      </c>
      <c r="Y685" s="439" t="s">
        <v>710</v>
      </c>
      <c r="Z685" s="616" t="s">
        <v>710</v>
      </c>
      <c r="AA685" s="440" t="s">
        <v>488</v>
      </c>
      <c r="AB685" s="441">
        <f t="shared" si="69"/>
        <v>18918.91891891892</v>
      </c>
      <c r="AC685" s="442">
        <f t="shared" si="70"/>
        <v>18918.91891891892</v>
      </c>
      <c r="AD685" s="437">
        <v>60000</v>
      </c>
      <c r="AE685" s="447">
        <v>4447747.7477477482</v>
      </c>
      <c r="AF685" s="447">
        <v>4937000</v>
      </c>
      <c r="AG685" s="437">
        <v>60000</v>
      </c>
      <c r="AH685" s="271" t="s">
        <v>2101</v>
      </c>
    </row>
    <row r="686" spans="1:34">
      <c r="A686" s="350">
        <v>351</v>
      </c>
      <c r="B686" s="352" t="s">
        <v>1350</v>
      </c>
      <c r="C686" s="352" t="s">
        <v>704</v>
      </c>
      <c r="D686" s="355" t="s">
        <v>705</v>
      </c>
      <c r="E686" s="368">
        <v>45170</v>
      </c>
      <c r="F686" s="362">
        <v>45170</v>
      </c>
      <c r="G686" s="362">
        <v>45170</v>
      </c>
      <c r="H686" s="362">
        <v>45170</v>
      </c>
      <c r="I686" s="394">
        <v>45170</v>
      </c>
      <c r="J686" s="387" t="s">
        <v>253</v>
      </c>
      <c r="K686" s="387" t="s">
        <v>719</v>
      </c>
      <c r="L686" s="402">
        <v>1</v>
      </c>
      <c r="M686" s="352" t="s">
        <v>720</v>
      </c>
      <c r="N686" s="403">
        <v>20000</v>
      </c>
      <c r="O686" s="404">
        <v>20000</v>
      </c>
      <c r="P686" s="421">
        <v>10</v>
      </c>
      <c r="Q686" s="429" t="s">
        <v>146</v>
      </c>
      <c r="R686" s="437">
        <v>100000</v>
      </c>
      <c r="S686" s="274">
        <f t="shared" si="67"/>
        <v>22000</v>
      </c>
      <c r="T686" s="439" t="s">
        <v>227</v>
      </c>
      <c r="U686" s="460" t="str">
        <f t="shared" si="68"/>
        <v/>
      </c>
      <c r="V686" s="439" t="s">
        <v>1248</v>
      </c>
      <c r="W686" s="439" t="s">
        <v>540</v>
      </c>
      <c r="X686" s="454" t="s">
        <v>1315</v>
      </c>
      <c r="Y686" s="439" t="s">
        <v>710</v>
      </c>
      <c r="Z686" s="616" t="s">
        <v>710</v>
      </c>
      <c r="AA686" s="440" t="s">
        <v>753</v>
      </c>
      <c r="AB686" s="441">
        <f t="shared" si="69"/>
        <v>18018.018018018018</v>
      </c>
      <c r="AC686" s="442">
        <f t="shared" si="70"/>
        <v>18018.018018018018</v>
      </c>
      <c r="AD686" s="437">
        <v>100000</v>
      </c>
      <c r="AE686" s="447">
        <v>4447747.7477477482</v>
      </c>
      <c r="AF686" s="447">
        <v>4937000</v>
      </c>
      <c r="AG686" s="437">
        <v>100000</v>
      </c>
      <c r="AH686" s="271" t="s">
        <v>2101</v>
      </c>
    </row>
    <row r="687" spans="1:34">
      <c r="A687" s="350">
        <v>352</v>
      </c>
      <c r="B687" s="352" t="s">
        <v>1352</v>
      </c>
      <c r="C687" s="352" t="s">
        <v>532</v>
      </c>
      <c r="D687" s="355" t="s">
        <v>533</v>
      </c>
      <c r="E687" s="368">
        <v>45170</v>
      </c>
      <c r="F687" s="362">
        <v>45170</v>
      </c>
      <c r="G687" s="362">
        <v>45170</v>
      </c>
      <c r="H687" s="362">
        <v>45170</v>
      </c>
      <c r="I687" s="394">
        <v>45170</v>
      </c>
      <c r="J687" s="387" t="s">
        <v>276</v>
      </c>
      <c r="K687" s="352" t="s">
        <v>276</v>
      </c>
      <c r="L687" s="402">
        <v>5</v>
      </c>
      <c r="M687" s="352" t="s">
        <v>551</v>
      </c>
      <c r="N687" s="403">
        <v>18000</v>
      </c>
      <c r="O687" s="404">
        <v>90000</v>
      </c>
      <c r="P687" s="421">
        <v>10</v>
      </c>
      <c r="Q687" s="429" t="s">
        <v>918</v>
      </c>
      <c r="R687" s="437">
        <v>25000</v>
      </c>
      <c r="S687" s="274">
        <f t="shared" si="67"/>
        <v>100000</v>
      </c>
      <c r="T687" s="439" t="s">
        <v>227</v>
      </c>
      <c r="U687" s="460" t="str">
        <f t="shared" si="68"/>
        <v/>
      </c>
      <c r="V687" s="439" t="s">
        <v>1248</v>
      </c>
      <c r="W687" s="439" t="s">
        <v>540</v>
      </c>
      <c r="X687" s="454" t="s">
        <v>1315</v>
      </c>
      <c r="Y687" s="439" t="s">
        <v>710</v>
      </c>
      <c r="Z687" s="616" t="s">
        <v>710</v>
      </c>
      <c r="AA687" s="440" t="s">
        <v>724</v>
      </c>
      <c r="AB687" s="441">
        <f t="shared" si="69"/>
        <v>16216.216216216217</v>
      </c>
      <c r="AC687" s="442">
        <f t="shared" si="70"/>
        <v>81081.08108108108</v>
      </c>
      <c r="AD687" s="437">
        <v>25000</v>
      </c>
      <c r="AE687" s="447">
        <v>4447747.7477477482</v>
      </c>
      <c r="AF687" s="447">
        <v>4937000</v>
      </c>
      <c r="AG687" s="437">
        <v>25000</v>
      </c>
      <c r="AH687" s="271" t="s">
        <v>2101</v>
      </c>
    </row>
    <row r="688" spans="1:34">
      <c r="A688" s="350">
        <v>352</v>
      </c>
      <c r="B688" s="352" t="s">
        <v>1352</v>
      </c>
      <c r="C688" s="352" t="s">
        <v>532</v>
      </c>
      <c r="D688" s="355" t="s">
        <v>533</v>
      </c>
      <c r="E688" s="368">
        <v>45170</v>
      </c>
      <c r="F688" s="362">
        <v>45170</v>
      </c>
      <c r="G688" s="362">
        <v>45170</v>
      </c>
      <c r="H688" s="362">
        <v>45170</v>
      </c>
      <c r="I688" s="394">
        <v>45170</v>
      </c>
      <c r="J688" s="387" t="s">
        <v>669</v>
      </c>
      <c r="K688" s="352" t="s">
        <v>536</v>
      </c>
      <c r="L688" s="402">
        <v>20</v>
      </c>
      <c r="M688" s="352" t="s">
        <v>488</v>
      </c>
      <c r="N688" s="403">
        <v>12000</v>
      </c>
      <c r="O688" s="404">
        <v>240000</v>
      </c>
      <c r="P688" s="421">
        <v>10</v>
      </c>
      <c r="Q688" s="429" t="s">
        <v>914</v>
      </c>
      <c r="R688" s="437">
        <v>45000</v>
      </c>
      <c r="S688" s="274">
        <f t="shared" si="67"/>
        <v>280000</v>
      </c>
      <c r="T688" s="439" t="s">
        <v>227</v>
      </c>
      <c r="U688" s="460" t="str">
        <f t="shared" si="68"/>
        <v/>
      </c>
      <c r="V688" s="439" t="s">
        <v>1248</v>
      </c>
      <c r="W688" s="439" t="s">
        <v>540</v>
      </c>
      <c r="X688" s="454" t="s">
        <v>1315</v>
      </c>
      <c r="Y688" s="439" t="s">
        <v>710</v>
      </c>
      <c r="Z688" s="449" t="s">
        <v>710</v>
      </c>
      <c r="AA688" s="440" t="s">
        <v>753</v>
      </c>
      <c r="AB688" s="441">
        <f t="shared" si="69"/>
        <v>10810.810810810812</v>
      </c>
      <c r="AC688" s="442">
        <f t="shared" si="70"/>
        <v>216216.21621621624</v>
      </c>
      <c r="AD688" s="437">
        <v>45000</v>
      </c>
      <c r="AE688" s="447">
        <v>4447747.7477477482</v>
      </c>
      <c r="AF688" s="447">
        <v>4937000</v>
      </c>
      <c r="AG688" s="437">
        <v>45000</v>
      </c>
      <c r="AH688" s="271" t="s">
        <v>2101</v>
      </c>
    </row>
    <row r="689" spans="1:36" s="287" customFormat="1">
      <c r="A689" s="350">
        <v>353</v>
      </c>
      <c r="B689" s="352" t="s">
        <v>1353</v>
      </c>
      <c r="C689" s="352" t="s">
        <v>492</v>
      </c>
      <c r="D689" s="355" t="s">
        <v>464</v>
      </c>
      <c r="E689" s="368">
        <v>45172</v>
      </c>
      <c r="F689" s="362">
        <v>45173</v>
      </c>
      <c r="G689" s="362">
        <v>45173</v>
      </c>
      <c r="H689" s="362">
        <v>45173</v>
      </c>
      <c r="I689" s="394">
        <v>45173</v>
      </c>
      <c r="J689" s="387" t="s">
        <v>494</v>
      </c>
      <c r="K689" s="387" t="s">
        <v>467</v>
      </c>
      <c r="L689" s="402">
        <v>16</v>
      </c>
      <c r="M689" s="352" t="s">
        <v>231</v>
      </c>
      <c r="N689" s="403">
        <v>35000</v>
      </c>
      <c r="O689" s="404">
        <v>560000</v>
      </c>
      <c r="P689" s="421">
        <v>10</v>
      </c>
      <c r="Q689" s="429" t="s">
        <v>149</v>
      </c>
      <c r="R689" s="437">
        <v>325000</v>
      </c>
      <c r="S689" s="274">
        <f t="shared" si="67"/>
        <v>592000</v>
      </c>
      <c r="T689" s="444" t="s">
        <v>282</v>
      </c>
      <c r="U689" s="460" t="str">
        <f t="shared" si="68"/>
        <v>Resto JFC Esther</v>
      </c>
      <c r="V689" s="444" t="s">
        <v>1258</v>
      </c>
      <c r="W689" s="444" t="s">
        <v>468</v>
      </c>
      <c r="X689" s="454" t="s">
        <v>1315</v>
      </c>
      <c r="Y689" s="439" t="s">
        <v>710</v>
      </c>
      <c r="Z689" s="449" t="s">
        <v>710</v>
      </c>
      <c r="AA689" s="440" t="s">
        <v>597</v>
      </c>
      <c r="AB689" s="441">
        <f t="shared" si="69"/>
        <v>31531.531531531531</v>
      </c>
      <c r="AC689" s="442">
        <f t="shared" si="70"/>
        <v>504504.5045045045</v>
      </c>
      <c r="AD689" s="437">
        <v>325000</v>
      </c>
      <c r="AE689" s="484">
        <v>4447747.7477477482</v>
      </c>
      <c r="AF689" s="484">
        <v>4937000</v>
      </c>
      <c r="AG689" s="437">
        <v>325000</v>
      </c>
      <c r="AH689" s="271" t="s">
        <v>2091</v>
      </c>
    </row>
    <row r="690" spans="1:36" s="287" customFormat="1">
      <c r="A690" s="350">
        <v>354</v>
      </c>
      <c r="B690" s="352" t="s">
        <v>1354</v>
      </c>
      <c r="C690" s="352" t="s">
        <v>492</v>
      </c>
      <c r="D690" s="355" t="s">
        <v>464</v>
      </c>
      <c r="E690" s="368">
        <v>45172</v>
      </c>
      <c r="F690" s="362">
        <v>45173</v>
      </c>
      <c r="G690" s="362">
        <v>45173</v>
      </c>
      <c r="H690" s="362">
        <v>45173</v>
      </c>
      <c r="I690" s="394">
        <v>45173</v>
      </c>
      <c r="J690" s="387" t="s">
        <v>496</v>
      </c>
      <c r="K690" s="387" t="s">
        <v>484</v>
      </c>
      <c r="L690" s="402">
        <v>16</v>
      </c>
      <c r="M690" s="352" t="s">
        <v>472</v>
      </c>
      <c r="N690" s="403">
        <v>50000</v>
      </c>
      <c r="O690" s="404">
        <v>800000</v>
      </c>
      <c r="P690" s="421">
        <v>10</v>
      </c>
      <c r="Q690" s="429" t="s">
        <v>110</v>
      </c>
      <c r="R690" s="437">
        <v>16500</v>
      </c>
      <c r="S690" s="274">
        <f t="shared" si="67"/>
        <v>832000</v>
      </c>
      <c r="T690" s="439" t="s">
        <v>10</v>
      </c>
      <c r="U690" s="460" t="str">
        <f t="shared" si="68"/>
        <v/>
      </c>
      <c r="V690" s="275" t="s">
        <v>11</v>
      </c>
      <c r="W690" s="439" t="s">
        <v>473</v>
      </c>
      <c r="X690" s="454" t="s">
        <v>1315</v>
      </c>
      <c r="Y690" s="439" t="s">
        <v>710</v>
      </c>
      <c r="Z690" s="449" t="s">
        <v>710</v>
      </c>
      <c r="AA690" s="440" t="s">
        <v>735</v>
      </c>
      <c r="AB690" s="441">
        <f t="shared" si="69"/>
        <v>45045.045045045044</v>
      </c>
      <c r="AC690" s="442">
        <f t="shared" si="70"/>
        <v>720720.72072072071</v>
      </c>
      <c r="AD690" s="437">
        <v>16500</v>
      </c>
      <c r="AE690" s="484">
        <v>4447747.7477477482</v>
      </c>
      <c r="AF690" s="484">
        <v>4937000</v>
      </c>
      <c r="AG690" s="437">
        <v>16500</v>
      </c>
      <c r="AH690" s="271" t="s">
        <v>2092</v>
      </c>
    </row>
    <row r="691" spans="1:36" s="287" customFormat="1" ht="25">
      <c r="A691" s="350">
        <v>354</v>
      </c>
      <c r="B691" s="352" t="s">
        <v>1355</v>
      </c>
      <c r="C691" s="352" t="s">
        <v>517</v>
      </c>
      <c r="D691" s="355" t="s">
        <v>464</v>
      </c>
      <c r="E691" s="368">
        <v>45172</v>
      </c>
      <c r="F691" s="362">
        <v>45173</v>
      </c>
      <c r="G691" s="362">
        <v>45173</v>
      </c>
      <c r="H691" s="362">
        <v>45173</v>
      </c>
      <c r="I691" s="394">
        <v>45173</v>
      </c>
      <c r="J691" s="387" t="s">
        <v>518</v>
      </c>
      <c r="K691" s="387" t="s">
        <v>484</v>
      </c>
      <c r="L691" s="402">
        <v>20</v>
      </c>
      <c r="M691" s="352" t="s">
        <v>472</v>
      </c>
      <c r="N691" s="403">
        <v>50000</v>
      </c>
      <c r="O691" s="404">
        <v>1000000</v>
      </c>
      <c r="P691" s="421">
        <v>10</v>
      </c>
      <c r="Q691" s="429" t="s">
        <v>133</v>
      </c>
      <c r="R691" s="437">
        <v>140000</v>
      </c>
      <c r="S691" s="274">
        <f t="shared" si="67"/>
        <v>1040000</v>
      </c>
      <c r="T691" s="439" t="s">
        <v>10</v>
      </c>
      <c r="U691" s="460" t="str">
        <f t="shared" si="68"/>
        <v/>
      </c>
      <c r="V691" s="439" t="s">
        <v>11</v>
      </c>
      <c r="W691" s="439" t="s">
        <v>473</v>
      </c>
      <c r="X691" s="454" t="s">
        <v>1315</v>
      </c>
      <c r="Y691" s="439" t="s">
        <v>710</v>
      </c>
      <c r="Z691" s="449" t="s">
        <v>710</v>
      </c>
      <c r="AA691" s="440" t="s">
        <v>749</v>
      </c>
      <c r="AB691" s="441">
        <f t="shared" si="69"/>
        <v>45045.045045045044</v>
      </c>
      <c r="AC691" s="442">
        <f t="shared" si="70"/>
        <v>900900.90090090083</v>
      </c>
      <c r="AD691" s="437">
        <v>140000</v>
      </c>
      <c r="AE691" s="484">
        <v>4447747.7477477482</v>
      </c>
      <c r="AF691" s="484">
        <v>4937000</v>
      </c>
      <c r="AG691" s="437">
        <v>140000</v>
      </c>
      <c r="AH691" s="271" t="s">
        <v>2092</v>
      </c>
    </row>
    <row r="692" spans="1:36" ht="25">
      <c r="A692" s="350">
        <v>355</v>
      </c>
      <c r="B692" s="352" t="s">
        <v>1356</v>
      </c>
      <c r="C692" s="352" t="s">
        <v>481</v>
      </c>
      <c r="D692" s="355" t="s">
        <v>464</v>
      </c>
      <c r="E692" s="368">
        <v>45174</v>
      </c>
      <c r="F692" s="362">
        <v>45175</v>
      </c>
      <c r="G692" s="362">
        <v>45175</v>
      </c>
      <c r="H692" s="362">
        <v>45175</v>
      </c>
      <c r="I692" s="394">
        <v>45175</v>
      </c>
      <c r="J692" s="387" t="s">
        <v>483</v>
      </c>
      <c r="K692" s="387" t="s">
        <v>484</v>
      </c>
      <c r="L692" s="402">
        <v>20</v>
      </c>
      <c r="M692" s="352" t="s">
        <v>472</v>
      </c>
      <c r="N692" s="403">
        <v>50000</v>
      </c>
      <c r="O692" s="404">
        <v>1000000</v>
      </c>
      <c r="P692" s="421">
        <v>10</v>
      </c>
      <c r="Q692" s="492" t="s">
        <v>131</v>
      </c>
      <c r="R692" s="437">
        <v>21000</v>
      </c>
      <c r="S692" s="274">
        <f t="shared" si="67"/>
        <v>1040000</v>
      </c>
      <c r="T692" s="439" t="s">
        <v>10</v>
      </c>
      <c r="U692" s="460" t="str">
        <f t="shared" si="68"/>
        <v/>
      </c>
      <c r="V692" s="439" t="s">
        <v>11</v>
      </c>
      <c r="W692" s="439" t="s">
        <v>473</v>
      </c>
      <c r="X692" s="454" t="s">
        <v>1315</v>
      </c>
      <c r="Y692" s="439" t="s">
        <v>710</v>
      </c>
      <c r="Z692" s="449" t="s">
        <v>710</v>
      </c>
      <c r="AA692" s="440" t="s">
        <v>720</v>
      </c>
      <c r="AB692" s="441">
        <f t="shared" si="69"/>
        <v>45045.045045045044</v>
      </c>
      <c r="AC692" s="442">
        <f t="shared" si="70"/>
        <v>900900.90090090083</v>
      </c>
      <c r="AD692" s="437">
        <v>21000</v>
      </c>
      <c r="AE692" s="447">
        <v>4447747.7477477482</v>
      </c>
      <c r="AF692" s="447">
        <v>4937000</v>
      </c>
      <c r="AG692" s="437">
        <v>21000</v>
      </c>
      <c r="AH692" s="271" t="s">
        <v>2092</v>
      </c>
    </row>
    <row r="693" spans="1:36">
      <c r="A693" s="350">
        <v>355</v>
      </c>
      <c r="B693" s="352" t="s">
        <v>1356</v>
      </c>
      <c r="C693" s="352" t="s">
        <v>481</v>
      </c>
      <c r="D693" s="355" t="s">
        <v>464</v>
      </c>
      <c r="E693" s="368">
        <v>45174</v>
      </c>
      <c r="F693" s="362">
        <v>45175</v>
      </c>
      <c r="G693" s="362">
        <v>45175</v>
      </c>
      <c r="H693" s="362">
        <v>45175</v>
      </c>
      <c r="I693" s="394">
        <v>45175</v>
      </c>
      <c r="J693" s="387" t="s">
        <v>486</v>
      </c>
      <c r="K693" s="352" t="s">
        <v>487</v>
      </c>
      <c r="L693" s="402">
        <v>750</v>
      </c>
      <c r="M693" s="352" t="s">
        <v>488</v>
      </c>
      <c r="N693" s="403">
        <v>8000</v>
      </c>
      <c r="O693" s="404">
        <v>6000000</v>
      </c>
      <c r="P693" s="421">
        <v>10</v>
      </c>
      <c r="Q693" s="429" t="s">
        <v>140</v>
      </c>
      <c r="R693" s="437">
        <v>20000</v>
      </c>
      <c r="S693" s="274">
        <f t="shared" si="67"/>
        <v>7500000</v>
      </c>
      <c r="T693" s="439" t="s">
        <v>10</v>
      </c>
      <c r="U693" s="460" t="str">
        <f t="shared" si="68"/>
        <v/>
      </c>
      <c r="V693" s="439" t="s">
        <v>11</v>
      </c>
      <c r="W693" s="439" t="s">
        <v>473</v>
      </c>
      <c r="X693" s="454" t="s">
        <v>1315</v>
      </c>
      <c r="Y693" s="439" t="s">
        <v>710</v>
      </c>
      <c r="Z693" s="616" t="s">
        <v>710</v>
      </c>
      <c r="AA693" s="440" t="s">
        <v>551</v>
      </c>
      <c r="AB693" s="441">
        <f t="shared" si="69"/>
        <v>7207.2072072072069</v>
      </c>
      <c r="AC693" s="442">
        <f t="shared" si="70"/>
        <v>5405405.405405405</v>
      </c>
      <c r="AD693" s="437">
        <v>20000</v>
      </c>
      <c r="AE693" s="447">
        <v>4447747.7477477482</v>
      </c>
      <c r="AF693" s="447">
        <v>4937000</v>
      </c>
      <c r="AG693" s="437">
        <v>20000</v>
      </c>
      <c r="AH693" s="271" t="s">
        <v>2092</v>
      </c>
    </row>
    <row r="694" spans="1:36">
      <c r="A694" s="350">
        <v>356</v>
      </c>
      <c r="B694" s="352" t="s">
        <v>1375</v>
      </c>
      <c r="C694" s="352" t="s">
        <v>570</v>
      </c>
      <c r="D694" s="355" t="s">
        <v>571</v>
      </c>
      <c r="E694" s="368">
        <v>45177</v>
      </c>
      <c r="F694" s="362">
        <v>45178</v>
      </c>
      <c r="G694" s="362">
        <v>45178</v>
      </c>
      <c r="H694" s="362">
        <v>45178</v>
      </c>
      <c r="I694" s="394">
        <v>45194</v>
      </c>
      <c r="J694" s="387" t="s">
        <v>9</v>
      </c>
      <c r="K694" s="387" t="s">
        <v>573</v>
      </c>
      <c r="L694" s="402">
        <v>3850</v>
      </c>
      <c r="M694" s="352" t="s">
        <v>574</v>
      </c>
      <c r="N694" s="405">
        <v>300</v>
      </c>
      <c r="O694" s="404">
        <v>1155000</v>
      </c>
      <c r="P694" s="421">
        <v>10</v>
      </c>
      <c r="Q694" s="275"/>
      <c r="R694" s="437">
        <v>90000</v>
      </c>
      <c r="S694" s="274">
        <f t="shared" si="67"/>
        <v>8855000</v>
      </c>
      <c r="T694" s="439" t="s">
        <v>227</v>
      </c>
      <c r="U694" s="460" t="str">
        <f t="shared" si="68"/>
        <v/>
      </c>
      <c r="V694" s="439" t="s">
        <v>1248</v>
      </c>
      <c r="W694" s="439" t="s">
        <v>540</v>
      </c>
      <c r="X694" s="439"/>
      <c r="Y694" s="439" t="s">
        <v>542</v>
      </c>
      <c r="Z694" s="449" t="s">
        <v>542</v>
      </c>
      <c r="AA694" s="440" t="s">
        <v>488</v>
      </c>
      <c r="AB694" s="441">
        <f t="shared" si="69"/>
        <v>270.27027027027026</v>
      </c>
      <c r="AC694" s="442">
        <f t="shared" si="70"/>
        <v>1040540.5405405405</v>
      </c>
      <c r="AD694" s="437">
        <v>90000</v>
      </c>
      <c r="AE694" s="447">
        <v>945945.94594594603</v>
      </c>
      <c r="AF694" s="447">
        <v>1050000</v>
      </c>
      <c r="AG694" s="437">
        <v>90000</v>
      </c>
      <c r="AH694" s="271" t="s">
        <v>2101</v>
      </c>
      <c r="AI694" s="277">
        <f>SUM(AC694:AC697)</f>
        <v>2373873.8738738736</v>
      </c>
      <c r="AJ694" s="277">
        <f>SUM(AD694:AD697)</f>
        <v>1050000</v>
      </c>
    </row>
    <row r="695" spans="1:36" ht="25">
      <c r="A695" s="350">
        <v>358</v>
      </c>
      <c r="B695" s="352" t="s">
        <v>1358</v>
      </c>
      <c r="C695" s="352" t="s">
        <v>498</v>
      </c>
      <c r="D695" s="355" t="s">
        <v>464</v>
      </c>
      <c r="E695" s="368">
        <v>45179</v>
      </c>
      <c r="F695" s="362">
        <v>45180</v>
      </c>
      <c r="G695" s="362">
        <v>45180</v>
      </c>
      <c r="H695" s="362">
        <v>45180</v>
      </c>
      <c r="I695" s="394">
        <v>45180</v>
      </c>
      <c r="J695" s="387" t="s">
        <v>502</v>
      </c>
      <c r="K695" s="387" t="s">
        <v>484</v>
      </c>
      <c r="L695" s="402">
        <v>16</v>
      </c>
      <c r="M695" s="352" t="s">
        <v>472</v>
      </c>
      <c r="N695" s="403">
        <v>50000</v>
      </c>
      <c r="O695" s="404">
        <v>800000</v>
      </c>
      <c r="P695" s="421">
        <v>10</v>
      </c>
      <c r="Q695" s="275"/>
      <c r="R695" s="437">
        <v>120000</v>
      </c>
      <c r="S695" s="274">
        <f t="shared" si="67"/>
        <v>832000</v>
      </c>
      <c r="T695" s="439" t="s">
        <v>10</v>
      </c>
      <c r="U695" s="460" t="str">
        <f t="shared" si="68"/>
        <v/>
      </c>
      <c r="V695" s="439" t="s">
        <v>11</v>
      </c>
      <c r="W695" s="439" t="s">
        <v>473</v>
      </c>
      <c r="X695" s="439"/>
      <c r="Y695" s="439" t="s">
        <v>542</v>
      </c>
      <c r="Z695" s="449" t="s">
        <v>542</v>
      </c>
      <c r="AA695" s="440" t="s">
        <v>488</v>
      </c>
      <c r="AB695" s="441">
        <f t="shared" si="69"/>
        <v>45045.045045045044</v>
      </c>
      <c r="AC695" s="442">
        <f t="shared" si="70"/>
        <v>720720.72072072071</v>
      </c>
      <c r="AD695" s="437">
        <v>120000</v>
      </c>
      <c r="AE695" s="447">
        <v>945945.94594594603</v>
      </c>
      <c r="AF695" s="447">
        <v>1050000</v>
      </c>
      <c r="AG695" s="437">
        <v>120000</v>
      </c>
      <c r="AH695" s="271" t="s">
        <v>2092</v>
      </c>
    </row>
    <row r="696" spans="1:36" ht="25">
      <c r="A696" s="350">
        <v>358</v>
      </c>
      <c r="B696" s="352" t="s">
        <v>1359</v>
      </c>
      <c r="C696" s="352" t="s">
        <v>504</v>
      </c>
      <c r="D696" s="355" t="s">
        <v>464</v>
      </c>
      <c r="E696" s="368">
        <v>45179</v>
      </c>
      <c r="F696" s="362">
        <v>45180</v>
      </c>
      <c r="G696" s="362">
        <v>45187</v>
      </c>
      <c r="H696" s="362">
        <v>45187</v>
      </c>
      <c r="I696" s="394">
        <v>45187</v>
      </c>
      <c r="J696" s="387" t="s">
        <v>505</v>
      </c>
      <c r="K696" s="387" t="s">
        <v>484</v>
      </c>
      <c r="L696" s="402">
        <v>8</v>
      </c>
      <c r="M696" s="352" t="s">
        <v>472</v>
      </c>
      <c r="N696" s="403">
        <v>50000</v>
      </c>
      <c r="O696" s="404">
        <v>400000</v>
      </c>
      <c r="P696" s="421">
        <v>10</v>
      </c>
      <c r="Q696" s="275"/>
      <c r="R696" s="437">
        <v>600000</v>
      </c>
      <c r="S696" s="274">
        <f t="shared" si="67"/>
        <v>416000</v>
      </c>
      <c r="T696" s="439" t="s">
        <v>10</v>
      </c>
      <c r="U696" s="460" t="str">
        <f t="shared" si="68"/>
        <v/>
      </c>
      <c r="V696" s="439" t="s">
        <v>11</v>
      </c>
      <c r="W696" s="439" t="s">
        <v>473</v>
      </c>
      <c r="X696" s="439"/>
      <c r="Y696" s="439" t="s">
        <v>542</v>
      </c>
      <c r="Z696" s="449" t="s">
        <v>542</v>
      </c>
      <c r="AA696" s="440" t="s">
        <v>488</v>
      </c>
      <c r="AB696" s="441">
        <f t="shared" si="69"/>
        <v>45045.045045045044</v>
      </c>
      <c r="AC696" s="442">
        <f t="shared" si="70"/>
        <v>360360.36036036036</v>
      </c>
      <c r="AD696" s="437">
        <v>600000</v>
      </c>
      <c r="AE696" s="447">
        <v>945945.94594594603</v>
      </c>
      <c r="AF696" s="447">
        <v>1050000</v>
      </c>
      <c r="AG696" s="437">
        <v>600000</v>
      </c>
      <c r="AH696" s="271" t="s">
        <v>2092</v>
      </c>
    </row>
    <row r="697" spans="1:36" ht="25">
      <c r="A697" s="350">
        <v>359</v>
      </c>
      <c r="B697" s="352" t="s">
        <v>1360</v>
      </c>
      <c r="C697" s="352" t="s">
        <v>507</v>
      </c>
      <c r="D697" s="355" t="s">
        <v>464</v>
      </c>
      <c r="E697" s="368">
        <v>45186</v>
      </c>
      <c r="F697" s="362">
        <v>45187</v>
      </c>
      <c r="G697" s="362">
        <v>45187</v>
      </c>
      <c r="H697" s="362">
        <v>45187</v>
      </c>
      <c r="I697" s="394">
        <v>45187</v>
      </c>
      <c r="J697" s="387" t="s">
        <v>508</v>
      </c>
      <c r="K697" s="387" t="s">
        <v>467</v>
      </c>
      <c r="L697" s="402">
        <v>8</v>
      </c>
      <c r="M697" s="352" t="s">
        <v>231</v>
      </c>
      <c r="N697" s="403">
        <v>35000</v>
      </c>
      <c r="O697" s="404">
        <v>280000</v>
      </c>
      <c r="P697" s="421">
        <v>10</v>
      </c>
      <c r="Q697" s="275"/>
      <c r="R697" s="437">
        <v>240000</v>
      </c>
      <c r="S697" s="274">
        <f t="shared" si="67"/>
        <v>296000</v>
      </c>
      <c r="T697" s="444" t="s">
        <v>282</v>
      </c>
      <c r="U697" s="460" t="str">
        <f t="shared" si="68"/>
        <v>Resto JFC Esther</v>
      </c>
      <c r="V697" s="444" t="s">
        <v>1258</v>
      </c>
      <c r="W697" s="439" t="s">
        <v>473</v>
      </c>
      <c r="X697" s="439"/>
      <c r="Y697" s="439" t="s">
        <v>542</v>
      </c>
      <c r="Z697" s="449" t="s">
        <v>542</v>
      </c>
      <c r="AA697" s="440" t="s">
        <v>231</v>
      </c>
      <c r="AB697" s="441">
        <f t="shared" si="69"/>
        <v>31531.531531531531</v>
      </c>
      <c r="AC697" s="442">
        <f t="shared" si="70"/>
        <v>252252.25225225225</v>
      </c>
      <c r="AD697" s="437">
        <v>240000</v>
      </c>
      <c r="AE697" s="447">
        <v>945945.94594594603</v>
      </c>
      <c r="AF697" s="447">
        <v>1050000</v>
      </c>
      <c r="AG697" s="437">
        <v>240000</v>
      </c>
      <c r="AH697" s="271" t="s">
        <v>2091</v>
      </c>
    </row>
    <row r="698" spans="1:36" ht="15.5">
      <c r="A698" s="350">
        <v>360</v>
      </c>
      <c r="B698" s="352" t="s">
        <v>1361</v>
      </c>
      <c r="C698" s="352" t="s">
        <v>507</v>
      </c>
      <c r="D698" s="355" t="s">
        <v>464</v>
      </c>
      <c r="E698" s="368">
        <v>45186</v>
      </c>
      <c r="F698" s="362">
        <v>45187</v>
      </c>
      <c r="G698" s="362">
        <v>45187</v>
      </c>
      <c r="H698" s="362">
        <v>45187</v>
      </c>
      <c r="I698" s="394">
        <v>45187</v>
      </c>
      <c r="J698" s="387" t="s">
        <v>510</v>
      </c>
      <c r="K698" s="387" t="s">
        <v>484</v>
      </c>
      <c r="L698" s="402">
        <v>16</v>
      </c>
      <c r="M698" s="352" t="s">
        <v>472</v>
      </c>
      <c r="N698" s="403">
        <v>50000</v>
      </c>
      <c r="O698" s="404">
        <v>800000</v>
      </c>
      <c r="P698" s="421">
        <v>10</v>
      </c>
      <c r="Q698" s="426" t="s">
        <v>81</v>
      </c>
      <c r="R698" s="437">
        <v>560000</v>
      </c>
      <c r="S698" s="274">
        <f t="shared" si="67"/>
        <v>832000</v>
      </c>
      <c r="T698" s="439" t="s">
        <v>10</v>
      </c>
      <c r="U698" s="460" t="str">
        <f t="shared" si="68"/>
        <v/>
      </c>
      <c r="V698" s="439" t="s">
        <v>11</v>
      </c>
      <c r="W698" s="439" t="s">
        <v>473</v>
      </c>
      <c r="X698" s="439" t="s">
        <v>468</v>
      </c>
      <c r="Y698" s="439" t="str">
        <f>J698</f>
        <v>Air Mineral pelaksanaan kegiatan ekstrakurikuler paskibra</v>
      </c>
      <c r="Z698" s="449" t="s">
        <v>8</v>
      </c>
      <c r="AA698" s="440" t="s">
        <v>472</v>
      </c>
      <c r="AB698" s="441">
        <f t="shared" si="69"/>
        <v>45045.045045045044</v>
      </c>
      <c r="AC698" s="442">
        <f t="shared" si="70"/>
        <v>720720.72072072071</v>
      </c>
      <c r="AD698" s="437">
        <v>560000</v>
      </c>
      <c r="AE698" s="447">
        <v>504504.5045045045</v>
      </c>
      <c r="AF698" s="447">
        <v>560000</v>
      </c>
      <c r="AG698" s="437">
        <v>560000</v>
      </c>
      <c r="AH698" s="271" t="s">
        <v>2092</v>
      </c>
    </row>
    <row r="699" spans="1:36">
      <c r="A699" s="350">
        <v>361</v>
      </c>
      <c r="B699" s="352" t="s">
        <v>1362</v>
      </c>
      <c r="C699" s="352" t="s">
        <v>795</v>
      </c>
      <c r="D699" s="355" t="s">
        <v>796</v>
      </c>
      <c r="E699" s="368">
        <v>45186</v>
      </c>
      <c r="F699" s="362">
        <v>45187</v>
      </c>
      <c r="G699" s="362">
        <v>45187</v>
      </c>
      <c r="H699" s="362">
        <v>45187</v>
      </c>
      <c r="I699" s="394">
        <v>45187</v>
      </c>
      <c r="J699" s="387" t="s">
        <v>797</v>
      </c>
      <c r="K699" s="387" t="s">
        <v>798</v>
      </c>
      <c r="L699" s="402">
        <v>10</v>
      </c>
      <c r="M699" s="352" t="s">
        <v>488</v>
      </c>
      <c r="N699" s="403">
        <v>80000</v>
      </c>
      <c r="O699" s="404">
        <v>800000</v>
      </c>
      <c r="P699" s="421">
        <v>10</v>
      </c>
      <c r="Q699" s="427" t="s">
        <v>163</v>
      </c>
      <c r="R699" s="437">
        <v>800000</v>
      </c>
      <c r="S699" s="274">
        <f t="shared" si="67"/>
        <v>820000</v>
      </c>
      <c r="T699" s="439" t="s">
        <v>12</v>
      </c>
      <c r="U699" s="460" t="str">
        <f t="shared" si="68"/>
        <v/>
      </c>
      <c r="V699" s="439" t="s">
        <v>13</v>
      </c>
      <c r="W699" s="439" t="s">
        <v>804</v>
      </c>
      <c r="X699" s="439" t="s">
        <v>474</v>
      </c>
      <c r="Y699" s="439" t="str">
        <f>J699</f>
        <v>Lampu Hemat Energi</v>
      </c>
      <c r="Z699" s="449" t="s">
        <v>1545</v>
      </c>
      <c r="AA699" s="440" t="s">
        <v>472</v>
      </c>
      <c r="AB699" s="441">
        <f t="shared" si="69"/>
        <v>72072.072072072071</v>
      </c>
      <c r="AC699" s="442">
        <f t="shared" si="70"/>
        <v>720720.72072072071</v>
      </c>
      <c r="AD699" s="437">
        <v>800000</v>
      </c>
      <c r="AE699" s="447">
        <v>720720.72072072071</v>
      </c>
      <c r="AF699" s="447">
        <v>800000</v>
      </c>
      <c r="AG699" s="437">
        <v>800000</v>
      </c>
      <c r="AH699" s="271" t="s">
        <v>2101</v>
      </c>
    </row>
    <row r="700" spans="1:36">
      <c r="A700" s="350">
        <v>362</v>
      </c>
      <c r="B700" s="352" t="s">
        <v>1363</v>
      </c>
      <c r="C700" s="352" t="s">
        <v>512</v>
      </c>
      <c r="D700" s="355" t="s">
        <v>464</v>
      </c>
      <c r="E700" s="368">
        <v>45188</v>
      </c>
      <c r="F700" s="362">
        <v>45189</v>
      </c>
      <c r="G700" s="362">
        <v>45189</v>
      </c>
      <c r="H700" s="362">
        <v>45189</v>
      </c>
      <c r="I700" s="394">
        <v>45189</v>
      </c>
      <c r="J700" s="387" t="s">
        <v>513</v>
      </c>
      <c r="K700" s="387" t="s">
        <v>484</v>
      </c>
      <c r="L700" s="402">
        <v>4</v>
      </c>
      <c r="M700" s="352" t="s">
        <v>472</v>
      </c>
      <c r="N700" s="403">
        <v>50000</v>
      </c>
      <c r="O700" s="404">
        <v>200000</v>
      </c>
      <c r="P700" s="421">
        <v>10</v>
      </c>
      <c r="Q700" s="427" t="s">
        <v>163</v>
      </c>
      <c r="R700" s="437">
        <v>1000000</v>
      </c>
      <c r="S700" s="274">
        <f t="shared" si="67"/>
        <v>208000</v>
      </c>
      <c r="T700" s="439" t="s">
        <v>10</v>
      </c>
      <c r="U700" s="460" t="str">
        <f t="shared" si="68"/>
        <v/>
      </c>
      <c r="V700" s="439" t="s">
        <v>11</v>
      </c>
      <c r="W700" s="439" t="s">
        <v>473</v>
      </c>
      <c r="X700" s="439" t="s">
        <v>474</v>
      </c>
      <c r="Y700" s="439" t="str">
        <f>J700</f>
        <v>Air Mineral peserta kegiatan ekstrakurikuler band musik</v>
      </c>
      <c r="Z700" s="449" t="s">
        <v>1545</v>
      </c>
      <c r="AA700" s="440" t="s">
        <v>472</v>
      </c>
      <c r="AB700" s="441">
        <f t="shared" si="69"/>
        <v>45045.045045045044</v>
      </c>
      <c r="AC700" s="442">
        <f t="shared" si="70"/>
        <v>180180.18018018018</v>
      </c>
      <c r="AD700" s="437">
        <v>1000000</v>
      </c>
      <c r="AE700" s="447">
        <v>1027027.027027027</v>
      </c>
      <c r="AF700" s="447">
        <v>1140000</v>
      </c>
      <c r="AG700" s="437">
        <v>1000000</v>
      </c>
      <c r="AH700" s="271" t="s">
        <v>2092</v>
      </c>
      <c r="AI700" s="277">
        <f>SUM(AC700:AC701)</f>
        <v>306306.30630630627</v>
      </c>
      <c r="AJ700" s="277">
        <f>SUM(AD700:AD701)</f>
        <v>1140000</v>
      </c>
    </row>
    <row r="701" spans="1:36" ht="25">
      <c r="A701" s="350">
        <v>363</v>
      </c>
      <c r="B701" s="352" t="s">
        <v>1364</v>
      </c>
      <c r="C701" s="352" t="s">
        <v>512</v>
      </c>
      <c r="D701" s="355" t="s">
        <v>464</v>
      </c>
      <c r="E701" s="368">
        <v>45188</v>
      </c>
      <c r="F701" s="362">
        <v>45189</v>
      </c>
      <c r="G701" s="362">
        <v>45189</v>
      </c>
      <c r="H701" s="362">
        <v>45189</v>
      </c>
      <c r="I701" s="394">
        <v>45189</v>
      </c>
      <c r="J701" s="387" t="s">
        <v>515</v>
      </c>
      <c r="K701" s="387" t="s">
        <v>467</v>
      </c>
      <c r="L701" s="402">
        <v>4</v>
      </c>
      <c r="M701" s="352" t="s">
        <v>231</v>
      </c>
      <c r="N701" s="403">
        <v>35000</v>
      </c>
      <c r="O701" s="404">
        <v>140000</v>
      </c>
      <c r="P701" s="421">
        <v>10</v>
      </c>
      <c r="Q701" s="425" t="s">
        <v>164</v>
      </c>
      <c r="R701" s="437">
        <v>140000</v>
      </c>
      <c r="S701" s="274">
        <f t="shared" si="67"/>
        <v>148000</v>
      </c>
      <c r="T701" s="444" t="s">
        <v>282</v>
      </c>
      <c r="U701" s="460" t="str">
        <f t="shared" si="68"/>
        <v>Resto JFC Esther</v>
      </c>
      <c r="V701" s="444" t="s">
        <v>1258</v>
      </c>
      <c r="W701" s="444" t="s">
        <v>468</v>
      </c>
      <c r="X701" s="439" t="s">
        <v>474</v>
      </c>
      <c r="Y701" s="439" t="str">
        <f>J701</f>
        <v>Konsumsi pendamping/pembina kegiatan ekstrakurikuler band musik</v>
      </c>
      <c r="Z701" s="449" t="s">
        <v>1545</v>
      </c>
      <c r="AA701" s="440" t="s">
        <v>231</v>
      </c>
      <c r="AB701" s="441">
        <f t="shared" si="69"/>
        <v>31531.531531531531</v>
      </c>
      <c r="AC701" s="442">
        <f t="shared" si="70"/>
        <v>126126.12612612612</v>
      </c>
      <c r="AD701" s="437">
        <v>140000</v>
      </c>
      <c r="AE701" s="447">
        <v>1027027.027027027</v>
      </c>
      <c r="AF701" s="447">
        <v>1140000</v>
      </c>
      <c r="AG701" s="437">
        <v>140000</v>
      </c>
      <c r="AH701" s="271" t="s">
        <v>2091</v>
      </c>
    </row>
    <row r="702" spans="1:36" ht="15.5">
      <c r="A702" s="350">
        <v>364</v>
      </c>
      <c r="B702" s="352" t="s">
        <v>1370</v>
      </c>
      <c r="C702" s="352" t="s">
        <v>818</v>
      </c>
      <c r="D702" s="355" t="s">
        <v>571</v>
      </c>
      <c r="E702" s="368">
        <v>45191</v>
      </c>
      <c r="F702" s="362">
        <v>45192</v>
      </c>
      <c r="G702" s="362">
        <v>45192</v>
      </c>
      <c r="H702" s="362">
        <v>45192</v>
      </c>
      <c r="I702" s="394">
        <v>45192</v>
      </c>
      <c r="J702" s="387" t="s">
        <v>9</v>
      </c>
      <c r="K702" s="387" t="s">
        <v>1178</v>
      </c>
      <c r="L702" s="402">
        <v>26580</v>
      </c>
      <c r="M702" s="352" t="s">
        <v>574</v>
      </c>
      <c r="N702" s="405">
        <v>300</v>
      </c>
      <c r="O702" s="404">
        <v>7974000</v>
      </c>
      <c r="P702" s="421">
        <v>10</v>
      </c>
      <c r="Q702" s="426" t="s">
        <v>81</v>
      </c>
      <c r="R702" s="437">
        <v>1470000</v>
      </c>
      <c r="S702" s="274">
        <f t="shared" si="67"/>
        <v>61134000</v>
      </c>
      <c r="T702" s="439" t="s">
        <v>227</v>
      </c>
      <c r="U702" s="460" t="str">
        <f t="shared" si="68"/>
        <v/>
      </c>
      <c r="V702" s="439" t="s">
        <v>1248</v>
      </c>
      <c r="W702" s="439" t="s">
        <v>540</v>
      </c>
      <c r="X702" s="439" t="s">
        <v>468</v>
      </c>
      <c r="Y702" s="439" t="str">
        <f>J702</f>
        <v>Foto Copy Filio dan Kuarto</v>
      </c>
      <c r="Z702" s="449" t="s">
        <v>8</v>
      </c>
      <c r="AA702" s="440" t="s">
        <v>608</v>
      </c>
      <c r="AB702" s="441">
        <f t="shared" si="69"/>
        <v>270.27027027027026</v>
      </c>
      <c r="AC702" s="442">
        <f t="shared" si="70"/>
        <v>7183783.7837837832</v>
      </c>
      <c r="AD702" s="437">
        <v>1470000</v>
      </c>
      <c r="AE702" s="447">
        <v>1324324.3243243243</v>
      </c>
      <c r="AF702" s="447">
        <v>1470000</v>
      </c>
      <c r="AG702" s="437">
        <v>1470000</v>
      </c>
      <c r="AH702" s="271" t="s">
        <v>2101</v>
      </c>
    </row>
    <row r="703" spans="1:36" ht="25">
      <c r="A703" s="350">
        <v>365</v>
      </c>
      <c r="B703" s="352" t="s">
        <v>1371</v>
      </c>
      <c r="C703" s="352" t="s">
        <v>845</v>
      </c>
      <c r="D703" s="355" t="s">
        <v>464</v>
      </c>
      <c r="E703" s="368">
        <v>45193</v>
      </c>
      <c r="F703" s="362">
        <v>45194</v>
      </c>
      <c r="G703" s="362">
        <v>45194</v>
      </c>
      <c r="H703" s="362">
        <v>45194</v>
      </c>
      <c r="I703" s="394">
        <v>45194</v>
      </c>
      <c r="J703" s="387" t="s">
        <v>849</v>
      </c>
      <c r="K703" s="387" t="s">
        <v>471</v>
      </c>
      <c r="L703" s="402">
        <v>18</v>
      </c>
      <c r="M703" s="352" t="s">
        <v>472</v>
      </c>
      <c r="N703" s="403">
        <v>70000</v>
      </c>
      <c r="O703" s="404">
        <v>1260000</v>
      </c>
      <c r="P703" s="421">
        <v>10</v>
      </c>
      <c r="Q703" s="426" t="s">
        <v>81</v>
      </c>
      <c r="R703" s="437">
        <v>280000</v>
      </c>
      <c r="S703" s="274">
        <f t="shared" si="67"/>
        <v>1296000</v>
      </c>
      <c r="T703" s="439" t="s">
        <v>10</v>
      </c>
      <c r="U703" s="460" t="str">
        <f t="shared" si="68"/>
        <v>UD. USAHA JAYA</v>
      </c>
      <c r="V703" s="439" t="s">
        <v>11</v>
      </c>
      <c r="W703" s="439" t="s">
        <v>473</v>
      </c>
      <c r="X703" s="439" t="s">
        <v>468</v>
      </c>
      <c r="Y703" s="439" t="str">
        <f t="shared" ref="Y703:Y726" si="71">J703</f>
        <v>Aqua botol Pelaksanaan Penilaian / Ulangan Tengah Semester</v>
      </c>
      <c r="Z703" s="449" t="s">
        <v>8</v>
      </c>
      <c r="AA703" s="440" t="s">
        <v>472</v>
      </c>
      <c r="AB703" s="441">
        <f t="shared" si="69"/>
        <v>63063.063063063062</v>
      </c>
      <c r="AC703" s="442">
        <f t="shared" si="70"/>
        <v>1135135.1351351351</v>
      </c>
      <c r="AD703" s="437">
        <v>1120000</v>
      </c>
      <c r="AE703" s="447">
        <v>630630.63063063065</v>
      </c>
      <c r="AF703" s="447">
        <v>1120000</v>
      </c>
      <c r="AG703" s="437">
        <v>1120000</v>
      </c>
      <c r="AH703" s="271" t="s">
        <v>2092</v>
      </c>
    </row>
    <row r="704" spans="1:36">
      <c r="A704" s="350">
        <v>365</v>
      </c>
      <c r="B704" s="352" t="s">
        <v>1371</v>
      </c>
      <c r="C704" s="352" t="s">
        <v>845</v>
      </c>
      <c r="D704" s="355" t="s">
        <v>464</v>
      </c>
      <c r="E704" s="368">
        <v>45193</v>
      </c>
      <c r="F704" s="362">
        <v>45194</v>
      </c>
      <c r="G704" s="362">
        <v>45194</v>
      </c>
      <c r="H704" s="362">
        <v>45194</v>
      </c>
      <c r="I704" s="394">
        <v>45194</v>
      </c>
      <c r="J704" s="387" t="s">
        <v>847</v>
      </c>
      <c r="K704" s="352" t="s">
        <v>487</v>
      </c>
      <c r="L704" s="402">
        <v>420</v>
      </c>
      <c r="M704" s="352" t="s">
        <v>488</v>
      </c>
      <c r="N704" s="403">
        <v>8000</v>
      </c>
      <c r="O704" s="404">
        <v>3360000</v>
      </c>
      <c r="P704" s="421">
        <v>10</v>
      </c>
      <c r="Q704" s="427" t="s">
        <v>163</v>
      </c>
      <c r="R704" s="437">
        <v>800000</v>
      </c>
      <c r="S704" s="274">
        <f t="shared" si="67"/>
        <v>4200000</v>
      </c>
      <c r="T704" s="439" t="s">
        <v>10</v>
      </c>
      <c r="U704" s="460" t="str">
        <f t="shared" si="68"/>
        <v/>
      </c>
      <c r="V704" s="439" t="s">
        <v>11</v>
      </c>
      <c r="W704" s="439" t="s">
        <v>473</v>
      </c>
      <c r="X704" s="439" t="s">
        <v>474</v>
      </c>
      <c r="Y704" s="439" t="str">
        <f t="shared" si="71"/>
        <v>Snack Pelaksanaan Penilaian / Ulangan Tengah Semester</v>
      </c>
      <c r="Z704" s="449" t="s">
        <v>1545</v>
      </c>
      <c r="AA704" s="440" t="s">
        <v>472</v>
      </c>
      <c r="AB704" s="441">
        <f t="shared" si="69"/>
        <v>7207.2072072072069</v>
      </c>
      <c r="AC704" s="442">
        <f t="shared" si="70"/>
        <v>3027027.0270270268</v>
      </c>
      <c r="AD704" s="437">
        <v>2200000</v>
      </c>
      <c r="AE704" s="447">
        <v>1981981.981981982</v>
      </c>
      <c r="AF704" s="447">
        <v>2200000</v>
      </c>
      <c r="AG704" s="437">
        <v>2200000</v>
      </c>
      <c r="AH704" s="271" t="s">
        <v>2092</v>
      </c>
    </row>
    <row r="705" spans="1:36" ht="15.5">
      <c r="A705" s="351">
        <v>366</v>
      </c>
      <c r="B705" s="352" t="s">
        <v>1374</v>
      </c>
      <c r="C705" s="352" t="s">
        <v>639</v>
      </c>
      <c r="D705" s="355" t="s">
        <v>464</v>
      </c>
      <c r="E705" s="368">
        <v>45193</v>
      </c>
      <c r="F705" s="362">
        <v>45194</v>
      </c>
      <c r="G705" s="362">
        <v>45194</v>
      </c>
      <c r="H705" s="362">
        <v>45194</v>
      </c>
      <c r="I705" s="394">
        <v>45194</v>
      </c>
      <c r="J705" s="387" t="s">
        <v>640</v>
      </c>
      <c r="K705" s="387" t="s">
        <v>641</v>
      </c>
      <c r="L705" s="402">
        <v>72</v>
      </c>
      <c r="M705" s="352" t="s">
        <v>488</v>
      </c>
      <c r="N705" s="403">
        <v>5000</v>
      </c>
      <c r="O705" s="404">
        <v>360000</v>
      </c>
      <c r="P705" s="421">
        <v>10</v>
      </c>
      <c r="Q705" s="426" t="s">
        <v>81</v>
      </c>
      <c r="R705" s="437">
        <v>5950000</v>
      </c>
      <c r="S705" s="274">
        <f t="shared" si="67"/>
        <v>504000</v>
      </c>
      <c r="T705" s="275"/>
      <c r="U705" s="460" t="str">
        <f t="shared" si="68"/>
        <v/>
      </c>
      <c r="V705" s="439"/>
      <c r="W705" s="439"/>
      <c r="X705" s="439" t="s">
        <v>468</v>
      </c>
      <c r="Y705" s="439" t="str">
        <f t="shared" si="71"/>
        <v>Langganan Daya dan Jasa Isi ulang aqua galon</v>
      </c>
      <c r="Z705" s="449" t="s">
        <v>8</v>
      </c>
      <c r="AA705" s="440" t="s">
        <v>472</v>
      </c>
      <c r="AB705" s="441">
        <f t="shared" si="69"/>
        <v>4504.5045045045044</v>
      </c>
      <c r="AC705" s="442">
        <f t="shared" si="70"/>
        <v>324324.32432432432</v>
      </c>
      <c r="AD705" s="437">
        <v>5950000</v>
      </c>
      <c r="AE705" s="447">
        <v>5360360.3603603607</v>
      </c>
      <c r="AF705" s="447">
        <v>5950000</v>
      </c>
      <c r="AG705" s="437">
        <v>5950000</v>
      </c>
    </row>
    <row r="706" spans="1:36">
      <c r="A706" s="350">
        <v>367</v>
      </c>
      <c r="B706" s="352" t="s">
        <v>1376</v>
      </c>
      <c r="C706" s="352" t="s">
        <v>1377</v>
      </c>
      <c r="D706" s="355" t="s">
        <v>464</v>
      </c>
      <c r="E706" s="368">
        <v>45194</v>
      </c>
      <c r="F706" s="362">
        <v>45195</v>
      </c>
      <c r="G706" s="362">
        <v>45195</v>
      </c>
      <c r="H706" s="362">
        <v>45195</v>
      </c>
      <c r="I706" s="394">
        <v>45195</v>
      </c>
      <c r="J706" s="387" t="s">
        <v>1378</v>
      </c>
      <c r="K706" s="387" t="s">
        <v>471</v>
      </c>
      <c r="L706" s="402">
        <v>2</v>
      </c>
      <c r="M706" s="352" t="s">
        <v>472</v>
      </c>
      <c r="N706" s="403">
        <v>70000</v>
      </c>
      <c r="O706" s="404">
        <v>140000</v>
      </c>
      <c r="P706" s="421">
        <v>10</v>
      </c>
      <c r="Q706" s="425" t="s">
        <v>164</v>
      </c>
      <c r="R706" s="437">
        <v>420000</v>
      </c>
      <c r="S706" s="274">
        <f t="shared" si="67"/>
        <v>144000</v>
      </c>
      <c r="T706" s="439" t="s">
        <v>10</v>
      </c>
      <c r="U706" s="460" t="str">
        <f t="shared" si="68"/>
        <v>UD. USAHA JAYA</v>
      </c>
      <c r="V706" s="439" t="s">
        <v>11</v>
      </c>
      <c r="W706" s="439" t="s">
        <v>473</v>
      </c>
      <c r="X706" s="439" t="s">
        <v>474</v>
      </c>
      <c r="Y706" s="439" t="str">
        <f t="shared" si="71"/>
        <v>Aqua botol pelaksanaan asesmen nasional</v>
      </c>
      <c r="Z706" s="449" t="s">
        <v>1545</v>
      </c>
      <c r="AA706" s="440" t="s">
        <v>488</v>
      </c>
      <c r="AB706" s="441">
        <f t="shared" si="69"/>
        <v>63063.063063063062</v>
      </c>
      <c r="AC706" s="442">
        <f t="shared" si="70"/>
        <v>126126.12612612612</v>
      </c>
      <c r="AD706" s="437">
        <v>420000</v>
      </c>
      <c r="AE706" s="447">
        <v>2144144.1441441439</v>
      </c>
      <c r="AF706" s="447">
        <v>2380000</v>
      </c>
      <c r="AG706" s="437">
        <v>420000</v>
      </c>
      <c r="AH706" s="271" t="s">
        <v>2092</v>
      </c>
      <c r="AI706" s="277">
        <f>SUM(AC706:AC708)</f>
        <v>1027027.027027027</v>
      </c>
      <c r="AJ706" s="277">
        <f>SUM(AD706:AD708)</f>
        <v>2380000</v>
      </c>
    </row>
    <row r="707" spans="1:36">
      <c r="A707" s="350">
        <v>367</v>
      </c>
      <c r="B707" s="352" t="s">
        <v>1376</v>
      </c>
      <c r="C707" s="352" t="s">
        <v>1377</v>
      </c>
      <c r="D707" s="355" t="s">
        <v>464</v>
      </c>
      <c r="E707" s="368">
        <v>45194</v>
      </c>
      <c r="F707" s="362">
        <v>45195</v>
      </c>
      <c r="G707" s="362">
        <v>45195</v>
      </c>
      <c r="H707" s="362">
        <v>45195</v>
      </c>
      <c r="I707" s="394">
        <v>45195</v>
      </c>
      <c r="J707" s="387" t="s">
        <v>1379</v>
      </c>
      <c r="K707" s="387" t="s">
        <v>484</v>
      </c>
      <c r="L707" s="402">
        <v>4</v>
      </c>
      <c r="M707" s="352" t="s">
        <v>472</v>
      </c>
      <c r="N707" s="403">
        <v>50000</v>
      </c>
      <c r="O707" s="404">
        <v>200000</v>
      </c>
      <c r="P707" s="421">
        <v>10</v>
      </c>
      <c r="Q707" s="425" t="s">
        <v>165</v>
      </c>
      <c r="R707" s="437">
        <v>1360000</v>
      </c>
      <c r="S707" s="274">
        <f t="shared" ref="S707:S770" si="72">L707*(N707+2000)</f>
        <v>208000</v>
      </c>
      <c r="T707" s="439" t="s">
        <v>10</v>
      </c>
      <c r="U707" s="460" t="str">
        <f t="shared" ref="U707:U770" si="73">IF(K707="Nasi Kotak","Resto JFC Esther",IF(K707="Aqua Botol 600 ml","UD. USAHA JAYA",""))</f>
        <v/>
      </c>
      <c r="V707" s="439" t="s">
        <v>11</v>
      </c>
      <c r="W707" s="439" t="s">
        <v>489</v>
      </c>
      <c r="X707" s="439" t="s">
        <v>490</v>
      </c>
      <c r="Y707" s="439" t="str">
        <f t="shared" si="71"/>
        <v>Aqua gelas pelaksanaan asesmen nasional</v>
      </c>
      <c r="Z707" s="449" t="s">
        <v>280</v>
      </c>
      <c r="AA707" s="440" t="s">
        <v>472</v>
      </c>
      <c r="AB707" s="441">
        <f t="shared" ref="AB707:AB770" si="74">100/111*N707</f>
        <v>45045.045045045044</v>
      </c>
      <c r="AC707" s="442">
        <f t="shared" ref="AC707:AC770" si="75">AB707*L707</f>
        <v>180180.18018018018</v>
      </c>
      <c r="AD707" s="437">
        <v>1360000</v>
      </c>
      <c r="AE707" s="447">
        <v>2144144.1441441439</v>
      </c>
      <c r="AF707" s="447">
        <v>2380000</v>
      </c>
      <c r="AG707" s="437">
        <v>1360000</v>
      </c>
      <c r="AH707" s="271" t="s">
        <v>2092</v>
      </c>
    </row>
    <row r="708" spans="1:36">
      <c r="A708" s="350">
        <v>367</v>
      </c>
      <c r="B708" s="352" t="s">
        <v>1376</v>
      </c>
      <c r="C708" s="352" t="s">
        <v>1377</v>
      </c>
      <c r="D708" s="355" t="s">
        <v>464</v>
      </c>
      <c r="E708" s="368">
        <v>45194</v>
      </c>
      <c r="F708" s="362">
        <v>45195</v>
      </c>
      <c r="G708" s="362">
        <v>45195</v>
      </c>
      <c r="H708" s="362">
        <v>45195</v>
      </c>
      <c r="I708" s="394">
        <v>45195</v>
      </c>
      <c r="J708" s="387" t="s">
        <v>1380</v>
      </c>
      <c r="K708" s="352" t="s">
        <v>487</v>
      </c>
      <c r="L708" s="402">
        <v>100</v>
      </c>
      <c r="M708" s="352" t="s">
        <v>488</v>
      </c>
      <c r="N708" s="403">
        <v>8000</v>
      </c>
      <c r="O708" s="404">
        <v>800000</v>
      </c>
      <c r="P708" s="421">
        <v>10</v>
      </c>
      <c r="Q708" s="494" t="s">
        <v>163</v>
      </c>
      <c r="R708" s="437">
        <v>600000</v>
      </c>
      <c r="S708" s="274">
        <f t="shared" si="72"/>
        <v>1000000</v>
      </c>
      <c r="T708" s="439" t="s">
        <v>10</v>
      </c>
      <c r="U708" s="460" t="str">
        <f t="shared" si="73"/>
        <v/>
      </c>
      <c r="V708" s="439" t="s">
        <v>11</v>
      </c>
      <c r="W708" s="439" t="s">
        <v>473</v>
      </c>
      <c r="X708" s="439" t="s">
        <v>474</v>
      </c>
      <c r="Y708" s="439" t="str">
        <f t="shared" si="71"/>
        <v>Snack pelaksanaan asesmen nasional</v>
      </c>
      <c r="Z708" s="449" t="s">
        <v>1545</v>
      </c>
      <c r="AA708" s="440" t="s">
        <v>574</v>
      </c>
      <c r="AB708" s="441">
        <f t="shared" si="74"/>
        <v>7207.2072072072069</v>
      </c>
      <c r="AC708" s="442">
        <f t="shared" si="75"/>
        <v>720720.72072072071</v>
      </c>
      <c r="AD708" s="437">
        <v>600000</v>
      </c>
      <c r="AE708" s="447">
        <v>2144144.1441441439</v>
      </c>
      <c r="AF708" s="447">
        <v>2380000</v>
      </c>
      <c r="AG708" s="437">
        <v>600000</v>
      </c>
      <c r="AH708" s="271" t="s">
        <v>2092</v>
      </c>
    </row>
    <row r="709" spans="1:36" ht="33" customHeight="1">
      <c r="A709" s="350">
        <v>368</v>
      </c>
      <c r="B709" s="352" t="s">
        <v>1381</v>
      </c>
      <c r="C709" s="352" t="s">
        <v>1377</v>
      </c>
      <c r="D709" s="355" t="s">
        <v>464</v>
      </c>
      <c r="E709" s="368">
        <v>45194</v>
      </c>
      <c r="F709" s="362">
        <v>45195</v>
      </c>
      <c r="G709" s="362">
        <v>45195</v>
      </c>
      <c r="H709" s="362">
        <v>45195</v>
      </c>
      <c r="I709" s="394">
        <v>45195</v>
      </c>
      <c r="J709" s="387" t="s">
        <v>1382</v>
      </c>
      <c r="K709" s="387" t="s">
        <v>467</v>
      </c>
      <c r="L709" s="402">
        <v>100</v>
      </c>
      <c r="M709" s="352" t="s">
        <v>231</v>
      </c>
      <c r="N709" s="403">
        <v>35000</v>
      </c>
      <c r="O709" s="404">
        <v>3500000</v>
      </c>
      <c r="P709" s="421">
        <v>10</v>
      </c>
      <c r="Q709" s="275"/>
      <c r="R709" s="437">
        <v>275000</v>
      </c>
      <c r="S709" s="274">
        <f t="shared" si="72"/>
        <v>3700000</v>
      </c>
      <c r="T709" s="444" t="s">
        <v>282</v>
      </c>
      <c r="U709" s="460" t="str">
        <f t="shared" si="73"/>
        <v>Resto JFC Esther</v>
      </c>
      <c r="V709" s="444" t="s">
        <v>1258</v>
      </c>
      <c r="W709" s="444" t="s">
        <v>468</v>
      </c>
      <c r="X709" s="439"/>
      <c r="Y709" s="439" t="str">
        <f t="shared" si="71"/>
        <v>konsumsi pelaksanaan asesmen nasional</v>
      </c>
      <c r="Z709" s="449"/>
      <c r="AA709" s="440" t="s">
        <v>574</v>
      </c>
      <c r="AB709" s="441">
        <f t="shared" si="74"/>
        <v>31531.531531531531</v>
      </c>
      <c r="AC709" s="442">
        <f t="shared" si="75"/>
        <v>3153153.1531531531</v>
      </c>
      <c r="AD709" s="437">
        <v>275000</v>
      </c>
      <c r="AE709" s="447">
        <v>1644144.1441441441</v>
      </c>
      <c r="AF709" s="447">
        <v>1825000</v>
      </c>
      <c r="AG709" s="437">
        <v>275000</v>
      </c>
      <c r="AH709" s="271" t="s">
        <v>2091</v>
      </c>
      <c r="AI709" s="277">
        <f>SUM(AC709:AC711)</f>
        <v>5864864.8648648644</v>
      </c>
      <c r="AJ709" s="277">
        <f>SUM(AD709:AD711)</f>
        <v>1825000</v>
      </c>
    </row>
    <row r="710" spans="1:36">
      <c r="A710" s="350">
        <v>369</v>
      </c>
      <c r="B710" s="352" t="s">
        <v>1384</v>
      </c>
      <c r="C710" s="352" t="s">
        <v>594</v>
      </c>
      <c r="D710" s="355" t="s">
        <v>464</v>
      </c>
      <c r="E710" s="368">
        <v>45198</v>
      </c>
      <c r="F710" s="362">
        <v>45199</v>
      </c>
      <c r="G710" s="362">
        <v>45199</v>
      </c>
      <c r="H710" s="362">
        <v>45199</v>
      </c>
      <c r="I710" s="394">
        <v>45199</v>
      </c>
      <c r="J710" s="387" t="s">
        <v>596</v>
      </c>
      <c r="K710" s="387" t="s">
        <v>467</v>
      </c>
      <c r="L710" s="402">
        <v>70</v>
      </c>
      <c r="M710" s="352" t="s">
        <v>597</v>
      </c>
      <c r="N710" s="403">
        <v>35000</v>
      </c>
      <c r="O710" s="404">
        <v>2450000</v>
      </c>
      <c r="P710" s="421">
        <v>10</v>
      </c>
      <c r="Q710" s="275"/>
      <c r="R710" s="437">
        <v>450000</v>
      </c>
      <c r="S710" s="274">
        <f t="shared" si="72"/>
        <v>2590000</v>
      </c>
      <c r="T710" s="444" t="s">
        <v>282</v>
      </c>
      <c r="U710" s="460" t="str">
        <f t="shared" si="73"/>
        <v>Resto JFC Esther</v>
      </c>
      <c r="V710" s="444" t="s">
        <v>1258</v>
      </c>
      <c r="W710" s="444" t="s">
        <v>468</v>
      </c>
      <c r="X710" s="615" t="s">
        <v>541</v>
      </c>
      <c r="Y710" s="439" t="str">
        <f t="shared" si="71"/>
        <v>Konsumsi rapat rutin sekolah</v>
      </c>
      <c r="Z710" s="449"/>
      <c r="AA710" s="440" t="s">
        <v>753</v>
      </c>
      <c r="AB710" s="441">
        <f t="shared" si="74"/>
        <v>31531.531531531531</v>
      </c>
      <c r="AC710" s="442">
        <f t="shared" si="75"/>
        <v>2207207.2072072071</v>
      </c>
      <c r="AD710" s="437">
        <v>450000</v>
      </c>
      <c r="AE710" s="447">
        <v>1644144.1441441441</v>
      </c>
      <c r="AF710" s="447">
        <v>1825000</v>
      </c>
      <c r="AG710" s="437">
        <v>450000</v>
      </c>
      <c r="AH710" s="271" t="s">
        <v>2091</v>
      </c>
    </row>
    <row r="711" spans="1:36">
      <c r="A711" s="350">
        <v>369</v>
      </c>
      <c r="B711" s="352" t="s">
        <v>1385</v>
      </c>
      <c r="C711" s="352" t="s">
        <v>594</v>
      </c>
      <c r="D711" s="355" t="s">
        <v>464</v>
      </c>
      <c r="E711" s="368">
        <v>45198</v>
      </c>
      <c r="F711" s="362">
        <v>45199</v>
      </c>
      <c r="G711" s="362">
        <v>45199</v>
      </c>
      <c r="H711" s="362">
        <v>45199</v>
      </c>
      <c r="I711" s="394">
        <v>45199</v>
      </c>
      <c r="J711" s="387" t="s">
        <v>599</v>
      </c>
      <c r="K711" s="387" t="s">
        <v>471</v>
      </c>
      <c r="L711" s="402">
        <v>8</v>
      </c>
      <c r="M711" s="352" t="s">
        <v>472</v>
      </c>
      <c r="N711" s="403">
        <v>70000</v>
      </c>
      <c r="O711" s="404">
        <v>560000</v>
      </c>
      <c r="P711" s="421">
        <v>10</v>
      </c>
      <c r="Q711" s="275"/>
      <c r="R711" s="437">
        <v>1100000</v>
      </c>
      <c r="S711" s="274">
        <f t="shared" si="72"/>
        <v>576000</v>
      </c>
      <c r="T711" s="439" t="s">
        <v>10</v>
      </c>
      <c r="U711" s="460" t="str">
        <f t="shared" si="73"/>
        <v>UD. USAHA JAYA</v>
      </c>
      <c r="V711" s="439" t="s">
        <v>11</v>
      </c>
      <c r="W711" s="439" t="s">
        <v>489</v>
      </c>
      <c r="X711" s="439"/>
      <c r="Y711" s="439" t="str">
        <f t="shared" si="71"/>
        <v>Air mineral botol 600 ml rapat rutin sekolah</v>
      </c>
      <c r="Z711" s="616" t="s">
        <v>710</v>
      </c>
      <c r="AA711" s="440" t="s">
        <v>488</v>
      </c>
      <c r="AB711" s="441">
        <f t="shared" si="74"/>
        <v>63063.063063063062</v>
      </c>
      <c r="AC711" s="442">
        <f t="shared" si="75"/>
        <v>504504.5045045045</v>
      </c>
      <c r="AD711" s="437">
        <v>1100000</v>
      </c>
      <c r="AE711" s="447">
        <v>1644144.1441441441</v>
      </c>
      <c r="AF711" s="447">
        <v>1825000</v>
      </c>
      <c r="AG711" s="437">
        <v>1100000</v>
      </c>
      <c r="AH711" s="271" t="s">
        <v>2092</v>
      </c>
    </row>
    <row r="712" spans="1:36">
      <c r="A712" s="350">
        <v>369</v>
      </c>
      <c r="B712" s="352" t="s">
        <v>1385</v>
      </c>
      <c r="C712" s="352" t="s">
        <v>594</v>
      </c>
      <c r="D712" s="355" t="s">
        <v>464</v>
      </c>
      <c r="E712" s="368">
        <v>45198</v>
      </c>
      <c r="F712" s="362">
        <v>45195</v>
      </c>
      <c r="G712" s="362">
        <v>45199</v>
      </c>
      <c r="H712" s="362">
        <v>45199</v>
      </c>
      <c r="I712" s="394">
        <v>45199</v>
      </c>
      <c r="J712" s="387" t="s">
        <v>601</v>
      </c>
      <c r="K712" s="352" t="s">
        <v>487</v>
      </c>
      <c r="L712" s="402">
        <v>140</v>
      </c>
      <c r="M712" s="352" t="s">
        <v>488</v>
      </c>
      <c r="N712" s="403">
        <v>8000</v>
      </c>
      <c r="O712" s="404">
        <v>1120000</v>
      </c>
      <c r="P712" s="421">
        <v>10</v>
      </c>
      <c r="Q712" s="425" t="s">
        <v>165</v>
      </c>
      <c r="R712" s="437">
        <v>480000</v>
      </c>
      <c r="S712" s="274">
        <f t="shared" si="72"/>
        <v>1400000</v>
      </c>
      <c r="T712" s="439" t="s">
        <v>10</v>
      </c>
      <c r="U712" s="460" t="str">
        <f t="shared" si="73"/>
        <v/>
      </c>
      <c r="V712" s="439" t="s">
        <v>11</v>
      </c>
      <c r="W712" s="439" t="s">
        <v>489</v>
      </c>
      <c r="X712" s="439" t="s">
        <v>490</v>
      </c>
      <c r="Y712" s="439" t="str">
        <f t="shared" si="71"/>
        <v>Snack rapat rutin sekolah</v>
      </c>
      <c r="Z712" s="449" t="s">
        <v>280</v>
      </c>
      <c r="AA712" s="440"/>
      <c r="AB712" s="441">
        <f t="shared" si="74"/>
        <v>7207.2072072072069</v>
      </c>
      <c r="AC712" s="442">
        <f t="shared" si="75"/>
        <v>1009009.009009009</v>
      </c>
      <c r="AD712" s="437">
        <v>480000</v>
      </c>
      <c r="AE712" s="447">
        <v>684684.68468468473</v>
      </c>
      <c r="AF712" s="447">
        <v>760000</v>
      </c>
      <c r="AG712" s="437">
        <v>480000</v>
      </c>
      <c r="AH712" s="271" t="s">
        <v>2092</v>
      </c>
      <c r="AI712" s="277">
        <f>SUM(AC712:AC713)</f>
        <v>1549549.5495495496</v>
      </c>
      <c r="AJ712" s="277">
        <f>SUM(AD712:AD713)</f>
        <v>760000</v>
      </c>
    </row>
    <row r="713" spans="1:36">
      <c r="A713" s="350">
        <v>370</v>
      </c>
      <c r="B713" s="352" t="s">
        <v>1400</v>
      </c>
      <c r="C713" s="352" t="s">
        <v>974</v>
      </c>
      <c r="D713" s="355" t="s">
        <v>571</v>
      </c>
      <c r="E713" s="368">
        <v>45197</v>
      </c>
      <c r="F713" s="362">
        <v>45198</v>
      </c>
      <c r="G713" s="362">
        <v>45199</v>
      </c>
      <c r="H713" s="362">
        <v>45199</v>
      </c>
      <c r="I713" s="394">
        <v>45199</v>
      </c>
      <c r="J713" s="387" t="s">
        <v>1039</v>
      </c>
      <c r="K713" s="387" t="s">
        <v>296</v>
      </c>
      <c r="L713" s="402">
        <v>2</v>
      </c>
      <c r="M713" s="352" t="s">
        <v>488</v>
      </c>
      <c r="N713" s="403">
        <v>300000</v>
      </c>
      <c r="O713" s="404">
        <v>600000</v>
      </c>
      <c r="P713" s="421">
        <v>10</v>
      </c>
      <c r="Q713" s="425" t="s">
        <v>164</v>
      </c>
      <c r="R713" s="437">
        <v>280000</v>
      </c>
      <c r="S713" s="274">
        <f t="shared" si="72"/>
        <v>604000</v>
      </c>
      <c r="T713" s="439" t="s">
        <v>1040</v>
      </c>
      <c r="U713" s="460" t="str">
        <f t="shared" si="73"/>
        <v/>
      </c>
      <c r="V713" s="439" t="s">
        <v>1561</v>
      </c>
      <c r="W713" s="439" t="s">
        <v>2093</v>
      </c>
      <c r="X713" s="439" t="s">
        <v>474</v>
      </c>
      <c r="Y713" s="439" t="str">
        <f t="shared" si="71"/>
        <v>Spanduk</v>
      </c>
      <c r="Z713" s="449" t="s">
        <v>1545</v>
      </c>
      <c r="AA713" s="440" t="s">
        <v>231</v>
      </c>
      <c r="AB713" s="441">
        <f t="shared" si="74"/>
        <v>270270.2702702703</v>
      </c>
      <c r="AC713" s="442">
        <f t="shared" si="75"/>
        <v>540540.54054054059</v>
      </c>
      <c r="AD713" s="437">
        <v>280000</v>
      </c>
      <c r="AE713" s="447">
        <v>684684.68468468473</v>
      </c>
      <c r="AF713" s="447">
        <v>760000</v>
      </c>
      <c r="AG713" s="437">
        <v>280000</v>
      </c>
      <c r="AH713" s="271" t="s">
        <v>2103</v>
      </c>
    </row>
    <row r="714" spans="1:36" ht="15.5">
      <c r="A714" s="350">
        <v>372</v>
      </c>
      <c r="B714" s="352" t="s">
        <v>1401</v>
      </c>
      <c r="C714" s="354" t="s">
        <v>704</v>
      </c>
      <c r="D714" s="355" t="s">
        <v>705</v>
      </c>
      <c r="E714" s="368">
        <v>45201</v>
      </c>
      <c r="F714" s="362">
        <v>45202</v>
      </c>
      <c r="G714" s="362">
        <v>45202</v>
      </c>
      <c r="H714" s="362">
        <v>45202</v>
      </c>
      <c r="I714" s="394">
        <v>45202</v>
      </c>
      <c r="J714" s="354" t="s">
        <v>904</v>
      </c>
      <c r="K714" s="388" t="s">
        <v>905</v>
      </c>
      <c r="L714" s="402">
        <v>2</v>
      </c>
      <c r="M714" s="352" t="s">
        <v>488</v>
      </c>
      <c r="N714" s="403">
        <v>15500</v>
      </c>
      <c r="O714" s="404">
        <v>31000</v>
      </c>
      <c r="P714" s="421">
        <v>10</v>
      </c>
      <c r="Q714" s="426" t="s">
        <v>81</v>
      </c>
      <c r="R714" s="437">
        <v>2100000</v>
      </c>
      <c r="S714" s="274">
        <f t="shared" si="72"/>
        <v>35000</v>
      </c>
      <c r="T714" s="439" t="s">
        <v>227</v>
      </c>
      <c r="U714" s="460" t="str">
        <f t="shared" si="73"/>
        <v/>
      </c>
      <c r="V714" s="439" t="s">
        <v>1248</v>
      </c>
      <c r="W714" s="439" t="s">
        <v>540</v>
      </c>
      <c r="X714" s="439" t="s">
        <v>468</v>
      </c>
      <c r="Y714" s="439" t="str">
        <f t="shared" si="71"/>
        <v>Gunting Besar</v>
      </c>
      <c r="Z714" s="449" t="s">
        <v>8</v>
      </c>
      <c r="AA714" s="440" t="s">
        <v>488</v>
      </c>
      <c r="AB714" s="441">
        <f t="shared" si="74"/>
        <v>13963.963963963964</v>
      </c>
      <c r="AC714" s="442">
        <f t="shared" si="75"/>
        <v>27927.927927927929</v>
      </c>
      <c r="AD714" s="437">
        <v>2100000</v>
      </c>
      <c r="AE714" s="447">
        <v>1891891.8918918918</v>
      </c>
      <c r="AF714" s="447">
        <v>2100000</v>
      </c>
      <c r="AG714" s="437">
        <v>2100000</v>
      </c>
      <c r="AH714" s="271" t="s">
        <v>2101</v>
      </c>
    </row>
    <row r="715" spans="1:36">
      <c r="A715" s="350">
        <v>372</v>
      </c>
      <c r="B715" s="352" t="s">
        <v>1401</v>
      </c>
      <c r="C715" s="354" t="s">
        <v>704</v>
      </c>
      <c r="D715" s="355" t="s">
        <v>705</v>
      </c>
      <c r="E715" s="368">
        <v>45201</v>
      </c>
      <c r="F715" s="362">
        <v>45202</v>
      </c>
      <c r="G715" s="362">
        <v>45202</v>
      </c>
      <c r="H715" s="362">
        <v>45202</v>
      </c>
      <c r="I715" s="394">
        <v>45202</v>
      </c>
      <c r="J715" s="354" t="s">
        <v>892</v>
      </c>
      <c r="K715" s="387" t="s">
        <v>892</v>
      </c>
      <c r="L715" s="402">
        <v>24</v>
      </c>
      <c r="M715" s="352" t="s">
        <v>488</v>
      </c>
      <c r="N715" s="403">
        <v>10000</v>
      </c>
      <c r="O715" s="404">
        <v>240000</v>
      </c>
      <c r="P715" s="421">
        <v>10</v>
      </c>
      <c r="Q715" s="425" t="s">
        <v>165</v>
      </c>
      <c r="R715" s="437">
        <v>160000</v>
      </c>
      <c r="S715" s="274">
        <f t="shared" si="72"/>
        <v>288000</v>
      </c>
      <c r="T715" s="439" t="s">
        <v>227</v>
      </c>
      <c r="U715" s="460" t="str">
        <f t="shared" si="73"/>
        <v/>
      </c>
      <c r="V715" s="439" t="s">
        <v>1248</v>
      </c>
      <c r="W715" s="439" t="s">
        <v>540</v>
      </c>
      <c r="X715" s="439" t="s">
        <v>490</v>
      </c>
      <c r="Y715" s="439" t="str">
        <f t="shared" si="71"/>
        <v>Buku Catatan Kelas</v>
      </c>
      <c r="Z715" s="449" t="s">
        <v>280</v>
      </c>
      <c r="AA715" s="440" t="s">
        <v>472</v>
      </c>
      <c r="AB715" s="441">
        <f t="shared" si="74"/>
        <v>9009.0090090090089</v>
      </c>
      <c r="AC715" s="442">
        <f t="shared" si="75"/>
        <v>216216.21621621621</v>
      </c>
      <c r="AD715" s="437">
        <v>160000</v>
      </c>
      <c r="AE715" s="447">
        <v>207207.20720720722</v>
      </c>
      <c r="AF715" s="447">
        <v>230000</v>
      </c>
      <c r="AG715" s="437">
        <v>160000</v>
      </c>
      <c r="AH715" s="271" t="s">
        <v>2101</v>
      </c>
      <c r="AI715" s="277">
        <f>SUM(AC715:AC716)</f>
        <v>252252.25225225225</v>
      </c>
      <c r="AJ715" s="277">
        <f>SUM(AD715:AD716)</f>
        <v>230000</v>
      </c>
    </row>
    <row r="716" spans="1:36" ht="25">
      <c r="A716" s="350">
        <v>372</v>
      </c>
      <c r="B716" s="352" t="s">
        <v>1401</v>
      </c>
      <c r="C716" s="354" t="s">
        <v>704</v>
      </c>
      <c r="D716" s="355" t="s">
        <v>705</v>
      </c>
      <c r="E716" s="368">
        <v>45201</v>
      </c>
      <c r="F716" s="362">
        <v>45202</v>
      </c>
      <c r="G716" s="362">
        <v>45202</v>
      </c>
      <c r="H716" s="362">
        <v>45202</v>
      </c>
      <c r="I716" s="394">
        <v>45202</v>
      </c>
      <c r="J716" s="354" t="s">
        <v>230</v>
      </c>
      <c r="K716" s="387" t="s">
        <v>230</v>
      </c>
      <c r="L716" s="402">
        <v>1</v>
      </c>
      <c r="M716" s="352" t="s">
        <v>728</v>
      </c>
      <c r="N716" s="403">
        <v>40000</v>
      </c>
      <c r="O716" s="404">
        <v>40000</v>
      </c>
      <c r="P716" s="421">
        <v>10</v>
      </c>
      <c r="Q716" s="425" t="s">
        <v>164</v>
      </c>
      <c r="R716" s="437">
        <v>70000</v>
      </c>
      <c r="S716" s="274">
        <f t="shared" si="72"/>
        <v>42000</v>
      </c>
      <c r="T716" s="439" t="s">
        <v>227</v>
      </c>
      <c r="U716" s="460" t="str">
        <f t="shared" si="73"/>
        <v/>
      </c>
      <c r="V716" s="439" t="s">
        <v>1248</v>
      </c>
      <c r="W716" s="439" t="s">
        <v>540</v>
      </c>
      <c r="X716" s="439" t="s">
        <v>474</v>
      </c>
      <c r="Y716" s="439" t="str">
        <f t="shared" si="71"/>
        <v>Amplop Coklat Merk : GSU Ukuran : 1/2 folio, bergaris</v>
      </c>
      <c r="Z716" s="449" t="s">
        <v>1545</v>
      </c>
      <c r="AA716" s="440" t="s">
        <v>231</v>
      </c>
      <c r="AB716" s="441">
        <f t="shared" si="74"/>
        <v>36036.036036036036</v>
      </c>
      <c r="AC716" s="442">
        <f t="shared" si="75"/>
        <v>36036.036036036036</v>
      </c>
      <c r="AD716" s="437">
        <v>70000</v>
      </c>
      <c r="AE716" s="447">
        <v>207207.20720720722</v>
      </c>
      <c r="AF716" s="447">
        <v>230000</v>
      </c>
      <c r="AG716" s="437">
        <v>70000</v>
      </c>
      <c r="AH716" s="271" t="s">
        <v>2101</v>
      </c>
    </row>
    <row r="717" spans="1:36" ht="15.5">
      <c r="A717" s="350">
        <v>372</v>
      </c>
      <c r="B717" s="352" t="s">
        <v>1401</v>
      </c>
      <c r="C717" s="354" t="s">
        <v>704</v>
      </c>
      <c r="D717" s="355" t="s">
        <v>705</v>
      </c>
      <c r="E717" s="368">
        <v>45201</v>
      </c>
      <c r="F717" s="362">
        <v>45202</v>
      </c>
      <c r="G717" s="362">
        <v>45202</v>
      </c>
      <c r="H717" s="362">
        <v>45202</v>
      </c>
      <c r="I717" s="394">
        <v>45202</v>
      </c>
      <c r="J717" s="354" t="s">
        <v>711</v>
      </c>
      <c r="K717" s="387" t="s">
        <v>746</v>
      </c>
      <c r="L717" s="402">
        <v>1</v>
      </c>
      <c r="M717" s="352" t="s">
        <v>488</v>
      </c>
      <c r="N717" s="403">
        <v>11500</v>
      </c>
      <c r="O717" s="404">
        <v>11500</v>
      </c>
      <c r="P717" s="421">
        <v>10</v>
      </c>
      <c r="Q717" s="426" t="s">
        <v>81</v>
      </c>
      <c r="R717" s="437">
        <v>700000</v>
      </c>
      <c r="S717" s="274">
        <f t="shared" si="72"/>
        <v>13500</v>
      </c>
      <c r="T717" s="439" t="s">
        <v>227</v>
      </c>
      <c r="U717" s="460" t="str">
        <f t="shared" si="73"/>
        <v/>
      </c>
      <c r="V717" s="439" t="s">
        <v>1248</v>
      </c>
      <c r="W717" s="439" t="s">
        <v>540</v>
      </c>
      <c r="X717" s="439" t="s">
        <v>468</v>
      </c>
      <c r="Y717" s="439" t="str">
        <f t="shared" si="71"/>
        <v>Lakban Kain Warna Hitam</v>
      </c>
      <c r="Z717" s="449" t="s">
        <v>8</v>
      </c>
      <c r="AA717" s="440" t="s">
        <v>488</v>
      </c>
      <c r="AB717" s="441">
        <f t="shared" si="74"/>
        <v>10360.360360360361</v>
      </c>
      <c r="AC717" s="442">
        <f t="shared" si="75"/>
        <v>10360.360360360361</v>
      </c>
      <c r="AD717" s="437">
        <v>700000</v>
      </c>
      <c r="AE717" s="447">
        <v>630630.63063063065</v>
      </c>
      <c r="AF717" s="447">
        <v>700000</v>
      </c>
      <c r="AG717" s="437">
        <v>700000</v>
      </c>
      <c r="AH717" s="271" t="s">
        <v>2101</v>
      </c>
    </row>
    <row r="718" spans="1:36">
      <c r="A718" s="350">
        <v>372</v>
      </c>
      <c r="B718" s="352" t="s">
        <v>1401</v>
      </c>
      <c r="C718" s="354" t="s">
        <v>704</v>
      </c>
      <c r="D718" s="355" t="s">
        <v>705</v>
      </c>
      <c r="E718" s="368">
        <v>45201</v>
      </c>
      <c r="F718" s="362">
        <v>45202</v>
      </c>
      <c r="G718" s="362">
        <v>45202</v>
      </c>
      <c r="H718" s="362">
        <v>45202</v>
      </c>
      <c r="I718" s="394">
        <v>45202</v>
      </c>
      <c r="J718" s="354" t="s">
        <v>711</v>
      </c>
      <c r="K718" s="387" t="s">
        <v>712</v>
      </c>
      <c r="L718" s="402">
        <v>1</v>
      </c>
      <c r="M718" s="352" t="s">
        <v>488</v>
      </c>
      <c r="N718" s="403">
        <v>14000</v>
      </c>
      <c r="O718" s="404">
        <v>14000</v>
      </c>
      <c r="P718" s="421">
        <v>10</v>
      </c>
      <c r="Q718" s="275"/>
      <c r="R718" s="437">
        <v>600000</v>
      </c>
      <c r="S718" s="274">
        <f t="shared" si="72"/>
        <v>16000</v>
      </c>
      <c r="T718" s="439" t="s">
        <v>227</v>
      </c>
      <c r="U718" s="460" t="str">
        <f t="shared" si="73"/>
        <v/>
      </c>
      <c r="V718" s="439" t="s">
        <v>1248</v>
      </c>
      <c r="W718" s="439" t="s">
        <v>540</v>
      </c>
      <c r="X718" s="439"/>
      <c r="Y718" s="439" t="str">
        <f t="shared" si="71"/>
        <v>Lakban Kain Warna Hitam</v>
      </c>
      <c r="Z718" s="449"/>
      <c r="AA718" s="440" t="s">
        <v>587</v>
      </c>
      <c r="AB718" s="441">
        <f t="shared" si="74"/>
        <v>12612.612612612613</v>
      </c>
      <c r="AC718" s="442">
        <f t="shared" si="75"/>
        <v>12612.612612612613</v>
      </c>
      <c r="AD718" s="437">
        <v>600000</v>
      </c>
      <c r="AE718" s="447">
        <v>540540.54054054059</v>
      </c>
      <c r="AF718" s="447">
        <v>600000</v>
      </c>
      <c r="AG718" s="437">
        <v>600000</v>
      </c>
      <c r="AH718" s="271" t="s">
        <v>2101</v>
      </c>
    </row>
    <row r="719" spans="1:36">
      <c r="A719" s="350">
        <v>372</v>
      </c>
      <c r="B719" s="352" t="s">
        <v>1401</v>
      </c>
      <c r="C719" s="354" t="s">
        <v>704</v>
      </c>
      <c r="D719" s="355" t="s">
        <v>705</v>
      </c>
      <c r="E719" s="368">
        <v>45201</v>
      </c>
      <c r="F719" s="362">
        <v>45202</v>
      </c>
      <c r="G719" s="362">
        <v>45202</v>
      </c>
      <c r="H719" s="362">
        <v>45202</v>
      </c>
      <c r="I719" s="394">
        <v>45202</v>
      </c>
      <c r="J719" s="354" t="s">
        <v>711</v>
      </c>
      <c r="K719" s="387" t="s">
        <v>738</v>
      </c>
      <c r="L719" s="402">
        <v>1</v>
      </c>
      <c r="M719" s="352" t="s">
        <v>488</v>
      </c>
      <c r="N719" s="403">
        <v>20000</v>
      </c>
      <c r="O719" s="404">
        <v>20000</v>
      </c>
      <c r="P719" s="421">
        <v>10</v>
      </c>
      <c r="Q719" s="425" t="s">
        <v>165</v>
      </c>
      <c r="R719" s="437">
        <v>3000000</v>
      </c>
      <c r="S719" s="274">
        <f t="shared" si="72"/>
        <v>22000</v>
      </c>
      <c r="T719" s="439" t="s">
        <v>227</v>
      </c>
      <c r="U719" s="460" t="str">
        <f t="shared" si="73"/>
        <v/>
      </c>
      <c r="V719" s="439" t="s">
        <v>1248</v>
      </c>
      <c r="W719" s="439" t="s">
        <v>540</v>
      </c>
      <c r="X719" s="439" t="s">
        <v>490</v>
      </c>
      <c r="Y719" s="439" t="str">
        <f t="shared" si="71"/>
        <v>Lakban Kain Warna Hitam</v>
      </c>
      <c r="Z719" s="449" t="s">
        <v>280</v>
      </c>
      <c r="AA719" s="440" t="s">
        <v>472</v>
      </c>
      <c r="AB719" s="441">
        <f t="shared" si="74"/>
        <v>18018.018018018018</v>
      </c>
      <c r="AC719" s="442">
        <f t="shared" si="75"/>
        <v>18018.018018018018</v>
      </c>
      <c r="AD719" s="437">
        <v>3000000</v>
      </c>
      <c r="AE719" s="447">
        <v>3279279.2792792791</v>
      </c>
      <c r="AF719" s="447">
        <v>3640000</v>
      </c>
      <c r="AG719" s="437">
        <v>3000000</v>
      </c>
      <c r="AH719" s="271" t="s">
        <v>2101</v>
      </c>
      <c r="AI719" s="277">
        <f>SUM(AC719:AC721)</f>
        <v>54954.954954954956</v>
      </c>
      <c r="AJ719" s="277">
        <f>SUM(AD719:AD721)</f>
        <v>3640000</v>
      </c>
    </row>
    <row r="720" spans="1:36">
      <c r="A720" s="350">
        <v>372</v>
      </c>
      <c r="B720" s="352" t="s">
        <v>1401</v>
      </c>
      <c r="C720" s="354" t="s">
        <v>704</v>
      </c>
      <c r="D720" s="355" t="s">
        <v>705</v>
      </c>
      <c r="E720" s="368">
        <v>45201</v>
      </c>
      <c r="F720" s="362">
        <v>45202</v>
      </c>
      <c r="G720" s="362">
        <v>45202</v>
      </c>
      <c r="H720" s="362">
        <v>45202</v>
      </c>
      <c r="I720" s="394">
        <v>45202</v>
      </c>
      <c r="J720" s="354" t="s">
        <v>256</v>
      </c>
      <c r="K720" s="388" t="s">
        <v>727</v>
      </c>
      <c r="L720" s="402">
        <v>1</v>
      </c>
      <c r="M720" s="352" t="s">
        <v>728</v>
      </c>
      <c r="N720" s="403">
        <v>21000</v>
      </c>
      <c r="O720" s="404">
        <v>21000</v>
      </c>
      <c r="P720" s="421">
        <v>10</v>
      </c>
      <c r="Q720" s="427" t="s">
        <v>163</v>
      </c>
      <c r="R720" s="437">
        <v>500000</v>
      </c>
      <c r="S720" s="274">
        <f t="shared" si="72"/>
        <v>23000</v>
      </c>
      <c r="T720" s="439" t="s">
        <v>227</v>
      </c>
      <c r="U720" s="460" t="str">
        <f t="shared" si="73"/>
        <v/>
      </c>
      <c r="V720" s="439" t="s">
        <v>1248</v>
      </c>
      <c r="W720" s="439" t="s">
        <v>540</v>
      </c>
      <c r="X720" s="439" t="s">
        <v>474</v>
      </c>
      <c r="Y720" s="439" t="str">
        <f t="shared" si="71"/>
        <v>Paper Clip No 1  Paper Clip No 3</v>
      </c>
      <c r="Z720" s="449" t="s">
        <v>1545</v>
      </c>
      <c r="AA720" s="440" t="s">
        <v>472</v>
      </c>
      <c r="AB720" s="441">
        <f t="shared" si="74"/>
        <v>18918.91891891892</v>
      </c>
      <c r="AC720" s="442">
        <f t="shared" si="75"/>
        <v>18918.91891891892</v>
      </c>
      <c r="AD720" s="437">
        <v>500000</v>
      </c>
      <c r="AE720" s="447">
        <v>3279279.2792792791</v>
      </c>
      <c r="AF720" s="447">
        <v>3640000</v>
      </c>
      <c r="AG720" s="437">
        <v>500000</v>
      </c>
      <c r="AH720" s="271" t="s">
        <v>2101</v>
      </c>
    </row>
    <row r="721" spans="1:36">
      <c r="A721" s="350">
        <v>372</v>
      </c>
      <c r="B721" s="352" t="s">
        <v>1401</v>
      </c>
      <c r="C721" s="354" t="s">
        <v>704</v>
      </c>
      <c r="D721" s="355" t="s">
        <v>705</v>
      </c>
      <c r="E721" s="368">
        <v>45201</v>
      </c>
      <c r="F721" s="362">
        <v>45202</v>
      </c>
      <c r="G721" s="362">
        <v>45202</v>
      </c>
      <c r="H721" s="362">
        <v>45202</v>
      </c>
      <c r="I721" s="394">
        <v>45202</v>
      </c>
      <c r="J721" s="354" t="s">
        <v>240</v>
      </c>
      <c r="K721" s="388" t="s">
        <v>731</v>
      </c>
      <c r="L721" s="402">
        <v>1</v>
      </c>
      <c r="M721" s="352" t="s">
        <v>597</v>
      </c>
      <c r="N721" s="403">
        <v>20000</v>
      </c>
      <c r="O721" s="404">
        <v>20000</v>
      </c>
      <c r="P721" s="421">
        <v>10</v>
      </c>
      <c r="Q721" s="425" t="s">
        <v>164</v>
      </c>
      <c r="R721" s="437">
        <v>140000</v>
      </c>
      <c r="S721" s="274">
        <f t="shared" si="72"/>
        <v>22000</v>
      </c>
      <c r="T721" s="439" t="s">
        <v>227</v>
      </c>
      <c r="U721" s="460" t="str">
        <f t="shared" si="73"/>
        <v/>
      </c>
      <c r="V721" s="439" t="s">
        <v>1248</v>
      </c>
      <c r="W721" s="439" t="s">
        <v>540</v>
      </c>
      <c r="X721" s="439" t="s">
        <v>474</v>
      </c>
      <c r="Y721" s="439" t="str">
        <f t="shared" si="71"/>
        <v>Binder Klip  nomor 260</v>
      </c>
      <c r="Z721" s="449" t="s">
        <v>1545</v>
      </c>
      <c r="AA721" s="440" t="s">
        <v>231</v>
      </c>
      <c r="AB721" s="441">
        <f t="shared" si="74"/>
        <v>18018.018018018018</v>
      </c>
      <c r="AC721" s="442">
        <f t="shared" si="75"/>
        <v>18018.018018018018</v>
      </c>
      <c r="AD721" s="437">
        <v>140000</v>
      </c>
      <c r="AE721" s="447">
        <v>3279279.2792792791</v>
      </c>
      <c r="AF721" s="447">
        <v>3640000</v>
      </c>
      <c r="AG721" s="437">
        <v>140000</v>
      </c>
      <c r="AH721" s="271" t="s">
        <v>2101</v>
      </c>
    </row>
    <row r="722" spans="1:36" ht="15.5">
      <c r="A722" s="350">
        <v>372</v>
      </c>
      <c r="B722" s="352" t="s">
        <v>1401</v>
      </c>
      <c r="C722" s="354" t="s">
        <v>704</v>
      </c>
      <c r="D722" s="355" t="s">
        <v>705</v>
      </c>
      <c r="E722" s="368">
        <v>45201</v>
      </c>
      <c r="F722" s="362">
        <v>45202</v>
      </c>
      <c r="G722" s="362">
        <v>45202</v>
      </c>
      <c r="H722" s="362">
        <v>45202</v>
      </c>
      <c r="I722" s="394">
        <v>45202</v>
      </c>
      <c r="J722" s="354" t="s">
        <v>258</v>
      </c>
      <c r="K722" s="387" t="s">
        <v>924</v>
      </c>
      <c r="L722" s="402">
        <v>2</v>
      </c>
      <c r="M722" s="352" t="s">
        <v>488</v>
      </c>
      <c r="N722" s="403">
        <v>15000</v>
      </c>
      <c r="O722" s="404">
        <v>30000</v>
      </c>
      <c r="P722" s="421">
        <v>10</v>
      </c>
      <c r="Q722" s="426" t="s">
        <v>81</v>
      </c>
      <c r="R722" s="437">
        <v>560000</v>
      </c>
      <c r="S722" s="274">
        <f t="shared" si="72"/>
        <v>34000</v>
      </c>
      <c r="T722" s="439" t="s">
        <v>227</v>
      </c>
      <c r="U722" s="460" t="str">
        <f t="shared" si="73"/>
        <v/>
      </c>
      <c r="V722" s="439" t="s">
        <v>1248</v>
      </c>
      <c r="W722" s="439" t="s">
        <v>540</v>
      </c>
      <c r="X722" s="439" t="s">
        <v>468</v>
      </c>
      <c r="Y722" s="439" t="str">
        <f t="shared" si="71"/>
        <v>Pisau Cutter Kenko L-500</v>
      </c>
      <c r="Z722" s="449" t="s">
        <v>8</v>
      </c>
      <c r="AA722" s="440" t="s">
        <v>587</v>
      </c>
      <c r="AB722" s="441">
        <f t="shared" si="74"/>
        <v>13513.513513513513</v>
      </c>
      <c r="AC722" s="442">
        <f t="shared" si="75"/>
        <v>27027.027027027027</v>
      </c>
      <c r="AD722" s="437">
        <v>560000</v>
      </c>
      <c r="AE722" s="447">
        <v>504504.5045045045</v>
      </c>
      <c r="AF722" s="447">
        <v>560000</v>
      </c>
      <c r="AG722" s="437">
        <v>560000</v>
      </c>
      <c r="AH722" s="271" t="s">
        <v>2101</v>
      </c>
    </row>
    <row r="723" spans="1:36">
      <c r="A723" s="350">
        <v>372</v>
      </c>
      <c r="B723" s="352" t="s">
        <v>1401</v>
      </c>
      <c r="C723" s="354" t="s">
        <v>704</v>
      </c>
      <c r="D723" s="355" t="s">
        <v>705</v>
      </c>
      <c r="E723" s="368">
        <v>45201</v>
      </c>
      <c r="F723" s="362">
        <v>45202</v>
      </c>
      <c r="G723" s="362">
        <v>45202</v>
      </c>
      <c r="H723" s="362">
        <v>45202</v>
      </c>
      <c r="I723" s="394">
        <v>45202</v>
      </c>
      <c r="J723" s="354" t="s">
        <v>740</v>
      </c>
      <c r="K723" s="388" t="s">
        <v>741</v>
      </c>
      <c r="L723" s="402">
        <v>2</v>
      </c>
      <c r="M723" s="352" t="s">
        <v>488</v>
      </c>
      <c r="N723" s="403">
        <v>5500</v>
      </c>
      <c r="O723" s="404">
        <v>11000</v>
      </c>
      <c r="P723" s="421">
        <v>10</v>
      </c>
      <c r="Q723" s="428" t="s">
        <v>575</v>
      </c>
      <c r="R723" s="437">
        <v>1155000</v>
      </c>
      <c r="S723" s="274">
        <f t="shared" si="72"/>
        <v>15000</v>
      </c>
      <c r="T723" s="439" t="s">
        <v>227</v>
      </c>
      <c r="U723" s="460" t="str">
        <f t="shared" si="73"/>
        <v/>
      </c>
      <c r="V723" s="439" t="s">
        <v>1248</v>
      </c>
      <c r="W723" s="439" t="s">
        <v>540</v>
      </c>
      <c r="X723" s="615" t="s">
        <v>541</v>
      </c>
      <c r="Y723" s="439" t="str">
        <f t="shared" si="71"/>
        <v>Buku Nota</v>
      </c>
      <c r="Z723" s="449" t="str">
        <f>K723</f>
        <v>Buku Nota Seriti Kecil</v>
      </c>
      <c r="AA723" s="440" t="s">
        <v>614</v>
      </c>
      <c r="AB723" s="441">
        <f t="shared" si="74"/>
        <v>4954.9549549549547</v>
      </c>
      <c r="AC723" s="442">
        <f t="shared" si="75"/>
        <v>9909.9099099099094</v>
      </c>
      <c r="AD723" s="437">
        <v>1155000</v>
      </c>
      <c r="AE723" s="447">
        <v>1040540.5405405405</v>
      </c>
      <c r="AF723" s="447">
        <v>1155000</v>
      </c>
      <c r="AG723" s="437">
        <v>1155000</v>
      </c>
      <c r="AH723" s="271" t="s">
        <v>2101</v>
      </c>
    </row>
    <row r="724" spans="1:36">
      <c r="A724" s="350">
        <v>372</v>
      </c>
      <c r="B724" s="352" t="s">
        <v>1401</v>
      </c>
      <c r="C724" s="354" t="s">
        <v>704</v>
      </c>
      <c r="D724" s="355" t="s">
        <v>705</v>
      </c>
      <c r="E724" s="368">
        <v>45201</v>
      </c>
      <c r="F724" s="362">
        <v>45202</v>
      </c>
      <c r="G724" s="362">
        <v>45202</v>
      </c>
      <c r="H724" s="362">
        <v>45202</v>
      </c>
      <c r="I724" s="394">
        <v>45202</v>
      </c>
      <c r="J724" s="354" t="s">
        <v>238</v>
      </c>
      <c r="K724" s="387" t="s">
        <v>238</v>
      </c>
      <c r="L724" s="402">
        <v>2</v>
      </c>
      <c r="M724" s="352" t="s">
        <v>597</v>
      </c>
      <c r="N724" s="403">
        <v>11000</v>
      </c>
      <c r="O724" s="404">
        <v>22000</v>
      </c>
      <c r="P724" s="421">
        <v>10</v>
      </c>
      <c r="Q724" s="281"/>
      <c r="R724" s="437">
        <v>360000</v>
      </c>
      <c r="S724" s="274">
        <f t="shared" si="72"/>
        <v>26000</v>
      </c>
      <c r="T724" s="439" t="s">
        <v>227</v>
      </c>
      <c r="U724" s="460" t="str">
        <f t="shared" si="73"/>
        <v/>
      </c>
      <c r="V724" s="439" t="s">
        <v>1248</v>
      </c>
      <c r="W724" s="439" t="s">
        <v>540</v>
      </c>
      <c r="X724" s="439"/>
      <c r="Y724" s="439" t="str">
        <f t="shared" si="71"/>
        <v>Binder Klip  nomor 111</v>
      </c>
      <c r="Z724" s="449" t="s">
        <v>1555</v>
      </c>
      <c r="AA724" s="440" t="s">
        <v>940</v>
      </c>
      <c r="AB724" s="441">
        <f t="shared" si="74"/>
        <v>9909.9099099099094</v>
      </c>
      <c r="AC724" s="442">
        <f t="shared" si="75"/>
        <v>19819.819819819819</v>
      </c>
      <c r="AD724" s="437">
        <v>360000</v>
      </c>
      <c r="AE724" s="447">
        <v>324324.32432432432</v>
      </c>
      <c r="AF724" s="447">
        <v>360000</v>
      </c>
      <c r="AG724" s="437">
        <v>360000</v>
      </c>
      <c r="AH724" s="271" t="s">
        <v>2101</v>
      </c>
    </row>
    <row r="725" spans="1:36">
      <c r="A725" s="350">
        <v>372</v>
      </c>
      <c r="B725" s="352" t="s">
        <v>1401</v>
      </c>
      <c r="C725" s="352" t="s">
        <v>704</v>
      </c>
      <c r="D725" s="355" t="s">
        <v>705</v>
      </c>
      <c r="E725" s="368">
        <v>45201</v>
      </c>
      <c r="F725" s="362">
        <v>45202</v>
      </c>
      <c r="G725" s="362">
        <v>45202</v>
      </c>
      <c r="H725" s="362">
        <v>45202</v>
      </c>
      <c r="I725" s="394">
        <v>45202</v>
      </c>
      <c r="J725" s="387" t="s">
        <v>255</v>
      </c>
      <c r="K725" s="388" t="s">
        <v>889</v>
      </c>
      <c r="L725" s="402">
        <v>1</v>
      </c>
      <c r="M725" s="352" t="s">
        <v>728</v>
      </c>
      <c r="N725" s="403">
        <v>25000</v>
      </c>
      <c r="O725" s="404">
        <v>25000</v>
      </c>
      <c r="P725" s="421">
        <v>10</v>
      </c>
      <c r="Q725" s="428" t="s">
        <v>575</v>
      </c>
      <c r="R725" s="437">
        <v>1749000</v>
      </c>
      <c r="S725" s="274">
        <f t="shared" si="72"/>
        <v>27000</v>
      </c>
      <c r="T725" s="439" t="s">
        <v>227</v>
      </c>
      <c r="U725" s="460" t="str">
        <f t="shared" si="73"/>
        <v/>
      </c>
      <c r="V725" s="439" t="s">
        <v>1248</v>
      </c>
      <c r="W725" s="439" t="s">
        <v>540</v>
      </c>
      <c r="X725" s="615" t="s">
        <v>541</v>
      </c>
      <c r="Y725" s="439" t="str">
        <f t="shared" si="71"/>
        <v>PAPER CLIP  Paper Clip No 1</v>
      </c>
      <c r="Z725" s="449" t="str">
        <f>K725</f>
        <v>PAPER CLIP  kenko 1</v>
      </c>
      <c r="AA725" s="440" t="s">
        <v>753</v>
      </c>
      <c r="AB725" s="441">
        <f t="shared" si="74"/>
        <v>22522.522522522522</v>
      </c>
      <c r="AC725" s="442">
        <f t="shared" si="75"/>
        <v>22522.522522522522</v>
      </c>
      <c r="AD725" s="437">
        <v>1749000</v>
      </c>
      <c r="AE725" s="447">
        <v>1575675.6756756755</v>
      </c>
      <c r="AF725" s="447">
        <v>1749000</v>
      </c>
      <c r="AG725" s="437">
        <v>1749000</v>
      </c>
      <c r="AH725" s="271" t="s">
        <v>2101</v>
      </c>
    </row>
    <row r="726" spans="1:36">
      <c r="A726" s="350">
        <v>372</v>
      </c>
      <c r="B726" s="352" t="s">
        <v>1401</v>
      </c>
      <c r="C726" s="352" t="s">
        <v>704</v>
      </c>
      <c r="D726" s="355" t="s">
        <v>705</v>
      </c>
      <c r="E726" s="368">
        <v>45201</v>
      </c>
      <c r="F726" s="362">
        <v>45202</v>
      </c>
      <c r="G726" s="362">
        <v>45202</v>
      </c>
      <c r="H726" s="362">
        <v>45202</v>
      </c>
      <c r="I726" s="394">
        <v>45202</v>
      </c>
      <c r="J726" s="387" t="s">
        <v>762</v>
      </c>
      <c r="K726" s="387" t="s">
        <v>762</v>
      </c>
      <c r="L726" s="402">
        <v>1</v>
      </c>
      <c r="M726" s="352" t="s">
        <v>488</v>
      </c>
      <c r="N726" s="403">
        <v>15000</v>
      </c>
      <c r="O726" s="404">
        <v>15000</v>
      </c>
      <c r="P726" s="421">
        <v>10</v>
      </c>
      <c r="Q726" s="281"/>
      <c r="R726" s="437">
        <v>2000000</v>
      </c>
      <c r="S726" s="274">
        <f t="shared" si="72"/>
        <v>17000</v>
      </c>
      <c r="T726" s="439" t="s">
        <v>227</v>
      </c>
      <c r="U726" s="460" t="str">
        <f t="shared" si="73"/>
        <v/>
      </c>
      <c r="V726" s="439" t="s">
        <v>1248</v>
      </c>
      <c r="W726" s="439" t="s">
        <v>540</v>
      </c>
      <c r="X726" s="439"/>
      <c r="Y726" s="439" t="str">
        <f t="shared" si="71"/>
        <v>lem fox</v>
      </c>
      <c r="Z726" s="449"/>
      <c r="AA726" s="440" t="s">
        <v>720</v>
      </c>
      <c r="AB726" s="441">
        <f t="shared" si="74"/>
        <v>13513.513513513513</v>
      </c>
      <c r="AC726" s="442">
        <f t="shared" si="75"/>
        <v>13513.513513513513</v>
      </c>
      <c r="AD726" s="437">
        <v>2000000</v>
      </c>
      <c r="AE726" s="447">
        <v>1869369.3693693695</v>
      </c>
      <c r="AF726" s="447">
        <v>2075000</v>
      </c>
      <c r="AG726" s="437">
        <v>2000000</v>
      </c>
      <c r="AH726" s="271" t="s">
        <v>2101</v>
      </c>
      <c r="AI726" s="277">
        <f>SUM(AC726:AC727)</f>
        <v>328828.82882882882</v>
      </c>
      <c r="AJ726" s="277">
        <f>SUM(AD726:AD727)</f>
        <v>2075000</v>
      </c>
    </row>
    <row r="727" spans="1:36">
      <c r="A727" s="350">
        <v>372</v>
      </c>
      <c r="B727" s="352" t="s">
        <v>1401</v>
      </c>
      <c r="C727" s="352" t="s">
        <v>704</v>
      </c>
      <c r="D727" s="355" t="s">
        <v>705</v>
      </c>
      <c r="E727" s="368">
        <v>45201</v>
      </c>
      <c r="F727" s="362">
        <v>45202</v>
      </c>
      <c r="G727" s="362">
        <v>45202</v>
      </c>
      <c r="H727" s="362">
        <v>45202</v>
      </c>
      <c r="I727" s="394">
        <v>45202</v>
      </c>
      <c r="J727" s="387" t="s">
        <v>925</v>
      </c>
      <c r="K727" s="388" t="s">
        <v>1403</v>
      </c>
      <c r="L727" s="402">
        <v>10</v>
      </c>
      <c r="M727" s="352" t="s">
        <v>488</v>
      </c>
      <c r="N727" s="403">
        <v>35000</v>
      </c>
      <c r="O727" s="404">
        <v>350000</v>
      </c>
      <c r="P727" s="421">
        <v>10</v>
      </c>
      <c r="Q727" s="275"/>
      <c r="R727" s="437">
        <v>75000</v>
      </c>
      <c r="S727" s="274">
        <f t="shared" si="72"/>
        <v>370000</v>
      </c>
      <c r="T727" s="439" t="s">
        <v>227</v>
      </c>
      <c r="U727" s="460" t="str">
        <f t="shared" si="73"/>
        <v/>
      </c>
      <c r="V727" s="439" t="s">
        <v>1248</v>
      </c>
      <c r="W727" s="439" t="s">
        <v>540</v>
      </c>
      <c r="X727" s="439"/>
      <c r="Y727" s="439" t="s">
        <v>710</v>
      </c>
      <c r="Z727" s="616" t="s">
        <v>710</v>
      </c>
      <c r="AA727" s="440" t="s">
        <v>597</v>
      </c>
      <c r="AB727" s="441">
        <f t="shared" si="74"/>
        <v>31531.531531531531</v>
      </c>
      <c r="AC727" s="442">
        <f t="shared" si="75"/>
        <v>315315.31531531533</v>
      </c>
      <c r="AD727" s="437">
        <v>75000</v>
      </c>
      <c r="AE727" s="447">
        <v>1869369.3693693695</v>
      </c>
      <c r="AF727" s="447">
        <v>2075000</v>
      </c>
      <c r="AG727" s="437">
        <v>75000</v>
      </c>
      <c r="AH727" s="271" t="s">
        <v>2101</v>
      </c>
    </row>
    <row r="728" spans="1:36" ht="15.5">
      <c r="A728" s="350">
        <v>372</v>
      </c>
      <c r="B728" s="352" t="s">
        <v>1401</v>
      </c>
      <c r="C728" s="352" t="s">
        <v>704</v>
      </c>
      <c r="D728" s="355" t="s">
        <v>705</v>
      </c>
      <c r="E728" s="368">
        <v>45201</v>
      </c>
      <c r="F728" s="362">
        <v>45202</v>
      </c>
      <c r="G728" s="362">
        <v>45202</v>
      </c>
      <c r="H728" s="362">
        <v>45202</v>
      </c>
      <c r="I728" s="394">
        <v>45202</v>
      </c>
      <c r="J728" s="387" t="s">
        <v>254</v>
      </c>
      <c r="K728" s="387" t="s">
        <v>254</v>
      </c>
      <c r="L728" s="402">
        <v>4</v>
      </c>
      <c r="M728" s="352" t="s">
        <v>488</v>
      </c>
      <c r="N728" s="403">
        <v>35000</v>
      </c>
      <c r="O728" s="404">
        <v>140000</v>
      </c>
      <c r="P728" s="421">
        <v>10</v>
      </c>
      <c r="Q728" s="426" t="s">
        <v>81</v>
      </c>
      <c r="R728" s="437">
        <v>2450000</v>
      </c>
      <c r="S728" s="274">
        <f t="shared" si="72"/>
        <v>148000</v>
      </c>
      <c r="T728" s="439" t="s">
        <v>227</v>
      </c>
      <c r="U728" s="460" t="str">
        <f t="shared" si="73"/>
        <v/>
      </c>
      <c r="V728" s="439" t="s">
        <v>1248</v>
      </c>
      <c r="W728" s="439" t="s">
        <v>540</v>
      </c>
      <c r="X728" s="439" t="s">
        <v>468</v>
      </c>
      <c r="Y728" s="439" t="s">
        <v>710</v>
      </c>
      <c r="Z728" s="449" t="s">
        <v>8</v>
      </c>
      <c r="AA728" s="440" t="s">
        <v>472</v>
      </c>
      <c r="AB728" s="441">
        <f t="shared" si="74"/>
        <v>31531.531531531531</v>
      </c>
      <c r="AC728" s="442">
        <f t="shared" si="75"/>
        <v>126126.12612612612</v>
      </c>
      <c r="AD728" s="437">
        <v>2450000</v>
      </c>
      <c r="AE728" s="447">
        <v>2207207.2072072071</v>
      </c>
      <c r="AF728" s="447">
        <v>2450000</v>
      </c>
      <c r="AG728" s="437">
        <v>2450000</v>
      </c>
      <c r="AH728" s="271" t="s">
        <v>2101</v>
      </c>
    </row>
    <row r="729" spans="1:36">
      <c r="A729" s="350">
        <v>372</v>
      </c>
      <c r="B729" s="352" t="s">
        <v>1401</v>
      </c>
      <c r="C729" s="352" t="s">
        <v>704</v>
      </c>
      <c r="D729" s="355" t="s">
        <v>705</v>
      </c>
      <c r="E729" s="368">
        <v>45201</v>
      </c>
      <c r="F729" s="362">
        <v>45202</v>
      </c>
      <c r="G729" s="362">
        <v>45202</v>
      </c>
      <c r="H729" s="362">
        <v>45202</v>
      </c>
      <c r="I729" s="394">
        <v>45202</v>
      </c>
      <c r="J729" s="387" t="s">
        <v>242</v>
      </c>
      <c r="K729" s="388" t="s">
        <v>760</v>
      </c>
      <c r="L729" s="402">
        <v>1</v>
      </c>
      <c r="M729" s="352" t="s">
        <v>488</v>
      </c>
      <c r="N729" s="403">
        <v>26000</v>
      </c>
      <c r="O729" s="404">
        <v>26000</v>
      </c>
      <c r="P729" s="421">
        <v>10</v>
      </c>
      <c r="Q729" s="425" t="s">
        <v>164</v>
      </c>
      <c r="R729" s="437">
        <v>560000</v>
      </c>
      <c r="S729" s="274">
        <f t="shared" si="72"/>
        <v>28000</v>
      </c>
      <c r="T729" s="439" t="s">
        <v>227</v>
      </c>
      <c r="U729" s="460" t="str">
        <f t="shared" si="73"/>
        <v/>
      </c>
      <c r="V729" s="439" t="s">
        <v>1248</v>
      </c>
      <c r="W729" s="439" t="s">
        <v>540</v>
      </c>
      <c r="X729" s="439" t="s">
        <v>474</v>
      </c>
      <c r="Y729" s="428" t="s">
        <v>710</v>
      </c>
      <c r="Z729" s="616" t="s">
        <v>710</v>
      </c>
      <c r="AA729" s="440" t="s">
        <v>488</v>
      </c>
      <c r="AB729" s="441">
        <f t="shared" si="74"/>
        <v>23423.423423423425</v>
      </c>
      <c r="AC729" s="442">
        <f t="shared" si="75"/>
        <v>23423.423423423425</v>
      </c>
      <c r="AD729" s="437">
        <v>560000</v>
      </c>
      <c r="AE729" s="447">
        <v>1513513.5135135134</v>
      </c>
      <c r="AF729" s="447">
        <v>1680000</v>
      </c>
      <c r="AG729" s="437">
        <v>560000</v>
      </c>
      <c r="AH729" s="271" t="s">
        <v>2101</v>
      </c>
      <c r="AI729" s="277">
        <f>SUM(AC729:AC730)</f>
        <v>924324.32432432426</v>
      </c>
      <c r="AJ729" s="277">
        <f>SUM(AD729:AD730)</f>
        <v>1680000</v>
      </c>
    </row>
    <row r="730" spans="1:36" ht="37.5">
      <c r="A730" s="350">
        <v>372</v>
      </c>
      <c r="B730" s="352" t="s">
        <v>1401</v>
      </c>
      <c r="C730" s="352" t="s">
        <v>704</v>
      </c>
      <c r="D730" s="355" t="s">
        <v>705</v>
      </c>
      <c r="E730" s="368">
        <v>45201</v>
      </c>
      <c r="F730" s="362">
        <v>45202</v>
      </c>
      <c r="G730" s="362">
        <v>45202</v>
      </c>
      <c r="H730" s="362">
        <v>45202</v>
      </c>
      <c r="I730" s="394">
        <v>45202</v>
      </c>
      <c r="J730" s="387" t="s">
        <v>247</v>
      </c>
      <c r="K730" s="387" t="s">
        <v>247</v>
      </c>
      <c r="L730" s="402">
        <v>20</v>
      </c>
      <c r="M730" s="352" t="s">
        <v>735</v>
      </c>
      <c r="N730" s="403">
        <v>50000</v>
      </c>
      <c r="O730" s="404">
        <v>1000000</v>
      </c>
      <c r="P730" s="421">
        <v>10</v>
      </c>
      <c r="Q730" s="425" t="s">
        <v>165</v>
      </c>
      <c r="R730" s="437">
        <v>1120000</v>
      </c>
      <c r="S730" s="274">
        <f t="shared" si="72"/>
        <v>1040000</v>
      </c>
      <c r="T730" s="439" t="s">
        <v>227</v>
      </c>
      <c r="U730" s="460" t="str">
        <f t="shared" si="73"/>
        <v/>
      </c>
      <c r="V730" s="439" t="s">
        <v>1248</v>
      </c>
      <c r="W730" s="439" t="s">
        <v>540</v>
      </c>
      <c r="X730" s="439" t="s">
        <v>490</v>
      </c>
      <c r="Y730" s="439" t="s">
        <v>710</v>
      </c>
      <c r="Z730" s="449" t="s">
        <v>280</v>
      </c>
      <c r="AA730" s="421"/>
      <c r="AB730" s="441">
        <f t="shared" si="74"/>
        <v>45045.045045045044</v>
      </c>
      <c r="AC730" s="442">
        <f t="shared" si="75"/>
        <v>900900.90090090083</v>
      </c>
      <c r="AD730" s="437">
        <v>1120000</v>
      </c>
      <c r="AE730" s="447">
        <v>1513513.5135135134</v>
      </c>
      <c r="AF730" s="447">
        <v>1680000</v>
      </c>
      <c r="AG730" s="437">
        <v>1120000</v>
      </c>
      <c r="AH730" s="271" t="s">
        <v>2101</v>
      </c>
    </row>
    <row r="731" spans="1:36" ht="25">
      <c r="A731" s="350">
        <v>372</v>
      </c>
      <c r="B731" s="352" t="s">
        <v>1401</v>
      </c>
      <c r="C731" s="352" t="s">
        <v>704</v>
      </c>
      <c r="D731" s="355" t="s">
        <v>705</v>
      </c>
      <c r="E731" s="368">
        <v>45201</v>
      </c>
      <c r="F731" s="362">
        <v>45202</v>
      </c>
      <c r="G731" s="362">
        <v>45202</v>
      </c>
      <c r="H731" s="362">
        <v>45202</v>
      </c>
      <c r="I731" s="394">
        <v>45202</v>
      </c>
      <c r="J731" s="387" t="s">
        <v>733</v>
      </c>
      <c r="K731" s="388" t="s">
        <v>734</v>
      </c>
      <c r="L731" s="402">
        <v>5</v>
      </c>
      <c r="M731" s="352" t="s">
        <v>735</v>
      </c>
      <c r="N731" s="403">
        <v>54000</v>
      </c>
      <c r="O731" s="404">
        <v>270000</v>
      </c>
      <c r="P731" s="421">
        <v>11</v>
      </c>
      <c r="Q731" s="429" t="s">
        <v>96</v>
      </c>
      <c r="R731" s="437">
        <v>40000</v>
      </c>
      <c r="S731" s="274">
        <f t="shared" si="72"/>
        <v>280000</v>
      </c>
      <c r="T731" s="439" t="s">
        <v>227</v>
      </c>
      <c r="U731" s="460" t="str">
        <f t="shared" si="73"/>
        <v/>
      </c>
      <c r="V731" s="439" t="s">
        <v>1248</v>
      </c>
      <c r="W731" s="439" t="s">
        <v>540</v>
      </c>
      <c r="X731" s="454" t="s">
        <v>1315</v>
      </c>
      <c r="Y731" s="439" t="s">
        <v>710</v>
      </c>
      <c r="Z731" s="616" t="s">
        <v>710</v>
      </c>
      <c r="AA731" s="440" t="s">
        <v>488</v>
      </c>
      <c r="AB731" s="441">
        <f t="shared" si="74"/>
        <v>48648.648648648646</v>
      </c>
      <c r="AC731" s="442">
        <f t="shared" si="75"/>
        <v>243243.24324324323</v>
      </c>
      <c r="AD731" s="437">
        <v>40000</v>
      </c>
      <c r="AE731" s="447">
        <v>4946846.8468468469</v>
      </c>
      <c r="AF731" s="447">
        <v>5491000</v>
      </c>
      <c r="AG731" s="437">
        <v>40000</v>
      </c>
      <c r="AH731" s="271" t="s">
        <v>2101</v>
      </c>
      <c r="AI731" s="277">
        <f>SUM(AC731:AC767)</f>
        <v>7405855.8558558552</v>
      </c>
      <c r="AJ731" s="277">
        <f>SUM(AD731:AD767)</f>
        <v>5491000</v>
      </c>
    </row>
    <row r="732" spans="1:36">
      <c r="A732" s="350">
        <v>372</v>
      </c>
      <c r="B732" s="352" t="s">
        <v>1401</v>
      </c>
      <c r="C732" s="352" t="s">
        <v>704</v>
      </c>
      <c r="D732" s="355" t="s">
        <v>705</v>
      </c>
      <c r="E732" s="368">
        <v>45201</v>
      </c>
      <c r="F732" s="362">
        <v>45202</v>
      </c>
      <c r="G732" s="362">
        <v>45202</v>
      </c>
      <c r="H732" s="362">
        <v>45202</v>
      </c>
      <c r="I732" s="394">
        <v>45202</v>
      </c>
      <c r="J732" s="387" t="s">
        <v>758</v>
      </c>
      <c r="K732" s="387" t="s">
        <v>758</v>
      </c>
      <c r="L732" s="402">
        <v>3</v>
      </c>
      <c r="M732" s="352" t="s">
        <v>488</v>
      </c>
      <c r="N732" s="403">
        <v>5000</v>
      </c>
      <c r="O732" s="404">
        <v>15000</v>
      </c>
      <c r="P732" s="421">
        <v>11</v>
      </c>
      <c r="Q732" s="429" t="s">
        <v>1033</v>
      </c>
      <c r="R732" s="437">
        <v>11500</v>
      </c>
      <c r="S732" s="274">
        <f t="shared" si="72"/>
        <v>21000</v>
      </c>
      <c r="T732" s="439" t="s">
        <v>227</v>
      </c>
      <c r="U732" s="460" t="str">
        <f t="shared" si="73"/>
        <v/>
      </c>
      <c r="V732" s="439" t="s">
        <v>1248</v>
      </c>
      <c r="W732" s="439" t="s">
        <v>540</v>
      </c>
      <c r="X732" s="454" t="s">
        <v>1315</v>
      </c>
      <c r="Y732" s="439" t="s">
        <v>710</v>
      </c>
      <c r="Z732" s="616" t="s">
        <v>710</v>
      </c>
      <c r="AA732" s="440" t="s">
        <v>488</v>
      </c>
      <c r="AB732" s="441">
        <f t="shared" si="74"/>
        <v>4504.5045045045044</v>
      </c>
      <c r="AC732" s="442">
        <f t="shared" si="75"/>
        <v>13513.513513513513</v>
      </c>
      <c r="AD732" s="437">
        <v>11500</v>
      </c>
      <c r="AE732" s="447">
        <v>4946846.8468468469</v>
      </c>
      <c r="AF732" s="447">
        <v>5491000</v>
      </c>
      <c r="AG732" s="437">
        <v>11500</v>
      </c>
      <c r="AH732" s="271" t="s">
        <v>2101</v>
      </c>
    </row>
    <row r="733" spans="1:36">
      <c r="A733" s="350">
        <v>372</v>
      </c>
      <c r="B733" s="352" t="s">
        <v>1401</v>
      </c>
      <c r="C733" s="352" t="s">
        <v>704</v>
      </c>
      <c r="D733" s="355" t="s">
        <v>705</v>
      </c>
      <c r="E733" s="368">
        <v>45201</v>
      </c>
      <c r="F733" s="362">
        <v>45202</v>
      </c>
      <c r="G733" s="362">
        <v>45202</v>
      </c>
      <c r="H733" s="362">
        <v>45202</v>
      </c>
      <c r="I733" s="394">
        <v>45202</v>
      </c>
      <c r="J733" s="387" t="s">
        <v>236</v>
      </c>
      <c r="K733" s="389" t="s">
        <v>771</v>
      </c>
      <c r="L733" s="402">
        <v>4</v>
      </c>
      <c r="M733" s="352" t="s">
        <v>772</v>
      </c>
      <c r="N733" s="403">
        <v>65000</v>
      </c>
      <c r="O733" s="404">
        <v>260000</v>
      </c>
      <c r="P733" s="421">
        <v>11</v>
      </c>
      <c r="Q733" s="429" t="s">
        <v>1034</v>
      </c>
      <c r="R733" s="437">
        <v>14000</v>
      </c>
      <c r="S733" s="274">
        <f t="shared" si="72"/>
        <v>268000</v>
      </c>
      <c r="T733" s="439" t="s">
        <v>227</v>
      </c>
      <c r="U733" s="460" t="str">
        <f t="shared" si="73"/>
        <v/>
      </c>
      <c r="V733" s="439" t="s">
        <v>1248</v>
      </c>
      <c r="W733" s="439" t="s">
        <v>540</v>
      </c>
      <c r="X733" s="454" t="s">
        <v>1315</v>
      </c>
      <c r="Y733" s="439" t="s">
        <v>710</v>
      </c>
      <c r="Z733" s="616" t="s">
        <v>710</v>
      </c>
      <c r="AA733" s="440" t="s">
        <v>488</v>
      </c>
      <c r="AB733" s="441">
        <f t="shared" si="74"/>
        <v>58558.558558558558</v>
      </c>
      <c r="AC733" s="442">
        <f t="shared" si="75"/>
        <v>234234.23423423423</v>
      </c>
      <c r="AD733" s="437">
        <v>14000</v>
      </c>
      <c r="AE733" s="447">
        <v>4946846.8468468469</v>
      </c>
      <c r="AF733" s="447">
        <v>5491000</v>
      </c>
      <c r="AG733" s="437">
        <v>14000</v>
      </c>
      <c r="AH733" s="271" t="s">
        <v>2101</v>
      </c>
    </row>
    <row r="734" spans="1:36">
      <c r="A734" s="350">
        <v>372</v>
      </c>
      <c r="B734" s="352" t="s">
        <v>1401</v>
      </c>
      <c r="C734" s="352" t="s">
        <v>704</v>
      </c>
      <c r="D734" s="355" t="s">
        <v>705</v>
      </c>
      <c r="E734" s="368">
        <v>45201</v>
      </c>
      <c r="F734" s="362">
        <v>45202</v>
      </c>
      <c r="G734" s="362">
        <v>45202</v>
      </c>
      <c r="H734" s="362">
        <v>45202</v>
      </c>
      <c r="I734" s="394">
        <v>45202</v>
      </c>
      <c r="J734" s="387" t="s">
        <v>235</v>
      </c>
      <c r="K734" s="388" t="s">
        <v>884</v>
      </c>
      <c r="L734" s="402">
        <v>1</v>
      </c>
      <c r="M734" s="352" t="s">
        <v>488</v>
      </c>
      <c r="N734" s="403">
        <v>17000</v>
      </c>
      <c r="O734" s="404">
        <v>17000</v>
      </c>
      <c r="P734" s="421">
        <v>11</v>
      </c>
      <c r="Q734" s="429" t="s">
        <v>139</v>
      </c>
      <c r="R734" s="437">
        <v>20000</v>
      </c>
      <c r="S734" s="274">
        <f t="shared" si="72"/>
        <v>19000</v>
      </c>
      <c r="T734" s="439" t="s">
        <v>227</v>
      </c>
      <c r="U734" s="460" t="str">
        <f t="shared" si="73"/>
        <v/>
      </c>
      <c r="V734" s="439" t="s">
        <v>1248</v>
      </c>
      <c r="W734" s="439" t="s">
        <v>540</v>
      </c>
      <c r="X734" s="454" t="s">
        <v>1315</v>
      </c>
      <c r="Y734" s="439" t="s">
        <v>710</v>
      </c>
      <c r="Z734" s="616" t="s">
        <v>710</v>
      </c>
      <c r="AA734" s="440" t="s">
        <v>728</v>
      </c>
      <c r="AB734" s="441">
        <f t="shared" si="74"/>
        <v>15315.315315315316</v>
      </c>
      <c r="AC734" s="442">
        <f t="shared" si="75"/>
        <v>15315.315315315316</v>
      </c>
      <c r="AD734" s="437">
        <v>20000</v>
      </c>
      <c r="AE734" s="447">
        <v>4946846.8468468469</v>
      </c>
      <c r="AF734" s="447">
        <v>5491000</v>
      </c>
      <c r="AG734" s="437">
        <v>20000</v>
      </c>
      <c r="AH734" s="271" t="s">
        <v>2101</v>
      </c>
    </row>
    <row r="735" spans="1:36" ht="25">
      <c r="A735" s="350">
        <v>372</v>
      </c>
      <c r="B735" s="352" t="s">
        <v>1401</v>
      </c>
      <c r="C735" s="352" t="s">
        <v>704</v>
      </c>
      <c r="D735" s="355" t="s">
        <v>705</v>
      </c>
      <c r="E735" s="368">
        <v>45201</v>
      </c>
      <c r="F735" s="362">
        <v>45202</v>
      </c>
      <c r="G735" s="362">
        <v>45202</v>
      </c>
      <c r="H735" s="362">
        <v>45202</v>
      </c>
      <c r="I735" s="394">
        <v>45202</v>
      </c>
      <c r="J735" s="387" t="s">
        <v>781</v>
      </c>
      <c r="K735" s="387" t="s">
        <v>781</v>
      </c>
      <c r="L735" s="402">
        <v>2</v>
      </c>
      <c r="M735" s="352" t="s">
        <v>551</v>
      </c>
      <c r="N735" s="403">
        <v>95000</v>
      </c>
      <c r="O735" s="404">
        <v>190000</v>
      </c>
      <c r="P735" s="421">
        <v>11</v>
      </c>
      <c r="Q735" s="429" t="s">
        <v>145</v>
      </c>
      <c r="R735" s="437">
        <v>21000</v>
      </c>
      <c r="S735" s="438">
        <f t="shared" si="72"/>
        <v>194000</v>
      </c>
      <c r="T735" s="439" t="s">
        <v>227</v>
      </c>
      <c r="U735" s="460" t="str">
        <f t="shared" si="73"/>
        <v/>
      </c>
      <c r="V735" s="439" t="s">
        <v>1248</v>
      </c>
      <c r="W735" s="439" t="s">
        <v>540</v>
      </c>
      <c r="X735" s="454" t="s">
        <v>1315</v>
      </c>
      <c r="Y735" s="439" t="s">
        <v>710</v>
      </c>
      <c r="Z735" s="616" t="s">
        <v>710</v>
      </c>
      <c r="AA735" s="440" t="s">
        <v>597</v>
      </c>
      <c r="AB735" s="441">
        <f t="shared" si="74"/>
        <v>85585.585585585592</v>
      </c>
      <c r="AC735" s="442">
        <f t="shared" si="75"/>
        <v>171171.17117117118</v>
      </c>
      <c r="AD735" s="437">
        <v>21000</v>
      </c>
      <c r="AE735" s="447">
        <v>4946846.8468468469</v>
      </c>
      <c r="AF735" s="447">
        <v>5491000</v>
      </c>
      <c r="AG735" s="437">
        <v>21000</v>
      </c>
      <c r="AH735" s="271" t="s">
        <v>2101</v>
      </c>
    </row>
    <row r="736" spans="1:36">
      <c r="A736" s="350">
        <v>372</v>
      </c>
      <c r="B736" s="352" t="s">
        <v>1401</v>
      </c>
      <c r="C736" s="352" t="s">
        <v>704</v>
      </c>
      <c r="D736" s="355" t="s">
        <v>705</v>
      </c>
      <c r="E736" s="368">
        <v>45201</v>
      </c>
      <c r="F736" s="362">
        <v>45202</v>
      </c>
      <c r="G736" s="362">
        <v>45202</v>
      </c>
      <c r="H736" s="362">
        <v>45202</v>
      </c>
      <c r="I736" s="394">
        <v>45202</v>
      </c>
      <c r="J736" s="387" t="s">
        <v>747</v>
      </c>
      <c r="K736" s="388" t="s">
        <v>886</v>
      </c>
      <c r="L736" s="402">
        <v>1</v>
      </c>
      <c r="M736" s="352" t="s">
        <v>488</v>
      </c>
      <c r="N736" s="403">
        <v>5000</v>
      </c>
      <c r="O736" s="404">
        <v>5000</v>
      </c>
      <c r="P736" s="421">
        <v>11</v>
      </c>
      <c r="Q736" s="429" t="s">
        <v>111</v>
      </c>
      <c r="R736" s="437">
        <v>20000</v>
      </c>
      <c r="S736" s="438">
        <f t="shared" si="72"/>
        <v>7000</v>
      </c>
      <c r="T736" s="439" t="s">
        <v>227</v>
      </c>
      <c r="U736" s="460" t="str">
        <f t="shared" si="73"/>
        <v/>
      </c>
      <c r="V736" s="439" t="s">
        <v>1248</v>
      </c>
      <c r="W736" s="439" t="s">
        <v>540</v>
      </c>
      <c r="X736" s="454" t="s">
        <v>1315</v>
      </c>
      <c r="Y736" s="439" t="s">
        <v>710</v>
      </c>
      <c r="Z736" s="616" t="s">
        <v>710</v>
      </c>
      <c r="AA736" s="440" t="s">
        <v>488</v>
      </c>
      <c r="AB736" s="441">
        <f t="shared" si="74"/>
        <v>4504.5045045045044</v>
      </c>
      <c r="AC736" s="442">
        <f t="shared" si="75"/>
        <v>4504.5045045045044</v>
      </c>
      <c r="AD736" s="437">
        <v>20000</v>
      </c>
      <c r="AE736" s="447">
        <v>4946846.8468468469</v>
      </c>
      <c r="AF736" s="447">
        <v>5491000</v>
      </c>
      <c r="AG736" s="437">
        <v>20000</v>
      </c>
      <c r="AH736" s="271" t="s">
        <v>2101</v>
      </c>
    </row>
    <row r="737" spans="1:36" ht="25">
      <c r="A737" s="350">
        <v>372</v>
      </c>
      <c r="B737" s="352" t="s">
        <v>1401</v>
      </c>
      <c r="C737" s="352" t="s">
        <v>704</v>
      </c>
      <c r="D737" s="355" t="s">
        <v>705</v>
      </c>
      <c r="E737" s="368">
        <v>45201</v>
      </c>
      <c r="F737" s="362">
        <v>45202</v>
      </c>
      <c r="G737" s="362">
        <v>45202</v>
      </c>
      <c r="H737" s="362">
        <v>45202</v>
      </c>
      <c r="I737" s="394">
        <v>45202</v>
      </c>
      <c r="J737" s="387" t="s">
        <v>261</v>
      </c>
      <c r="K737" s="387" t="s">
        <v>261</v>
      </c>
      <c r="L737" s="402">
        <v>12</v>
      </c>
      <c r="M737" s="352" t="s">
        <v>667</v>
      </c>
      <c r="N737" s="403">
        <v>20000</v>
      </c>
      <c r="O737" s="404">
        <v>240000</v>
      </c>
      <c r="P737" s="421">
        <v>11</v>
      </c>
      <c r="Q737" s="429" t="s">
        <v>903</v>
      </c>
      <c r="R737" s="437">
        <v>11000</v>
      </c>
      <c r="S737" s="438">
        <f t="shared" si="72"/>
        <v>264000</v>
      </c>
      <c r="T737" s="439" t="s">
        <v>227</v>
      </c>
      <c r="U737" s="460" t="str">
        <f t="shared" si="73"/>
        <v/>
      </c>
      <c r="V737" s="439" t="s">
        <v>1248</v>
      </c>
      <c r="W737" s="439" t="s">
        <v>540</v>
      </c>
      <c r="X737" s="454" t="s">
        <v>1315</v>
      </c>
      <c r="Y737" s="439" t="s">
        <v>710</v>
      </c>
      <c r="Z737" s="616" t="s">
        <v>710</v>
      </c>
      <c r="AA737" s="440" t="s">
        <v>597</v>
      </c>
      <c r="AB737" s="441">
        <f t="shared" si="74"/>
        <v>18018.018018018018</v>
      </c>
      <c r="AC737" s="442">
        <f t="shared" si="75"/>
        <v>216216.21621621621</v>
      </c>
      <c r="AD737" s="437">
        <v>11000</v>
      </c>
      <c r="AE737" s="447">
        <v>4946846.8468468469</v>
      </c>
      <c r="AF737" s="447">
        <v>5491000</v>
      </c>
      <c r="AG737" s="437">
        <v>11000</v>
      </c>
      <c r="AH737" s="271" t="s">
        <v>2101</v>
      </c>
    </row>
    <row r="738" spans="1:36">
      <c r="A738" s="350">
        <v>372</v>
      </c>
      <c r="B738" s="352" t="s">
        <v>1401</v>
      </c>
      <c r="C738" s="352" t="s">
        <v>704</v>
      </c>
      <c r="D738" s="355" t="s">
        <v>705</v>
      </c>
      <c r="E738" s="368">
        <v>45201</v>
      </c>
      <c r="F738" s="362">
        <v>45202</v>
      </c>
      <c r="G738" s="362">
        <v>45202</v>
      </c>
      <c r="H738" s="362">
        <v>45202</v>
      </c>
      <c r="I738" s="394">
        <v>45202</v>
      </c>
      <c r="J738" s="387" t="s">
        <v>264</v>
      </c>
      <c r="K738" s="387" t="s">
        <v>882</v>
      </c>
      <c r="L738" s="402">
        <v>1</v>
      </c>
      <c r="M738" s="352" t="s">
        <v>753</v>
      </c>
      <c r="N738" s="403">
        <v>42000</v>
      </c>
      <c r="O738" s="404">
        <v>42000</v>
      </c>
      <c r="P738" s="421">
        <v>11</v>
      </c>
      <c r="Q738" s="429" t="s">
        <v>109</v>
      </c>
      <c r="R738" s="437">
        <v>22000</v>
      </c>
      <c r="S738" s="438">
        <f t="shared" si="72"/>
        <v>44000</v>
      </c>
      <c r="T738" s="439" t="s">
        <v>227</v>
      </c>
      <c r="U738" s="460" t="str">
        <f t="shared" si="73"/>
        <v/>
      </c>
      <c r="V738" s="439" t="s">
        <v>1248</v>
      </c>
      <c r="W738" s="439" t="s">
        <v>540</v>
      </c>
      <c r="X738" s="454" t="s">
        <v>1315</v>
      </c>
      <c r="Y738" s="439" t="s">
        <v>710</v>
      </c>
      <c r="Z738" s="616" t="s">
        <v>710</v>
      </c>
      <c r="AA738" s="440" t="s">
        <v>728</v>
      </c>
      <c r="AB738" s="441">
        <f t="shared" si="74"/>
        <v>37837.83783783784</v>
      </c>
      <c r="AC738" s="442">
        <f t="shared" si="75"/>
        <v>37837.83783783784</v>
      </c>
      <c r="AD738" s="437">
        <v>22000</v>
      </c>
      <c r="AE738" s="447">
        <v>4946846.8468468469</v>
      </c>
      <c r="AF738" s="447">
        <v>5491000</v>
      </c>
      <c r="AG738" s="437">
        <v>22000</v>
      </c>
      <c r="AH738" s="271" t="s">
        <v>2101</v>
      </c>
    </row>
    <row r="739" spans="1:36">
      <c r="A739" s="350">
        <v>372</v>
      </c>
      <c r="B739" s="352" t="s">
        <v>1401</v>
      </c>
      <c r="C739" s="352" t="s">
        <v>704</v>
      </c>
      <c r="D739" s="355" t="s">
        <v>705</v>
      </c>
      <c r="E739" s="368">
        <v>45201</v>
      </c>
      <c r="F739" s="362">
        <v>45202</v>
      </c>
      <c r="G739" s="362">
        <v>45202</v>
      </c>
      <c r="H739" s="362">
        <v>45202</v>
      </c>
      <c r="I739" s="394">
        <v>45202</v>
      </c>
      <c r="J739" s="387" t="s">
        <v>241</v>
      </c>
      <c r="K739" s="387" t="s">
        <v>767</v>
      </c>
      <c r="L739" s="402">
        <v>2</v>
      </c>
      <c r="M739" s="352" t="s">
        <v>597</v>
      </c>
      <c r="N739" s="403">
        <v>5500</v>
      </c>
      <c r="O739" s="404">
        <v>11000</v>
      </c>
      <c r="P739" s="421">
        <v>11</v>
      </c>
      <c r="Q739" s="429" t="s">
        <v>144</v>
      </c>
      <c r="R739" s="437">
        <v>25000</v>
      </c>
      <c r="S739" s="438">
        <f t="shared" si="72"/>
        <v>15000</v>
      </c>
      <c r="T739" s="439" t="s">
        <v>227</v>
      </c>
      <c r="U739" s="460" t="str">
        <f t="shared" si="73"/>
        <v/>
      </c>
      <c r="V739" s="439" t="s">
        <v>1248</v>
      </c>
      <c r="W739" s="439" t="s">
        <v>540</v>
      </c>
      <c r="X739" s="454" t="s">
        <v>1315</v>
      </c>
      <c r="Y739" s="428" t="s">
        <v>710</v>
      </c>
      <c r="Z739" s="616" t="s">
        <v>710</v>
      </c>
      <c r="AA739" s="440" t="s">
        <v>774</v>
      </c>
      <c r="AB739" s="441">
        <f t="shared" si="74"/>
        <v>4954.9549549549547</v>
      </c>
      <c r="AC739" s="442">
        <f t="shared" si="75"/>
        <v>9909.9099099099094</v>
      </c>
      <c r="AD739" s="437">
        <v>25000</v>
      </c>
      <c r="AE739" s="447">
        <v>4946846.8468468469</v>
      </c>
      <c r="AF739" s="447">
        <v>5491000</v>
      </c>
      <c r="AG739" s="437">
        <v>25000</v>
      </c>
      <c r="AH739" s="271" t="s">
        <v>2101</v>
      </c>
    </row>
    <row r="740" spans="1:36">
      <c r="A740" s="350">
        <v>372</v>
      </c>
      <c r="B740" s="352" t="s">
        <v>1401</v>
      </c>
      <c r="C740" s="352" t="s">
        <v>704</v>
      </c>
      <c r="D740" s="355" t="s">
        <v>705</v>
      </c>
      <c r="E740" s="368">
        <v>45201</v>
      </c>
      <c r="F740" s="362">
        <v>45202</v>
      </c>
      <c r="G740" s="362">
        <v>45202</v>
      </c>
      <c r="H740" s="362">
        <v>45202</v>
      </c>
      <c r="I740" s="394">
        <v>45202</v>
      </c>
      <c r="J740" s="387" t="s">
        <v>923</v>
      </c>
      <c r="K740" s="387" t="s">
        <v>923</v>
      </c>
      <c r="L740" s="402">
        <v>2</v>
      </c>
      <c r="M740" s="352" t="s">
        <v>488</v>
      </c>
      <c r="N740" s="403">
        <v>20000</v>
      </c>
      <c r="O740" s="404">
        <v>40000</v>
      </c>
      <c r="P740" s="421">
        <v>11</v>
      </c>
      <c r="Q740" s="429" t="s">
        <v>129</v>
      </c>
      <c r="R740" s="437">
        <v>150000</v>
      </c>
      <c r="S740" s="438">
        <f t="shared" si="72"/>
        <v>44000</v>
      </c>
      <c r="T740" s="439" t="s">
        <v>227</v>
      </c>
      <c r="U740" s="460" t="str">
        <f t="shared" si="73"/>
        <v/>
      </c>
      <c r="V740" s="439" t="s">
        <v>1248</v>
      </c>
      <c r="W740" s="439" t="s">
        <v>540</v>
      </c>
      <c r="X740" s="454" t="s">
        <v>1315</v>
      </c>
      <c r="Y740" s="439" t="s">
        <v>710</v>
      </c>
      <c r="Z740" s="616" t="s">
        <v>710</v>
      </c>
      <c r="AA740" s="440" t="s">
        <v>488</v>
      </c>
      <c r="AB740" s="441">
        <f t="shared" si="74"/>
        <v>18018.018018018018</v>
      </c>
      <c r="AC740" s="442">
        <f t="shared" si="75"/>
        <v>36036.036036036036</v>
      </c>
      <c r="AD740" s="437">
        <v>150000</v>
      </c>
      <c r="AE740" s="447">
        <v>4946846.8468468469</v>
      </c>
      <c r="AF740" s="447">
        <v>5491000</v>
      </c>
      <c r="AG740" s="437">
        <v>150000</v>
      </c>
      <c r="AH740" s="271" t="s">
        <v>2101</v>
      </c>
    </row>
    <row r="741" spans="1:36">
      <c r="A741" s="350">
        <v>372</v>
      </c>
      <c r="B741" s="352" t="s">
        <v>1401</v>
      </c>
      <c r="C741" s="352" t="s">
        <v>704</v>
      </c>
      <c r="D741" s="355" t="s">
        <v>705</v>
      </c>
      <c r="E741" s="368">
        <v>45201</v>
      </c>
      <c r="F741" s="362">
        <v>45202</v>
      </c>
      <c r="G741" s="362">
        <v>45202</v>
      </c>
      <c r="H741" s="362">
        <v>45202</v>
      </c>
      <c r="I741" s="394">
        <v>45202</v>
      </c>
      <c r="J741" s="389" t="s">
        <v>755</v>
      </c>
      <c r="K741" s="389" t="s">
        <v>755</v>
      </c>
      <c r="L741" s="402">
        <v>1</v>
      </c>
      <c r="M741" s="352" t="s">
        <v>756</v>
      </c>
      <c r="N741" s="403">
        <v>26000</v>
      </c>
      <c r="O741" s="404">
        <v>26000</v>
      </c>
      <c r="P741" s="421">
        <v>11</v>
      </c>
      <c r="Q741" s="429" t="s">
        <v>763</v>
      </c>
      <c r="R741" s="437">
        <v>15000</v>
      </c>
      <c r="S741" s="438">
        <f t="shared" si="72"/>
        <v>28000</v>
      </c>
      <c r="T741" s="439" t="s">
        <v>227</v>
      </c>
      <c r="U741" s="460" t="str">
        <f t="shared" si="73"/>
        <v/>
      </c>
      <c r="V741" s="439" t="s">
        <v>1248</v>
      </c>
      <c r="W741" s="439" t="s">
        <v>540</v>
      </c>
      <c r="X741" s="454" t="s">
        <v>1315</v>
      </c>
      <c r="Y741" s="439" t="s">
        <v>710</v>
      </c>
      <c r="Z741" s="616" t="s">
        <v>710</v>
      </c>
      <c r="AA741" s="440" t="s">
        <v>551</v>
      </c>
      <c r="AB741" s="441">
        <f t="shared" si="74"/>
        <v>23423.423423423425</v>
      </c>
      <c r="AC741" s="442">
        <f t="shared" si="75"/>
        <v>23423.423423423425</v>
      </c>
      <c r="AD741" s="437">
        <v>15000</v>
      </c>
      <c r="AE741" s="447">
        <v>4946846.8468468469</v>
      </c>
      <c r="AF741" s="447">
        <v>5491000</v>
      </c>
      <c r="AG741" s="437">
        <v>15000</v>
      </c>
      <c r="AH741" s="271" t="s">
        <v>2101</v>
      </c>
    </row>
    <row r="742" spans="1:36">
      <c r="A742" s="350">
        <v>372</v>
      </c>
      <c r="B742" s="352" t="s">
        <v>1401</v>
      </c>
      <c r="C742" s="352" t="s">
        <v>704</v>
      </c>
      <c r="D742" s="355" t="s">
        <v>705</v>
      </c>
      <c r="E742" s="368">
        <v>45201</v>
      </c>
      <c r="F742" s="362">
        <v>45202</v>
      </c>
      <c r="G742" s="362">
        <v>45202</v>
      </c>
      <c r="H742" s="362">
        <v>45202</v>
      </c>
      <c r="I742" s="394">
        <v>45202</v>
      </c>
      <c r="J742" s="387" t="s">
        <v>919</v>
      </c>
      <c r="K742" s="388" t="s">
        <v>920</v>
      </c>
      <c r="L742" s="402">
        <v>19</v>
      </c>
      <c r="M742" s="352" t="s">
        <v>488</v>
      </c>
      <c r="N742" s="403">
        <v>20000</v>
      </c>
      <c r="O742" s="404">
        <v>380000</v>
      </c>
      <c r="P742" s="421">
        <v>11</v>
      </c>
      <c r="Q742" s="429" t="s">
        <v>161</v>
      </c>
      <c r="R742" s="437">
        <v>30000</v>
      </c>
      <c r="S742" s="438">
        <f t="shared" si="72"/>
        <v>418000</v>
      </c>
      <c r="T742" s="439" t="s">
        <v>227</v>
      </c>
      <c r="U742" s="460" t="str">
        <f t="shared" si="73"/>
        <v/>
      </c>
      <c r="V742" s="439" t="s">
        <v>1248</v>
      </c>
      <c r="W742" s="439" t="s">
        <v>540</v>
      </c>
      <c r="X742" s="454" t="s">
        <v>1315</v>
      </c>
      <c r="Y742" s="439" t="s">
        <v>710</v>
      </c>
      <c r="Z742" s="616" t="s">
        <v>710</v>
      </c>
      <c r="AA742" s="440" t="s">
        <v>488</v>
      </c>
      <c r="AB742" s="441">
        <f t="shared" si="74"/>
        <v>18018.018018018018</v>
      </c>
      <c r="AC742" s="442">
        <f t="shared" si="75"/>
        <v>342342.34234234237</v>
      </c>
      <c r="AD742" s="437">
        <v>30000</v>
      </c>
      <c r="AE742" s="447">
        <v>4946846.8468468469</v>
      </c>
      <c r="AF742" s="447">
        <v>5491000</v>
      </c>
      <c r="AG742" s="437">
        <v>30000</v>
      </c>
      <c r="AH742" s="271" t="s">
        <v>2101</v>
      </c>
      <c r="AI742" s="424"/>
      <c r="AJ742" s="424"/>
    </row>
    <row r="743" spans="1:36">
      <c r="A743" s="350">
        <v>372</v>
      </c>
      <c r="B743" s="352" t="s">
        <v>1401</v>
      </c>
      <c r="C743" s="352" t="s">
        <v>704</v>
      </c>
      <c r="D743" s="355" t="s">
        <v>705</v>
      </c>
      <c r="E743" s="368">
        <v>45201</v>
      </c>
      <c r="F743" s="362">
        <v>45202</v>
      </c>
      <c r="G743" s="362">
        <v>45202</v>
      </c>
      <c r="H743" s="362">
        <v>45202</v>
      </c>
      <c r="I743" s="394">
        <v>45202</v>
      </c>
      <c r="J743" s="389" t="s">
        <v>233</v>
      </c>
      <c r="K743" s="389" t="s">
        <v>233</v>
      </c>
      <c r="L743" s="402">
        <v>1</v>
      </c>
      <c r="M743" s="262"/>
      <c r="N743" s="403">
        <v>97000</v>
      </c>
      <c r="O743" s="404">
        <v>97000</v>
      </c>
      <c r="P743" s="421">
        <v>11</v>
      </c>
      <c r="Q743" s="429" t="s">
        <v>113</v>
      </c>
      <c r="R743" s="437">
        <v>26000</v>
      </c>
      <c r="S743" s="438">
        <f t="shared" si="72"/>
        <v>99000</v>
      </c>
      <c r="T743" s="439" t="s">
        <v>227</v>
      </c>
      <c r="U743" s="460" t="str">
        <f t="shared" si="73"/>
        <v/>
      </c>
      <c r="V743" s="439" t="s">
        <v>1248</v>
      </c>
      <c r="W743" s="439" t="s">
        <v>540</v>
      </c>
      <c r="X743" s="454" t="s">
        <v>1315</v>
      </c>
      <c r="Y743" s="439" t="s">
        <v>710</v>
      </c>
      <c r="Z743" s="616" t="s">
        <v>710</v>
      </c>
      <c r="AA743" s="440" t="s">
        <v>735</v>
      </c>
      <c r="AB743" s="441">
        <f t="shared" si="74"/>
        <v>87387.387387387382</v>
      </c>
      <c r="AC743" s="442">
        <f t="shared" si="75"/>
        <v>87387.387387387382</v>
      </c>
      <c r="AD743" s="437">
        <v>26000</v>
      </c>
      <c r="AE743" s="447">
        <v>4946846.8468468469</v>
      </c>
      <c r="AF743" s="447">
        <v>5491000</v>
      </c>
      <c r="AG743" s="437">
        <v>26000</v>
      </c>
      <c r="AH743" s="271" t="s">
        <v>2101</v>
      </c>
    </row>
    <row r="744" spans="1:36">
      <c r="A744" s="350">
        <v>372</v>
      </c>
      <c r="B744" s="352" t="s">
        <v>1401</v>
      </c>
      <c r="C744" s="352" t="s">
        <v>704</v>
      </c>
      <c r="D744" s="355" t="s">
        <v>705</v>
      </c>
      <c r="E744" s="368">
        <v>45201</v>
      </c>
      <c r="F744" s="362">
        <v>45202</v>
      </c>
      <c r="G744" s="362">
        <v>45202</v>
      </c>
      <c r="H744" s="362">
        <v>45202</v>
      </c>
      <c r="I744" s="394">
        <v>45202</v>
      </c>
      <c r="J744" s="387" t="s">
        <v>237</v>
      </c>
      <c r="K744" s="388" t="s">
        <v>717</v>
      </c>
      <c r="L744" s="402">
        <v>2</v>
      </c>
      <c r="M744" s="352" t="s">
        <v>597</v>
      </c>
      <c r="N744" s="403">
        <v>7500</v>
      </c>
      <c r="O744" s="404">
        <v>15000</v>
      </c>
      <c r="P744" s="421">
        <v>11</v>
      </c>
      <c r="Q744" s="429" t="s">
        <v>128</v>
      </c>
      <c r="R744" s="437">
        <v>1000000</v>
      </c>
      <c r="S744" s="438">
        <f t="shared" si="72"/>
        <v>19000</v>
      </c>
      <c r="T744" s="439" t="s">
        <v>227</v>
      </c>
      <c r="U744" s="460" t="str">
        <f t="shared" si="73"/>
        <v/>
      </c>
      <c r="V744" s="439" t="s">
        <v>1248</v>
      </c>
      <c r="W744" s="439" t="s">
        <v>540</v>
      </c>
      <c r="X744" s="454" t="s">
        <v>1315</v>
      </c>
      <c r="Y744" s="439" t="s">
        <v>710</v>
      </c>
      <c r="Z744" s="616" t="s">
        <v>710</v>
      </c>
      <c r="AA744" s="440" t="s">
        <v>735</v>
      </c>
      <c r="AB744" s="441">
        <f t="shared" si="74"/>
        <v>6756.7567567567567</v>
      </c>
      <c r="AC744" s="442">
        <f t="shared" si="75"/>
        <v>13513.513513513513</v>
      </c>
      <c r="AD744" s="437">
        <v>1000000</v>
      </c>
      <c r="AE744" s="447">
        <v>4946846.8468468469</v>
      </c>
      <c r="AF744" s="447">
        <v>5491000</v>
      </c>
      <c r="AG744" s="437">
        <v>1000000</v>
      </c>
      <c r="AH744" s="271" t="s">
        <v>2101</v>
      </c>
    </row>
    <row r="745" spans="1:36">
      <c r="A745" s="350">
        <v>372</v>
      </c>
      <c r="B745" s="352" t="s">
        <v>1401</v>
      </c>
      <c r="C745" s="352" t="s">
        <v>704</v>
      </c>
      <c r="D745" s="355" t="s">
        <v>705</v>
      </c>
      <c r="E745" s="368">
        <v>45201</v>
      </c>
      <c r="F745" s="362">
        <v>45202</v>
      </c>
      <c r="G745" s="362">
        <v>45202</v>
      </c>
      <c r="H745" s="362">
        <v>45202</v>
      </c>
      <c r="I745" s="394">
        <v>45202</v>
      </c>
      <c r="J745" s="389" t="s">
        <v>234</v>
      </c>
      <c r="K745" s="389" t="s">
        <v>234</v>
      </c>
      <c r="L745" s="402">
        <v>1</v>
      </c>
      <c r="M745" s="352" t="s">
        <v>714</v>
      </c>
      <c r="N745" s="403">
        <v>225000</v>
      </c>
      <c r="O745" s="404">
        <v>225000</v>
      </c>
      <c r="P745" s="421">
        <v>11</v>
      </c>
      <c r="Q745" s="429" t="s">
        <v>127</v>
      </c>
      <c r="R745" s="437">
        <v>270000</v>
      </c>
      <c r="S745" s="438">
        <f t="shared" si="72"/>
        <v>227000</v>
      </c>
      <c r="T745" s="439" t="s">
        <v>227</v>
      </c>
      <c r="U745" s="460" t="str">
        <f t="shared" si="73"/>
        <v/>
      </c>
      <c r="V745" s="439" t="s">
        <v>1248</v>
      </c>
      <c r="W745" s="439" t="s">
        <v>540</v>
      </c>
      <c r="X745" s="454" t="s">
        <v>1315</v>
      </c>
      <c r="Y745" s="439" t="s">
        <v>710</v>
      </c>
      <c r="Z745" s="449" t="s">
        <v>710</v>
      </c>
      <c r="AA745" s="440" t="s">
        <v>488</v>
      </c>
      <c r="AB745" s="441">
        <f t="shared" si="74"/>
        <v>202702.70270270269</v>
      </c>
      <c r="AC745" s="442">
        <f t="shared" si="75"/>
        <v>202702.70270270269</v>
      </c>
      <c r="AD745" s="437">
        <v>270000</v>
      </c>
      <c r="AE745" s="447">
        <v>4946846.8468468469</v>
      </c>
      <c r="AF745" s="447">
        <v>5491000</v>
      </c>
      <c r="AG745" s="437">
        <v>270000</v>
      </c>
      <c r="AH745" s="443" t="s">
        <v>2101</v>
      </c>
      <c r="AI745" s="424"/>
      <c r="AJ745" s="424"/>
    </row>
    <row r="746" spans="1:36">
      <c r="A746" s="350">
        <v>372</v>
      </c>
      <c r="B746" s="352" t="s">
        <v>1401</v>
      </c>
      <c r="C746" s="352" t="s">
        <v>704</v>
      </c>
      <c r="D746" s="355" t="s">
        <v>705</v>
      </c>
      <c r="E746" s="368">
        <v>45201</v>
      </c>
      <c r="F746" s="362">
        <v>45202</v>
      </c>
      <c r="G746" s="362">
        <v>45202</v>
      </c>
      <c r="H746" s="362">
        <v>45202</v>
      </c>
      <c r="I746" s="394">
        <v>45202</v>
      </c>
      <c r="J746" s="387" t="s">
        <v>262</v>
      </c>
      <c r="K746" s="388" t="s">
        <v>744</v>
      </c>
      <c r="L746" s="402">
        <v>1</v>
      </c>
      <c r="M746" s="352" t="s">
        <v>714</v>
      </c>
      <c r="N746" s="403">
        <v>150000</v>
      </c>
      <c r="O746" s="404">
        <v>150000</v>
      </c>
      <c r="P746" s="421">
        <v>11</v>
      </c>
      <c r="Q746" s="429" t="s">
        <v>911</v>
      </c>
      <c r="R746" s="437">
        <v>15000</v>
      </c>
      <c r="S746" s="438">
        <f t="shared" si="72"/>
        <v>152000</v>
      </c>
      <c r="T746" s="439" t="s">
        <v>227</v>
      </c>
      <c r="U746" s="460" t="str">
        <f t="shared" si="73"/>
        <v/>
      </c>
      <c r="V746" s="439" t="s">
        <v>1248</v>
      </c>
      <c r="W746" s="439" t="s">
        <v>540</v>
      </c>
      <c r="X746" s="454" t="s">
        <v>1315</v>
      </c>
      <c r="Y746" s="439" t="s">
        <v>710</v>
      </c>
      <c r="Z746" s="449" t="s">
        <v>710</v>
      </c>
      <c r="AA746" s="440" t="s">
        <v>772</v>
      </c>
      <c r="AB746" s="441">
        <f t="shared" si="74"/>
        <v>135135.13513513515</v>
      </c>
      <c r="AC746" s="442">
        <f t="shared" si="75"/>
        <v>135135.13513513515</v>
      </c>
      <c r="AD746" s="437">
        <v>15000</v>
      </c>
      <c r="AE746" s="447">
        <v>4946846.8468468469</v>
      </c>
      <c r="AF746" s="447">
        <v>5491000</v>
      </c>
      <c r="AG746" s="437">
        <v>15000</v>
      </c>
      <c r="AH746" s="443" t="s">
        <v>2101</v>
      </c>
    </row>
    <row r="747" spans="1:36">
      <c r="A747" s="350">
        <v>372</v>
      </c>
      <c r="B747" s="352" t="s">
        <v>1401</v>
      </c>
      <c r="C747" s="352" t="s">
        <v>704</v>
      </c>
      <c r="D747" s="355" t="s">
        <v>705</v>
      </c>
      <c r="E747" s="368">
        <v>45201</v>
      </c>
      <c r="F747" s="362">
        <v>45202</v>
      </c>
      <c r="G747" s="362">
        <v>45202</v>
      </c>
      <c r="H747" s="362">
        <v>45202</v>
      </c>
      <c r="I747" s="394">
        <v>45202</v>
      </c>
      <c r="J747" s="387" t="s">
        <v>259</v>
      </c>
      <c r="K747" s="388" t="s">
        <v>752</v>
      </c>
      <c r="L747" s="402">
        <v>1</v>
      </c>
      <c r="M747" s="352" t="s">
        <v>753</v>
      </c>
      <c r="N747" s="403">
        <v>35000</v>
      </c>
      <c r="O747" s="404">
        <v>35000</v>
      </c>
      <c r="P747" s="421">
        <v>11</v>
      </c>
      <c r="Q747" s="429" t="s">
        <v>106</v>
      </c>
      <c r="R747" s="437">
        <v>260000</v>
      </c>
      <c r="S747" s="438">
        <f t="shared" si="72"/>
        <v>37000</v>
      </c>
      <c r="T747" s="439" t="s">
        <v>227</v>
      </c>
      <c r="U747" s="460" t="str">
        <f t="shared" si="73"/>
        <v/>
      </c>
      <c r="V747" s="439" t="s">
        <v>1248</v>
      </c>
      <c r="W747" s="439" t="s">
        <v>540</v>
      </c>
      <c r="X747" s="454" t="s">
        <v>1315</v>
      </c>
      <c r="Y747" s="439" t="s">
        <v>710</v>
      </c>
      <c r="Z747" s="449" t="s">
        <v>710</v>
      </c>
      <c r="AA747" s="440" t="s">
        <v>551</v>
      </c>
      <c r="AB747" s="441">
        <f t="shared" si="74"/>
        <v>31531.531531531531</v>
      </c>
      <c r="AC747" s="442">
        <f t="shared" si="75"/>
        <v>31531.531531531531</v>
      </c>
      <c r="AD747" s="437">
        <v>260000</v>
      </c>
      <c r="AE747" s="447">
        <v>4946846.8468468469</v>
      </c>
      <c r="AF747" s="447">
        <v>5491000</v>
      </c>
      <c r="AG747" s="437">
        <v>260000</v>
      </c>
      <c r="AH747" s="443" t="s">
        <v>2101</v>
      </c>
      <c r="AI747" s="424"/>
      <c r="AJ747" s="424"/>
    </row>
    <row r="748" spans="1:36">
      <c r="A748" s="350">
        <v>372</v>
      </c>
      <c r="B748" s="352" t="s">
        <v>1401</v>
      </c>
      <c r="C748" s="352" t="s">
        <v>704</v>
      </c>
      <c r="D748" s="355" t="s">
        <v>705</v>
      </c>
      <c r="E748" s="368">
        <v>45201</v>
      </c>
      <c r="F748" s="362">
        <v>45202</v>
      </c>
      <c r="G748" s="362">
        <v>45202</v>
      </c>
      <c r="H748" s="362">
        <v>45202</v>
      </c>
      <c r="I748" s="394">
        <v>45202</v>
      </c>
      <c r="J748" s="387" t="s">
        <v>779</v>
      </c>
      <c r="K748" s="388" t="s">
        <v>906</v>
      </c>
      <c r="L748" s="402">
        <v>2</v>
      </c>
      <c r="M748" s="352" t="s">
        <v>753</v>
      </c>
      <c r="N748" s="403">
        <v>75000</v>
      </c>
      <c r="O748" s="404">
        <v>150000</v>
      </c>
      <c r="P748" s="421">
        <v>11</v>
      </c>
      <c r="Q748" s="429" t="s">
        <v>120</v>
      </c>
      <c r="R748" s="437">
        <v>1995000</v>
      </c>
      <c r="S748" s="438">
        <f t="shared" si="72"/>
        <v>154000</v>
      </c>
      <c r="T748" s="439" t="s">
        <v>227</v>
      </c>
      <c r="U748" s="460" t="str">
        <f t="shared" si="73"/>
        <v/>
      </c>
      <c r="V748" s="439" t="s">
        <v>1248</v>
      </c>
      <c r="W748" s="439" t="s">
        <v>540</v>
      </c>
      <c r="X748" s="454" t="s">
        <v>1315</v>
      </c>
      <c r="Y748" s="439" t="s">
        <v>710</v>
      </c>
      <c r="Z748" s="449" t="s">
        <v>710</v>
      </c>
      <c r="AA748" s="440" t="s">
        <v>488</v>
      </c>
      <c r="AB748" s="441">
        <f t="shared" si="74"/>
        <v>67567.567567567574</v>
      </c>
      <c r="AC748" s="442">
        <f t="shared" si="75"/>
        <v>135135.13513513515</v>
      </c>
      <c r="AD748" s="437">
        <v>1995000</v>
      </c>
      <c r="AE748" s="447">
        <v>4946846.8468468469</v>
      </c>
      <c r="AF748" s="447">
        <v>5491000</v>
      </c>
      <c r="AG748" s="437">
        <v>1995000</v>
      </c>
      <c r="AH748" s="443" t="s">
        <v>2101</v>
      </c>
    </row>
    <row r="749" spans="1:36">
      <c r="A749" s="350">
        <v>372</v>
      </c>
      <c r="B749" s="352" t="s">
        <v>1401</v>
      </c>
      <c r="C749" s="352" t="s">
        <v>704</v>
      </c>
      <c r="D749" s="355" t="s">
        <v>705</v>
      </c>
      <c r="E749" s="368">
        <v>45201</v>
      </c>
      <c r="F749" s="362">
        <v>45202</v>
      </c>
      <c r="G749" s="362">
        <v>45202</v>
      </c>
      <c r="H749" s="362">
        <v>45202</v>
      </c>
      <c r="I749" s="394">
        <v>45202</v>
      </c>
      <c r="J749" s="387" t="s">
        <v>263</v>
      </c>
      <c r="K749" s="388" t="s">
        <v>885</v>
      </c>
      <c r="L749" s="402">
        <v>5</v>
      </c>
      <c r="M749" s="352" t="s">
        <v>753</v>
      </c>
      <c r="N749" s="403">
        <v>12000</v>
      </c>
      <c r="O749" s="404">
        <v>60000</v>
      </c>
      <c r="P749" s="421">
        <v>11</v>
      </c>
      <c r="Q749" s="429" t="s">
        <v>909</v>
      </c>
      <c r="R749" s="437">
        <v>5000</v>
      </c>
      <c r="S749" s="438">
        <f t="shared" si="72"/>
        <v>70000</v>
      </c>
      <c r="T749" s="439" t="s">
        <v>227</v>
      </c>
      <c r="U749" s="460" t="str">
        <f t="shared" si="73"/>
        <v/>
      </c>
      <c r="V749" s="439" t="s">
        <v>1248</v>
      </c>
      <c r="W749" s="439" t="s">
        <v>540</v>
      </c>
      <c r="X749" s="454" t="s">
        <v>1315</v>
      </c>
      <c r="Y749" s="439" t="s">
        <v>710</v>
      </c>
      <c r="Z749" s="449" t="s">
        <v>710</v>
      </c>
      <c r="AA749" s="440" t="s">
        <v>667</v>
      </c>
      <c r="AB749" s="441">
        <f t="shared" si="74"/>
        <v>10810.810810810812</v>
      </c>
      <c r="AC749" s="442">
        <f t="shared" si="75"/>
        <v>54054.054054054061</v>
      </c>
      <c r="AD749" s="437">
        <v>5000</v>
      </c>
      <c r="AE749" s="447">
        <v>4946846.8468468469</v>
      </c>
      <c r="AF749" s="447">
        <v>5491000</v>
      </c>
      <c r="AG749" s="437">
        <v>5000</v>
      </c>
      <c r="AH749" s="443" t="s">
        <v>2101</v>
      </c>
    </row>
    <row r="750" spans="1:36">
      <c r="A750" s="350">
        <v>372</v>
      </c>
      <c r="B750" s="352" t="s">
        <v>1401</v>
      </c>
      <c r="C750" s="352" t="s">
        <v>704</v>
      </c>
      <c r="D750" s="355" t="s">
        <v>705</v>
      </c>
      <c r="E750" s="368">
        <v>45201</v>
      </c>
      <c r="F750" s="362">
        <v>45202</v>
      </c>
      <c r="G750" s="362">
        <v>45202</v>
      </c>
      <c r="H750" s="362">
        <v>45202</v>
      </c>
      <c r="I750" s="394">
        <v>45202</v>
      </c>
      <c r="J750" s="387" t="s">
        <v>257</v>
      </c>
      <c r="K750" s="388" t="s">
        <v>922</v>
      </c>
      <c r="L750" s="402">
        <v>10</v>
      </c>
      <c r="M750" s="352" t="s">
        <v>488</v>
      </c>
      <c r="N750" s="403">
        <v>10000</v>
      </c>
      <c r="O750" s="404">
        <v>100000</v>
      </c>
      <c r="P750" s="421">
        <v>11</v>
      </c>
      <c r="Q750" s="429" t="s">
        <v>150</v>
      </c>
      <c r="R750" s="437">
        <v>240000</v>
      </c>
      <c r="S750" s="274">
        <f t="shared" si="72"/>
        <v>120000</v>
      </c>
      <c r="T750" s="439" t="s">
        <v>227</v>
      </c>
      <c r="U750" s="460" t="str">
        <f t="shared" si="73"/>
        <v/>
      </c>
      <c r="V750" s="439" t="s">
        <v>1248</v>
      </c>
      <c r="W750" s="439" t="s">
        <v>540</v>
      </c>
      <c r="X750" s="454" t="s">
        <v>1315</v>
      </c>
      <c r="Y750" s="439" t="s">
        <v>710</v>
      </c>
      <c r="Z750" s="449" t="s">
        <v>710</v>
      </c>
      <c r="AA750" s="440" t="s">
        <v>753</v>
      </c>
      <c r="AB750" s="441">
        <f t="shared" si="74"/>
        <v>9009.0090090090089</v>
      </c>
      <c r="AC750" s="442">
        <f t="shared" si="75"/>
        <v>90090.090090090089</v>
      </c>
      <c r="AD750" s="437">
        <v>240000</v>
      </c>
      <c r="AE750" s="447">
        <v>4946846.8468468469</v>
      </c>
      <c r="AF750" s="447">
        <v>5491000</v>
      </c>
      <c r="AG750" s="437">
        <v>240000</v>
      </c>
      <c r="AH750" s="271" t="s">
        <v>2101</v>
      </c>
    </row>
    <row r="751" spans="1:36">
      <c r="A751" s="350">
        <v>372</v>
      </c>
      <c r="B751" s="352" t="s">
        <v>1401</v>
      </c>
      <c r="C751" s="352" t="s">
        <v>704</v>
      </c>
      <c r="D751" s="355" t="s">
        <v>705</v>
      </c>
      <c r="E751" s="368">
        <v>45201</v>
      </c>
      <c r="F751" s="362">
        <v>45202</v>
      </c>
      <c r="G751" s="362">
        <v>45202</v>
      </c>
      <c r="H751" s="362">
        <v>45202</v>
      </c>
      <c r="I751" s="394">
        <v>45202</v>
      </c>
      <c r="J751" s="387" t="s">
        <v>252</v>
      </c>
      <c r="K751" s="387" t="s">
        <v>786</v>
      </c>
      <c r="L751" s="402">
        <v>1</v>
      </c>
      <c r="M751" s="352" t="s">
        <v>753</v>
      </c>
      <c r="N751" s="403">
        <v>25000</v>
      </c>
      <c r="O751" s="404">
        <v>25000</v>
      </c>
      <c r="P751" s="421">
        <v>11</v>
      </c>
      <c r="Q751" s="429" t="s">
        <v>157</v>
      </c>
      <c r="R751" s="437">
        <v>84000</v>
      </c>
      <c r="S751" s="274">
        <f t="shared" si="72"/>
        <v>27000</v>
      </c>
      <c r="T751" s="439" t="s">
        <v>227</v>
      </c>
      <c r="U751" s="460" t="str">
        <f t="shared" si="73"/>
        <v/>
      </c>
      <c r="V751" s="439" t="s">
        <v>1248</v>
      </c>
      <c r="W751" s="439" t="s">
        <v>540</v>
      </c>
      <c r="X751" s="454" t="s">
        <v>1315</v>
      </c>
      <c r="Y751" s="439" t="s">
        <v>710</v>
      </c>
      <c r="Z751" s="449" t="s">
        <v>710</v>
      </c>
      <c r="AA751" s="440" t="s">
        <v>597</v>
      </c>
      <c r="AB751" s="441">
        <f t="shared" si="74"/>
        <v>22522.522522522522</v>
      </c>
      <c r="AC751" s="442">
        <f t="shared" si="75"/>
        <v>22522.522522522522</v>
      </c>
      <c r="AD751" s="437">
        <v>84000</v>
      </c>
      <c r="AE751" s="447">
        <v>4946846.8468468469</v>
      </c>
      <c r="AF751" s="447">
        <v>5491000</v>
      </c>
      <c r="AG751" s="437">
        <v>84000</v>
      </c>
      <c r="AH751" s="271" t="s">
        <v>2101</v>
      </c>
    </row>
    <row r="752" spans="1:36">
      <c r="A752" s="350">
        <v>372</v>
      </c>
      <c r="B752" s="352" t="s">
        <v>1401</v>
      </c>
      <c r="C752" s="352" t="s">
        <v>704</v>
      </c>
      <c r="D752" s="355" t="s">
        <v>705</v>
      </c>
      <c r="E752" s="368">
        <v>45201</v>
      </c>
      <c r="F752" s="362">
        <v>45202</v>
      </c>
      <c r="G752" s="362">
        <v>45202</v>
      </c>
      <c r="H752" s="362">
        <v>45202</v>
      </c>
      <c r="I752" s="394">
        <v>45202</v>
      </c>
      <c r="J752" s="387" t="s">
        <v>897</v>
      </c>
      <c r="K752" s="388" t="s">
        <v>723</v>
      </c>
      <c r="L752" s="402">
        <v>1</v>
      </c>
      <c r="M752" s="352" t="s">
        <v>724</v>
      </c>
      <c r="N752" s="403">
        <v>45000</v>
      </c>
      <c r="O752" s="404">
        <v>45000</v>
      </c>
      <c r="P752" s="421">
        <v>11</v>
      </c>
      <c r="Q752" s="429" t="s">
        <v>112</v>
      </c>
      <c r="R752" s="437">
        <v>11000</v>
      </c>
      <c r="S752" s="274">
        <f t="shared" si="72"/>
        <v>47000</v>
      </c>
      <c r="T752" s="439" t="s">
        <v>227</v>
      </c>
      <c r="U752" s="460" t="str">
        <f t="shared" si="73"/>
        <v/>
      </c>
      <c r="V752" s="439" t="s">
        <v>1248</v>
      </c>
      <c r="W752" s="439" t="s">
        <v>540</v>
      </c>
      <c r="X752" s="454" t="s">
        <v>1315</v>
      </c>
      <c r="Y752" s="428" t="s">
        <v>710</v>
      </c>
      <c r="Z752" s="449" t="s">
        <v>710</v>
      </c>
      <c r="AA752" s="440" t="s">
        <v>756</v>
      </c>
      <c r="AB752" s="441">
        <f t="shared" si="74"/>
        <v>40540.54054054054</v>
      </c>
      <c r="AC752" s="442">
        <f t="shared" si="75"/>
        <v>40540.54054054054</v>
      </c>
      <c r="AD752" s="437">
        <v>11000</v>
      </c>
      <c r="AE752" s="447">
        <v>4946846.8468468469</v>
      </c>
      <c r="AF752" s="447">
        <v>5491000</v>
      </c>
      <c r="AG752" s="437">
        <v>11000</v>
      </c>
      <c r="AH752" s="271" t="s">
        <v>2101</v>
      </c>
    </row>
    <row r="753" spans="1:36">
      <c r="A753" s="350">
        <v>372</v>
      </c>
      <c r="B753" s="352" t="s">
        <v>1401</v>
      </c>
      <c r="C753" s="352" t="s">
        <v>704</v>
      </c>
      <c r="D753" s="355" t="s">
        <v>705</v>
      </c>
      <c r="E753" s="368">
        <v>45201</v>
      </c>
      <c r="F753" s="362">
        <v>45202</v>
      </c>
      <c r="G753" s="362">
        <v>45202</v>
      </c>
      <c r="H753" s="362">
        <v>45202</v>
      </c>
      <c r="I753" s="394">
        <v>45202</v>
      </c>
      <c r="J753" s="387" t="s">
        <v>260</v>
      </c>
      <c r="K753" s="388" t="s">
        <v>891</v>
      </c>
      <c r="L753" s="402">
        <v>5</v>
      </c>
      <c r="M753" s="352" t="s">
        <v>753</v>
      </c>
      <c r="N753" s="403">
        <v>65000</v>
      </c>
      <c r="O753" s="404">
        <v>325000</v>
      </c>
      <c r="P753" s="421">
        <v>11</v>
      </c>
      <c r="Q753" s="429" t="s">
        <v>100</v>
      </c>
      <c r="R753" s="437">
        <v>26000</v>
      </c>
      <c r="S753" s="274">
        <f t="shared" si="72"/>
        <v>335000</v>
      </c>
      <c r="T753" s="439" t="s">
        <v>227</v>
      </c>
      <c r="U753" s="460" t="str">
        <f t="shared" si="73"/>
        <v/>
      </c>
      <c r="V753" s="439" t="s">
        <v>1248</v>
      </c>
      <c r="W753" s="439" t="s">
        <v>540</v>
      </c>
      <c r="X753" s="454" t="s">
        <v>1315</v>
      </c>
      <c r="Y753" s="439" t="s">
        <v>710</v>
      </c>
      <c r="Z753" s="449" t="s">
        <v>710</v>
      </c>
      <c r="AA753" s="440" t="s">
        <v>714</v>
      </c>
      <c r="AB753" s="441">
        <f t="shared" si="74"/>
        <v>58558.558558558558</v>
      </c>
      <c r="AC753" s="442">
        <f t="shared" si="75"/>
        <v>292792.79279279278</v>
      </c>
      <c r="AD753" s="437">
        <v>26000</v>
      </c>
      <c r="AE753" s="447">
        <v>4946846.8468468469</v>
      </c>
      <c r="AF753" s="447">
        <v>5491000</v>
      </c>
      <c r="AG753" s="437">
        <v>26000</v>
      </c>
      <c r="AH753" s="271" t="s">
        <v>2101</v>
      </c>
    </row>
    <row r="754" spans="1:36">
      <c r="A754" s="350">
        <v>372</v>
      </c>
      <c r="B754" s="352" t="s">
        <v>1401</v>
      </c>
      <c r="C754" s="352" t="s">
        <v>704</v>
      </c>
      <c r="D754" s="355" t="s">
        <v>705</v>
      </c>
      <c r="E754" s="368">
        <v>45201</v>
      </c>
      <c r="F754" s="362">
        <v>45202</v>
      </c>
      <c r="G754" s="362">
        <v>45202</v>
      </c>
      <c r="H754" s="362">
        <v>45202</v>
      </c>
      <c r="I754" s="394">
        <v>45202</v>
      </c>
      <c r="J754" s="387" t="s">
        <v>239</v>
      </c>
      <c r="K754" s="387" t="s">
        <v>239</v>
      </c>
      <c r="L754" s="402">
        <v>1</v>
      </c>
      <c r="M754" s="352" t="s">
        <v>597</v>
      </c>
      <c r="N754" s="403">
        <v>16500</v>
      </c>
      <c r="O754" s="404">
        <v>16500</v>
      </c>
      <c r="P754" s="421">
        <v>11</v>
      </c>
      <c r="Q754" s="429" t="s">
        <v>101</v>
      </c>
      <c r="R754" s="437">
        <v>97000</v>
      </c>
      <c r="S754" s="274">
        <f t="shared" si="72"/>
        <v>18500</v>
      </c>
      <c r="T754" s="439" t="s">
        <v>227</v>
      </c>
      <c r="U754" s="460" t="str">
        <f t="shared" si="73"/>
        <v/>
      </c>
      <c r="V754" s="439" t="s">
        <v>1248</v>
      </c>
      <c r="W754" s="439" t="s">
        <v>540</v>
      </c>
      <c r="X754" s="454" t="s">
        <v>1315</v>
      </c>
      <c r="Y754" s="439" t="s">
        <v>710</v>
      </c>
      <c r="Z754" s="449" t="s">
        <v>710</v>
      </c>
      <c r="AA754" s="440" t="s">
        <v>597</v>
      </c>
      <c r="AB754" s="441">
        <f t="shared" si="74"/>
        <v>14864.864864864865</v>
      </c>
      <c r="AC754" s="442">
        <f t="shared" si="75"/>
        <v>14864.864864864865</v>
      </c>
      <c r="AD754" s="437">
        <v>97000</v>
      </c>
      <c r="AE754" s="447">
        <v>4946846.8468468469</v>
      </c>
      <c r="AF754" s="447">
        <v>5491000</v>
      </c>
      <c r="AG754" s="437">
        <v>97000</v>
      </c>
      <c r="AH754" s="271" t="s">
        <v>2101</v>
      </c>
    </row>
    <row r="755" spans="1:36" ht="25">
      <c r="A755" s="350">
        <v>372</v>
      </c>
      <c r="B755" s="352" t="s">
        <v>1401</v>
      </c>
      <c r="C755" s="352" t="s">
        <v>704</v>
      </c>
      <c r="D755" s="355" t="s">
        <v>705</v>
      </c>
      <c r="E755" s="368">
        <v>45201</v>
      </c>
      <c r="F755" s="362">
        <v>45202</v>
      </c>
      <c r="G755" s="362">
        <v>45202</v>
      </c>
      <c r="H755" s="362">
        <v>45202</v>
      </c>
      <c r="I755" s="394">
        <v>45202</v>
      </c>
      <c r="J755" s="387" t="s">
        <v>251</v>
      </c>
      <c r="K755" s="388" t="s">
        <v>907</v>
      </c>
      <c r="L755" s="402">
        <v>2</v>
      </c>
      <c r="M755" s="352" t="s">
        <v>735</v>
      </c>
      <c r="N755" s="403">
        <v>70000</v>
      </c>
      <c r="O755" s="404">
        <v>140000</v>
      </c>
      <c r="P755" s="421">
        <v>11</v>
      </c>
      <c r="Q755" s="429" t="s">
        <v>108</v>
      </c>
      <c r="R755" s="437">
        <v>15000</v>
      </c>
      <c r="S755" s="274">
        <f t="shared" si="72"/>
        <v>144000</v>
      </c>
      <c r="T755" s="439" t="s">
        <v>227</v>
      </c>
      <c r="U755" s="460" t="str">
        <f t="shared" si="73"/>
        <v/>
      </c>
      <c r="V755" s="439" t="s">
        <v>1248</v>
      </c>
      <c r="W755" s="439" t="s">
        <v>540</v>
      </c>
      <c r="X755" s="454" t="s">
        <v>1315</v>
      </c>
      <c r="Y755" s="439" t="s">
        <v>710</v>
      </c>
      <c r="Z755" s="449" t="s">
        <v>710</v>
      </c>
      <c r="AA755" s="440" t="s">
        <v>714</v>
      </c>
      <c r="AB755" s="441">
        <f t="shared" si="74"/>
        <v>63063.063063063062</v>
      </c>
      <c r="AC755" s="442">
        <f t="shared" si="75"/>
        <v>126126.12612612612</v>
      </c>
      <c r="AD755" s="437">
        <v>15000</v>
      </c>
      <c r="AE755" s="447">
        <v>4946846.8468468469</v>
      </c>
      <c r="AF755" s="447">
        <v>5491000</v>
      </c>
      <c r="AG755" s="437">
        <v>15000</v>
      </c>
      <c r="AH755" s="271" t="s">
        <v>2101</v>
      </c>
    </row>
    <row r="756" spans="1:36">
      <c r="A756" s="350">
        <v>372</v>
      </c>
      <c r="B756" s="352" t="s">
        <v>1401</v>
      </c>
      <c r="C756" s="352" t="s">
        <v>704</v>
      </c>
      <c r="D756" s="355" t="s">
        <v>705</v>
      </c>
      <c r="E756" s="368">
        <v>45201</v>
      </c>
      <c r="F756" s="362">
        <v>45202</v>
      </c>
      <c r="G756" s="362">
        <v>45202</v>
      </c>
      <c r="H756" s="362">
        <v>45202</v>
      </c>
      <c r="I756" s="394">
        <v>45202</v>
      </c>
      <c r="J756" s="387" t="s">
        <v>249</v>
      </c>
      <c r="K756" s="387" t="s">
        <v>888</v>
      </c>
      <c r="L756" s="402">
        <v>1</v>
      </c>
      <c r="M756" s="352" t="s">
        <v>749</v>
      </c>
      <c r="N756" s="403">
        <v>21000</v>
      </c>
      <c r="O756" s="404">
        <v>21000</v>
      </c>
      <c r="P756" s="421">
        <v>11</v>
      </c>
      <c r="Q756" s="429" t="s">
        <v>102</v>
      </c>
      <c r="R756" s="437">
        <v>225000</v>
      </c>
      <c r="S756" s="274">
        <f t="shared" si="72"/>
        <v>23000</v>
      </c>
      <c r="T756" s="439" t="s">
        <v>227</v>
      </c>
      <c r="U756" s="460" t="str">
        <f t="shared" si="73"/>
        <v/>
      </c>
      <c r="V756" s="439" t="s">
        <v>1248</v>
      </c>
      <c r="W756" s="439" t="s">
        <v>540</v>
      </c>
      <c r="X756" s="454" t="s">
        <v>1315</v>
      </c>
      <c r="Y756" s="439" t="s">
        <v>710</v>
      </c>
      <c r="Z756" s="449" t="s">
        <v>710</v>
      </c>
      <c r="AA756" s="440" t="s">
        <v>714</v>
      </c>
      <c r="AB756" s="441">
        <f t="shared" si="74"/>
        <v>18918.91891891892</v>
      </c>
      <c r="AC756" s="442">
        <f t="shared" si="75"/>
        <v>18918.91891891892</v>
      </c>
      <c r="AD756" s="437">
        <v>225000</v>
      </c>
      <c r="AE756" s="447">
        <v>4946846.8468468469</v>
      </c>
      <c r="AF756" s="447">
        <v>5491000</v>
      </c>
      <c r="AG756" s="437">
        <v>225000</v>
      </c>
      <c r="AH756" s="271" t="s">
        <v>2101</v>
      </c>
    </row>
    <row r="757" spans="1:36">
      <c r="A757" s="350">
        <v>372</v>
      </c>
      <c r="B757" s="352" t="s">
        <v>1401</v>
      </c>
      <c r="C757" s="352" t="s">
        <v>704</v>
      </c>
      <c r="D757" s="355" t="s">
        <v>705</v>
      </c>
      <c r="E757" s="368">
        <v>45201</v>
      </c>
      <c r="F757" s="362">
        <v>45202</v>
      </c>
      <c r="G757" s="362">
        <v>45202</v>
      </c>
      <c r="H757" s="362">
        <v>45202</v>
      </c>
      <c r="I757" s="394">
        <v>45202</v>
      </c>
      <c r="J757" s="387" t="s">
        <v>253</v>
      </c>
      <c r="K757" s="387" t="s">
        <v>719</v>
      </c>
      <c r="L757" s="402">
        <v>1</v>
      </c>
      <c r="M757" s="352" t="s">
        <v>720</v>
      </c>
      <c r="N757" s="403">
        <v>20000</v>
      </c>
      <c r="O757" s="404">
        <v>20000</v>
      </c>
      <c r="P757" s="421">
        <v>11</v>
      </c>
      <c r="Q757" s="429" t="s">
        <v>151</v>
      </c>
      <c r="R757" s="437">
        <v>150000</v>
      </c>
      <c r="S757" s="274">
        <f t="shared" si="72"/>
        <v>22000</v>
      </c>
      <c r="T757" s="439" t="s">
        <v>227</v>
      </c>
      <c r="U757" s="460" t="str">
        <f t="shared" si="73"/>
        <v/>
      </c>
      <c r="V757" s="439" t="s">
        <v>1248</v>
      </c>
      <c r="W757" s="439" t="s">
        <v>540</v>
      </c>
      <c r="X757" s="454" t="s">
        <v>1315</v>
      </c>
      <c r="Y757" s="439" t="s">
        <v>710</v>
      </c>
      <c r="Z757" s="449" t="s">
        <v>710</v>
      </c>
      <c r="AA757" s="440" t="s">
        <v>753</v>
      </c>
      <c r="AB757" s="441">
        <f t="shared" si="74"/>
        <v>18018.018018018018</v>
      </c>
      <c r="AC757" s="442">
        <f t="shared" si="75"/>
        <v>18018.018018018018</v>
      </c>
      <c r="AD757" s="437">
        <v>150000</v>
      </c>
      <c r="AE757" s="447">
        <v>4946846.8468468469</v>
      </c>
      <c r="AF757" s="447">
        <v>5491000</v>
      </c>
      <c r="AG757" s="437">
        <v>150000</v>
      </c>
      <c r="AH757" s="271" t="s">
        <v>2101</v>
      </c>
    </row>
    <row r="758" spans="1:36">
      <c r="A758" s="350">
        <v>373</v>
      </c>
      <c r="B758" s="352" t="s">
        <v>1404</v>
      </c>
      <c r="C758" s="352" t="s">
        <v>532</v>
      </c>
      <c r="D758" s="355" t="s">
        <v>533</v>
      </c>
      <c r="E758" s="368">
        <v>45201</v>
      </c>
      <c r="F758" s="362">
        <v>45202</v>
      </c>
      <c r="G758" s="362">
        <v>45202</v>
      </c>
      <c r="H758" s="362">
        <v>45202</v>
      </c>
      <c r="I758" s="394">
        <v>45202</v>
      </c>
      <c r="J758" s="387" t="s">
        <v>276</v>
      </c>
      <c r="K758" s="387" t="s">
        <v>746</v>
      </c>
      <c r="L758" s="402">
        <v>5</v>
      </c>
      <c r="M758" s="352" t="s">
        <v>551</v>
      </c>
      <c r="N758" s="403">
        <v>18000</v>
      </c>
      <c r="O758" s="404">
        <v>90000</v>
      </c>
      <c r="P758" s="421">
        <v>11</v>
      </c>
      <c r="Q758" s="429" t="s">
        <v>148</v>
      </c>
      <c r="R758" s="437">
        <v>35000</v>
      </c>
      <c r="S758" s="274">
        <f t="shared" si="72"/>
        <v>100000</v>
      </c>
      <c r="T758" s="439" t="s">
        <v>227</v>
      </c>
      <c r="U758" s="460" t="str">
        <f t="shared" si="73"/>
        <v/>
      </c>
      <c r="V758" s="439" t="s">
        <v>1248</v>
      </c>
      <c r="W758" s="439" t="s">
        <v>540</v>
      </c>
      <c r="X758" s="454" t="s">
        <v>1315</v>
      </c>
      <c r="Y758" s="439" t="s">
        <v>710</v>
      </c>
      <c r="Z758" s="449" t="s">
        <v>710</v>
      </c>
      <c r="AA758" s="440" t="s">
        <v>753</v>
      </c>
      <c r="AB758" s="441">
        <f t="shared" si="74"/>
        <v>16216.216216216217</v>
      </c>
      <c r="AC758" s="442">
        <f t="shared" si="75"/>
        <v>81081.08108108108</v>
      </c>
      <c r="AD758" s="437">
        <v>35000</v>
      </c>
      <c r="AE758" s="447">
        <v>4946846.8468468469</v>
      </c>
      <c r="AF758" s="447">
        <v>5491000</v>
      </c>
      <c r="AG758" s="437">
        <v>35000</v>
      </c>
      <c r="AH758" s="271" t="s">
        <v>2101</v>
      </c>
    </row>
    <row r="759" spans="1:36">
      <c r="A759" s="350">
        <v>373</v>
      </c>
      <c r="B759" s="352" t="s">
        <v>1404</v>
      </c>
      <c r="C759" s="352" t="s">
        <v>532</v>
      </c>
      <c r="D759" s="355" t="s">
        <v>533</v>
      </c>
      <c r="E759" s="368">
        <v>45201</v>
      </c>
      <c r="F759" s="362">
        <v>45202</v>
      </c>
      <c r="G759" s="362">
        <v>45202</v>
      </c>
      <c r="H759" s="362">
        <v>45202</v>
      </c>
      <c r="I759" s="394">
        <v>45202</v>
      </c>
      <c r="J759" s="387" t="s">
        <v>274</v>
      </c>
      <c r="K759" s="387" t="s">
        <v>712</v>
      </c>
      <c r="L759" s="402">
        <v>10</v>
      </c>
      <c r="M759" s="352" t="s">
        <v>488</v>
      </c>
      <c r="N759" s="403">
        <v>12000</v>
      </c>
      <c r="O759" s="404">
        <v>120000</v>
      </c>
      <c r="P759" s="421">
        <v>11</v>
      </c>
      <c r="Q759" s="429" t="s">
        <v>130</v>
      </c>
      <c r="R759" s="437">
        <v>75000</v>
      </c>
      <c r="S759" s="274">
        <f t="shared" si="72"/>
        <v>140000</v>
      </c>
      <c r="T759" s="439" t="s">
        <v>227</v>
      </c>
      <c r="U759" s="460" t="str">
        <f t="shared" si="73"/>
        <v/>
      </c>
      <c r="V759" s="439" t="s">
        <v>1248</v>
      </c>
      <c r="W759" s="439" t="s">
        <v>540</v>
      </c>
      <c r="X759" s="454" t="s">
        <v>1315</v>
      </c>
      <c r="Y759" s="439" t="s">
        <v>710</v>
      </c>
      <c r="Z759" s="449" t="s">
        <v>710</v>
      </c>
      <c r="AA759" s="440" t="s">
        <v>753</v>
      </c>
      <c r="AB759" s="441">
        <f t="shared" si="74"/>
        <v>10810.810810810812</v>
      </c>
      <c r="AC759" s="442">
        <f t="shared" si="75"/>
        <v>108108.10810810812</v>
      </c>
      <c r="AD759" s="437">
        <v>75000</v>
      </c>
      <c r="AE759" s="447">
        <v>4946846.8468468469</v>
      </c>
      <c r="AF759" s="447">
        <v>5491000</v>
      </c>
      <c r="AG759" s="437">
        <v>75000</v>
      </c>
      <c r="AH759" s="271" t="s">
        <v>2101</v>
      </c>
    </row>
    <row r="760" spans="1:36">
      <c r="A760" s="350">
        <v>373</v>
      </c>
      <c r="B760" s="352" t="s">
        <v>1404</v>
      </c>
      <c r="C760" s="352" t="s">
        <v>532</v>
      </c>
      <c r="D760" s="355" t="s">
        <v>533</v>
      </c>
      <c r="E760" s="368">
        <v>45201</v>
      </c>
      <c r="F760" s="362">
        <v>45202</v>
      </c>
      <c r="G760" s="362">
        <v>45202</v>
      </c>
      <c r="H760" s="362">
        <v>45202</v>
      </c>
      <c r="I760" s="394">
        <v>45202</v>
      </c>
      <c r="J760" s="387" t="s">
        <v>267</v>
      </c>
      <c r="K760" s="387" t="s">
        <v>738</v>
      </c>
      <c r="L760" s="402">
        <v>3</v>
      </c>
      <c r="M760" s="352" t="s">
        <v>488</v>
      </c>
      <c r="N760" s="403">
        <v>200000</v>
      </c>
      <c r="O760" s="404">
        <v>600000</v>
      </c>
      <c r="P760" s="421">
        <v>11</v>
      </c>
      <c r="Q760" s="429" t="s">
        <v>156</v>
      </c>
      <c r="R760" s="437">
        <v>60000</v>
      </c>
      <c r="S760" s="274">
        <f t="shared" si="72"/>
        <v>606000</v>
      </c>
      <c r="T760" s="439" t="s">
        <v>227</v>
      </c>
      <c r="U760" s="460" t="str">
        <f t="shared" si="73"/>
        <v/>
      </c>
      <c r="V760" s="439" t="s">
        <v>1248</v>
      </c>
      <c r="W760" s="439" t="s">
        <v>540</v>
      </c>
      <c r="X760" s="454" t="s">
        <v>1315</v>
      </c>
      <c r="Y760" s="439" t="s">
        <v>710</v>
      </c>
      <c r="Z760" s="449" t="s">
        <v>710</v>
      </c>
      <c r="AA760" s="440" t="s">
        <v>753</v>
      </c>
      <c r="AB760" s="441">
        <f t="shared" si="74"/>
        <v>180180.18018018018</v>
      </c>
      <c r="AC760" s="442">
        <f t="shared" si="75"/>
        <v>540540.54054054059</v>
      </c>
      <c r="AD760" s="437">
        <v>60000</v>
      </c>
      <c r="AE760" s="447">
        <v>4946846.8468468469</v>
      </c>
      <c r="AF760" s="447">
        <v>5491000</v>
      </c>
      <c r="AG760" s="437">
        <v>60000</v>
      </c>
      <c r="AH760" s="271" t="s">
        <v>2101</v>
      </c>
    </row>
    <row r="761" spans="1:36">
      <c r="A761" s="350">
        <v>373</v>
      </c>
      <c r="B761" s="352" t="s">
        <v>1404</v>
      </c>
      <c r="C761" s="352" t="s">
        <v>532</v>
      </c>
      <c r="D761" s="355" t="s">
        <v>533</v>
      </c>
      <c r="E761" s="368">
        <v>45201</v>
      </c>
      <c r="F761" s="362">
        <v>45202</v>
      </c>
      <c r="G761" s="362">
        <v>45202</v>
      </c>
      <c r="H761" s="362">
        <v>45202</v>
      </c>
      <c r="I761" s="394">
        <v>45202</v>
      </c>
      <c r="J761" s="387" t="s">
        <v>669</v>
      </c>
      <c r="K761" s="387" t="s">
        <v>786</v>
      </c>
      <c r="L761" s="402">
        <v>20</v>
      </c>
      <c r="M761" s="352" t="s">
        <v>488</v>
      </c>
      <c r="N761" s="403">
        <v>12000</v>
      </c>
      <c r="O761" s="404">
        <v>240000</v>
      </c>
      <c r="P761" s="421">
        <v>11</v>
      </c>
      <c r="Q761" s="429" t="s">
        <v>918</v>
      </c>
      <c r="R761" s="437">
        <v>25000</v>
      </c>
      <c r="S761" s="274">
        <f t="shared" si="72"/>
        <v>280000</v>
      </c>
      <c r="T761" s="439" t="s">
        <v>227</v>
      </c>
      <c r="U761" s="460" t="str">
        <f t="shared" si="73"/>
        <v/>
      </c>
      <c r="V761" s="439" t="s">
        <v>1248</v>
      </c>
      <c r="W761" s="439" t="s">
        <v>540</v>
      </c>
      <c r="X761" s="454" t="s">
        <v>1315</v>
      </c>
      <c r="Y761" s="439" t="s">
        <v>710</v>
      </c>
      <c r="Z761" s="449" t="s">
        <v>710</v>
      </c>
      <c r="AA761" s="440" t="s">
        <v>724</v>
      </c>
      <c r="AB761" s="441">
        <f t="shared" si="74"/>
        <v>10810.810810810812</v>
      </c>
      <c r="AC761" s="442">
        <f t="shared" si="75"/>
        <v>216216.21621621624</v>
      </c>
      <c r="AD761" s="437">
        <v>25000</v>
      </c>
      <c r="AE761" s="447">
        <v>4946846.8468468469</v>
      </c>
      <c r="AF761" s="447">
        <v>5491000</v>
      </c>
      <c r="AG761" s="437">
        <v>25000</v>
      </c>
      <c r="AH761" s="271" t="s">
        <v>2101</v>
      </c>
    </row>
    <row r="762" spans="1:36">
      <c r="A762" s="350">
        <v>376</v>
      </c>
      <c r="B762" s="352" t="s">
        <v>1405</v>
      </c>
      <c r="C762" s="352" t="s">
        <v>492</v>
      </c>
      <c r="D762" s="355" t="s">
        <v>464</v>
      </c>
      <c r="E762" s="368">
        <v>45205</v>
      </c>
      <c r="F762" s="362">
        <v>45206</v>
      </c>
      <c r="G762" s="362">
        <v>45206</v>
      </c>
      <c r="H762" s="362">
        <v>45206</v>
      </c>
      <c r="I762" s="394">
        <v>45206</v>
      </c>
      <c r="J762" s="387" t="s">
        <v>494</v>
      </c>
      <c r="K762" s="387" t="s">
        <v>467</v>
      </c>
      <c r="L762" s="402">
        <v>16</v>
      </c>
      <c r="M762" s="352" t="s">
        <v>231</v>
      </c>
      <c r="N762" s="403">
        <v>35000</v>
      </c>
      <c r="O762" s="404">
        <v>560000</v>
      </c>
      <c r="P762" s="421">
        <v>11</v>
      </c>
      <c r="Q762" s="429" t="s">
        <v>125</v>
      </c>
      <c r="R762" s="437">
        <v>45000</v>
      </c>
      <c r="S762" s="274">
        <f t="shared" si="72"/>
        <v>592000</v>
      </c>
      <c r="T762" s="444" t="s">
        <v>282</v>
      </c>
      <c r="U762" s="460" t="str">
        <f t="shared" si="73"/>
        <v>Resto JFC Esther</v>
      </c>
      <c r="V762" s="444" t="s">
        <v>1258</v>
      </c>
      <c r="W762" s="444" t="s">
        <v>468</v>
      </c>
      <c r="X762" s="454" t="s">
        <v>1315</v>
      </c>
      <c r="Y762" s="439" t="s">
        <v>710</v>
      </c>
      <c r="Z762" s="449" t="s">
        <v>710</v>
      </c>
      <c r="AA762" s="440" t="s">
        <v>753</v>
      </c>
      <c r="AB762" s="441">
        <f t="shared" si="74"/>
        <v>31531.531531531531</v>
      </c>
      <c r="AC762" s="442">
        <f t="shared" si="75"/>
        <v>504504.5045045045</v>
      </c>
      <c r="AD762" s="437">
        <v>45000</v>
      </c>
      <c r="AE762" s="447">
        <v>4946846.8468468469</v>
      </c>
      <c r="AF762" s="447">
        <v>5491000</v>
      </c>
      <c r="AG762" s="437">
        <v>45000</v>
      </c>
      <c r="AH762" s="271" t="s">
        <v>2091</v>
      </c>
    </row>
    <row r="763" spans="1:36">
      <c r="A763" s="350">
        <v>377</v>
      </c>
      <c r="B763" s="352" t="s">
        <v>1406</v>
      </c>
      <c r="C763" s="352" t="s">
        <v>492</v>
      </c>
      <c r="D763" s="355" t="s">
        <v>464</v>
      </c>
      <c r="E763" s="368">
        <v>45205</v>
      </c>
      <c r="F763" s="362">
        <v>45206</v>
      </c>
      <c r="G763" s="362">
        <v>45206</v>
      </c>
      <c r="H763" s="362">
        <v>45206</v>
      </c>
      <c r="I763" s="394">
        <v>45206</v>
      </c>
      <c r="J763" s="387" t="s">
        <v>496</v>
      </c>
      <c r="K763" s="387" t="s">
        <v>484</v>
      </c>
      <c r="L763" s="402">
        <v>16</v>
      </c>
      <c r="M763" s="352" t="s">
        <v>472</v>
      </c>
      <c r="N763" s="403">
        <v>50000</v>
      </c>
      <c r="O763" s="404">
        <v>800000</v>
      </c>
      <c r="P763" s="421">
        <v>11</v>
      </c>
      <c r="Q763" s="429" t="s">
        <v>149</v>
      </c>
      <c r="R763" s="437">
        <v>325000</v>
      </c>
      <c r="S763" s="274">
        <f t="shared" si="72"/>
        <v>832000</v>
      </c>
      <c r="T763" s="439" t="s">
        <v>10</v>
      </c>
      <c r="U763" s="460" t="str">
        <f t="shared" si="73"/>
        <v/>
      </c>
      <c r="V763" s="439" t="s">
        <v>11</v>
      </c>
      <c r="W763" s="439" t="s">
        <v>473</v>
      </c>
      <c r="X763" s="454" t="s">
        <v>1315</v>
      </c>
      <c r="Y763" s="439" t="s">
        <v>710</v>
      </c>
      <c r="Z763" s="449" t="s">
        <v>710</v>
      </c>
      <c r="AA763" s="440" t="s">
        <v>597</v>
      </c>
      <c r="AB763" s="441">
        <f t="shared" si="74"/>
        <v>45045.045045045044</v>
      </c>
      <c r="AC763" s="442">
        <f t="shared" si="75"/>
        <v>720720.72072072071</v>
      </c>
      <c r="AD763" s="437">
        <v>325000</v>
      </c>
      <c r="AE763" s="447">
        <v>4946846.8468468469</v>
      </c>
      <c r="AF763" s="447">
        <v>5491000</v>
      </c>
      <c r="AG763" s="437">
        <v>325000</v>
      </c>
      <c r="AH763" s="271" t="s">
        <v>2092</v>
      </c>
    </row>
    <row r="764" spans="1:36" ht="25">
      <c r="A764" s="350">
        <v>378</v>
      </c>
      <c r="B764" s="352" t="s">
        <v>1407</v>
      </c>
      <c r="C764" s="352" t="s">
        <v>517</v>
      </c>
      <c r="D764" s="355" t="s">
        <v>464</v>
      </c>
      <c r="E764" s="368">
        <v>45207</v>
      </c>
      <c r="F764" s="362">
        <v>45208</v>
      </c>
      <c r="G764" s="362">
        <v>45208</v>
      </c>
      <c r="H764" s="362">
        <v>45208</v>
      </c>
      <c r="I764" s="394">
        <v>45208</v>
      </c>
      <c r="J764" s="387" t="s">
        <v>518</v>
      </c>
      <c r="K764" s="387" t="s">
        <v>484</v>
      </c>
      <c r="L764" s="402">
        <v>20</v>
      </c>
      <c r="M764" s="352" t="s">
        <v>472</v>
      </c>
      <c r="N764" s="403">
        <v>50000</v>
      </c>
      <c r="O764" s="404">
        <v>1000000</v>
      </c>
      <c r="P764" s="421">
        <v>11</v>
      </c>
      <c r="Q764" s="492" t="s">
        <v>110</v>
      </c>
      <c r="R764" s="437">
        <v>16500</v>
      </c>
      <c r="S764" s="274">
        <f t="shared" si="72"/>
        <v>1040000</v>
      </c>
      <c r="T764" s="439" t="s">
        <v>10</v>
      </c>
      <c r="U764" s="460" t="str">
        <f t="shared" si="73"/>
        <v/>
      </c>
      <c r="V764" s="439" t="s">
        <v>11</v>
      </c>
      <c r="W764" s="439" t="s">
        <v>473</v>
      </c>
      <c r="X764" s="454" t="s">
        <v>1315</v>
      </c>
      <c r="Y764" s="439" t="s">
        <v>710</v>
      </c>
      <c r="Z764" s="449" t="s">
        <v>710</v>
      </c>
      <c r="AA764" s="440" t="s">
        <v>735</v>
      </c>
      <c r="AB764" s="441">
        <f t="shared" si="74"/>
        <v>45045.045045045044</v>
      </c>
      <c r="AC764" s="442">
        <f t="shared" si="75"/>
        <v>900900.90090090083</v>
      </c>
      <c r="AD764" s="437">
        <v>16500</v>
      </c>
      <c r="AE764" s="447">
        <v>4946846.8468468469</v>
      </c>
      <c r="AF764" s="447">
        <v>5491000</v>
      </c>
      <c r="AG764" s="437">
        <v>16500</v>
      </c>
      <c r="AH764" s="271" t="s">
        <v>2092</v>
      </c>
    </row>
    <row r="765" spans="1:36" ht="25">
      <c r="A765" s="350">
        <v>378</v>
      </c>
      <c r="B765" s="352" t="s">
        <v>1408</v>
      </c>
      <c r="C765" s="352" t="s">
        <v>833</v>
      </c>
      <c r="D765" s="355" t="s">
        <v>464</v>
      </c>
      <c r="E765" s="368">
        <v>45207</v>
      </c>
      <c r="F765" s="362">
        <v>45208</v>
      </c>
      <c r="G765" s="362">
        <v>45208</v>
      </c>
      <c r="H765" s="362">
        <v>45208</v>
      </c>
      <c r="I765" s="394">
        <v>45208</v>
      </c>
      <c r="J765" s="387" t="s">
        <v>834</v>
      </c>
      <c r="K765" s="387" t="s">
        <v>471</v>
      </c>
      <c r="L765" s="402">
        <v>2</v>
      </c>
      <c r="M765" s="352" t="s">
        <v>472</v>
      </c>
      <c r="N765" s="403">
        <v>70000</v>
      </c>
      <c r="O765" s="404">
        <v>140000</v>
      </c>
      <c r="P765" s="421">
        <v>11</v>
      </c>
      <c r="Q765" s="492" t="s">
        <v>133</v>
      </c>
      <c r="R765" s="437">
        <v>70000</v>
      </c>
      <c r="S765" s="274">
        <f t="shared" si="72"/>
        <v>144000</v>
      </c>
      <c r="T765" s="439" t="s">
        <v>10</v>
      </c>
      <c r="U765" s="460" t="str">
        <f t="shared" si="73"/>
        <v>UD. USAHA JAYA</v>
      </c>
      <c r="V765" s="275" t="s">
        <v>11</v>
      </c>
      <c r="W765" s="439" t="s">
        <v>473</v>
      </c>
      <c r="X765" s="454" t="s">
        <v>1315</v>
      </c>
      <c r="Y765" s="439" t="s">
        <v>710</v>
      </c>
      <c r="Z765" s="449" t="s">
        <v>710</v>
      </c>
      <c r="AA765" s="440" t="s">
        <v>749</v>
      </c>
      <c r="AB765" s="441">
        <f t="shared" si="74"/>
        <v>63063.063063063062</v>
      </c>
      <c r="AC765" s="442">
        <f t="shared" si="75"/>
        <v>126126.12612612612</v>
      </c>
      <c r="AD765" s="437">
        <v>70000</v>
      </c>
      <c r="AE765" s="447">
        <v>4946846.8468468469</v>
      </c>
      <c r="AF765" s="447">
        <v>5491000</v>
      </c>
      <c r="AG765" s="437">
        <v>70000</v>
      </c>
      <c r="AH765" s="271" t="s">
        <v>2092</v>
      </c>
    </row>
    <row r="766" spans="1:36" ht="25">
      <c r="A766" s="350">
        <v>379</v>
      </c>
      <c r="B766" s="352" t="s">
        <v>1409</v>
      </c>
      <c r="C766" s="352" t="s">
        <v>833</v>
      </c>
      <c r="D766" s="355" t="s">
        <v>464</v>
      </c>
      <c r="E766" s="368">
        <v>45207</v>
      </c>
      <c r="F766" s="362">
        <v>45208</v>
      </c>
      <c r="G766" s="362">
        <v>45208</v>
      </c>
      <c r="H766" s="362">
        <v>45208</v>
      </c>
      <c r="I766" s="394">
        <v>45208</v>
      </c>
      <c r="J766" s="387" t="s">
        <v>1410</v>
      </c>
      <c r="K766" s="387" t="s">
        <v>467</v>
      </c>
      <c r="L766" s="402">
        <v>42</v>
      </c>
      <c r="M766" s="352" t="s">
        <v>231</v>
      </c>
      <c r="N766" s="403">
        <v>35000</v>
      </c>
      <c r="O766" s="404">
        <v>1470000</v>
      </c>
      <c r="P766" s="421">
        <v>11</v>
      </c>
      <c r="Q766" s="429" t="s">
        <v>131</v>
      </c>
      <c r="R766" s="437">
        <v>21000</v>
      </c>
      <c r="S766" s="274">
        <f t="shared" si="72"/>
        <v>1554000</v>
      </c>
      <c r="T766" s="444" t="s">
        <v>282</v>
      </c>
      <c r="U766" s="460" t="str">
        <f t="shared" si="73"/>
        <v>Resto JFC Esther</v>
      </c>
      <c r="V766" s="444" t="s">
        <v>1258</v>
      </c>
      <c r="W766" s="444" t="s">
        <v>468</v>
      </c>
      <c r="X766" s="454" t="s">
        <v>1315</v>
      </c>
      <c r="Y766" s="439" t="s">
        <v>710</v>
      </c>
      <c r="Z766" s="449" t="s">
        <v>710</v>
      </c>
      <c r="AA766" s="440" t="s">
        <v>720</v>
      </c>
      <c r="AB766" s="441">
        <f t="shared" si="74"/>
        <v>31531.531531531531</v>
      </c>
      <c r="AC766" s="442">
        <f t="shared" si="75"/>
        <v>1324324.3243243243</v>
      </c>
      <c r="AD766" s="437">
        <v>21000</v>
      </c>
      <c r="AE766" s="447">
        <v>4946846.8468468469</v>
      </c>
      <c r="AF766" s="447">
        <v>5491000</v>
      </c>
      <c r="AG766" s="437">
        <v>21000</v>
      </c>
      <c r="AH766" s="271" t="s">
        <v>2091</v>
      </c>
    </row>
    <row r="767" spans="1:36" ht="25">
      <c r="A767" s="350">
        <v>380</v>
      </c>
      <c r="B767" s="352" t="s">
        <v>1412</v>
      </c>
      <c r="C767" s="352" t="s">
        <v>498</v>
      </c>
      <c r="D767" s="355" t="s">
        <v>464</v>
      </c>
      <c r="E767" s="368">
        <v>45211</v>
      </c>
      <c r="F767" s="362">
        <v>45212</v>
      </c>
      <c r="G767" s="362">
        <v>45212</v>
      </c>
      <c r="H767" s="362">
        <v>45212</v>
      </c>
      <c r="I767" s="394">
        <v>45212</v>
      </c>
      <c r="J767" s="387" t="s">
        <v>500</v>
      </c>
      <c r="K767" s="387" t="s">
        <v>467</v>
      </c>
      <c r="L767" s="402">
        <v>8</v>
      </c>
      <c r="M767" s="352" t="s">
        <v>231</v>
      </c>
      <c r="N767" s="403">
        <v>35000</v>
      </c>
      <c r="O767" s="404">
        <v>280000</v>
      </c>
      <c r="P767" s="421">
        <v>11</v>
      </c>
      <c r="Q767" s="492" t="s">
        <v>140</v>
      </c>
      <c r="R767" s="437">
        <v>20000</v>
      </c>
      <c r="S767" s="274">
        <f t="shared" si="72"/>
        <v>296000</v>
      </c>
      <c r="T767" s="444" t="s">
        <v>282</v>
      </c>
      <c r="U767" s="460" t="str">
        <f t="shared" si="73"/>
        <v>Resto JFC Esther</v>
      </c>
      <c r="V767" s="444" t="s">
        <v>1258</v>
      </c>
      <c r="W767" s="444" t="s">
        <v>468</v>
      </c>
      <c r="X767" s="454" t="s">
        <v>1315</v>
      </c>
      <c r="Y767" s="439" t="s">
        <v>710</v>
      </c>
      <c r="Z767" s="449" t="s">
        <v>710</v>
      </c>
      <c r="AA767" s="440" t="s">
        <v>551</v>
      </c>
      <c r="AB767" s="441">
        <f t="shared" si="74"/>
        <v>31531.531531531531</v>
      </c>
      <c r="AC767" s="442">
        <f t="shared" si="75"/>
        <v>252252.25225225225</v>
      </c>
      <c r="AD767" s="437">
        <v>20000</v>
      </c>
      <c r="AE767" s="447">
        <v>4946846.8468468469</v>
      </c>
      <c r="AF767" s="447">
        <v>5491000</v>
      </c>
      <c r="AG767" s="437">
        <v>20000</v>
      </c>
      <c r="AH767" s="271" t="s">
        <v>2091</v>
      </c>
    </row>
    <row r="768" spans="1:36" ht="25">
      <c r="A768" s="350">
        <v>380</v>
      </c>
      <c r="B768" s="352" t="s">
        <v>1415</v>
      </c>
      <c r="C768" s="352" t="s">
        <v>507</v>
      </c>
      <c r="D768" s="355" t="s">
        <v>464</v>
      </c>
      <c r="E768" s="368">
        <v>45211</v>
      </c>
      <c r="F768" s="362">
        <v>45212</v>
      </c>
      <c r="G768" s="362">
        <v>45212</v>
      </c>
      <c r="H768" s="362">
        <v>45212</v>
      </c>
      <c r="I768" s="394">
        <v>45212</v>
      </c>
      <c r="J768" s="387" t="s">
        <v>508</v>
      </c>
      <c r="K768" s="387" t="s">
        <v>467</v>
      </c>
      <c r="L768" s="402">
        <v>8</v>
      </c>
      <c r="M768" s="352" t="s">
        <v>231</v>
      </c>
      <c r="N768" s="403">
        <v>35000</v>
      </c>
      <c r="O768" s="404">
        <v>280000</v>
      </c>
      <c r="P768" s="421">
        <v>11</v>
      </c>
      <c r="Q768" s="275"/>
      <c r="R768" s="437">
        <v>90000</v>
      </c>
      <c r="S768" s="274">
        <f t="shared" si="72"/>
        <v>296000</v>
      </c>
      <c r="T768" s="444" t="s">
        <v>282</v>
      </c>
      <c r="U768" s="460" t="str">
        <f t="shared" si="73"/>
        <v>Resto JFC Esther</v>
      </c>
      <c r="V768" s="444" t="s">
        <v>1258</v>
      </c>
      <c r="W768" s="444" t="s">
        <v>468</v>
      </c>
      <c r="X768" s="454" t="s">
        <v>1315</v>
      </c>
      <c r="Y768" s="439" t="s">
        <v>542</v>
      </c>
      <c r="Z768" s="449" t="s">
        <v>542</v>
      </c>
      <c r="AA768" s="440" t="s">
        <v>488</v>
      </c>
      <c r="AB768" s="441">
        <f t="shared" si="74"/>
        <v>31531.531531531531</v>
      </c>
      <c r="AC768" s="442">
        <f t="shared" si="75"/>
        <v>252252.25225225225</v>
      </c>
      <c r="AD768" s="437">
        <v>90000</v>
      </c>
      <c r="AE768" s="447">
        <v>297297.29729729734</v>
      </c>
      <c r="AF768" s="447">
        <v>330000</v>
      </c>
      <c r="AG768" s="437">
        <v>90000</v>
      </c>
      <c r="AH768" s="271" t="s">
        <v>2091</v>
      </c>
      <c r="AI768" s="277">
        <f>SUM(AC768:AC769)</f>
        <v>378378.37837837834</v>
      </c>
      <c r="AJ768" s="277">
        <f>SUM(AD768:AD769)</f>
        <v>330000</v>
      </c>
    </row>
    <row r="769" spans="1:36" ht="25">
      <c r="A769" s="350">
        <v>380</v>
      </c>
      <c r="B769" s="352" t="s">
        <v>1417</v>
      </c>
      <c r="C769" s="352" t="s">
        <v>512</v>
      </c>
      <c r="D769" s="355" t="s">
        <v>464</v>
      </c>
      <c r="E769" s="368">
        <v>45211</v>
      </c>
      <c r="F769" s="362">
        <v>45212</v>
      </c>
      <c r="G769" s="362">
        <v>45212</v>
      </c>
      <c r="H769" s="362">
        <v>45212</v>
      </c>
      <c r="I769" s="394">
        <v>45212</v>
      </c>
      <c r="J769" s="387" t="s">
        <v>515</v>
      </c>
      <c r="K769" s="387" t="s">
        <v>467</v>
      </c>
      <c r="L769" s="402">
        <v>4</v>
      </c>
      <c r="M769" s="352" t="s">
        <v>231</v>
      </c>
      <c r="N769" s="403">
        <v>35000</v>
      </c>
      <c r="O769" s="404">
        <v>140000</v>
      </c>
      <c r="P769" s="421">
        <v>11</v>
      </c>
      <c r="Q769" s="275"/>
      <c r="R769" s="437">
        <v>240000</v>
      </c>
      <c r="S769" s="274">
        <f t="shared" si="72"/>
        <v>148000</v>
      </c>
      <c r="T769" s="444" t="s">
        <v>282</v>
      </c>
      <c r="U769" s="460" t="str">
        <f t="shared" si="73"/>
        <v>Resto JFC Esther</v>
      </c>
      <c r="V769" s="444" t="s">
        <v>1258</v>
      </c>
      <c r="W769" s="444" t="s">
        <v>468</v>
      </c>
      <c r="X769" s="454" t="s">
        <v>1315</v>
      </c>
      <c r="Y769" s="439" t="s">
        <v>542</v>
      </c>
      <c r="Z769" s="449" t="s">
        <v>542</v>
      </c>
      <c r="AA769" s="440" t="s">
        <v>756</v>
      </c>
      <c r="AB769" s="441">
        <f t="shared" si="74"/>
        <v>31531.531531531531</v>
      </c>
      <c r="AC769" s="442">
        <f t="shared" si="75"/>
        <v>126126.12612612612</v>
      </c>
      <c r="AD769" s="437">
        <v>240000</v>
      </c>
      <c r="AE769" s="447">
        <v>297297.29729729734</v>
      </c>
      <c r="AF769" s="447">
        <v>330000</v>
      </c>
      <c r="AG769" s="437">
        <v>240000</v>
      </c>
      <c r="AH769" s="271" t="s">
        <v>2091</v>
      </c>
    </row>
    <row r="770" spans="1:36" ht="25">
      <c r="A770" s="350">
        <v>381</v>
      </c>
      <c r="B770" s="352" t="s">
        <v>1413</v>
      </c>
      <c r="C770" s="352" t="s">
        <v>498</v>
      </c>
      <c r="D770" s="355" t="s">
        <v>464</v>
      </c>
      <c r="E770" s="368">
        <v>45211</v>
      </c>
      <c r="F770" s="362">
        <v>45212</v>
      </c>
      <c r="G770" s="362">
        <v>45212</v>
      </c>
      <c r="H770" s="362">
        <v>45212</v>
      </c>
      <c r="I770" s="394">
        <v>45212</v>
      </c>
      <c r="J770" s="387" t="s">
        <v>502</v>
      </c>
      <c r="K770" s="387" t="s">
        <v>484</v>
      </c>
      <c r="L770" s="402">
        <v>16</v>
      </c>
      <c r="M770" s="352" t="s">
        <v>472</v>
      </c>
      <c r="N770" s="403">
        <v>50000</v>
      </c>
      <c r="O770" s="404">
        <v>800000</v>
      </c>
      <c r="P770" s="421">
        <v>11</v>
      </c>
      <c r="Q770" s="275"/>
      <c r="R770" s="437">
        <v>2500000</v>
      </c>
      <c r="S770" s="274">
        <f t="shared" si="72"/>
        <v>832000</v>
      </c>
      <c r="T770" s="439" t="s">
        <v>10</v>
      </c>
      <c r="U770" s="460" t="str">
        <f t="shared" si="73"/>
        <v/>
      </c>
      <c r="V770" s="439" t="s">
        <v>11</v>
      </c>
      <c r="W770" s="439" t="s">
        <v>473</v>
      </c>
      <c r="X770" s="454" t="s">
        <v>1315</v>
      </c>
      <c r="Y770" s="439" t="s">
        <v>799</v>
      </c>
      <c r="Z770" s="449"/>
      <c r="AA770" s="440" t="s">
        <v>574</v>
      </c>
      <c r="AB770" s="441">
        <f t="shared" si="74"/>
        <v>45045.045045045044</v>
      </c>
      <c r="AC770" s="442">
        <f t="shared" si="75"/>
        <v>720720.72072072071</v>
      </c>
      <c r="AD770" s="437">
        <v>2500000</v>
      </c>
      <c r="AE770" s="447">
        <v>2252252.2522522523</v>
      </c>
      <c r="AF770" s="447">
        <v>2500000</v>
      </c>
      <c r="AG770" s="437">
        <v>2500000</v>
      </c>
      <c r="AH770" s="271" t="s">
        <v>2092</v>
      </c>
    </row>
    <row r="771" spans="1:36" ht="25">
      <c r="A771" s="350">
        <v>381</v>
      </c>
      <c r="B771" s="352" t="s">
        <v>1414</v>
      </c>
      <c r="C771" s="352" t="s">
        <v>504</v>
      </c>
      <c r="D771" s="355" t="s">
        <v>464</v>
      </c>
      <c r="E771" s="368">
        <v>45211</v>
      </c>
      <c r="F771" s="362">
        <v>45212</v>
      </c>
      <c r="G771" s="362">
        <v>45212</v>
      </c>
      <c r="H771" s="362">
        <v>45212</v>
      </c>
      <c r="I771" s="394">
        <v>45212</v>
      </c>
      <c r="J771" s="387" t="s">
        <v>505</v>
      </c>
      <c r="K771" s="387" t="s">
        <v>484</v>
      </c>
      <c r="L771" s="402">
        <v>8</v>
      </c>
      <c r="M771" s="352" t="s">
        <v>472</v>
      </c>
      <c r="N771" s="403">
        <v>50000</v>
      </c>
      <c r="O771" s="404">
        <v>400000</v>
      </c>
      <c r="P771" s="421">
        <v>11</v>
      </c>
      <c r="Q771" s="428" t="s">
        <v>575</v>
      </c>
      <c r="R771" s="437">
        <v>1749000</v>
      </c>
      <c r="S771" s="274">
        <f t="shared" ref="S771:S834" si="76">L771*(N771+2000)</f>
        <v>416000</v>
      </c>
      <c r="T771" s="439" t="s">
        <v>10</v>
      </c>
      <c r="U771" s="460" t="str">
        <f t="shared" ref="U771:U834" si="77">IF(K771="Nasi Kotak","Resto JFC Esther",IF(K771="Aqua Botol 600 ml","UD. USAHA JAYA",""))</f>
        <v/>
      </c>
      <c r="V771" s="439" t="s">
        <v>11</v>
      </c>
      <c r="W771" s="439" t="s">
        <v>473</v>
      </c>
      <c r="X771" s="454" t="s">
        <v>1315</v>
      </c>
      <c r="Y771" s="439" t="str">
        <f>J771</f>
        <v>aqua gelas siswa/i peserta kegiatan ekstrakurikuler olahraga karate</v>
      </c>
      <c r="Z771" s="449" t="str">
        <f>K771</f>
        <v xml:space="preserve">Aqua Cup  </v>
      </c>
      <c r="AA771" s="440" t="s">
        <v>472</v>
      </c>
      <c r="AB771" s="441">
        <f t="shared" ref="AB771:AB834" si="78">100/111*N771</f>
        <v>45045.045045045044</v>
      </c>
      <c r="AC771" s="442">
        <f t="shared" ref="AC771:AC834" si="79">AB771*L771</f>
        <v>360360.36036036036</v>
      </c>
      <c r="AD771" s="437">
        <v>1749000</v>
      </c>
      <c r="AE771" s="447">
        <v>1575675.6756756755</v>
      </c>
      <c r="AF771" s="447">
        <v>1749000</v>
      </c>
      <c r="AG771" s="437">
        <v>1749000</v>
      </c>
      <c r="AH771" s="271" t="s">
        <v>2092</v>
      </c>
    </row>
    <row r="772" spans="1:36">
      <c r="A772" s="350">
        <v>381</v>
      </c>
      <c r="B772" s="352" t="s">
        <v>1416</v>
      </c>
      <c r="C772" s="352" t="s">
        <v>507</v>
      </c>
      <c r="D772" s="355" t="s">
        <v>464</v>
      </c>
      <c r="E772" s="368">
        <v>45211</v>
      </c>
      <c r="F772" s="362">
        <v>45212</v>
      </c>
      <c r="G772" s="362">
        <v>45212</v>
      </c>
      <c r="H772" s="362">
        <v>45212</v>
      </c>
      <c r="I772" s="394">
        <v>45212</v>
      </c>
      <c r="J772" s="387" t="s">
        <v>510</v>
      </c>
      <c r="K772" s="387" t="s">
        <v>484</v>
      </c>
      <c r="L772" s="402">
        <v>16</v>
      </c>
      <c r="M772" s="352" t="s">
        <v>472</v>
      </c>
      <c r="N772" s="403">
        <v>50000</v>
      </c>
      <c r="O772" s="404">
        <v>800000</v>
      </c>
      <c r="P772" s="421">
        <v>11</v>
      </c>
      <c r="Q772" s="427" t="s">
        <v>163</v>
      </c>
      <c r="R772" s="437">
        <v>1000000</v>
      </c>
      <c r="S772" s="274">
        <f t="shared" si="76"/>
        <v>832000</v>
      </c>
      <c r="T772" s="439" t="s">
        <v>10</v>
      </c>
      <c r="U772" s="460" t="str">
        <f t="shared" si="77"/>
        <v/>
      </c>
      <c r="V772" s="439" t="s">
        <v>11</v>
      </c>
      <c r="W772" s="439" t="s">
        <v>473</v>
      </c>
      <c r="X772" s="439" t="s">
        <v>474</v>
      </c>
      <c r="Y772" s="439" t="str">
        <f t="shared" ref="Y772:Y787" si="80">J772</f>
        <v>Air Mineral pelaksanaan kegiatan ekstrakurikuler paskibra</v>
      </c>
      <c r="Z772" s="449" t="s">
        <v>1545</v>
      </c>
      <c r="AA772" s="440" t="s">
        <v>488</v>
      </c>
      <c r="AB772" s="441">
        <f t="shared" si="78"/>
        <v>45045.045045045044</v>
      </c>
      <c r="AC772" s="442">
        <f t="shared" si="79"/>
        <v>720720.72072072071</v>
      </c>
      <c r="AD772" s="437">
        <v>1000000</v>
      </c>
      <c r="AE772" s="447">
        <v>900900.90090090083</v>
      </c>
      <c r="AF772" s="447">
        <v>1000000</v>
      </c>
      <c r="AG772" s="437">
        <v>1000000</v>
      </c>
      <c r="AH772" s="271" t="s">
        <v>2092</v>
      </c>
    </row>
    <row r="773" spans="1:36">
      <c r="A773" s="350">
        <v>381</v>
      </c>
      <c r="B773" s="352" t="s">
        <v>1418</v>
      </c>
      <c r="C773" s="352" t="s">
        <v>512</v>
      </c>
      <c r="D773" s="355" t="s">
        <v>464</v>
      </c>
      <c r="E773" s="368">
        <v>45211</v>
      </c>
      <c r="F773" s="362">
        <v>45212</v>
      </c>
      <c r="G773" s="362">
        <v>45212</v>
      </c>
      <c r="H773" s="362">
        <v>45212</v>
      </c>
      <c r="I773" s="394">
        <v>45212</v>
      </c>
      <c r="J773" s="387" t="s">
        <v>513</v>
      </c>
      <c r="K773" s="387" t="s">
        <v>484</v>
      </c>
      <c r="L773" s="402">
        <v>4</v>
      </c>
      <c r="M773" s="352" t="s">
        <v>472</v>
      </c>
      <c r="N773" s="403">
        <v>50000</v>
      </c>
      <c r="O773" s="404">
        <v>200000</v>
      </c>
      <c r="P773" s="421">
        <v>11</v>
      </c>
      <c r="Q773" s="425" t="s">
        <v>165</v>
      </c>
      <c r="R773" s="437">
        <v>6000000</v>
      </c>
      <c r="S773" s="274">
        <f t="shared" si="76"/>
        <v>208000</v>
      </c>
      <c r="T773" s="439" t="s">
        <v>10</v>
      </c>
      <c r="U773" s="460" t="str">
        <f t="shared" si="77"/>
        <v/>
      </c>
      <c r="V773" s="439" t="s">
        <v>11</v>
      </c>
      <c r="W773" s="439" t="s">
        <v>473</v>
      </c>
      <c r="X773" s="439" t="s">
        <v>490</v>
      </c>
      <c r="Y773" s="439" t="str">
        <f t="shared" si="80"/>
        <v>Air Mineral peserta kegiatan ekstrakurikuler band musik</v>
      </c>
      <c r="Z773" s="449" t="s">
        <v>280</v>
      </c>
      <c r="AA773" s="440" t="s">
        <v>231</v>
      </c>
      <c r="AB773" s="441">
        <f t="shared" si="78"/>
        <v>45045.045045045044</v>
      </c>
      <c r="AC773" s="442">
        <f t="shared" si="79"/>
        <v>180180.18018018018</v>
      </c>
      <c r="AD773" s="437">
        <v>6000000</v>
      </c>
      <c r="AE773" s="447">
        <v>5405405.405405405</v>
      </c>
      <c r="AF773" s="447">
        <v>6000000</v>
      </c>
      <c r="AG773" s="437">
        <v>6000000</v>
      </c>
      <c r="AH773" s="271" t="s">
        <v>2092</v>
      </c>
    </row>
    <row r="774" spans="1:36" ht="15.5">
      <c r="A774" s="350">
        <v>383</v>
      </c>
      <c r="B774" s="352" t="s">
        <v>1423</v>
      </c>
      <c r="C774" s="352" t="s">
        <v>1420</v>
      </c>
      <c r="D774" s="355" t="s">
        <v>1105</v>
      </c>
      <c r="E774" s="368">
        <v>45212</v>
      </c>
      <c r="F774" s="362">
        <v>45213</v>
      </c>
      <c r="G774" s="362">
        <v>45213</v>
      </c>
      <c r="H774" s="362">
        <v>45213</v>
      </c>
      <c r="I774" s="394">
        <v>45213</v>
      </c>
      <c r="J774" s="387" t="s">
        <v>1424</v>
      </c>
      <c r="K774" s="387" t="s">
        <v>467</v>
      </c>
      <c r="L774" s="402">
        <v>170</v>
      </c>
      <c r="M774" s="352" t="s">
        <v>231</v>
      </c>
      <c r="N774" s="403">
        <v>35000</v>
      </c>
      <c r="O774" s="404">
        <v>5950000</v>
      </c>
      <c r="P774" s="421">
        <v>11</v>
      </c>
      <c r="Q774" s="426" t="s">
        <v>81</v>
      </c>
      <c r="R774" s="437">
        <v>560000</v>
      </c>
      <c r="S774" s="274">
        <f t="shared" si="76"/>
        <v>6290000</v>
      </c>
      <c r="T774" s="439" t="s">
        <v>10</v>
      </c>
      <c r="U774" s="460" t="str">
        <f t="shared" si="77"/>
        <v>Resto JFC Esther</v>
      </c>
      <c r="V774" s="439" t="s">
        <v>11</v>
      </c>
      <c r="W774" s="439" t="s">
        <v>473</v>
      </c>
      <c r="X774" s="439" t="s">
        <v>468</v>
      </c>
      <c r="Y774" s="439" t="str">
        <f t="shared" si="80"/>
        <v>Konsumsi Kursus Mahir Lanjutan (KML) Pramuka</v>
      </c>
      <c r="Z774" s="449" t="s">
        <v>8</v>
      </c>
      <c r="AA774" s="440" t="s">
        <v>472</v>
      </c>
      <c r="AB774" s="441">
        <f t="shared" si="78"/>
        <v>31531.531531531531</v>
      </c>
      <c r="AC774" s="442">
        <f t="shared" si="79"/>
        <v>5360360.3603603607</v>
      </c>
      <c r="AD774" s="437">
        <v>840000</v>
      </c>
      <c r="AE774" s="447">
        <v>756756.75675675669</v>
      </c>
      <c r="AF774" s="447">
        <v>840000</v>
      </c>
      <c r="AG774" s="437">
        <v>840000</v>
      </c>
      <c r="AH774" s="271" t="s">
        <v>2092</v>
      </c>
    </row>
    <row r="775" spans="1:36" ht="25">
      <c r="A775" s="350">
        <v>384</v>
      </c>
      <c r="B775" s="352" t="s">
        <v>1425</v>
      </c>
      <c r="C775" s="352" t="s">
        <v>1420</v>
      </c>
      <c r="D775" s="355" t="s">
        <v>1105</v>
      </c>
      <c r="E775" s="368">
        <v>45212</v>
      </c>
      <c r="F775" s="362">
        <v>45213</v>
      </c>
      <c r="G775" s="362">
        <v>45213</v>
      </c>
      <c r="H775" s="362">
        <v>45213</v>
      </c>
      <c r="I775" s="394">
        <v>45213</v>
      </c>
      <c r="J775" s="387" t="s">
        <v>1426</v>
      </c>
      <c r="K775" s="387" t="s">
        <v>471</v>
      </c>
      <c r="L775" s="402">
        <v>6</v>
      </c>
      <c r="M775" s="352" t="s">
        <v>472</v>
      </c>
      <c r="N775" s="403">
        <v>70000</v>
      </c>
      <c r="O775" s="404">
        <v>420000</v>
      </c>
      <c r="P775" s="421">
        <v>11</v>
      </c>
      <c r="Q775" s="427" t="s">
        <v>163</v>
      </c>
      <c r="R775" s="437">
        <v>800000</v>
      </c>
      <c r="S775" s="274">
        <f t="shared" si="76"/>
        <v>432000</v>
      </c>
      <c r="T775" s="439" t="s">
        <v>10</v>
      </c>
      <c r="U775" s="460" t="str">
        <f t="shared" si="77"/>
        <v>UD. USAHA JAYA</v>
      </c>
      <c r="V775" s="439" t="s">
        <v>11</v>
      </c>
      <c r="W775" s="439" t="s">
        <v>473</v>
      </c>
      <c r="X775" s="439" t="s">
        <v>474</v>
      </c>
      <c r="Y775" s="439" t="str">
        <f t="shared" si="80"/>
        <v>Aqua botol kegiatan Kursus Mahir Lanjutan (KML) Pramuka</v>
      </c>
      <c r="Z775" s="449" t="s">
        <v>1545</v>
      </c>
      <c r="AA775" s="440" t="s">
        <v>231</v>
      </c>
      <c r="AB775" s="441">
        <f t="shared" si="78"/>
        <v>63063.063063063062</v>
      </c>
      <c r="AC775" s="442">
        <f t="shared" si="79"/>
        <v>378378.37837837834</v>
      </c>
      <c r="AD775" s="437">
        <v>800000</v>
      </c>
      <c r="AE775" s="447">
        <v>1441441.4414414414</v>
      </c>
      <c r="AF775" s="447">
        <v>1600000</v>
      </c>
      <c r="AG775" s="437">
        <v>800000</v>
      </c>
      <c r="AH775" s="271" t="s">
        <v>2092</v>
      </c>
      <c r="AI775" s="277">
        <f>SUM(AC775:AC776)</f>
        <v>1603603.6036036033</v>
      </c>
      <c r="AJ775" s="277">
        <f>SUM(AD775:AD776)</f>
        <v>1600000</v>
      </c>
    </row>
    <row r="776" spans="1:36">
      <c r="A776" s="350">
        <v>384</v>
      </c>
      <c r="B776" s="352" t="s">
        <v>1425</v>
      </c>
      <c r="C776" s="352" t="s">
        <v>1420</v>
      </c>
      <c r="D776" s="355" t="s">
        <v>1105</v>
      </c>
      <c r="E776" s="368">
        <v>45212</v>
      </c>
      <c r="F776" s="362">
        <v>45213</v>
      </c>
      <c r="G776" s="362">
        <v>45213</v>
      </c>
      <c r="H776" s="362">
        <v>45213</v>
      </c>
      <c r="I776" s="394">
        <v>45213</v>
      </c>
      <c r="J776" s="387" t="s">
        <v>1427</v>
      </c>
      <c r="K776" s="352" t="s">
        <v>487</v>
      </c>
      <c r="L776" s="402">
        <v>170</v>
      </c>
      <c r="M776" s="352" t="s">
        <v>488</v>
      </c>
      <c r="N776" s="403">
        <v>8000</v>
      </c>
      <c r="O776" s="404">
        <v>1360000</v>
      </c>
      <c r="P776" s="421">
        <v>11</v>
      </c>
      <c r="Q776" s="427" t="s">
        <v>163</v>
      </c>
      <c r="R776" s="437">
        <v>800000</v>
      </c>
      <c r="S776" s="274">
        <f t="shared" si="76"/>
        <v>1700000</v>
      </c>
      <c r="T776" s="439" t="s">
        <v>10</v>
      </c>
      <c r="U776" s="460" t="str">
        <f t="shared" si="77"/>
        <v/>
      </c>
      <c r="V776" s="439" t="s">
        <v>11</v>
      </c>
      <c r="W776" s="439" t="s">
        <v>473</v>
      </c>
      <c r="X776" s="439" t="s">
        <v>474</v>
      </c>
      <c r="Y776" s="439" t="str">
        <f t="shared" si="80"/>
        <v>Snack kegiatan Kursus Mahir Lanjutan (KML) Pramuka</v>
      </c>
      <c r="Z776" s="449" t="s">
        <v>1545</v>
      </c>
      <c r="AA776" s="440" t="s">
        <v>472</v>
      </c>
      <c r="AB776" s="441">
        <f t="shared" si="78"/>
        <v>7207.2072072072069</v>
      </c>
      <c r="AC776" s="442">
        <f t="shared" si="79"/>
        <v>1225225.2252252251</v>
      </c>
      <c r="AD776" s="437">
        <v>800000</v>
      </c>
      <c r="AE776" s="447">
        <v>1441441.4414414414</v>
      </c>
      <c r="AF776" s="447">
        <v>1600000</v>
      </c>
      <c r="AG776" s="437">
        <v>800000</v>
      </c>
      <c r="AH776" s="271" t="s">
        <v>2092</v>
      </c>
    </row>
    <row r="777" spans="1:36">
      <c r="A777" s="350">
        <v>384</v>
      </c>
      <c r="B777" s="352" t="s">
        <v>1425</v>
      </c>
      <c r="C777" s="352" t="s">
        <v>1420</v>
      </c>
      <c r="D777" s="355" t="s">
        <v>1105</v>
      </c>
      <c r="E777" s="368">
        <v>45212</v>
      </c>
      <c r="F777" s="362">
        <v>45213</v>
      </c>
      <c r="G777" s="362">
        <v>45213</v>
      </c>
      <c r="H777" s="362">
        <v>45213</v>
      </c>
      <c r="I777" s="394">
        <v>45213</v>
      </c>
      <c r="J777" s="387" t="s">
        <v>1428</v>
      </c>
      <c r="K777" s="387" t="s">
        <v>484</v>
      </c>
      <c r="L777" s="402">
        <v>12</v>
      </c>
      <c r="M777" s="352" t="s">
        <v>472</v>
      </c>
      <c r="N777" s="403">
        <v>50000</v>
      </c>
      <c r="O777" s="404">
        <v>600000</v>
      </c>
      <c r="P777" s="421">
        <v>11</v>
      </c>
      <c r="Q777" s="427" t="s">
        <v>163</v>
      </c>
      <c r="R777" s="437">
        <v>400000</v>
      </c>
      <c r="S777" s="274">
        <f t="shared" si="76"/>
        <v>624000</v>
      </c>
      <c r="T777" s="439" t="s">
        <v>10</v>
      </c>
      <c r="U777" s="460" t="str">
        <f t="shared" si="77"/>
        <v/>
      </c>
      <c r="V777" s="439" t="s">
        <v>11</v>
      </c>
      <c r="W777" s="439" t="s">
        <v>473</v>
      </c>
      <c r="X777" s="439" t="s">
        <v>474</v>
      </c>
      <c r="Y777" s="439" t="str">
        <f t="shared" si="80"/>
        <v>Aqua gelas Kursus Mahir Lanjutan (KML) Pramuka</v>
      </c>
      <c r="Z777" s="449" t="s">
        <v>1545</v>
      </c>
      <c r="AA777" s="440" t="s">
        <v>231</v>
      </c>
      <c r="AB777" s="441">
        <f t="shared" si="78"/>
        <v>45045.045045045044</v>
      </c>
      <c r="AC777" s="442">
        <f t="shared" si="79"/>
        <v>540540.54054054059</v>
      </c>
      <c r="AD777" s="437">
        <v>1200000</v>
      </c>
      <c r="AE777" s="447">
        <v>1081081.0810810812</v>
      </c>
      <c r="AF777" s="447">
        <v>1200000</v>
      </c>
      <c r="AG777" s="437">
        <v>1200000</v>
      </c>
      <c r="AH777" s="271" t="s">
        <v>2092</v>
      </c>
    </row>
    <row r="778" spans="1:36" ht="25">
      <c r="A778" s="350">
        <v>385</v>
      </c>
      <c r="B778" s="352" t="s">
        <v>1429</v>
      </c>
      <c r="C778" s="352" t="s">
        <v>1420</v>
      </c>
      <c r="D778" s="355" t="s">
        <v>1105</v>
      </c>
      <c r="E778" s="368">
        <v>45212</v>
      </c>
      <c r="F778" s="362">
        <v>45213</v>
      </c>
      <c r="G778" s="362">
        <v>45213</v>
      </c>
      <c r="H778" s="362">
        <v>45213</v>
      </c>
      <c r="I778" s="394">
        <v>45213</v>
      </c>
      <c r="J778" s="387" t="s">
        <v>1430</v>
      </c>
      <c r="K778" s="387" t="s">
        <v>1212</v>
      </c>
      <c r="L778" s="402">
        <f>O778/N778</f>
        <v>55</v>
      </c>
      <c r="M778" s="352" t="s">
        <v>574</v>
      </c>
      <c r="N778" s="403">
        <v>5000</v>
      </c>
      <c r="O778" s="404">
        <v>275000</v>
      </c>
      <c r="P778" s="421">
        <v>11</v>
      </c>
      <c r="Q778" s="493" t="s">
        <v>81</v>
      </c>
      <c r="R778" s="437">
        <v>280000</v>
      </c>
      <c r="S778" s="274">
        <f t="shared" si="76"/>
        <v>385000</v>
      </c>
      <c r="T778" s="439" t="s">
        <v>227</v>
      </c>
      <c r="U778" s="460" t="str">
        <f t="shared" si="77"/>
        <v/>
      </c>
      <c r="V778" s="439" t="s">
        <v>1248</v>
      </c>
      <c r="W778" s="439" t="s">
        <v>540</v>
      </c>
      <c r="X778" s="439" t="s">
        <v>468</v>
      </c>
      <c r="Y778" s="439" t="str">
        <f t="shared" si="80"/>
        <v>Cetak Sertifikat kegiatan Kursus Mahir Lanjutan (KML) Pramuka</v>
      </c>
      <c r="Z778" s="449" t="s">
        <v>8</v>
      </c>
      <c r="AA778" s="440" t="s">
        <v>472</v>
      </c>
      <c r="AB778" s="441">
        <f t="shared" si="78"/>
        <v>4504.5045045045044</v>
      </c>
      <c r="AC778" s="442">
        <f t="shared" si="79"/>
        <v>247747.74774774775</v>
      </c>
      <c r="AD778" s="437">
        <v>280000</v>
      </c>
      <c r="AE778" s="447">
        <v>252252.25225225225</v>
      </c>
      <c r="AF778" s="447">
        <v>280000</v>
      </c>
      <c r="AG778" s="437">
        <v>280000</v>
      </c>
      <c r="AH778" s="271" t="s">
        <v>2101</v>
      </c>
    </row>
    <row r="779" spans="1:36" ht="25">
      <c r="A779" s="350">
        <v>385</v>
      </c>
      <c r="B779" s="352" t="s">
        <v>1429</v>
      </c>
      <c r="C779" s="352" t="s">
        <v>1420</v>
      </c>
      <c r="D779" s="355" t="s">
        <v>1105</v>
      </c>
      <c r="E779" s="368">
        <v>45212</v>
      </c>
      <c r="F779" s="362">
        <v>45213</v>
      </c>
      <c r="G779" s="362">
        <v>45213</v>
      </c>
      <c r="H779" s="362">
        <v>45213</v>
      </c>
      <c r="I779" s="394">
        <v>45213</v>
      </c>
      <c r="J779" s="387" t="s">
        <v>1431</v>
      </c>
      <c r="K779" s="387" t="s">
        <v>1209</v>
      </c>
      <c r="L779" s="402">
        <v>1500</v>
      </c>
      <c r="M779" s="352" t="s">
        <v>574</v>
      </c>
      <c r="N779" s="405">
        <v>300</v>
      </c>
      <c r="O779" s="404">
        <v>450000</v>
      </c>
      <c r="P779" s="421">
        <v>11</v>
      </c>
      <c r="Q779" s="427" t="s">
        <v>163</v>
      </c>
      <c r="R779" s="437">
        <v>200000</v>
      </c>
      <c r="S779" s="274">
        <f t="shared" si="76"/>
        <v>3450000</v>
      </c>
      <c r="T779" s="439" t="s">
        <v>227</v>
      </c>
      <c r="U779" s="460" t="str">
        <f t="shared" si="77"/>
        <v/>
      </c>
      <c r="V779" s="439" t="s">
        <v>1248</v>
      </c>
      <c r="W779" s="439" t="s">
        <v>540</v>
      </c>
      <c r="X779" s="439" t="s">
        <v>474</v>
      </c>
      <c r="Y779" s="439" t="str">
        <f t="shared" si="80"/>
        <v>Penggandaan berkas/dokumen materi kegiatan Kursus Mahir Lanjutan (KML) Pramuka</v>
      </c>
      <c r="Z779" s="449" t="s">
        <v>1545</v>
      </c>
      <c r="AA779" s="440" t="s">
        <v>231</v>
      </c>
      <c r="AB779" s="441">
        <f t="shared" si="78"/>
        <v>270.27027027027026</v>
      </c>
      <c r="AC779" s="442">
        <f t="shared" si="79"/>
        <v>405405.40540540538</v>
      </c>
      <c r="AD779" s="437">
        <v>1200000</v>
      </c>
      <c r="AE779" s="447">
        <v>1081081.0810810812</v>
      </c>
      <c r="AF779" s="447">
        <v>1200000</v>
      </c>
      <c r="AG779" s="437">
        <v>1200000</v>
      </c>
      <c r="AH779" s="271" t="s">
        <v>2101</v>
      </c>
    </row>
    <row r="780" spans="1:36" ht="25">
      <c r="A780" s="350">
        <v>385</v>
      </c>
      <c r="B780" s="352" t="s">
        <v>1429</v>
      </c>
      <c r="C780" s="352" t="s">
        <v>1420</v>
      </c>
      <c r="D780" s="355" t="s">
        <v>1105</v>
      </c>
      <c r="E780" s="368">
        <v>45212</v>
      </c>
      <c r="F780" s="362">
        <v>45213</v>
      </c>
      <c r="G780" s="362">
        <v>45213</v>
      </c>
      <c r="H780" s="362">
        <v>45213</v>
      </c>
      <c r="I780" s="394">
        <v>45213</v>
      </c>
      <c r="J780" s="387" t="s">
        <v>1432</v>
      </c>
      <c r="K780" s="387" t="s">
        <v>1433</v>
      </c>
      <c r="L780" s="402">
        <v>55</v>
      </c>
      <c r="M780" s="352" t="s">
        <v>753</v>
      </c>
      <c r="N780" s="403">
        <v>20000</v>
      </c>
      <c r="O780" s="404">
        <v>1100000</v>
      </c>
      <c r="P780" s="421">
        <v>11</v>
      </c>
      <c r="Q780" s="426" t="s">
        <v>81</v>
      </c>
      <c r="R780" s="437">
        <v>140000</v>
      </c>
      <c r="S780" s="274">
        <f t="shared" si="76"/>
        <v>1210000</v>
      </c>
      <c r="T780" s="439" t="s">
        <v>227</v>
      </c>
      <c r="U780" s="460" t="str">
        <f t="shared" si="77"/>
        <v/>
      </c>
      <c r="V780" s="439" t="s">
        <v>1248</v>
      </c>
      <c r="W780" s="439" t="s">
        <v>540</v>
      </c>
      <c r="X780" s="439" t="s">
        <v>468</v>
      </c>
      <c r="Y780" s="439" t="str">
        <f t="shared" si="80"/>
        <v>Belanja ATK peserta kegiatan Kursus Mahir Lanjutan (KML) Pramuka</v>
      </c>
      <c r="Z780" s="449" t="s">
        <v>8</v>
      </c>
      <c r="AA780" s="440" t="s">
        <v>472</v>
      </c>
      <c r="AB780" s="441">
        <f t="shared" si="78"/>
        <v>18018.018018018018</v>
      </c>
      <c r="AC780" s="442">
        <f t="shared" si="79"/>
        <v>990990.99099099101</v>
      </c>
      <c r="AD780" s="437">
        <v>140000</v>
      </c>
      <c r="AE780" s="447">
        <v>126126.12612612612</v>
      </c>
      <c r="AF780" s="447">
        <v>140000</v>
      </c>
      <c r="AG780" s="437">
        <v>140000</v>
      </c>
      <c r="AH780" s="271" t="s">
        <v>2101</v>
      </c>
    </row>
    <row r="781" spans="1:36" ht="37.5">
      <c r="A781" s="350">
        <v>386</v>
      </c>
      <c r="B781" s="352" t="s">
        <v>1434</v>
      </c>
      <c r="C781" s="352" t="s">
        <v>821</v>
      </c>
      <c r="D781" s="355" t="s">
        <v>464</v>
      </c>
      <c r="E781" s="368">
        <v>45216</v>
      </c>
      <c r="F781" s="362">
        <v>45217</v>
      </c>
      <c r="G781" s="362">
        <v>45217</v>
      </c>
      <c r="H781" s="362">
        <v>45217</v>
      </c>
      <c r="I781" s="394">
        <v>45217</v>
      </c>
      <c r="J781" s="387" t="s">
        <v>824</v>
      </c>
      <c r="K781" s="352" t="s">
        <v>487</v>
      </c>
      <c r="L781" s="402">
        <v>60</v>
      </c>
      <c r="M781" s="352" t="s">
        <v>488</v>
      </c>
      <c r="N781" s="403">
        <v>8000</v>
      </c>
      <c r="O781" s="404">
        <v>480000</v>
      </c>
      <c r="P781" s="421">
        <v>11</v>
      </c>
      <c r="Q781" s="275"/>
      <c r="R781" s="437">
        <v>360000</v>
      </c>
      <c r="S781" s="274">
        <f t="shared" si="76"/>
        <v>600000</v>
      </c>
      <c r="T781" s="439" t="s">
        <v>10</v>
      </c>
      <c r="U781" s="460" t="str">
        <f t="shared" si="77"/>
        <v/>
      </c>
      <c r="V781" s="439" t="s">
        <v>11</v>
      </c>
      <c r="W781" s="439" t="s">
        <v>473</v>
      </c>
      <c r="X781" s="439"/>
      <c r="Y781" s="439" t="str">
        <f t="shared" si="80"/>
        <v>Snack pelaksanaan kegiatan supervisi pembelajaran semua mapel/guru di sekolah semester genap TP. 2023/2024 dan semester ganjil TP. 2023/2024</v>
      </c>
      <c r="Z781" s="449" t="s">
        <v>1555</v>
      </c>
      <c r="AA781" s="440" t="s">
        <v>587</v>
      </c>
      <c r="AB781" s="441">
        <f t="shared" si="78"/>
        <v>7207.2072072072069</v>
      </c>
      <c r="AC781" s="442">
        <f t="shared" si="79"/>
        <v>432432.43243243243</v>
      </c>
      <c r="AD781" s="437">
        <v>360000</v>
      </c>
      <c r="AE781" s="447">
        <v>324324.32432432432</v>
      </c>
      <c r="AF781" s="447">
        <v>360000</v>
      </c>
      <c r="AG781" s="437">
        <v>360000</v>
      </c>
      <c r="AH781" s="271" t="s">
        <v>2092</v>
      </c>
    </row>
    <row r="782" spans="1:36" ht="37.5">
      <c r="A782" s="350">
        <v>386</v>
      </c>
      <c r="B782" s="352" t="s">
        <v>1434</v>
      </c>
      <c r="C782" s="352" t="s">
        <v>821</v>
      </c>
      <c r="D782" s="355" t="s">
        <v>464</v>
      </c>
      <c r="E782" s="368">
        <v>45216</v>
      </c>
      <c r="F782" s="362">
        <v>45217</v>
      </c>
      <c r="G782" s="362">
        <v>45217</v>
      </c>
      <c r="H782" s="362">
        <v>45217</v>
      </c>
      <c r="I782" s="394">
        <v>45217</v>
      </c>
      <c r="J782" s="387" t="s">
        <v>822</v>
      </c>
      <c r="K782" s="387" t="s">
        <v>471</v>
      </c>
      <c r="L782" s="402">
        <v>4</v>
      </c>
      <c r="M782" s="262"/>
      <c r="N782" s="403">
        <v>70000</v>
      </c>
      <c r="O782" s="404">
        <v>280000</v>
      </c>
      <c r="P782" s="421">
        <v>11</v>
      </c>
      <c r="Q782" s="426" t="s">
        <v>81</v>
      </c>
      <c r="R782" s="437">
        <v>3500000</v>
      </c>
      <c r="S782" s="274">
        <f t="shared" si="76"/>
        <v>288000</v>
      </c>
      <c r="T782" s="439" t="s">
        <v>10</v>
      </c>
      <c r="U782" s="460" t="str">
        <f t="shared" si="77"/>
        <v>UD. USAHA JAYA</v>
      </c>
      <c r="V782" s="439" t="s">
        <v>11</v>
      </c>
      <c r="W782" s="439" t="s">
        <v>473</v>
      </c>
      <c r="X782" s="439" t="s">
        <v>468</v>
      </c>
      <c r="Y782" s="439" t="str">
        <f t="shared" si="80"/>
        <v>Aqua botol pelaksanaan kegiatan supervisi pembelajaran semua mapel/guru di sekolah semester genap TP. 2023/2024 dan semester ganjil TP. 2023/2024</v>
      </c>
      <c r="Z782" s="449" t="s">
        <v>8</v>
      </c>
      <c r="AA782" s="440" t="s">
        <v>472</v>
      </c>
      <c r="AB782" s="441">
        <f t="shared" si="78"/>
        <v>63063.063063063062</v>
      </c>
      <c r="AC782" s="442">
        <f t="shared" si="79"/>
        <v>252252.25225225225</v>
      </c>
      <c r="AD782" s="437">
        <v>3500000</v>
      </c>
      <c r="AE782" s="447">
        <v>3153153.1531531531</v>
      </c>
      <c r="AF782" s="447">
        <v>3500000</v>
      </c>
      <c r="AG782" s="437">
        <v>3500000</v>
      </c>
      <c r="AH782" s="271" t="s">
        <v>2092</v>
      </c>
    </row>
    <row r="783" spans="1:36" ht="37.5">
      <c r="A783" s="350">
        <v>387</v>
      </c>
      <c r="B783" s="352" t="s">
        <v>1435</v>
      </c>
      <c r="C783" s="352" t="s">
        <v>821</v>
      </c>
      <c r="D783" s="355" t="s">
        <v>464</v>
      </c>
      <c r="E783" s="368">
        <v>45216</v>
      </c>
      <c r="F783" s="362">
        <v>45217</v>
      </c>
      <c r="G783" s="362">
        <v>45217</v>
      </c>
      <c r="H783" s="362">
        <v>45217</v>
      </c>
      <c r="I783" s="394">
        <v>45217</v>
      </c>
      <c r="J783" s="387" t="s">
        <v>1436</v>
      </c>
      <c r="K783" s="387" t="s">
        <v>467</v>
      </c>
      <c r="L783" s="402">
        <v>60</v>
      </c>
      <c r="M783" s="352" t="s">
        <v>231</v>
      </c>
      <c r="N783" s="403">
        <v>35000</v>
      </c>
      <c r="O783" s="404">
        <v>2100000</v>
      </c>
      <c r="P783" s="421">
        <v>11</v>
      </c>
      <c r="Q783" s="425" t="s">
        <v>164</v>
      </c>
      <c r="R783" s="437">
        <v>210000</v>
      </c>
      <c r="S783" s="274">
        <f t="shared" si="76"/>
        <v>2220000</v>
      </c>
      <c r="T783" s="444" t="s">
        <v>282</v>
      </c>
      <c r="U783" s="460" t="str">
        <f t="shared" si="77"/>
        <v>Resto JFC Esther</v>
      </c>
      <c r="V783" s="444" t="s">
        <v>1258</v>
      </c>
      <c r="W783" s="444" t="s">
        <v>468</v>
      </c>
      <c r="X783" s="439" t="s">
        <v>474</v>
      </c>
      <c r="Y783" s="439" t="str">
        <f t="shared" si="80"/>
        <v>Konsumsi pelaksanaan kegiatan supervisi pembelajaran semua mapel/guru di sekolah semester genap TP. 2023/2024 dan semester ganjil TP. 2022/2023</v>
      </c>
      <c r="Z783" s="449" t="s">
        <v>1545</v>
      </c>
      <c r="AA783" s="440" t="s">
        <v>614</v>
      </c>
      <c r="AB783" s="441">
        <f t="shared" si="78"/>
        <v>31531.531531531531</v>
      </c>
      <c r="AC783" s="442">
        <f t="shared" si="79"/>
        <v>1891891.8918918918</v>
      </c>
      <c r="AD783" s="437">
        <v>210000</v>
      </c>
      <c r="AE783" s="447">
        <v>189189.18918918917</v>
      </c>
      <c r="AF783" s="447">
        <v>210000</v>
      </c>
      <c r="AG783" s="437">
        <v>210000</v>
      </c>
      <c r="AH783" s="271" t="s">
        <v>2091</v>
      </c>
    </row>
    <row r="784" spans="1:36" ht="37.5">
      <c r="A784" s="350">
        <v>388</v>
      </c>
      <c r="B784" s="352" t="s">
        <v>1437</v>
      </c>
      <c r="C784" s="352" t="s">
        <v>981</v>
      </c>
      <c r="D784" s="355" t="s">
        <v>464</v>
      </c>
      <c r="E784" s="362">
        <v>45217</v>
      </c>
      <c r="F784" s="362">
        <v>45218</v>
      </c>
      <c r="G784" s="362">
        <v>45218</v>
      </c>
      <c r="H784" s="362">
        <v>45218</v>
      </c>
      <c r="I784" s="394">
        <v>45217</v>
      </c>
      <c r="J784" s="387" t="s">
        <v>984</v>
      </c>
      <c r="K784" s="352" t="s">
        <v>487</v>
      </c>
      <c r="L784" s="402">
        <v>20</v>
      </c>
      <c r="M784" s="352" t="s">
        <v>488</v>
      </c>
      <c r="N784" s="403">
        <v>8000</v>
      </c>
      <c r="O784" s="404">
        <v>160000</v>
      </c>
      <c r="P784" s="421">
        <v>11</v>
      </c>
      <c r="Q784" s="439" t="s">
        <v>575</v>
      </c>
      <c r="R784" s="437">
        <v>1155000</v>
      </c>
      <c r="S784" s="274">
        <f t="shared" si="76"/>
        <v>200000</v>
      </c>
      <c r="T784" s="439" t="s">
        <v>10</v>
      </c>
      <c r="U784" s="460" t="str">
        <f t="shared" si="77"/>
        <v/>
      </c>
      <c r="V784" s="439" t="s">
        <v>11</v>
      </c>
      <c r="W784" s="439" t="s">
        <v>473</v>
      </c>
      <c r="X784" s="445" t="s">
        <v>541</v>
      </c>
      <c r="Y784" s="439" t="str">
        <f t="shared" si="80"/>
        <v>Belanja snack pelaksanaan kegiatan supervisi administrasi tata usaha semester genap TP. 2023/2024 dan semester ganjil TP. 2023/2024</v>
      </c>
      <c r="Z784" s="449" t="str">
        <f>K784</f>
        <v xml:space="preserve">Kue </v>
      </c>
      <c r="AA784" s="440" t="s">
        <v>597</v>
      </c>
      <c r="AB784" s="441">
        <f t="shared" si="78"/>
        <v>7207.2072072072069</v>
      </c>
      <c r="AC784" s="442">
        <f t="shared" si="79"/>
        <v>144144.14414414414</v>
      </c>
      <c r="AD784" s="437">
        <v>1155000</v>
      </c>
      <c r="AE784" s="447">
        <v>1040540.5405405405</v>
      </c>
      <c r="AF784" s="447">
        <v>1155000</v>
      </c>
      <c r="AG784" s="437">
        <v>1155000</v>
      </c>
      <c r="AH784" s="271" t="s">
        <v>2092</v>
      </c>
    </row>
    <row r="785" spans="1:36" ht="37.5">
      <c r="A785" s="350">
        <v>388</v>
      </c>
      <c r="B785" s="352" t="s">
        <v>1437</v>
      </c>
      <c r="C785" s="352" t="s">
        <v>981</v>
      </c>
      <c r="D785" s="355" t="s">
        <v>464</v>
      </c>
      <c r="E785" s="362">
        <v>45217</v>
      </c>
      <c r="F785" s="362">
        <v>45218</v>
      </c>
      <c r="G785" s="362">
        <v>45218</v>
      </c>
      <c r="H785" s="362">
        <v>45218</v>
      </c>
      <c r="I785" s="394">
        <v>45217</v>
      </c>
      <c r="J785" s="387" t="s">
        <v>982</v>
      </c>
      <c r="K785" s="387" t="s">
        <v>471</v>
      </c>
      <c r="L785" s="402">
        <v>1</v>
      </c>
      <c r="M785" s="352" t="s">
        <v>472</v>
      </c>
      <c r="N785" s="403">
        <v>70000</v>
      </c>
      <c r="O785" s="404">
        <v>70000</v>
      </c>
      <c r="P785" s="421">
        <v>11</v>
      </c>
      <c r="Q785" s="426" t="s">
        <v>81</v>
      </c>
      <c r="R785" s="437">
        <v>2450000</v>
      </c>
      <c r="S785" s="274">
        <f t="shared" si="76"/>
        <v>72000</v>
      </c>
      <c r="T785" s="439" t="s">
        <v>10</v>
      </c>
      <c r="U785" s="460" t="str">
        <f t="shared" si="77"/>
        <v>UD. USAHA JAYA</v>
      </c>
      <c r="V785" s="439" t="s">
        <v>11</v>
      </c>
      <c r="W785" s="439" t="s">
        <v>473</v>
      </c>
      <c r="X785" s="439" t="s">
        <v>468</v>
      </c>
      <c r="Y785" s="439" t="str">
        <f t="shared" si="80"/>
        <v>Belanja aqua botol pelaksanaan kegiatan supervisi administrasi tata usaha semester genap TP. 2023/2024 dan semester ganjil TP. 2023/2024</v>
      </c>
      <c r="Z785" s="449" t="s">
        <v>8</v>
      </c>
      <c r="AA785" s="440" t="s">
        <v>472</v>
      </c>
      <c r="AB785" s="441">
        <f t="shared" si="78"/>
        <v>63063.063063063062</v>
      </c>
      <c r="AC785" s="442">
        <f t="shared" si="79"/>
        <v>63063.063063063062</v>
      </c>
      <c r="AD785" s="437">
        <v>2450000</v>
      </c>
      <c r="AE785" s="447">
        <v>2207207.2072072071</v>
      </c>
      <c r="AF785" s="447">
        <v>2450000</v>
      </c>
      <c r="AG785" s="437">
        <v>2450000</v>
      </c>
      <c r="AH785" s="271" t="s">
        <v>2092</v>
      </c>
    </row>
    <row r="786" spans="1:36" ht="37.5">
      <c r="A786" s="350">
        <v>389</v>
      </c>
      <c r="B786" s="352" t="s">
        <v>1438</v>
      </c>
      <c r="C786" s="352" t="s">
        <v>981</v>
      </c>
      <c r="D786" s="355" t="s">
        <v>464</v>
      </c>
      <c r="E786" s="362">
        <v>45217</v>
      </c>
      <c r="F786" s="362">
        <v>45218</v>
      </c>
      <c r="G786" s="362">
        <v>45218</v>
      </c>
      <c r="H786" s="362">
        <v>45218</v>
      </c>
      <c r="I786" s="394">
        <v>45217</v>
      </c>
      <c r="J786" s="387" t="s">
        <v>986</v>
      </c>
      <c r="K786" s="387" t="s">
        <v>467</v>
      </c>
      <c r="L786" s="402">
        <v>20</v>
      </c>
      <c r="M786" s="352" t="s">
        <v>231</v>
      </c>
      <c r="N786" s="403">
        <v>35000</v>
      </c>
      <c r="O786" s="404">
        <v>700000</v>
      </c>
      <c r="P786" s="421">
        <v>11</v>
      </c>
      <c r="Q786" s="425" t="s">
        <v>164</v>
      </c>
      <c r="R786" s="437">
        <v>560000</v>
      </c>
      <c r="S786" s="274">
        <f t="shared" si="76"/>
        <v>740000</v>
      </c>
      <c r="T786" s="444" t="s">
        <v>282</v>
      </c>
      <c r="U786" s="460" t="str">
        <f t="shared" si="77"/>
        <v>Resto JFC Esther</v>
      </c>
      <c r="V786" s="444" t="s">
        <v>1258</v>
      </c>
      <c r="W786" s="444" t="s">
        <v>468</v>
      </c>
      <c r="X786" s="439" t="s">
        <v>474</v>
      </c>
      <c r="Y786" s="439" t="str">
        <f t="shared" si="80"/>
        <v>Belanja konsumsi pelaksanaan kegiatan supervisi administrasi tata usaha semester genap TP. 2023/2024 dan semester ganjil TP. 2023/2024</v>
      </c>
      <c r="Z786" s="449" t="s">
        <v>1545</v>
      </c>
      <c r="AA786" s="440" t="s">
        <v>488</v>
      </c>
      <c r="AB786" s="441">
        <f t="shared" si="78"/>
        <v>31531.531531531531</v>
      </c>
      <c r="AC786" s="442">
        <f t="shared" si="79"/>
        <v>630630.63063063065</v>
      </c>
      <c r="AD786" s="437">
        <v>560000</v>
      </c>
      <c r="AE786" s="447">
        <v>1513513.5135135134</v>
      </c>
      <c r="AF786" s="447">
        <v>1680000</v>
      </c>
      <c r="AG786" s="437">
        <v>560000</v>
      </c>
      <c r="AH786" s="271" t="s">
        <v>2091</v>
      </c>
      <c r="AI786" s="277">
        <f>SUM(AC786:AC787)</f>
        <v>1171171.1711711711</v>
      </c>
      <c r="AJ786" s="277">
        <f>SUM(AD786:AD787)</f>
        <v>1680000</v>
      </c>
    </row>
    <row r="787" spans="1:36">
      <c r="A787" s="350">
        <v>390</v>
      </c>
      <c r="B787" s="352" t="s">
        <v>1439</v>
      </c>
      <c r="C787" s="352" t="s">
        <v>974</v>
      </c>
      <c r="D787" s="355" t="s">
        <v>571</v>
      </c>
      <c r="E787" s="368">
        <v>45218</v>
      </c>
      <c r="F787" s="362">
        <v>45219</v>
      </c>
      <c r="G787" s="362">
        <v>45219</v>
      </c>
      <c r="H787" s="362">
        <v>45219</v>
      </c>
      <c r="I787" s="394">
        <v>45219</v>
      </c>
      <c r="J787" s="387" t="s">
        <v>1039</v>
      </c>
      <c r="K787" s="387" t="s">
        <v>296</v>
      </c>
      <c r="L787" s="402">
        <v>2</v>
      </c>
      <c r="M787" s="352" t="s">
        <v>488</v>
      </c>
      <c r="N787" s="403">
        <v>300000</v>
      </c>
      <c r="O787" s="404">
        <v>600000</v>
      </c>
      <c r="P787" s="421">
        <v>11</v>
      </c>
      <c r="Q787" s="425" t="s">
        <v>165</v>
      </c>
      <c r="R787" s="437">
        <v>1120000</v>
      </c>
      <c r="S787" s="274">
        <f t="shared" si="76"/>
        <v>604000</v>
      </c>
      <c r="T787" s="439" t="s">
        <v>1040</v>
      </c>
      <c r="U787" s="460" t="str">
        <f t="shared" si="77"/>
        <v/>
      </c>
      <c r="V787" s="439" t="s">
        <v>1561</v>
      </c>
      <c r="W787" s="444" t="s">
        <v>468</v>
      </c>
      <c r="X787" s="439" t="s">
        <v>490</v>
      </c>
      <c r="Y787" s="439" t="str">
        <f t="shared" si="80"/>
        <v>Spanduk</v>
      </c>
      <c r="Z787" s="449" t="s">
        <v>280</v>
      </c>
      <c r="AA787" s="421"/>
      <c r="AB787" s="441">
        <f t="shared" si="78"/>
        <v>270270.2702702703</v>
      </c>
      <c r="AC787" s="442">
        <f t="shared" si="79"/>
        <v>540540.54054054059</v>
      </c>
      <c r="AD787" s="437">
        <v>1120000</v>
      </c>
      <c r="AE787" s="447">
        <v>1513513.5135135134</v>
      </c>
      <c r="AF787" s="447">
        <v>1680000</v>
      </c>
      <c r="AG787" s="437">
        <v>1120000</v>
      </c>
      <c r="AH787" s="271" t="s">
        <v>2103</v>
      </c>
    </row>
    <row r="788" spans="1:36" ht="25">
      <c r="A788" s="350">
        <v>393</v>
      </c>
      <c r="B788" s="352" t="s">
        <v>1443</v>
      </c>
      <c r="C788" s="352" t="s">
        <v>1060</v>
      </c>
      <c r="D788" s="355" t="s">
        <v>464</v>
      </c>
      <c r="E788" s="368">
        <v>45218</v>
      </c>
      <c r="F788" s="362">
        <v>45219</v>
      </c>
      <c r="G788" s="362">
        <v>45219</v>
      </c>
      <c r="H788" s="362">
        <v>45219</v>
      </c>
      <c r="I788" s="394">
        <v>45219</v>
      </c>
      <c r="J788" s="387" t="s">
        <v>1066</v>
      </c>
      <c r="K788" s="352" t="s">
        <v>487</v>
      </c>
      <c r="L788" s="402">
        <v>375</v>
      </c>
      <c r="M788" s="352" t="s">
        <v>488</v>
      </c>
      <c r="N788" s="403">
        <v>8000</v>
      </c>
      <c r="O788" s="404">
        <v>3000000</v>
      </c>
      <c r="P788" s="421">
        <v>12</v>
      </c>
      <c r="Q788" s="429" t="s">
        <v>96</v>
      </c>
      <c r="R788" s="437">
        <v>40000</v>
      </c>
      <c r="S788" s="274">
        <f t="shared" si="76"/>
        <v>3750000</v>
      </c>
      <c r="T788" s="439" t="s">
        <v>10</v>
      </c>
      <c r="U788" s="460" t="str">
        <f t="shared" si="77"/>
        <v/>
      </c>
      <c r="V788" s="439" t="s">
        <v>11</v>
      </c>
      <c r="W788" s="439" t="s">
        <v>473</v>
      </c>
      <c r="X788" s="454" t="s">
        <v>1315</v>
      </c>
      <c r="Y788" s="428" t="s">
        <v>710</v>
      </c>
      <c r="Z788" s="449" t="s">
        <v>710</v>
      </c>
      <c r="AA788" s="440" t="s">
        <v>488</v>
      </c>
      <c r="AB788" s="441">
        <f t="shared" si="78"/>
        <v>7207.2072072072069</v>
      </c>
      <c r="AC788" s="442">
        <f t="shared" si="79"/>
        <v>2702702.7027027025</v>
      </c>
      <c r="AD788" s="437">
        <v>40000</v>
      </c>
      <c r="AE788" s="447">
        <v>4290540.5405405397</v>
      </c>
      <c r="AF788" s="447">
        <v>4762500</v>
      </c>
      <c r="AG788" s="437">
        <v>40000</v>
      </c>
      <c r="AH788" s="271" t="s">
        <v>2092</v>
      </c>
      <c r="AI788" s="277">
        <f>SUM(AC788:AC826)</f>
        <v>16637387.38738738</v>
      </c>
      <c r="AJ788" s="277">
        <f>SUM(AD788:AD826)</f>
        <v>4762500</v>
      </c>
    </row>
    <row r="789" spans="1:36" ht="25">
      <c r="A789" s="350">
        <v>393</v>
      </c>
      <c r="B789" s="352" t="s">
        <v>1443</v>
      </c>
      <c r="C789" s="352" t="s">
        <v>1060</v>
      </c>
      <c r="D789" s="355" t="s">
        <v>464</v>
      </c>
      <c r="E789" s="368">
        <v>45218</v>
      </c>
      <c r="F789" s="362">
        <v>45219</v>
      </c>
      <c r="G789" s="362">
        <v>45219</v>
      </c>
      <c r="H789" s="362">
        <v>45219</v>
      </c>
      <c r="I789" s="394">
        <v>45219</v>
      </c>
      <c r="J789" s="387" t="s">
        <v>1062</v>
      </c>
      <c r="K789" s="387" t="s">
        <v>484</v>
      </c>
      <c r="L789" s="402">
        <v>10</v>
      </c>
      <c r="M789" s="352" t="s">
        <v>472</v>
      </c>
      <c r="N789" s="403">
        <v>50000</v>
      </c>
      <c r="O789" s="404">
        <v>500000</v>
      </c>
      <c r="P789" s="421">
        <v>12</v>
      </c>
      <c r="Q789" s="429" t="s">
        <v>1033</v>
      </c>
      <c r="R789" s="437">
        <v>23000</v>
      </c>
      <c r="S789" s="274">
        <f t="shared" si="76"/>
        <v>520000</v>
      </c>
      <c r="T789" s="439" t="s">
        <v>10</v>
      </c>
      <c r="U789" s="460" t="str">
        <f t="shared" si="77"/>
        <v/>
      </c>
      <c r="V789" s="439" t="s">
        <v>11</v>
      </c>
      <c r="W789" s="439" t="s">
        <v>473</v>
      </c>
      <c r="X789" s="454" t="s">
        <v>1315</v>
      </c>
      <c r="Y789" s="428" t="s">
        <v>710</v>
      </c>
      <c r="Z789" s="449" t="s">
        <v>710</v>
      </c>
      <c r="AA789" s="440" t="s">
        <v>488</v>
      </c>
      <c r="AB789" s="441">
        <f t="shared" si="78"/>
        <v>45045.045045045044</v>
      </c>
      <c r="AC789" s="442">
        <f t="shared" si="79"/>
        <v>450450.45045045041</v>
      </c>
      <c r="AD789" s="437">
        <v>23000</v>
      </c>
      <c r="AE789" s="447">
        <v>4290540.5405405397</v>
      </c>
      <c r="AF789" s="447">
        <v>4762500</v>
      </c>
      <c r="AG789" s="437">
        <v>23000</v>
      </c>
      <c r="AH789" s="271" t="s">
        <v>2092</v>
      </c>
    </row>
    <row r="790" spans="1:36" ht="25">
      <c r="A790" s="350">
        <v>393</v>
      </c>
      <c r="B790" s="352" t="s">
        <v>1443</v>
      </c>
      <c r="C790" s="352" t="s">
        <v>1060</v>
      </c>
      <c r="D790" s="355" t="s">
        <v>464</v>
      </c>
      <c r="E790" s="368">
        <v>45218</v>
      </c>
      <c r="F790" s="362">
        <v>45219</v>
      </c>
      <c r="G790" s="362">
        <v>45219</v>
      </c>
      <c r="H790" s="362">
        <v>45219</v>
      </c>
      <c r="I790" s="394">
        <v>45219</v>
      </c>
      <c r="J790" s="387" t="s">
        <v>1064</v>
      </c>
      <c r="K790" s="387" t="s">
        <v>471</v>
      </c>
      <c r="L790" s="402">
        <v>2</v>
      </c>
      <c r="M790" s="352" t="s">
        <v>472</v>
      </c>
      <c r="N790" s="403">
        <v>70000</v>
      </c>
      <c r="O790" s="404">
        <v>140000</v>
      </c>
      <c r="P790" s="421">
        <v>12</v>
      </c>
      <c r="Q790" s="429" t="s">
        <v>1034</v>
      </c>
      <c r="R790" s="437">
        <v>28000</v>
      </c>
      <c r="S790" s="274">
        <f t="shared" si="76"/>
        <v>144000</v>
      </c>
      <c r="T790" s="439" t="s">
        <v>10</v>
      </c>
      <c r="U790" s="460" t="str">
        <f t="shared" si="77"/>
        <v>UD. USAHA JAYA</v>
      </c>
      <c r="V790" s="439" t="s">
        <v>11</v>
      </c>
      <c r="W790" s="439" t="s">
        <v>473</v>
      </c>
      <c r="X790" s="454" t="s">
        <v>1315</v>
      </c>
      <c r="Y790" s="428" t="s">
        <v>710</v>
      </c>
      <c r="Z790" s="449" t="s">
        <v>710</v>
      </c>
      <c r="AA790" s="440" t="s">
        <v>488</v>
      </c>
      <c r="AB790" s="441">
        <f t="shared" si="78"/>
        <v>63063.063063063062</v>
      </c>
      <c r="AC790" s="442">
        <f t="shared" si="79"/>
        <v>126126.12612612612</v>
      </c>
      <c r="AD790" s="437">
        <v>28000</v>
      </c>
      <c r="AE790" s="447">
        <v>4290540.5405405397</v>
      </c>
      <c r="AF790" s="447">
        <v>4762500</v>
      </c>
      <c r="AG790" s="437">
        <v>28000</v>
      </c>
      <c r="AH790" s="271" t="s">
        <v>2092</v>
      </c>
    </row>
    <row r="791" spans="1:36" ht="25">
      <c r="A791" s="350">
        <v>394</v>
      </c>
      <c r="B791" s="352" t="s">
        <v>1444</v>
      </c>
      <c r="C791" s="352" t="s">
        <v>1060</v>
      </c>
      <c r="D791" s="355" t="s">
        <v>464</v>
      </c>
      <c r="E791" s="368">
        <v>45218</v>
      </c>
      <c r="F791" s="362">
        <v>45219</v>
      </c>
      <c r="G791" s="362">
        <v>45219</v>
      </c>
      <c r="H791" s="362">
        <v>45219</v>
      </c>
      <c r="I791" s="394">
        <v>45219</v>
      </c>
      <c r="J791" s="387" t="s">
        <v>1318</v>
      </c>
      <c r="K791" s="387" t="s">
        <v>467</v>
      </c>
      <c r="L791" s="402">
        <v>16</v>
      </c>
      <c r="M791" s="352" t="s">
        <v>231</v>
      </c>
      <c r="N791" s="403">
        <v>35000</v>
      </c>
      <c r="O791" s="404">
        <v>560000</v>
      </c>
      <c r="P791" s="421">
        <v>12</v>
      </c>
      <c r="Q791" s="429" t="s">
        <v>139</v>
      </c>
      <c r="R791" s="437">
        <v>40000</v>
      </c>
      <c r="S791" s="274">
        <f t="shared" si="76"/>
        <v>592000</v>
      </c>
      <c r="T791" s="444" t="s">
        <v>282</v>
      </c>
      <c r="U791" s="460" t="str">
        <f t="shared" si="77"/>
        <v>Resto JFC Esther</v>
      </c>
      <c r="V791" s="444" t="s">
        <v>1258</v>
      </c>
      <c r="W791" s="444" t="s">
        <v>468</v>
      </c>
      <c r="X791" s="454" t="s">
        <v>1315</v>
      </c>
      <c r="Y791" s="428" t="s">
        <v>710</v>
      </c>
      <c r="Z791" s="449" t="s">
        <v>710</v>
      </c>
      <c r="AA791" s="440" t="s">
        <v>728</v>
      </c>
      <c r="AB791" s="441">
        <f t="shared" si="78"/>
        <v>31531.531531531531</v>
      </c>
      <c r="AC791" s="442">
        <f t="shared" si="79"/>
        <v>504504.5045045045</v>
      </c>
      <c r="AD791" s="437">
        <v>40000</v>
      </c>
      <c r="AE791" s="447">
        <v>4290540.5405405397</v>
      </c>
      <c r="AF791" s="447">
        <v>4762500</v>
      </c>
      <c r="AG791" s="437">
        <v>40000</v>
      </c>
      <c r="AH791" s="271" t="s">
        <v>2091</v>
      </c>
    </row>
    <row r="792" spans="1:36">
      <c r="A792" s="350">
        <v>395</v>
      </c>
      <c r="B792" s="352" t="s">
        <v>1446</v>
      </c>
      <c r="C792" s="352" t="s">
        <v>570</v>
      </c>
      <c r="D792" s="355" t="s">
        <v>571</v>
      </c>
      <c r="E792" s="368">
        <v>45223</v>
      </c>
      <c r="F792" s="362">
        <v>45224</v>
      </c>
      <c r="G792" s="362">
        <v>45224</v>
      </c>
      <c r="H792" s="362">
        <v>45224</v>
      </c>
      <c r="I792" s="394">
        <v>45224</v>
      </c>
      <c r="J792" s="387" t="s">
        <v>9</v>
      </c>
      <c r="K792" s="387" t="s">
        <v>573</v>
      </c>
      <c r="L792" s="402">
        <v>3850</v>
      </c>
      <c r="M792" s="352" t="s">
        <v>574</v>
      </c>
      <c r="N792" s="405">
        <v>300</v>
      </c>
      <c r="O792" s="404">
        <v>1155000</v>
      </c>
      <c r="P792" s="421">
        <v>12</v>
      </c>
      <c r="Q792" s="429" t="s">
        <v>145</v>
      </c>
      <c r="R792" s="437">
        <v>21000</v>
      </c>
      <c r="S792" s="274">
        <f t="shared" si="76"/>
        <v>8855000</v>
      </c>
      <c r="T792" s="439" t="s">
        <v>227</v>
      </c>
      <c r="U792" s="460" t="str">
        <f t="shared" si="77"/>
        <v/>
      </c>
      <c r="V792" s="439" t="s">
        <v>1248</v>
      </c>
      <c r="W792" s="439" t="s">
        <v>540</v>
      </c>
      <c r="X792" s="454" t="s">
        <v>1315</v>
      </c>
      <c r="Y792" s="428" t="s">
        <v>710</v>
      </c>
      <c r="Z792" s="449" t="s">
        <v>710</v>
      </c>
      <c r="AA792" s="440" t="s">
        <v>753</v>
      </c>
      <c r="AB792" s="441">
        <f t="shared" si="78"/>
        <v>270.27027027027026</v>
      </c>
      <c r="AC792" s="442">
        <f t="shared" si="79"/>
        <v>1040540.5405405405</v>
      </c>
      <c r="AD792" s="437">
        <v>21000</v>
      </c>
      <c r="AE792" s="447">
        <v>4290540.5405405397</v>
      </c>
      <c r="AF792" s="447">
        <v>4762500</v>
      </c>
      <c r="AG792" s="437">
        <v>21000</v>
      </c>
      <c r="AH792" s="271" t="s">
        <v>2101</v>
      </c>
    </row>
    <row r="793" spans="1:36">
      <c r="A793" s="350">
        <v>396</v>
      </c>
      <c r="B793" s="352" t="s">
        <v>1448</v>
      </c>
      <c r="C793" s="352" t="s">
        <v>639</v>
      </c>
      <c r="D793" s="355" t="s">
        <v>464</v>
      </c>
      <c r="E793" s="368">
        <v>45223</v>
      </c>
      <c r="F793" s="362">
        <v>45224</v>
      </c>
      <c r="G793" s="362">
        <v>45224</v>
      </c>
      <c r="H793" s="362">
        <v>45224</v>
      </c>
      <c r="I793" s="394">
        <v>45224</v>
      </c>
      <c r="J793" s="387" t="s">
        <v>640</v>
      </c>
      <c r="K793" s="387" t="s">
        <v>641</v>
      </c>
      <c r="L793" s="402">
        <v>72</v>
      </c>
      <c r="M793" s="352" t="s">
        <v>488</v>
      </c>
      <c r="N793" s="403">
        <v>5000</v>
      </c>
      <c r="O793" s="404">
        <v>360000</v>
      </c>
      <c r="P793" s="421">
        <v>12</v>
      </c>
      <c r="Q793" s="429" t="s">
        <v>132</v>
      </c>
      <c r="R793" s="437">
        <v>440000</v>
      </c>
      <c r="S793" s="274">
        <f t="shared" si="76"/>
        <v>504000</v>
      </c>
      <c r="T793" s="275"/>
      <c r="U793" s="460" t="str">
        <f t="shared" si="77"/>
        <v/>
      </c>
      <c r="V793" s="439"/>
      <c r="W793" s="445"/>
      <c r="X793" s="454" t="s">
        <v>1315</v>
      </c>
      <c r="Y793" s="428" t="s">
        <v>710</v>
      </c>
      <c r="Z793" s="449" t="s">
        <v>710</v>
      </c>
      <c r="AA793" s="440" t="s">
        <v>597</v>
      </c>
      <c r="AB793" s="441">
        <f t="shared" si="78"/>
        <v>4504.5045045045044</v>
      </c>
      <c r="AC793" s="442">
        <f t="shared" si="79"/>
        <v>324324.32432432432</v>
      </c>
      <c r="AD793" s="437">
        <v>440000</v>
      </c>
      <c r="AE793" s="447">
        <v>4290540.5405405397</v>
      </c>
      <c r="AF793" s="447">
        <v>4762500</v>
      </c>
      <c r="AG793" s="437">
        <v>440000</v>
      </c>
    </row>
    <row r="794" spans="1:36">
      <c r="A794" s="350">
        <v>397</v>
      </c>
      <c r="B794" s="352" t="s">
        <v>1453</v>
      </c>
      <c r="C794" s="352" t="s">
        <v>1253</v>
      </c>
      <c r="D794" s="355" t="s">
        <v>571</v>
      </c>
      <c r="E794" s="368">
        <v>45223</v>
      </c>
      <c r="F794" s="362">
        <v>45224</v>
      </c>
      <c r="G794" s="362">
        <v>45224</v>
      </c>
      <c r="H794" s="362">
        <v>45224</v>
      </c>
      <c r="I794" s="394">
        <v>45224</v>
      </c>
      <c r="J794" s="387" t="s">
        <v>9</v>
      </c>
      <c r="K794" s="387" t="s">
        <v>573</v>
      </c>
      <c r="L794" s="402">
        <v>5830</v>
      </c>
      <c r="M794" s="262"/>
      <c r="N794" s="405">
        <v>300</v>
      </c>
      <c r="O794" s="404">
        <v>1749000</v>
      </c>
      <c r="P794" s="421">
        <v>12</v>
      </c>
      <c r="Q794" s="429" t="s">
        <v>111</v>
      </c>
      <c r="R794" s="437">
        <v>20000</v>
      </c>
      <c r="S794" s="274">
        <f t="shared" si="76"/>
        <v>13409000</v>
      </c>
      <c r="T794" s="439" t="s">
        <v>227</v>
      </c>
      <c r="U794" s="460" t="str">
        <f t="shared" si="77"/>
        <v/>
      </c>
      <c r="V794" s="439" t="s">
        <v>1248</v>
      </c>
      <c r="W794" s="439" t="s">
        <v>540</v>
      </c>
      <c r="X794" s="454" t="s">
        <v>1315</v>
      </c>
      <c r="Y794" s="428" t="s">
        <v>710</v>
      </c>
      <c r="Z794" s="449" t="s">
        <v>710</v>
      </c>
      <c r="AA794" s="440" t="s">
        <v>488</v>
      </c>
      <c r="AB794" s="441">
        <f t="shared" si="78"/>
        <v>270.27027027027026</v>
      </c>
      <c r="AC794" s="442">
        <f t="shared" si="79"/>
        <v>1575675.6756756755</v>
      </c>
      <c r="AD794" s="437">
        <v>20000</v>
      </c>
      <c r="AE794" s="447">
        <v>4290540.5405405397</v>
      </c>
      <c r="AF794" s="447">
        <v>4762500</v>
      </c>
      <c r="AG794" s="437">
        <v>20000</v>
      </c>
      <c r="AH794" s="271" t="s">
        <v>2101</v>
      </c>
    </row>
    <row r="795" spans="1:36">
      <c r="A795" s="350">
        <v>398</v>
      </c>
      <c r="B795" s="352" t="s">
        <v>1454</v>
      </c>
      <c r="C795" s="352" t="s">
        <v>1169</v>
      </c>
      <c r="D795" s="355" t="s">
        <v>1005</v>
      </c>
      <c r="E795" s="368">
        <v>45224</v>
      </c>
      <c r="F795" s="362">
        <v>45225</v>
      </c>
      <c r="G795" s="362">
        <v>45225</v>
      </c>
      <c r="H795" s="362">
        <v>45225</v>
      </c>
      <c r="I795" s="394">
        <v>45225</v>
      </c>
      <c r="J795" s="387" t="s">
        <v>1170</v>
      </c>
      <c r="K795" s="388" t="s">
        <v>1171</v>
      </c>
      <c r="L795" s="402">
        <v>1</v>
      </c>
      <c r="M795" s="352" t="s">
        <v>753</v>
      </c>
      <c r="N795" s="403">
        <v>2000000</v>
      </c>
      <c r="O795" s="404">
        <v>2000000</v>
      </c>
      <c r="P795" s="421">
        <v>12</v>
      </c>
      <c r="Q795" s="429" t="s">
        <v>903</v>
      </c>
      <c r="R795" s="437">
        <v>11000</v>
      </c>
      <c r="S795" s="274">
        <f t="shared" si="76"/>
        <v>2002000</v>
      </c>
      <c r="T795" s="275"/>
      <c r="U795" s="460" t="str">
        <f t="shared" si="77"/>
        <v/>
      </c>
      <c r="V795" s="439"/>
      <c r="W795" s="445"/>
      <c r="X795" s="454" t="s">
        <v>1315</v>
      </c>
      <c r="Y795" s="428" t="s">
        <v>710</v>
      </c>
      <c r="Z795" s="449" t="s">
        <v>710</v>
      </c>
      <c r="AA795" s="440" t="s">
        <v>597</v>
      </c>
      <c r="AB795" s="441">
        <f t="shared" si="78"/>
        <v>1801801.8018018019</v>
      </c>
      <c r="AC795" s="442">
        <f t="shared" si="79"/>
        <v>1801801.8018018019</v>
      </c>
      <c r="AD795" s="437">
        <v>11000</v>
      </c>
      <c r="AE795" s="447">
        <v>4290540.5405405397</v>
      </c>
      <c r="AF795" s="447">
        <v>4762500</v>
      </c>
      <c r="AG795" s="437">
        <v>11000</v>
      </c>
    </row>
    <row r="796" spans="1:36">
      <c r="A796" s="350">
        <v>398</v>
      </c>
      <c r="B796" s="352" t="s">
        <v>1455</v>
      </c>
      <c r="C796" s="352" t="s">
        <v>1004</v>
      </c>
      <c r="D796" s="355" t="s">
        <v>1005</v>
      </c>
      <c r="E796" s="368">
        <v>45224</v>
      </c>
      <c r="F796" s="362">
        <v>45225</v>
      </c>
      <c r="G796" s="362">
        <v>45225</v>
      </c>
      <c r="H796" s="362">
        <v>45225</v>
      </c>
      <c r="I796" s="394">
        <v>45225</v>
      </c>
      <c r="J796" s="387" t="s">
        <v>1008</v>
      </c>
      <c r="K796" s="388" t="s">
        <v>1009</v>
      </c>
      <c r="L796" s="402">
        <v>2</v>
      </c>
      <c r="M796" s="352" t="s">
        <v>720</v>
      </c>
      <c r="N796" s="403">
        <v>37500</v>
      </c>
      <c r="O796" s="404">
        <v>75000</v>
      </c>
      <c r="P796" s="421">
        <v>12</v>
      </c>
      <c r="Q796" s="429" t="s">
        <v>109</v>
      </c>
      <c r="R796" s="437">
        <v>22000</v>
      </c>
      <c r="S796" s="274">
        <f t="shared" si="76"/>
        <v>79000</v>
      </c>
      <c r="T796" s="275"/>
      <c r="U796" s="460" t="str">
        <f t="shared" si="77"/>
        <v/>
      </c>
      <c r="V796" s="439"/>
      <c r="W796" s="445"/>
      <c r="X796" s="454" t="s">
        <v>1315</v>
      </c>
      <c r="Y796" s="428" t="s">
        <v>710</v>
      </c>
      <c r="Z796" s="449" t="s">
        <v>710</v>
      </c>
      <c r="AA796" s="440" t="s">
        <v>728</v>
      </c>
      <c r="AB796" s="441">
        <f t="shared" si="78"/>
        <v>33783.783783783787</v>
      </c>
      <c r="AC796" s="442">
        <f t="shared" si="79"/>
        <v>67567.567567567574</v>
      </c>
      <c r="AD796" s="437">
        <v>22000</v>
      </c>
      <c r="AE796" s="447">
        <v>4290540.5405405397</v>
      </c>
      <c r="AF796" s="447">
        <v>4762500</v>
      </c>
      <c r="AG796" s="437">
        <v>22000</v>
      </c>
    </row>
    <row r="797" spans="1:36">
      <c r="A797" s="350">
        <v>399</v>
      </c>
      <c r="B797" s="352" t="s">
        <v>1456</v>
      </c>
      <c r="C797" s="352" t="s">
        <v>594</v>
      </c>
      <c r="D797" s="355" t="s">
        <v>464</v>
      </c>
      <c r="E797" s="368">
        <v>45228</v>
      </c>
      <c r="F797" s="362">
        <v>45229</v>
      </c>
      <c r="G797" s="362">
        <v>45229</v>
      </c>
      <c r="H797" s="362">
        <v>45229</v>
      </c>
      <c r="I797" s="394">
        <v>45229</v>
      </c>
      <c r="J797" s="387" t="s">
        <v>596</v>
      </c>
      <c r="K797" s="387" t="s">
        <v>467</v>
      </c>
      <c r="L797" s="402">
        <v>70</v>
      </c>
      <c r="M797" s="352" t="s">
        <v>597</v>
      </c>
      <c r="N797" s="403">
        <v>35000</v>
      </c>
      <c r="O797" s="404">
        <v>2450000</v>
      </c>
      <c r="P797" s="421">
        <v>12</v>
      </c>
      <c r="Q797" s="429" t="s">
        <v>144</v>
      </c>
      <c r="R797" s="437">
        <v>25000</v>
      </c>
      <c r="S797" s="274">
        <f t="shared" si="76"/>
        <v>2590000</v>
      </c>
      <c r="T797" s="444" t="s">
        <v>282</v>
      </c>
      <c r="U797" s="460" t="str">
        <f t="shared" si="77"/>
        <v>Resto JFC Esther</v>
      </c>
      <c r="V797" s="444" t="s">
        <v>1258</v>
      </c>
      <c r="W797" s="444" t="s">
        <v>468</v>
      </c>
      <c r="X797" s="454" t="s">
        <v>1315</v>
      </c>
      <c r="Y797" s="428" t="s">
        <v>710</v>
      </c>
      <c r="Z797" s="449" t="s">
        <v>710</v>
      </c>
      <c r="AA797" s="440" t="s">
        <v>488</v>
      </c>
      <c r="AB797" s="441">
        <f t="shared" si="78"/>
        <v>31531.531531531531</v>
      </c>
      <c r="AC797" s="442">
        <f t="shared" si="79"/>
        <v>2207207.2072072071</v>
      </c>
      <c r="AD797" s="437">
        <v>25000</v>
      </c>
      <c r="AE797" s="447">
        <v>4290540.5405405397</v>
      </c>
      <c r="AF797" s="447">
        <v>4762500</v>
      </c>
      <c r="AG797" s="437">
        <v>25000</v>
      </c>
      <c r="AH797" s="271" t="s">
        <v>2091</v>
      </c>
    </row>
    <row r="798" spans="1:36">
      <c r="A798" s="350">
        <v>400</v>
      </c>
      <c r="B798" s="352" t="s">
        <v>1457</v>
      </c>
      <c r="C798" s="352" t="s">
        <v>594</v>
      </c>
      <c r="D798" s="355" t="s">
        <v>464</v>
      </c>
      <c r="E798" s="368">
        <v>45228</v>
      </c>
      <c r="F798" s="362">
        <v>45229</v>
      </c>
      <c r="G798" s="362">
        <v>45229</v>
      </c>
      <c r="H798" s="362">
        <v>45229</v>
      </c>
      <c r="I798" s="394">
        <v>45229</v>
      </c>
      <c r="J798" s="387" t="s">
        <v>599</v>
      </c>
      <c r="K798" s="387" t="s">
        <v>471</v>
      </c>
      <c r="L798" s="402">
        <v>8</v>
      </c>
      <c r="M798" s="352" t="s">
        <v>472</v>
      </c>
      <c r="N798" s="403">
        <v>70000</v>
      </c>
      <c r="O798" s="404">
        <v>560000</v>
      </c>
      <c r="P798" s="421">
        <v>12</v>
      </c>
      <c r="Q798" s="429" t="s">
        <v>141</v>
      </c>
      <c r="R798" s="437">
        <v>15000</v>
      </c>
      <c r="S798" s="274">
        <f t="shared" si="76"/>
        <v>576000</v>
      </c>
      <c r="T798" s="439" t="s">
        <v>10</v>
      </c>
      <c r="U798" s="460" t="str">
        <f t="shared" si="77"/>
        <v>UD. USAHA JAYA</v>
      </c>
      <c r="V798" s="439" t="s">
        <v>11</v>
      </c>
      <c r="W798" s="439" t="s">
        <v>473</v>
      </c>
      <c r="X798" s="454" t="s">
        <v>1315</v>
      </c>
      <c r="Y798" s="428" t="s">
        <v>710</v>
      </c>
      <c r="Z798" s="449" t="s">
        <v>710</v>
      </c>
      <c r="AA798" s="440" t="s">
        <v>551</v>
      </c>
      <c r="AB798" s="441">
        <f t="shared" si="78"/>
        <v>63063.063063063062</v>
      </c>
      <c r="AC798" s="442">
        <f t="shared" si="79"/>
        <v>504504.5045045045</v>
      </c>
      <c r="AD798" s="437">
        <v>15000</v>
      </c>
      <c r="AE798" s="447">
        <v>4290540.5405405397</v>
      </c>
      <c r="AF798" s="447">
        <v>4762500</v>
      </c>
      <c r="AG798" s="437">
        <v>15000</v>
      </c>
      <c r="AH798" s="271" t="s">
        <v>2092</v>
      </c>
    </row>
    <row r="799" spans="1:36">
      <c r="A799" s="350">
        <v>400</v>
      </c>
      <c r="B799" s="352" t="s">
        <v>1457</v>
      </c>
      <c r="C799" s="352" t="s">
        <v>594</v>
      </c>
      <c r="D799" s="355" t="s">
        <v>464</v>
      </c>
      <c r="E799" s="368">
        <v>45228</v>
      </c>
      <c r="F799" s="362">
        <v>45229</v>
      </c>
      <c r="G799" s="362">
        <v>45229</v>
      </c>
      <c r="H799" s="362">
        <v>45229</v>
      </c>
      <c r="I799" s="394">
        <v>45229</v>
      </c>
      <c r="J799" s="387" t="s">
        <v>601</v>
      </c>
      <c r="K799" s="352" t="s">
        <v>487</v>
      </c>
      <c r="L799" s="402">
        <v>140</v>
      </c>
      <c r="M799" s="352" t="s">
        <v>488</v>
      </c>
      <c r="N799" s="403">
        <v>8000</v>
      </c>
      <c r="O799" s="404">
        <v>1120000</v>
      </c>
      <c r="P799" s="421">
        <v>12</v>
      </c>
      <c r="Q799" s="492" t="s">
        <v>119</v>
      </c>
      <c r="R799" s="437">
        <v>95000</v>
      </c>
      <c r="S799" s="274">
        <f t="shared" si="76"/>
        <v>1400000</v>
      </c>
      <c r="T799" s="439" t="s">
        <v>10</v>
      </c>
      <c r="U799" s="460" t="str">
        <f t="shared" si="77"/>
        <v/>
      </c>
      <c r="V799" s="439" t="s">
        <v>11</v>
      </c>
      <c r="W799" s="439" t="s">
        <v>473</v>
      </c>
      <c r="X799" s="454" t="s">
        <v>1315</v>
      </c>
      <c r="Y799" s="428" t="s">
        <v>710</v>
      </c>
      <c r="Z799" s="449" t="s">
        <v>710</v>
      </c>
      <c r="AA799" s="440" t="s">
        <v>488</v>
      </c>
      <c r="AB799" s="441">
        <f t="shared" si="78"/>
        <v>7207.2072072072069</v>
      </c>
      <c r="AC799" s="442">
        <f t="shared" si="79"/>
        <v>1009009.009009009</v>
      </c>
      <c r="AD799" s="437">
        <v>95000</v>
      </c>
      <c r="AE799" s="447">
        <v>4290540.5405405397</v>
      </c>
      <c r="AF799" s="447">
        <v>4762500</v>
      </c>
      <c r="AG799" s="437">
        <v>95000</v>
      </c>
      <c r="AH799" s="271" t="s">
        <v>2092</v>
      </c>
    </row>
    <row r="800" spans="1:36" ht="25">
      <c r="A800" s="350">
        <v>402</v>
      </c>
      <c r="B800" s="352" t="s">
        <v>1458</v>
      </c>
      <c r="C800" s="354" t="s">
        <v>704</v>
      </c>
      <c r="D800" s="355" t="s">
        <v>705</v>
      </c>
      <c r="E800" s="368">
        <v>45231</v>
      </c>
      <c r="F800" s="362">
        <v>45231</v>
      </c>
      <c r="G800" s="362">
        <v>45231</v>
      </c>
      <c r="H800" s="362">
        <v>45231</v>
      </c>
      <c r="I800" s="395">
        <v>45231</v>
      </c>
      <c r="J800" s="387" t="s">
        <v>230</v>
      </c>
      <c r="K800" s="387" t="s">
        <v>230</v>
      </c>
      <c r="L800" s="402">
        <v>1</v>
      </c>
      <c r="M800" s="352" t="s">
        <v>728</v>
      </c>
      <c r="N800" s="403">
        <v>40000</v>
      </c>
      <c r="O800" s="404">
        <v>40000</v>
      </c>
      <c r="P800" s="421">
        <v>12</v>
      </c>
      <c r="Q800" s="429" t="s">
        <v>113</v>
      </c>
      <c r="R800" s="437">
        <v>26000</v>
      </c>
      <c r="S800" s="274">
        <f t="shared" si="76"/>
        <v>42000</v>
      </c>
      <c r="T800" s="439" t="s">
        <v>227</v>
      </c>
      <c r="U800" s="460" t="str">
        <f t="shared" si="77"/>
        <v/>
      </c>
      <c r="V800" s="439" t="s">
        <v>1248</v>
      </c>
      <c r="W800" s="439" t="s">
        <v>540</v>
      </c>
      <c r="X800" s="454" t="s">
        <v>1315</v>
      </c>
      <c r="Y800" s="428" t="s">
        <v>710</v>
      </c>
      <c r="Z800" s="449" t="s">
        <v>710</v>
      </c>
      <c r="AA800" s="440" t="s">
        <v>735</v>
      </c>
      <c r="AB800" s="441">
        <f t="shared" si="78"/>
        <v>36036.036036036036</v>
      </c>
      <c r="AC800" s="442">
        <f t="shared" si="79"/>
        <v>36036.036036036036</v>
      </c>
      <c r="AD800" s="437">
        <v>26000</v>
      </c>
      <c r="AE800" s="447">
        <v>4290540.5405405397</v>
      </c>
      <c r="AF800" s="447">
        <v>4762500</v>
      </c>
      <c r="AG800" s="437">
        <v>26000</v>
      </c>
      <c r="AH800" s="271" t="s">
        <v>2101</v>
      </c>
    </row>
    <row r="801" spans="1:34">
      <c r="A801" s="350">
        <v>402</v>
      </c>
      <c r="B801" s="352" t="s">
        <v>1458</v>
      </c>
      <c r="C801" s="354" t="s">
        <v>704</v>
      </c>
      <c r="D801" s="355" t="s">
        <v>705</v>
      </c>
      <c r="E801" s="368">
        <v>45231</v>
      </c>
      <c r="F801" s="362">
        <v>45231</v>
      </c>
      <c r="G801" s="362">
        <v>45231</v>
      </c>
      <c r="H801" s="362">
        <v>45231</v>
      </c>
      <c r="I801" s="395">
        <v>45231</v>
      </c>
      <c r="J801" s="387" t="s">
        <v>711</v>
      </c>
      <c r="K801" s="387" t="s">
        <v>746</v>
      </c>
      <c r="L801" s="402">
        <v>1</v>
      </c>
      <c r="M801" s="352" t="s">
        <v>488</v>
      </c>
      <c r="N801" s="403">
        <v>11500</v>
      </c>
      <c r="O801" s="404">
        <v>11500</v>
      </c>
      <c r="P801" s="421">
        <v>12</v>
      </c>
      <c r="Q801" s="429" t="s">
        <v>128</v>
      </c>
      <c r="R801" s="437">
        <v>750000</v>
      </c>
      <c r="S801" s="274">
        <f t="shared" si="76"/>
        <v>13500</v>
      </c>
      <c r="T801" s="439" t="s">
        <v>227</v>
      </c>
      <c r="U801" s="460" t="str">
        <f t="shared" si="77"/>
        <v/>
      </c>
      <c r="V801" s="439" t="s">
        <v>1248</v>
      </c>
      <c r="W801" s="439" t="s">
        <v>540</v>
      </c>
      <c r="X801" s="454" t="s">
        <v>1315</v>
      </c>
      <c r="Y801" s="428" t="s">
        <v>710</v>
      </c>
      <c r="Z801" s="449" t="s">
        <v>710</v>
      </c>
      <c r="AA801" s="440" t="s">
        <v>735</v>
      </c>
      <c r="AB801" s="441">
        <f t="shared" si="78"/>
        <v>10360.360360360361</v>
      </c>
      <c r="AC801" s="442">
        <f t="shared" si="79"/>
        <v>10360.360360360361</v>
      </c>
      <c r="AD801" s="437">
        <v>750000</v>
      </c>
      <c r="AE801" s="447">
        <v>4290540.5405405397</v>
      </c>
      <c r="AF801" s="447">
        <v>4762500</v>
      </c>
      <c r="AG801" s="437">
        <v>750000</v>
      </c>
      <c r="AH801" s="271" t="s">
        <v>2101</v>
      </c>
    </row>
    <row r="802" spans="1:34">
      <c r="A802" s="350">
        <v>402</v>
      </c>
      <c r="B802" s="352" t="s">
        <v>1458</v>
      </c>
      <c r="C802" s="354" t="s">
        <v>704</v>
      </c>
      <c r="D802" s="355" t="s">
        <v>705</v>
      </c>
      <c r="E802" s="368">
        <v>45231</v>
      </c>
      <c r="F802" s="362">
        <v>45231</v>
      </c>
      <c r="G802" s="362">
        <v>45231</v>
      </c>
      <c r="H802" s="362">
        <v>45231</v>
      </c>
      <c r="I802" s="395">
        <v>45231</v>
      </c>
      <c r="J802" s="387" t="s">
        <v>711</v>
      </c>
      <c r="K802" s="387" t="s">
        <v>712</v>
      </c>
      <c r="L802" s="402">
        <v>1</v>
      </c>
      <c r="M802" s="352" t="s">
        <v>488</v>
      </c>
      <c r="N802" s="403">
        <v>14000</v>
      </c>
      <c r="O802" s="404">
        <v>14000</v>
      </c>
      <c r="P802" s="421">
        <v>12</v>
      </c>
      <c r="Q802" s="429" t="s">
        <v>127</v>
      </c>
      <c r="R802" s="437">
        <v>432000</v>
      </c>
      <c r="S802" s="274">
        <f t="shared" si="76"/>
        <v>16000</v>
      </c>
      <c r="T802" s="439" t="s">
        <v>227</v>
      </c>
      <c r="U802" s="460" t="str">
        <f t="shared" si="77"/>
        <v/>
      </c>
      <c r="V802" s="439" t="s">
        <v>1248</v>
      </c>
      <c r="W802" s="439" t="s">
        <v>540</v>
      </c>
      <c r="X802" s="454" t="s">
        <v>1315</v>
      </c>
      <c r="Y802" s="428" t="s">
        <v>710</v>
      </c>
      <c r="Z802" s="449" t="s">
        <v>710</v>
      </c>
      <c r="AA802" s="440" t="s">
        <v>488</v>
      </c>
      <c r="AB802" s="441">
        <f t="shared" si="78"/>
        <v>12612.612612612613</v>
      </c>
      <c r="AC802" s="442">
        <f t="shared" si="79"/>
        <v>12612.612612612613</v>
      </c>
      <c r="AD802" s="437">
        <v>432000</v>
      </c>
      <c r="AE802" s="447">
        <v>4290540.5405405397</v>
      </c>
      <c r="AF802" s="447">
        <v>4762500</v>
      </c>
      <c r="AG802" s="437">
        <v>432000</v>
      </c>
      <c r="AH802" s="271" t="s">
        <v>2101</v>
      </c>
    </row>
    <row r="803" spans="1:34">
      <c r="A803" s="350">
        <v>402</v>
      </c>
      <c r="B803" s="352" t="s">
        <v>1458</v>
      </c>
      <c r="C803" s="354" t="s">
        <v>704</v>
      </c>
      <c r="D803" s="355" t="s">
        <v>705</v>
      </c>
      <c r="E803" s="368">
        <v>45231</v>
      </c>
      <c r="F803" s="362">
        <v>45231</v>
      </c>
      <c r="G803" s="362">
        <v>45231</v>
      </c>
      <c r="H803" s="362">
        <v>45231</v>
      </c>
      <c r="I803" s="395">
        <v>45231</v>
      </c>
      <c r="J803" s="387" t="s">
        <v>711</v>
      </c>
      <c r="K803" s="387" t="s">
        <v>738</v>
      </c>
      <c r="L803" s="402">
        <v>1</v>
      </c>
      <c r="M803" s="352" t="s">
        <v>488</v>
      </c>
      <c r="N803" s="403">
        <v>20000</v>
      </c>
      <c r="O803" s="404">
        <v>20000</v>
      </c>
      <c r="P803" s="421">
        <v>12</v>
      </c>
      <c r="Q803" s="429" t="s">
        <v>911</v>
      </c>
      <c r="R803" s="437">
        <v>15000</v>
      </c>
      <c r="S803" s="274">
        <f t="shared" si="76"/>
        <v>22000</v>
      </c>
      <c r="T803" s="439" t="s">
        <v>227</v>
      </c>
      <c r="U803" s="460" t="str">
        <f t="shared" si="77"/>
        <v/>
      </c>
      <c r="V803" s="439" t="s">
        <v>1248</v>
      </c>
      <c r="W803" s="439" t="s">
        <v>540</v>
      </c>
      <c r="X803" s="454" t="s">
        <v>1315</v>
      </c>
      <c r="Y803" s="428" t="s">
        <v>710</v>
      </c>
      <c r="Z803" s="449" t="s">
        <v>710</v>
      </c>
      <c r="AA803" s="440" t="s">
        <v>551</v>
      </c>
      <c r="AB803" s="441">
        <f t="shared" si="78"/>
        <v>18018.018018018018</v>
      </c>
      <c r="AC803" s="442">
        <f t="shared" si="79"/>
        <v>18018.018018018018</v>
      </c>
      <c r="AD803" s="437">
        <v>15000</v>
      </c>
      <c r="AE803" s="447">
        <v>4290540.5405405397</v>
      </c>
      <c r="AF803" s="447">
        <v>4762500</v>
      </c>
      <c r="AG803" s="437">
        <v>15000</v>
      </c>
      <c r="AH803" s="271" t="s">
        <v>2101</v>
      </c>
    </row>
    <row r="804" spans="1:34">
      <c r="A804" s="350">
        <v>402</v>
      </c>
      <c r="B804" s="352" t="s">
        <v>1458</v>
      </c>
      <c r="C804" s="354" t="s">
        <v>704</v>
      </c>
      <c r="D804" s="355" t="s">
        <v>705</v>
      </c>
      <c r="E804" s="368">
        <v>45231</v>
      </c>
      <c r="F804" s="362">
        <v>45231</v>
      </c>
      <c r="G804" s="362">
        <v>45231</v>
      </c>
      <c r="H804" s="362">
        <v>45231</v>
      </c>
      <c r="I804" s="395">
        <v>45231</v>
      </c>
      <c r="J804" s="387" t="s">
        <v>256</v>
      </c>
      <c r="K804" s="388" t="s">
        <v>727</v>
      </c>
      <c r="L804" s="402">
        <v>1</v>
      </c>
      <c r="M804" s="352" t="s">
        <v>728</v>
      </c>
      <c r="N804" s="403">
        <v>21000</v>
      </c>
      <c r="O804" s="404">
        <v>21000</v>
      </c>
      <c r="P804" s="421">
        <v>12</v>
      </c>
      <c r="Q804" s="429" t="s">
        <v>117</v>
      </c>
      <c r="R804" s="437">
        <v>95000</v>
      </c>
      <c r="S804" s="438">
        <f t="shared" si="76"/>
        <v>23000</v>
      </c>
      <c r="T804" s="439" t="s">
        <v>227</v>
      </c>
      <c r="U804" s="460" t="str">
        <f t="shared" si="77"/>
        <v/>
      </c>
      <c r="V804" s="439" t="s">
        <v>1248</v>
      </c>
      <c r="W804" s="439" t="s">
        <v>540</v>
      </c>
      <c r="X804" s="454" t="s">
        <v>1315</v>
      </c>
      <c r="Y804" s="428" t="s">
        <v>710</v>
      </c>
      <c r="Z804" s="449" t="s">
        <v>710</v>
      </c>
      <c r="AA804" s="440" t="s">
        <v>772</v>
      </c>
      <c r="AB804" s="441">
        <f t="shared" si="78"/>
        <v>18918.91891891892</v>
      </c>
      <c r="AC804" s="442">
        <f t="shared" si="79"/>
        <v>18918.91891891892</v>
      </c>
      <c r="AD804" s="437">
        <v>95000</v>
      </c>
      <c r="AE804" s="447">
        <v>4290540.5405405397</v>
      </c>
      <c r="AF804" s="447">
        <v>4762500</v>
      </c>
      <c r="AG804" s="437">
        <v>95000</v>
      </c>
      <c r="AH804" s="271" t="s">
        <v>2101</v>
      </c>
    </row>
    <row r="805" spans="1:34">
      <c r="A805" s="350">
        <v>402</v>
      </c>
      <c r="B805" s="352" t="s">
        <v>1458</v>
      </c>
      <c r="C805" s="354" t="s">
        <v>704</v>
      </c>
      <c r="D805" s="355" t="s">
        <v>705</v>
      </c>
      <c r="E805" s="368">
        <v>45231</v>
      </c>
      <c r="F805" s="362">
        <v>45231</v>
      </c>
      <c r="G805" s="362">
        <v>45231</v>
      </c>
      <c r="H805" s="362">
        <v>45231</v>
      </c>
      <c r="I805" s="395">
        <v>45231</v>
      </c>
      <c r="J805" s="387" t="s">
        <v>240</v>
      </c>
      <c r="K805" s="388" t="s">
        <v>731</v>
      </c>
      <c r="L805" s="402">
        <v>1</v>
      </c>
      <c r="M805" s="352" t="s">
        <v>597</v>
      </c>
      <c r="N805" s="403">
        <v>20000</v>
      </c>
      <c r="O805" s="404">
        <v>20000</v>
      </c>
      <c r="P805" s="421">
        <v>12</v>
      </c>
      <c r="Q805" s="429" t="s">
        <v>106</v>
      </c>
      <c r="R805" s="437">
        <v>260000</v>
      </c>
      <c r="S805" s="438">
        <f t="shared" si="76"/>
        <v>22000</v>
      </c>
      <c r="T805" s="439" t="s">
        <v>227</v>
      </c>
      <c r="U805" s="460" t="str">
        <f t="shared" si="77"/>
        <v/>
      </c>
      <c r="V805" s="439" t="s">
        <v>1248</v>
      </c>
      <c r="W805" s="439" t="s">
        <v>540</v>
      </c>
      <c r="X805" s="454" t="s">
        <v>1315</v>
      </c>
      <c r="Y805" s="428" t="s">
        <v>710</v>
      </c>
      <c r="Z805" s="449" t="s">
        <v>710</v>
      </c>
      <c r="AA805" s="440" t="s">
        <v>551</v>
      </c>
      <c r="AB805" s="441">
        <f t="shared" si="78"/>
        <v>18018.018018018018</v>
      </c>
      <c r="AC805" s="442">
        <f t="shared" si="79"/>
        <v>18018.018018018018</v>
      </c>
      <c r="AD805" s="437">
        <v>260000</v>
      </c>
      <c r="AE805" s="447">
        <v>4290540.5405405397</v>
      </c>
      <c r="AF805" s="447">
        <v>4762500</v>
      </c>
      <c r="AG805" s="437">
        <v>260000</v>
      </c>
      <c r="AH805" s="271" t="s">
        <v>2101</v>
      </c>
    </row>
    <row r="806" spans="1:34">
      <c r="A806" s="350">
        <v>402</v>
      </c>
      <c r="B806" s="352" t="s">
        <v>1458</v>
      </c>
      <c r="C806" s="354" t="s">
        <v>704</v>
      </c>
      <c r="D806" s="355" t="s">
        <v>705</v>
      </c>
      <c r="E806" s="368">
        <v>45231</v>
      </c>
      <c r="F806" s="362">
        <v>45231</v>
      </c>
      <c r="G806" s="362">
        <v>45231</v>
      </c>
      <c r="H806" s="362">
        <v>45231</v>
      </c>
      <c r="I806" s="395">
        <v>45231</v>
      </c>
      <c r="J806" s="387" t="s">
        <v>740</v>
      </c>
      <c r="K806" s="388" t="s">
        <v>741</v>
      </c>
      <c r="L806" s="402">
        <v>2</v>
      </c>
      <c r="M806" s="352" t="s">
        <v>488</v>
      </c>
      <c r="N806" s="403">
        <v>5500</v>
      </c>
      <c r="O806" s="404">
        <v>11000</v>
      </c>
      <c r="P806" s="421">
        <v>12</v>
      </c>
      <c r="Q806" s="429" t="s">
        <v>120</v>
      </c>
      <c r="R806" s="437">
        <v>190000</v>
      </c>
      <c r="S806" s="438">
        <f t="shared" si="76"/>
        <v>15000</v>
      </c>
      <c r="T806" s="439" t="s">
        <v>227</v>
      </c>
      <c r="U806" s="460" t="str">
        <f t="shared" si="77"/>
        <v/>
      </c>
      <c r="V806" s="439" t="s">
        <v>1248</v>
      </c>
      <c r="W806" s="439" t="s">
        <v>540</v>
      </c>
      <c r="X806" s="454" t="s">
        <v>1315</v>
      </c>
      <c r="Y806" s="428" t="s">
        <v>710</v>
      </c>
      <c r="Z806" s="449" t="s">
        <v>710</v>
      </c>
      <c r="AA806" s="440" t="s">
        <v>551</v>
      </c>
      <c r="AB806" s="441">
        <f t="shared" si="78"/>
        <v>4954.9549549549547</v>
      </c>
      <c r="AC806" s="442">
        <f t="shared" si="79"/>
        <v>9909.9099099099094</v>
      </c>
      <c r="AD806" s="437">
        <v>190000</v>
      </c>
      <c r="AE806" s="447">
        <v>4290540.5405405397</v>
      </c>
      <c r="AF806" s="447">
        <v>4762500</v>
      </c>
      <c r="AG806" s="437">
        <v>190000</v>
      </c>
      <c r="AH806" s="271" t="s">
        <v>2101</v>
      </c>
    </row>
    <row r="807" spans="1:34">
      <c r="A807" s="350">
        <v>402</v>
      </c>
      <c r="B807" s="352" t="s">
        <v>1458</v>
      </c>
      <c r="C807" s="354" t="s">
        <v>704</v>
      </c>
      <c r="D807" s="355" t="s">
        <v>705</v>
      </c>
      <c r="E807" s="368">
        <v>45231</v>
      </c>
      <c r="F807" s="362">
        <v>45231</v>
      </c>
      <c r="G807" s="362">
        <v>45231</v>
      </c>
      <c r="H807" s="362">
        <v>45231</v>
      </c>
      <c r="I807" s="395">
        <v>45231</v>
      </c>
      <c r="J807" s="387" t="s">
        <v>238</v>
      </c>
      <c r="K807" s="387" t="s">
        <v>238</v>
      </c>
      <c r="L807" s="402">
        <v>2</v>
      </c>
      <c r="M807" s="352" t="s">
        <v>597</v>
      </c>
      <c r="N807" s="403">
        <v>11000</v>
      </c>
      <c r="O807" s="404">
        <v>22000</v>
      </c>
      <c r="P807" s="421">
        <v>12</v>
      </c>
      <c r="Q807" s="429" t="s">
        <v>118</v>
      </c>
      <c r="R807" s="437">
        <v>95000</v>
      </c>
      <c r="S807" s="438">
        <f t="shared" si="76"/>
        <v>26000</v>
      </c>
      <c r="T807" s="439" t="s">
        <v>227</v>
      </c>
      <c r="U807" s="460" t="str">
        <f t="shared" si="77"/>
        <v/>
      </c>
      <c r="V807" s="439" t="s">
        <v>1248</v>
      </c>
      <c r="W807" s="439" t="s">
        <v>540</v>
      </c>
      <c r="X807" s="454" t="s">
        <v>1315</v>
      </c>
      <c r="Y807" s="428" t="s">
        <v>710</v>
      </c>
      <c r="Z807" s="449" t="s">
        <v>710</v>
      </c>
      <c r="AA807" s="440" t="s">
        <v>488</v>
      </c>
      <c r="AB807" s="441">
        <f t="shared" si="78"/>
        <v>9909.9099099099094</v>
      </c>
      <c r="AC807" s="442">
        <f t="shared" si="79"/>
        <v>19819.819819819819</v>
      </c>
      <c r="AD807" s="437">
        <v>95000</v>
      </c>
      <c r="AE807" s="447">
        <v>4290540.5405405397</v>
      </c>
      <c r="AF807" s="447">
        <v>4762500</v>
      </c>
      <c r="AG807" s="437">
        <v>95000</v>
      </c>
      <c r="AH807" s="271" t="s">
        <v>2101</v>
      </c>
    </row>
    <row r="808" spans="1:34">
      <c r="A808" s="350">
        <v>402</v>
      </c>
      <c r="B808" s="352" t="s">
        <v>1458</v>
      </c>
      <c r="C808" s="354" t="s">
        <v>704</v>
      </c>
      <c r="D808" s="355" t="s">
        <v>705</v>
      </c>
      <c r="E808" s="368">
        <v>45231</v>
      </c>
      <c r="F808" s="362">
        <v>45231</v>
      </c>
      <c r="G808" s="362">
        <v>45231</v>
      </c>
      <c r="H808" s="362">
        <v>45231</v>
      </c>
      <c r="I808" s="395">
        <v>45231</v>
      </c>
      <c r="J808" s="387" t="s">
        <v>255</v>
      </c>
      <c r="K808" s="388" t="s">
        <v>889</v>
      </c>
      <c r="L808" s="402">
        <v>1</v>
      </c>
      <c r="M808" s="352" t="s">
        <v>728</v>
      </c>
      <c r="N808" s="403">
        <v>25000</v>
      </c>
      <c r="O808" s="404">
        <v>25000</v>
      </c>
      <c r="P808" s="421">
        <v>12</v>
      </c>
      <c r="Q808" s="429" t="s">
        <v>909</v>
      </c>
      <c r="R808" s="437">
        <v>5000</v>
      </c>
      <c r="S808" s="438">
        <f t="shared" si="76"/>
        <v>27000</v>
      </c>
      <c r="T808" s="439" t="s">
        <v>227</v>
      </c>
      <c r="U808" s="460" t="str">
        <f t="shared" si="77"/>
        <v/>
      </c>
      <c r="V808" s="439" t="s">
        <v>1248</v>
      </c>
      <c r="W808" s="439" t="s">
        <v>540</v>
      </c>
      <c r="X808" s="454" t="s">
        <v>1315</v>
      </c>
      <c r="Y808" s="439" t="s">
        <v>710</v>
      </c>
      <c r="Z808" s="449" t="s">
        <v>710</v>
      </c>
      <c r="AA808" s="440" t="s">
        <v>667</v>
      </c>
      <c r="AB808" s="441">
        <f t="shared" si="78"/>
        <v>22522.522522522522</v>
      </c>
      <c r="AC808" s="442">
        <f t="shared" si="79"/>
        <v>22522.522522522522</v>
      </c>
      <c r="AD808" s="437">
        <v>5000</v>
      </c>
      <c r="AE808" s="447">
        <v>4290540.5405405397</v>
      </c>
      <c r="AF808" s="447">
        <v>4762500</v>
      </c>
      <c r="AG808" s="437">
        <v>5000</v>
      </c>
      <c r="AH808" s="271" t="s">
        <v>2101</v>
      </c>
    </row>
    <row r="809" spans="1:34">
      <c r="A809" s="350">
        <v>402</v>
      </c>
      <c r="B809" s="352" t="s">
        <v>1458</v>
      </c>
      <c r="C809" s="354" t="s">
        <v>704</v>
      </c>
      <c r="D809" s="355" t="s">
        <v>705</v>
      </c>
      <c r="E809" s="368">
        <v>45231</v>
      </c>
      <c r="F809" s="362">
        <v>45231</v>
      </c>
      <c r="G809" s="362">
        <v>45231</v>
      </c>
      <c r="H809" s="362">
        <v>45231</v>
      </c>
      <c r="I809" s="395">
        <v>45231</v>
      </c>
      <c r="J809" s="387" t="s">
        <v>248</v>
      </c>
      <c r="K809" s="388" t="s">
        <v>1251</v>
      </c>
      <c r="L809" s="402">
        <v>3</v>
      </c>
      <c r="M809" s="352" t="s">
        <v>774</v>
      </c>
      <c r="N809" s="403">
        <v>50000</v>
      </c>
      <c r="O809" s="404">
        <v>150000</v>
      </c>
      <c r="P809" s="421">
        <v>12</v>
      </c>
      <c r="Q809" s="429" t="s">
        <v>150</v>
      </c>
      <c r="R809" s="437">
        <v>240000</v>
      </c>
      <c r="S809" s="438">
        <f t="shared" si="76"/>
        <v>156000</v>
      </c>
      <c r="T809" s="439" t="s">
        <v>227</v>
      </c>
      <c r="U809" s="460" t="str">
        <f t="shared" si="77"/>
        <v/>
      </c>
      <c r="V809" s="439" t="s">
        <v>1248</v>
      </c>
      <c r="W809" s="439" t="s">
        <v>540</v>
      </c>
      <c r="X809" s="454" t="s">
        <v>1315</v>
      </c>
      <c r="Y809" s="439" t="s">
        <v>710</v>
      </c>
      <c r="Z809" s="449" t="s">
        <v>710</v>
      </c>
      <c r="AA809" s="440" t="s">
        <v>753</v>
      </c>
      <c r="AB809" s="441">
        <f t="shared" si="78"/>
        <v>45045.045045045044</v>
      </c>
      <c r="AC809" s="442">
        <f t="shared" si="79"/>
        <v>135135.13513513515</v>
      </c>
      <c r="AD809" s="437">
        <v>240000</v>
      </c>
      <c r="AE809" s="447">
        <v>4290540.5405405397</v>
      </c>
      <c r="AF809" s="447">
        <v>4762500</v>
      </c>
      <c r="AG809" s="437">
        <v>240000</v>
      </c>
      <c r="AH809" s="271" t="s">
        <v>2101</v>
      </c>
    </row>
    <row r="810" spans="1:34">
      <c r="A810" s="350">
        <v>402</v>
      </c>
      <c r="B810" s="352" t="s">
        <v>1458</v>
      </c>
      <c r="C810" s="354" t="s">
        <v>704</v>
      </c>
      <c r="D810" s="355" t="s">
        <v>705</v>
      </c>
      <c r="E810" s="368">
        <v>45231</v>
      </c>
      <c r="F810" s="362">
        <v>45231</v>
      </c>
      <c r="G810" s="362">
        <v>45231</v>
      </c>
      <c r="H810" s="362">
        <v>45231</v>
      </c>
      <c r="I810" s="395">
        <v>45231</v>
      </c>
      <c r="J810" s="387" t="s">
        <v>762</v>
      </c>
      <c r="K810" s="387" t="s">
        <v>762</v>
      </c>
      <c r="L810" s="402">
        <v>1</v>
      </c>
      <c r="M810" s="352" t="s">
        <v>488</v>
      </c>
      <c r="N810" s="403">
        <v>15000</v>
      </c>
      <c r="O810" s="404">
        <v>15000</v>
      </c>
      <c r="P810" s="421">
        <v>12</v>
      </c>
      <c r="Q810" s="429" t="s">
        <v>157</v>
      </c>
      <c r="R810" s="437">
        <v>42000</v>
      </c>
      <c r="S810" s="438">
        <f t="shared" si="76"/>
        <v>17000</v>
      </c>
      <c r="T810" s="439" t="s">
        <v>227</v>
      </c>
      <c r="U810" s="460" t="str">
        <f t="shared" si="77"/>
        <v/>
      </c>
      <c r="V810" s="439" t="s">
        <v>1248</v>
      </c>
      <c r="W810" s="439" t="s">
        <v>540</v>
      </c>
      <c r="X810" s="454" t="s">
        <v>1315</v>
      </c>
      <c r="Y810" s="428" t="s">
        <v>710</v>
      </c>
      <c r="Z810" s="449" t="s">
        <v>710</v>
      </c>
      <c r="AA810" s="440" t="s">
        <v>597</v>
      </c>
      <c r="AB810" s="441">
        <f t="shared" si="78"/>
        <v>13513.513513513513</v>
      </c>
      <c r="AC810" s="442">
        <f t="shared" si="79"/>
        <v>13513.513513513513</v>
      </c>
      <c r="AD810" s="437">
        <v>42000</v>
      </c>
      <c r="AE810" s="447">
        <v>4290540.5405405397</v>
      </c>
      <c r="AF810" s="447">
        <v>4762500</v>
      </c>
      <c r="AG810" s="437">
        <v>42000</v>
      </c>
      <c r="AH810" s="443" t="s">
        <v>2101</v>
      </c>
    </row>
    <row r="811" spans="1:34">
      <c r="A811" s="350">
        <v>402</v>
      </c>
      <c r="B811" s="352" t="s">
        <v>1458</v>
      </c>
      <c r="C811" s="352" t="s">
        <v>704</v>
      </c>
      <c r="D811" s="355" t="s">
        <v>705</v>
      </c>
      <c r="E811" s="368">
        <v>45231</v>
      </c>
      <c r="F811" s="362">
        <v>45231</v>
      </c>
      <c r="G811" s="362">
        <v>45231</v>
      </c>
      <c r="H811" s="362">
        <v>45231</v>
      </c>
      <c r="I811" s="394">
        <v>45231</v>
      </c>
      <c r="J811" s="387" t="s">
        <v>265</v>
      </c>
      <c r="K811" s="388" t="s">
        <v>890</v>
      </c>
      <c r="L811" s="402">
        <v>1</v>
      </c>
      <c r="M811" s="352" t="s">
        <v>551</v>
      </c>
      <c r="N811" s="403">
        <v>30000</v>
      </c>
      <c r="O811" s="404">
        <v>30000</v>
      </c>
      <c r="P811" s="421">
        <v>12</v>
      </c>
      <c r="Q811" s="429" t="s">
        <v>112</v>
      </c>
      <c r="R811" s="437">
        <v>11000</v>
      </c>
      <c r="S811" s="438">
        <f t="shared" si="76"/>
        <v>32000</v>
      </c>
      <c r="T811" s="439" t="s">
        <v>227</v>
      </c>
      <c r="U811" s="460" t="str">
        <f t="shared" si="77"/>
        <v/>
      </c>
      <c r="V811" s="439" t="s">
        <v>1248</v>
      </c>
      <c r="W811" s="439" t="s">
        <v>540</v>
      </c>
      <c r="X811" s="454" t="s">
        <v>1315</v>
      </c>
      <c r="Y811" s="428" t="s">
        <v>710</v>
      </c>
      <c r="Z811" s="616" t="s">
        <v>710</v>
      </c>
      <c r="AA811" s="440" t="s">
        <v>756</v>
      </c>
      <c r="AB811" s="441">
        <f t="shared" si="78"/>
        <v>27027.027027027027</v>
      </c>
      <c r="AC811" s="442">
        <f t="shared" si="79"/>
        <v>27027.027027027027</v>
      </c>
      <c r="AD811" s="437">
        <v>11000</v>
      </c>
      <c r="AE811" s="447">
        <v>4290540.5405405397</v>
      </c>
      <c r="AF811" s="447">
        <v>4762500</v>
      </c>
      <c r="AG811" s="437">
        <v>11000</v>
      </c>
      <c r="AH811" s="271" t="s">
        <v>2101</v>
      </c>
    </row>
    <row r="812" spans="1:34">
      <c r="A812" s="350">
        <v>402</v>
      </c>
      <c r="B812" s="352" t="s">
        <v>1458</v>
      </c>
      <c r="C812" s="352" t="s">
        <v>704</v>
      </c>
      <c r="D812" s="355" t="s">
        <v>705</v>
      </c>
      <c r="E812" s="368">
        <v>45231</v>
      </c>
      <c r="F812" s="362">
        <v>45231</v>
      </c>
      <c r="G812" s="362">
        <v>45231</v>
      </c>
      <c r="H812" s="362">
        <v>45231</v>
      </c>
      <c r="I812" s="394">
        <v>45231</v>
      </c>
      <c r="J812" s="387" t="s">
        <v>242</v>
      </c>
      <c r="K812" s="388" t="s">
        <v>760</v>
      </c>
      <c r="L812" s="402">
        <v>1</v>
      </c>
      <c r="M812" s="352" t="s">
        <v>488</v>
      </c>
      <c r="N812" s="403">
        <v>26000</v>
      </c>
      <c r="O812" s="404">
        <v>26000</v>
      </c>
      <c r="P812" s="421">
        <v>12</v>
      </c>
      <c r="Q812" s="429" t="s">
        <v>100</v>
      </c>
      <c r="R812" s="437">
        <v>52000</v>
      </c>
      <c r="S812" s="438">
        <f t="shared" si="76"/>
        <v>28000</v>
      </c>
      <c r="T812" s="439" t="s">
        <v>227</v>
      </c>
      <c r="U812" s="460" t="str">
        <f t="shared" si="77"/>
        <v/>
      </c>
      <c r="V812" s="439" t="s">
        <v>1248</v>
      </c>
      <c r="W812" s="439" t="s">
        <v>540</v>
      </c>
      <c r="X812" s="454" t="s">
        <v>1315</v>
      </c>
      <c r="Y812" s="428" t="s">
        <v>710</v>
      </c>
      <c r="Z812" s="616" t="s">
        <v>710</v>
      </c>
      <c r="AA812" s="440" t="s">
        <v>714</v>
      </c>
      <c r="AB812" s="441">
        <f t="shared" si="78"/>
        <v>23423.423423423425</v>
      </c>
      <c r="AC812" s="442">
        <f t="shared" si="79"/>
        <v>23423.423423423425</v>
      </c>
      <c r="AD812" s="437">
        <v>52000</v>
      </c>
      <c r="AE812" s="447">
        <v>4290540.5405405397</v>
      </c>
      <c r="AF812" s="447">
        <v>4762500</v>
      </c>
      <c r="AG812" s="437">
        <v>52000</v>
      </c>
      <c r="AH812" s="271" t="s">
        <v>2101</v>
      </c>
    </row>
    <row r="813" spans="1:34" ht="37.5">
      <c r="A813" s="350">
        <v>402</v>
      </c>
      <c r="B813" s="352" t="s">
        <v>1458</v>
      </c>
      <c r="C813" s="352" t="s">
        <v>704</v>
      </c>
      <c r="D813" s="355" t="s">
        <v>705</v>
      </c>
      <c r="E813" s="368">
        <v>45231</v>
      </c>
      <c r="F813" s="362">
        <v>45231</v>
      </c>
      <c r="G813" s="362">
        <v>45231</v>
      </c>
      <c r="H813" s="362">
        <v>45231</v>
      </c>
      <c r="I813" s="394">
        <v>45231</v>
      </c>
      <c r="J813" s="387" t="s">
        <v>247</v>
      </c>
      <c r="K813" s="387" t="s">
        <v>247</v>
      </c>
      <c r="L813" s="402">
        <v>20</v>
      </c>
      <c r="M813" s="352" t="s">
        <v>735</v>
      </c>
      <c r="N813" s="403">
        <v>50000</v>
      </c>
      <c r="O813" s="404">
        <v>1000000</v>
      </c>
      <c r="P813" s="421">
        <v>12</v>
      </c>
      <c r="Q813" s="429" t="s">
        <v>101</v>
      </c>
      <c r="R813" s="437">
        <v>97000</v>
      </c>
      <c r="S813" s="438">
        <f t="shared" si="76"/>
        <v>1040000</v>
      </c>
      <c r="T813" s="439" t="s">
        <v>227</v>
      </c>
      <c r="U813" s="460" t="str">
        <f t="shared" si="77"/>
        <v/>
      </c>
      <c r="V813" s="439" t="s">
        <v>1248</v>
      </c>
      <c r="W813" s="439" t="s">
        <v>540</v>
      </c>
      <c r="X813" s="454" t="s">
        <v>1315</v>
      </c>
      <c r="Y813" s="428" t="s">
        <v>710</v>
      </c>
      <c r="Z813" s="616" t="s">
        <v>710</v>
      </c>
      <c r="AA813" s="440" t="s">
        <v>597</v>
      </c>
      <c r="AB813" s="441">
        <f t="shared" si="78"/>
        <v>45045.045045045044</v>
      </c>
      <c r="AC813" s="442">
        <f t="shared" si="79"/>
        <v>900900.90090090083</v>
      </c>
      <c r="AD813" s="437">
        <v>97000</v>
      </c>
      <c r="AE813" s="447">
        <v>4290540.5405405397</v>
      </c>
      <c r="AF813" s="447">
        <v>4762500</v>
      </c>
      <c r="AG813" s="437">
        <v>97000</v>
      </c>
      <c r="AH813" s="271" t="s">
        <v>2101</v>
      </c>
    </row>
    <row r="814" spans="1:34" ht="25">
      <c r="A814" s="350">
        <v>402</v>
      </c>
      <c r="B814" s="352" t="s">
        <v>1458</v>
      </c>
      <c r="C814" s="352" t="s">
        <v>704</v>
      </c>
      <c r="D814" s="355" t="s">
        <v>705</v>
      </c>
      <c r="E814" s="368">
        <v>45231</v>
      </c>
      <c r="F814" s="362">
        <v>45231</v>
      </c>
      <c r="G814" s="362">
        <v>45231</v>
      </c>
      <c r="H814" s="362">
        <v>45231</v>
      </c>
      <c r="I814" s="394">
        <v>45231</v>
      </c>
      <c r="J814" s="387" t="s">
        <v>733</v>
      </c>
      <c r="K814" s="388" t="s">
        <v>734</v>
      </c>
      <c r="L814" s="402">
        <v>5</v>
      </c>
      <c r="M814" s="352" t="s">
        <v>735</v>
      </c>
      <c r="N814" s="403">
        <v>54000</v>
      </c>
      <c r="O814" s="404">
        <v>270000</v>
      </c>
      <c r="P814" s="421">
        <v>12</v>
      </c>
      <c r="Q814" s="429" t="s">
        <v>108</v>
      </c>
      <c r="R814" s="437">
        <v>15000</v>
      </c>
      <c r="S814" s="438">
        <f t="shared" si="76"/>
        <v>280000</v>
      </c>
      <c r="T814" s="439" t="s">
        <v>227</v>
      </c>
      <c r="U814" s="460" t="str">
        <f t="shared" si="77"/>
        <v/>
      </c>
      <c r="V814" s="439" t="s">
        <v>1248</v>
      </c>
      <c r="W814" s="439" t="s">
        <v>540</v>
      </c>
      <c r="X814" s="454" t="s">
        <v>1315</v>
      </c>
      <c r="Y814" s="428" t="s">
        <v>710</v>
      </c>
      <c r="Z814" s="616" t="s">
        <v>710</v>
      </c>
      <c r="AA814" s="440" t="s">
        <v>714</v>
      </c>
      <c r="AB814" s="441">
        <f t="shared" si="78"/>
        <v>48648.648648648646</v>
      </c>
      <c r="AC814" s="442">
        <f t="shared" si="79"/>
        <v>243243.24324324323</v>
      </c>
      <c r="AD814" s="437">
        <v>15000</v>
      </c>
      <c r="AE814" s="447">
        <v>4290540.5405405397</v>
      </c>
      <c r="AF814" s="447">
        <v>4762500</v>
      </c>
      <c r="AG814" s="437">
        <v>15000</v>
      </c>
      <c r="AH814" s="271" t="s">
        <v>2101</v>
      </c>
    </row>
    <row r="815" spans="1:34">
      <c r="A815" s="350">
        <v>402</v>
      </c>
      <c r="B815" s="352" t="s">
        <v>1458</v>
      </c>
      <c r="C815" s="352" t="s">
        <v>704</v>
      </c>
      <c r="D815" s="355" t="s">
        <v>705</v>
      </c>
      <c r="E815" s="368">
        <v>45231</v>
      </c>
      <c r="F815" s="362">
        <v>45231</v>
      </c>
      <c r="G815" s="362">
        <v>45231</v>
      </c>
      <c r="H815" s="362">
        <v>45231</v>
      </c>
      <c r="I815" s="394">
        <v>45231</v>
      </c>
      <c r="J815" s="387" t="s">
        <v>758</v>
      </c>
      <c r="K815" s="387" t="s">
        <v>758</v>
      </c>
      <c r="L815" s="402">
        <v>3</v>
      </c>
      <c r="M815" s="352" t="s">
        <v>488</v>
      </c>
      <c r="N815" s="403">
        <v>5000</v>
      </c>
      <c r="O815" s="404">
        <v>15000</v>
      </c>
      <c r="P815" s="421">
        <v>12</v>
      </c>
      <c r="Q815" s="429" t="s">
        <v>102</v>
      </c>
      <c r="R815" s="437">
        <v>225000</v>
      </c>
      <c r="S815" s="438">
        <f t="shared" si="76"/>
        <v>21000</v>
      </c>
      <c r="T815" s="439" t="s">
        <v>227</v>
      </c>
      <c r="U815" s="460" t="str">
        <f t="shared" si="77"/>
        <v/>
      </c>
      <c r="V815" s="439" t="s">
        <v>1248</v>
      </c>
      <c r="W815" s="439" t="s">
        <v>540</v>
      </c>
      <c r="X815" s="454" t="s">
        <v>1315</v>
      </c>
      <c r="Y815" s="428" t="s">
        <v>710</v>
      </c>
      <c r="Z815" s="616" t="s">
        <v>710</v>
      </c>
      <c r="AA815" s="440" t="s">
        <v>714</v>
      </c>
      <c r="AB815" s="441">
        <f t="shared" si="78"/>
        <v>4504.5045045045044</v>
      </c>
      <c r="AC815" s="442">
        <f t="shared" si="79"/>
        <v>13513.513513513513</v>
      </c>
      <c r="AD815" s="437">
        <v>225000</v>
      </c>
      <c r="AE815" s="447">
        <v>4290540.5405405397</v>
      </c>
      <c r="AF815" s="447">
        <v>4762500</v>
      </c>
      <c r="AG815" s="437">
        <v>225000</v>
      </c>
      <c r="AH815" s="271" t="s">
        <v>2101</v>
      </c>
    </row>
    <row r="816" spans="1:34">
      <c r="A816" s="350">
        <v>402</v>
      </c>
      <c r="B816" s="352" t="s">
        <v>1458</v>
      </c>
      <c r="C816" s="352" t="s">
        <v>704</v>
      </c>
      <c r="D816" s="355" t="s">
        <v>705</v>
      </c>
      <c r="E816" s="368">
        <v>45231</v>
      </c>
      <c r="F816" s="362">
        <v>45231</v>
      </c>
      <c r="G816" s="362">
        <v>45231</v>
      </c>
      <c r="H816" s="362">
        <v>45231</v>
      </c>
      <c r="I816" s="394">
        <v>45231</v>
      </c>
      <c r="J816" s="387" t="s">
        <v>236</v>
      </c>
      <c r="K816" s="389" t="s">
        <v>771</v>
      </c>
      <c r="L816" s="402">
        <v>4</v>
      </c>
      <c r="M816" s="352" t="s">
        <v>772</v>
      </c>
      <c r="N816" s="403">
        <v>65000</v>
      </c>
      <c r="O816" s="404">
        <v>260000</v>
      </c>
      <c r="P816" s="421">
        <v>12</v>
      </c>
      <c r="Q816" s="429" t="s">
        <v>151</v>
      </c>
      <c r="R816" s="437">
        <v>150000</v>
      </c>
      <c r="S816" s="438">
        <f t="shared" si="76"/>
        <v>268000</v>
      </c>
      <c r="T816" s="439" t="s">
        <v>227</v>
      </c>
      <c r="U816" s="460" t="str">
        <f t="shared" si="77"/>
        <v/>
      </c>
      <c r="V816" s="439" t="s">
        <v>1248</v>
      </c>
      <c r="W816" s="439" t="s">
        <v>540</v>
      </c>
      <c r="X816" s="454" t="s">
        <v>1315</v>
      </c>
      <c r="Y816" s="428" t="s">
        <v>710</v>
      </c>
      <c r="Z816" s="616" t="s">
        <v>710</v>
      </c>
      <c r="AA816" s="440" t="s">
        <v>753</v>
      </c>
      <c r="AB816" s="441">
        <f t="shared" si="78"/>
        <v>58558.558558558558</v>
      </c>
      <c r="AC816" s="442">
        <f t="shared" si="79"/>
        <v>234234.23423423423</v>
      </c>
      <c r="AD816" s="437">
        <v>150000</v>
      </c>
      <c r="AE816" s="447">
        <v>4290540.5405405397</v>
      </c>
      <c r="AF816" s="447">
        <v>4762500</v>
      </c>
      <c r="AG816" s="437">
        <v>150000</v>
      </c>
      <c r="AH816" s="443" t="s">
        <v>2101</v>
      </c>
    </row>
    <row r="817" spans="1:36" ht="25">
      <c r="A817" s="350">
        <v>402</v>
      </c>
      <c r="B817" s="352" t="s">
        <v>1458</v>
      </c>
      <c r="C817" s="352" t="s">
        <v>704</v>
      </c>
      <c r="D817" s="355" t="s">
        <v>705</v>
      </c>
      <c r="E817" s="368">
        <v>45231</v>
      </c>
      <c r="F817" s="362">
        <v>45231</v>
      </c>
      <c r="G817" s="362">
        <v>45231</v>
      </c>
      <c r="H817" s="362">
        <v>45231</v>
      </c>
      <c r="I817" s="394">
        <v>45231</v>
      </c>
      <c r="J817" s="387" t="s">
        <v>781</v>
      </c>
      <c r="K817" s="387" t="s">
        <v>781</v>
      </c>
      <c r="L817" s="402">
        <v>21</v>
      </c>
      <c r="M817" s="352" t="s">
        <v>551</v>
      </c>
      <c r="N817" s="403">
        <v>95000</v>
      </c>
      <c r="O817" s="404">
        <v>1995000</v>
      </c>
      <c r="P817" s="421">
        <v>12</v>
      </c>
      <c r="Q817" s="429" t="s">
        <v>148</v>
      </c>
      <c r="R817" s="437">
        <v>35000</v>
      </c>
      <c r="S817" s="438">
        <f t="shared" si="76"/>
        <v>2037000</v>
      </c>
      <c r="T817" s="439" t="s">
        <v>227</v>
      </c>
      <c r="U817" s="460" t="str">
        <f t="shared" si="77"/>
        <v/>
      </c>
      <c r="V817" s="439" t="s">
        <v>1248</v>
      </c>
      <c r="W817" s="439" t="s">
        <v>540</v>
      </c>
      <c r="X817" s="454" t="s">
        <v>1315</v>
      </c>
      <c r="Y817" s="428" t="s">
        <v>710</v>
      </c>
      <c r="Z817" s="616" t="s">
        <v>710</v>
      </c>
      <c r="AA817" s="440" t="s">
        <v>753</v>
      </c>
      <c r="AB817" s="441">
        <f t="shared" si="78"/>
        <v>85585.585585585592</v>
      </c>
      <c r="AC817" s="442">
        <f t="shared" si="79"/>
        <v>1797297.2972972975</v>
      </c>
      <c r="AD817" s="437">
        <v>35000</v>
      </c>
      <c r="AE817" s="447">
        <v>4290540.5405405397</v>
      </c>
      <c r="AF817" s="447">
        <v>4762500</v>
      </c>
      <c r="AG817" s="437">
        <v>35000</v>
      </c>
      <c r="AH817" s="443" t="s">
        <v>2101</v>
      </c>
    </row>
    <row r="818" spans="1:36">
      <c r="A818" s="350">
        <v>402</v>
      </c>
      <c r="B818" s="352" t="s">
        <v>1458</v>
      </c>
      <c r="C818" s="352" t="s">
        <v>704</v>
      </c>
      <c r="D818" s="355" t="s">
        <v>705</v>
      </c>
      <c r="E818" s="368">
        <v>45231</v>
      </c>
      <c r="F818" s="362">
        <v>45231</v>
      </c>
      <c r="G818" s="362">
        <v>45231</v>
      </c>
      <c r="H818" s="362">
        <v>45231</v>
      </c>
      <c r="I818" s="394">
        <v>45231</v>
      </c>
      <c r="J818" s="387" t="s">
        <v>747</v>
      </c>
      <c r="K818" s="388" t="s">
        <v>886</v>
      </c>
      <c r="L818" s="402">
        <v>1</v>
      </c>
      <c r="M818" s="352" t="s">
        <v>488</v>
      </c>
      <c r="N818" s="403">
        <v>5000</v>
      </c>
      <c r="O818" s="404">
        <v>5000</v>
      </c>
      <c r="P818" s="421">
        <v>12</v>
      </c>
      <c r="Q818" s="429" t="s">
        <v>130</v>
      </c>
      <c r="R818" s="437">
        <v>225000</v>
      </c>
      <c r="S818" s="438">
        <f t="shared" si="76"/>
        <v>7000</v>
      </c>
      <c r="T818" s="439" t="s">
        <v>227</v>
      </c>
      <c r="U818" s="460" t="str">
        <f t="shared" si="77"/>
        <v/>
      </c>
      <c r="V818" s="439" t="s">
        <v>1248</v>
      </c>
      <c r="W818" s="439" t="s">
        <v>540</v>
      </c>
      <c r="X818" s="454" t="s">
        <v>1315</v>
      </c>
      <c r="Y818" s="428" t="s">
        <v>710</v>
      </c>
      <c r="Z818" s="616" t="s">
        <v>710</v>
      </c>
      <c r="AA818" s="440" t="s">
        <v>753</v>
      </c>
      <c r="AB818" s="441">
        <f t="shared" si="78"/>
        <v>4504.5045045045044</v>
      </c>
      <c r="AC818" s="442">
        <f t="shared" si="79"/>
        <v>4504.5045045045044</v>
      </c>
      <c r="AD818" s="437">
        <v>225000</v>
      </c>
      <c r="AE818" s="447">
        <v>4290540.5405405397</v>
      </c>
      <c r="AF818" s="447">
        <v>4762500</v>
      </c>
      <c r="AG818" s="437">
        <v>225000</v>
      </c>
      <c r="AH818" s="443" t="s">
        <v>2101</v>
      </c>
    </row>
    <row r="819" spans="1:36" ht="25">
      <c r="A819" s="350">
        <v>402</v>
      </c>
      <c r="B819" s="352" t="s">
        <v>1458</v>
      </c>
      <c r="C819" s="352" t="s">
        <v>704</v>
      </c>
      <c r="D819" s="355" t="s">
        <v>705</v>
      </c>
      <c r="E819" s="368">
        <v>45231</v>
      </c>
      <c r="F819" s="362">
        <v>45231</v>
      </c>
      <c r="G819" s="362">
        <v>45231</v>
      </c>
      <c r="H819" s="362">
        <v>45231</v>
      </c>
      <c r="I819" s="394">
        <v>45231</v>
      </c>
      <c r="J819" s="387" t="s">
        <v>261</v>
      </c>
      <c r="K819" s="387" t="s">
        <v>261</v>
      </c>
      <c r="L819" s="402">
        <v>12</v>
      </c>
      <c r="M819" s="352" t="s">
        <v>667</v>
      </c>
      <c r="N819" s="403">
        <v>20000</v>
      </c>
      <c r="O819" s="404">
        <v>240000</v>
      </c>
      <c r="P819" s="421">
        <v>12</v>
      </c>
      <c r="Q819" s="429" t="s">
        <v>156</v>
      </c>
      <c r="R819" s="437">
        <v>60000</v>
      </c>
      <c r="S819" s="438">
        <f t="shared" si="76"/>
        <v>264000</v>
      </c>
      <c r="T819" s="439" t="s">
        <v>227</v>
      </c>
      <c r="U819" s="460" t="str">
        <f t="shared" si="77"/>
        <v/>
      </c>
      <c r="V819" s="439" t="s">
        <v>1248</v>
      </c>
      <c r="W819" s="439" t="s">
        <v>540</v>
      </c>
      <c r="X819" s="454" t="s">
        <v>1315</v>
      </c>
      <c r="Y819" s="428" t="s">
        <v>710</v>
      </c>
      <c r="Z819" s="616" t="s">
        <v>710</v>
      </c>
      <c r="AA819" s="440" t="s">
        <v>753</v>
      </c>
      <c r="AB819" s="441">
        <f t="shared" si="78"/>
        <v>18018.018018018018</v>
      </c>
      <c r="AC819" s="442">
        <f t="shared" si="79"/>
        <v>216216.21621621621</v>
      </c>
      <c r="AD819" s="437">
        <v>60000</v>
      </c>
      <c r="AE819" s="447">
        <v>4290540.5405405397</v>
      </c>
      <c r="AF819" s="447">
        <v>4762500</v>
      </c>
      <c r="AG819" s="437">
        <v>60000</v>
      </c>
      <c r="AH819" s="452" t="s">
        <v>2101</v>
      </c>
    </row>
    <row r="820" spans="1:36">
      <c r="A820" s="350">
        <v>402</v>
      </c>
      <c r="B820" s="352" t="s">
        <v>1458</v>
      </c>
      <c r="C820" s="352" t="s">
        <v>704</v>
      </c>
      <c r="D820" s="355" t="s">
        <v>705</v>
      </c>
      <c r="E820" s="368">
        <v>45231</v>
      </c>
      <c r="F820" s="362">
        <v>45231</v>
      </c>
      <c r="G820" s="362">
        <v>45231</v>
      </c>
      <c r="H820" s="362">
        <v>45231</v>
      </c>
      <c r="I820" s="394">
        <v>45231</v>
      </c>
      <c r="J820" s="387" t="s">
        <v>264</v>
      </c>
      <c r="K820" s="387" t="s">
        <v>882</v>
      </c>
      <c r="L820" s="402">
        <v>2</v>
      </c>
      <c r="M820" s="352" t="s">
        <v>753</v>
      </c>
      <c r="N820" s="403">
        <v>42000</v>
      </c>
      <c r="O820" s="404">
        <v>84000</v>
      </c>
      <c r="P820" s="421">
        <v>12</v>
      </c>
      <c r="Q820" s="429" t="s">
        <v>918</v>
      </c>
      <c r="R820" s="437">
        <v>50000</v>
      </c>
      <c r="S820" s="438">
        <f t="shared" si="76"/>
        <v>88000</v>
      </c>
      <c r="T820" s="439" t="s">
        <v>227</v>
      </c>
      <c r="U820" s="460" t="str">
        <f t="shared" si="77"/>
        <v/>
      </c>
      <c r="V820" s="439" t="s">
        <v>1248</v>
      </c>
      <c r="W820" s="439" t="s">
        <v>540</v>
      </c>
      <c r="X820" s="454" t="s">
        <v>1315</v>
      </c>
      <c r="Y820" s="428" t="s">
        <v>710</v>
      </c>
      <c r="Z820" s="616" t="s">
        <v>710</v>
      </c>
      <c r="AA820" s="440" t="s">
        <v>724</v>
      </c>
      <c r="AB820" s="441">
        <f t="shared" si="78"/>
        <v>37837.83783783784</v>
      </c>
      <c r="AC820" s="442">
        <f t="shared" si="79"/>
        <v>75675.67567567568</v>
      </c>
      <c r="AD820" s="437">
        <v>50000</v>
      </c>
      <c r="AE820" s="447">
        <v>4290540.5405405397</v>
      </c>
      <c r="AF820" s="447">
        <v>4762500</v>
      </c>
      <c r="AG820" s="437">
        <v>50000</v>
      </c>
      <c r="AH820" s="443" t="s">
        <v>2101</v>
      </c>
    </row>
    <row r="821" spans="1:36">
      <c r="A821" s="350">
        <v>402</v>
      </c>
      <c r="B821" s="352" t="s">
        <v>1458</v>
      </c>
      <c r="C821" s="352" t="s">
        <v>704</v>
      </c>
      <c r="D821" s="355" t="s">
        <v>705</v>
      </c>
      <c r="E821" s="368">
        <v>45231</v>
      </c>
      <c r="F821" s="362">
        <v>45231</v>
      </c>
      <c r="G821" s="362">
        <v>45231</v>
      </c>
      <c r="H821" s="362">
        <v>45231</v>
      </c>
      <c r="I821" s="394">
        <v>45231</v>
      </c>
      <c r="J821" s="387" t="s">
        <v>241</v>
      </c>
      <c r="K821" s="387" t="s">
        <v>767</v>
      </c>
      <c r="L821" s="402">
        <v>2</v>
      </c>
      <c r="M821" s="352" t="s">
        <v>597</v>
      </c>
      <c r="N821" s="403">
        <v>5500</v>
      </c>
      <c r="O821" s="404">
        <v>11000</v>
      </c>
      <c r="P821" s="421">
        <v>12</v>
      </c>
      <c r="Q821" s="429" t="s">
        <v>914</v>
      </c>
      <c r="R821" s="437">
        <v>45000</v>
      </c>
      <c r="S821" s="438">
        <f t="shared" si="76"/>
        <v>15000</v>
      </c>
      <c r="T821" s="439" t="s">
        <v>227</v>
      </c>
      <c r="U821" s="460" t="str">
        <f t="shared" si="77"/>
        <v/>
      </c>
      <c r="V821" s="439" t="s">
        <v>1248</v>
      </c>
      <c r="W821" s="439" t="s">
        <v>540</v>
      </c>
      <c r="X821" s="454" t="s">
        <v>1315</v>
      </c>
      <c r="Y821" s="428" t="s">
        <v>710</v>
      </c>
      <c r="Z821" s="616" t="s">
        <v>710</v>
      </c>
      <c r="AA821" s="440" t="s">
        <v>753</v>
      </c>
      <c r="AB821" s="441">
        <f t="shared" si="78"/>
        <v>4954.9549549549547</v>
      </c>
      <c r="AC821" s="442">
        <f t="shared" si="79"/>
        <v>9909.9099099099094</v>
      </c>
      <c r="AD821" s="437">
        <v>45000</v>
      </c>
      <c r="AE821" s="447">
        <v>4290540.5405405397</v>
      </c>
      <c r="AF821" s="447">
        <v>4762500</v>
      </c>
      <c r="AG821" s="437">
        <v>45000</v>
      </c>
      <c r="AH821" s="443" t="s">
        <v>2101</v>
      </c>
    </row>
    <row r="822" spans="1:36">
      <c r="A822" s="350">
        <v>402</v>
      </c>
      <c r="B822" s="352" t="s">
        <v>1458</v>
      </c>
      <c r="C822" s="352" t="s">
        <v>704</v>
      </c>
      <c r="D822" s="355" t="s">
        <v>705</v>
      </c>
      <c r="E822" s="368">
        <v>45231</v>
      </c>
      <c r="F822" s="362">
        <v>45231</v>
      </c>
      <c r="G822" s="362">
        <v>45231</v>
      </c>
      <c r="H822" s="362">
        <v>45231</v>
      </c>
      <c r="I822" s="394">
        <v>45231</v>
      </c>
      <c r="J822" s="389" t="s">
        <v>755</v>
      </c>
      <c r="K822" s="389" t="s">
        <v>755</v>
      </c>
      <c r="L822" s="402">
        <v>1</v>
      </c>
      <c r="M822" s="352" t="s">
        <v>756</v>
      </c>
      <c r="N822" s="403">
        <v>26000</v>
      </c>
      <c r="O822" s="404">
        <v>26000</v>
      </c>
      <c r="P822" s="421">
        <v>12</v>
      </c>
      <c r="Q822" s="429" t="s">
        <v>149</v>
      </c>
      <c r="R822" s="437">
        <v>650000</v>
      </c>
      <c r="S822" s="438">
        <f t="shared" si="76"/>
        <v>28000</v>
      </c>
      <c r="T822" s="439" t="s">
        <v>227</v>
      </c>
      <c r="U822" s="460" t="str">
        <f t="shared" si="77"/>
        <v/>
      </c>
      <c r="V822" s="439" t="s">
        <v>1248</v>
      </c>
      <c r="W822" s="439" t="s">
        <v>540</v>
      </c>
      <c r="X822" s="454" t="s">
        <v>1315</v>
      </c>
      <c r="Y822" s="428" t="s">
        <v>710</v>
      </c>
      <c r="Z822" s="616" t="s">
        <v>710</v>
      </c>
      <c r="AA822" s="440" t="s">
        <v>597</v>
      </c>
      <c r="AB822" s="441">
        <f t="shared" si="78"/>
        <v>23423.423423423425</v>
      </c>
      <c r="AC822" s="442">
        <f t="shared" si="79"/>
        <v>23423.423423423425</v>
      </c>
      <c r="AD822" s="437">
        <v>650000</v>
      </c>
      <c r="AE822" s="447">
        <v>4290540.5405405397</v>
      </c>
      <c r="AF822" s="447">
        <v>4762500</v>
      </c>
      <c r="AG822" s="437">
        <v>650000</v>
      </c>
      <c r="AH822" s="443" t="s">
        <v>2101</v>
      </c>
    </row>
    <row r="823" spans="1:36">
      <c r="A823" s="350">
        <v>402</v>
      </c>
      <c r="B823" s="352" t="s">
        <v>1458</v>
      </c>
      <c r="C823" s="352" t="s">
        <v>704</v>
      </c>
      <c r="D823" s="355" t="s">
        <v>705</v>
      </c>
      <c r="E823" s="368">
        <v>45231</v>
      </c>
      <c r="F823" s="362">
        <v>45231</v>
      </c>
      <c r="G823" s="362">
        <v>45231</v>
      </c>
      <c r="H823" s="362">
        <v>45231</v>
      </c>
      <c r="I823" s="394">
        <v>45231</v>
      </c>
      <c r="J823" s="389" t="s">
        <v>233</v>
      </c>
      <c r="K823" s="389" t="s">
        <v>233</v>
      </c>
      <c r="L823" s="402">
        <v>1</v>
      </c>
      <c r="M823" s="352" t="s">
        <v>714</v>
      </c>
      <c r="N823" s="403">
        <v>97000</v>
      </c>
      <c r="O823" s="404">
        <v>97000</v>
      </c>
      <c r="P823" s="421">
        <v>12</v>
      </c>
      <c r="Q823" s="429" t="s">
        <v>110</v>
      </c>
      <c r="R823" s="437">
        <v>16500</v>
      </c>
      <c r="S823" s="438">
        <f t="shared" si="76"/>
        <v>99000</v>
      </c>
      <c r="T823" s="439" t="s">
        <v>227</v>
      </c>
      <c r="U823" s="460" t="str">
        <f t="shared" si="77"/>
        <v/>
      </c>
      <c r="V823" s="439" t="s">
        <v>1248</v>
      </c>
      <c r="W823" s="439" t="s">
        <v>540</v>
      </c>
      <c r="X823" s="454" t="s">
        <v>1315</v>
      </c>
      <c r="Y823" s="428" t="s">
        <v>710</v>
      </c>
      <c r="Z823" s="616" t="s">
        <v>710</v>
      </c>
      <c r="AA823" s="440" t="s">
        <v>735</v>
      </c>
      <c r="AB823" s="441">
        <f t="shared" si="78"/>
        <v>87387.387387387382</v>
      </c>
      <c r="AC823" s="442">
        <f t="shared" si="79"/>
        <v>87387.387387387382</v>
      </c>
      <c r="AD823" s="437">
        <v>16500</v>
      </c>
      <c r="AE823" s="447">
        <v>4290540.5405405397</v>
      </c>
      <c r="AF823" s="447">
        <v>4762500</v>
      </c>
      <c r="AG823" s="437">
        <v>16500</v>
      </c>
      <c r="AH823" s="452" t="s">
        <v>2101</v>
      </c>
    </row>
    <row r="824" spans="1:36">
      <c r="A824" s="350">
        <v>402</v>
      </c>
      <c r="B824" s="352" t="s">
        <v>1458</v>
      </c>
      <c r="C824" s="352" t="s">
        <v>704</v>
      </c>
      <c r="D824" s="355" t="s">
        <v>705</v>
      </c>
      <c r="E824" s="368">
        <v>45231</v>
      </c>
      <c r="F824" s="362">
        <v>45231</v>
      </c>
      <c r="G824" s="362">
        <v>45231</v>
      </c>
      <c r="H824" s="362">
        <v>45231</v>
      </c>
      <c r="I824" s="394">
        <v>45231</v>
      </c>
      <c r="J824" s="387" t="s">
        <v>237</v>
      </c>
      <c r="K824" s="388" t="s">
        <v>717</v>
      </c>
      <c r="L824" s="402">
        <v>2</v>
      </c>
      <c r="M824" s="352" t="s">
        <v>597</v>
      </c>
      <c r="N824" s="403">
        <v>7500</v>
      </c>
      <c r="O824" s="404">
        <v>15000</v>
      </c>
      <c r="P824" s="421">
        <v>12</v>
      </c>
      <c r="Q824" s="429" t="s">
        <v>133</v>
      </c>
      <c r="R824" s="437">
        <v>140000</v>
      </c>
      <c r="S824" s="438">
        <f t="shared" si="76"/>
        <v>19000</v>
      </c>
      <c r="T824" s="439" t="s">
        <v>227</v>
      </c>
      <c r="U824" s="460" t="str">
        <f t="shared" si="77"/>
        <v/>
      </c>
      <c r="V824" s="439" t="s">
        <v>1248</v>
      </c>
      <c r="W824" s="439" t="s">
        <v>540</v>
      </c>
      <c r="X824" s="454" t="s">
        <v>1315</v>
      </c>
      <c r="Y824" s="428" t="s">
        <v>710</v>
      </c>
      <c r="Z824" s="616" t="s">
        <v>710</v>
      </c>
      <c r="AA824" s="440" t="s">
        <v>749</v>
      </c>
      <c r="AB824" s="441">
        <f t="shared" si="78"/>
        <v>6756.7567567567567</v>
      </c>
      <c r="AC824" s="442">
        <f t="shared" si="79"/>
        <v>13513.513513513513</v>
      </c>
      <c r="AD824" s="437">
        <v>140000</v>
      </c>
      <c r="AE824" s="447">
        <v>4290540.5405405397</v>
      </c>
      <c r="AF824" s="447">
        <v>4762500</v>
      </c>
      <c r="AG824" s="437">
        <v>140000</v>
      </c>
      <c r="AH824" s="452" t="s">
        <v>2101</v>
      </c>
    </row>
    <row r="825" spans="1:36">
      <c r="A825" s="350">
        <v>402</v>
      </c>
      <c r="B825" s="352" t="s">
        <v>1458</v>
      </c>
      <c r="C825" s="352" t="s">
        <v>704</v>
      </c>
      <c r="D825" s="355" t="s">
        <v>705</v>
      </c>
      <c r="E825" s="368">
        <v>45231</v>
      </c>
      <c r="F825" s="362">
        <v>45231</v>
      </c>
      <c r="G825" s="362">
        <v>45231</v>
      </c>
      <c r="H825" s="362">
        <v>45231</v>
      </c>
      <c r="I825" s="394">
        <v>45231</v>
      </c>
      <c r="J825" s="389" t="s">
        <v>234</v>
      </c>
      <c r="K825" s="389" t="s">
        <v>234</v>
      </c>
      <c r="L825" s="402">
        <v>1</v>
      </c>
      <c r="M825" s="352" t="s">
        <v>714</v>
      </c>
      <c r="N825" s="403">
        <v>225000</v>
      </c>
      <c r="O825" s="404">
        <v>225000</v>
      </c>
      <c r="P825" s="421">
        <v>12</v>
      </c>
      <c r="Q825" s="429" t="s">
        <v>131</v>
      </c>
      <c r="R825" s="437">
        <v>21000</v>
      </c>
      <c r="S825" s="438">
        <f t="shared" si="76"/>
        <v>227000</v>
      </c>
      <c r="T825" s="439" t="s">
        <v>227</v>
      </c>
      <c r="U825" s="460" t="str">
        <f t="shared" si="77"/>
        <v/>
      </c>
      <c r="V825" s="439" t="s">
        <v>1248</v>
      </c>
      <c r="W825" s="439" t="s">
        <v>540</v>
      </c>
      <c r="X825" s="454" t="s">
        <v>1315</v>
      </c>
      <c r="Y825" s="428" t="s">
        <v>710</v>
      </c>
      <c r="Z825" s="616" t="s">
        <v>710</v>
      </c>
      <c r="AA825" s="440" t="s">
        <v>720</v>
      </c>
      <c r="AB825" s="441">
        <f t="shared" si="78"/>
        <v>202702.70270270269</v>
      </c>
      <c r="AC825" s="442">
        <f t="shared" si="79"/>
        <v>202702.70270270269</v>
      </c>
      <c r="AD825" s="437">
        <v>21000</v>
      </c>
      <c r="AE825" s="447">
        <v>4290540.5405405397</v>
      </c>
      <c r="AF825" s="447">
        <v>4762500</v>
      </c>
      <c r="AG825" s="437">
        <v>21000</v>
      </c>
      <c r="AH825" s="452" t="s">
        <v>2101</v>
      </c>
    </row>
    <row r="826" spans="1:36">
      <c r="A826" s="350">
        <v>402</v>
      </c>
      <c r="B826" s="352" t="s">
        <v>1458</v>
      </c>
      <c r="C826" s="352" t="s">
        <v>704</v>
      </c>
      <c r="D826" s="355" t="s">
        <v>705</v>
      </c>
      <c r="E826" s="368">
        <v>45231</v>
      </c>
      <c r="F826" s="362">
        <v>45231</v>
      </c>
      <c r="G826" s="362">
        <v>45231</v>
      </c>
      <c r="H826" s="362">
        <v>45231</v>
      </c>
      <c r="I826" s="394">
        <v>45231</v>
      </c>
      <c r="J826" s="387" t="s">
        <v>262</v>
      </c>
      <c r="K826" s="388" t="s">
        <v>744</v>
      </c>
      <c r="L826" s="402">
        <v>1</v>
      </c>
      <c r="M826" s="352" t="s">
        <v>714</v>
      </c>
      <c r="N826" s="403">
        <v>150000</v>
      </c>
      <c r="O826" s="404">
        <v>150000</v>
      </c>
      <c r="P826" s="421">
        <v>12</v>
      </c>
      <c r="Q826" s="429" t="s">
        <v>140</v>
      </c>
      <c r="R826" s="437">
        <v>40000</v>
      </c>
      <c r="S826" s="438">
        <f t="shared" si="76"/>
        <v>152000</v>
      </c>
      <c r="T826" s="439" t="s">
        <v>227</v>
      </c>
      <c r="U826" s="460" t="str">
        <f t="shared" si="77"/>
        <v/>
      </c>
      <c r="V826" s="439" t="s">
        <v>1248</v>
      </c>
      <c r="W826" s="439" t="s">
        <v>540</v>
      </c>
      <c r="X826" s="454" t="s">
        <v>1315</v>
      </c>
      <c r="Y826" s="428" t="s">
        <v>710</v>
      </c>
      <c r="Z826" s="616" t="s">
        <v>710</v>
      </c>
      <c r="AA826" s="440" t="s">
        <v>574</v>
      </c>
      <c r="AB826" s="441">
        <f t="shared" si="78"/>
        <v>135135.13513513515</v>
      </c>
      <c r="AC826" s="442">
        <f t="shared" si="79"/>
        <v>135135.13513513515</v>
      </c>
      <c r="AD826" s="437">
        <v>40000</v>
      </c>
      <c r="AE826" s="447">
        <v>4290540.5405405397</v>
      </c>
      <c r="AF826" s="447">
        <v>4762500</v>
      </c>
      <c r="AG826" s="437">
        <v>40000</v>
      </c>
      <c r="AH826" s="452" t="s">
        <v>2101</v>
      </c>
    </row>
    <row r="827" spans="1:36">
      <c r="A827" s="350">
        <v>402</v>
      </c>
      <c r="B827" s="352" t="s">
        <v>1458</v>
      </c>
      <c r="C827" s="352" t="s">
        <v>704</v>
      </c>
      <c r="D827" s="355" t="s">
        <v>705</v>
      </c>
      <c r="E827" s="368">
        <v>45231</v>
      </c>
      <c r="F827" s="362">
        <v>45231</v>
      </c>
      <c r="G827" s="362">
        <v>45231</v>
      </c>
      <c r="H827" s="362">
        <v>45231</v>
      </c>
      <c r="I827" s="394">
        <v>45231</v>
      </c>
      <c r="J827" s="387" t="s">
        <v>259</v>
      </c>
      <c r="K827" s="388" t="s">
        <v>752</v>
      </c>
      <c r="L827" s="402">
        <v>1</v>
      </c>
      <c r="M827" s="352" t="s">
        <v>753</v>
      </c>
      <c r="N827" s="403">
        <v>35000</v>
      </c>
      <c r="O827" s="404">
        <v>35000</v>
      </c>
      <c r="P827" s="421">
        <v>12</v>
      </c>
      <c r="Q827" s="428" t="s">
        <v>575</v>
      </c>
      <c r="R827" s="437">
        <v>10171500</v>
      </c>
      <c r="S827" s="438">
        <f t="shared" si="76"/>
        <v>37000</v>
      </c>
      <c r="T827" s="439" t="s">
        <v>227</v>
      </c>
      <c r="U827" s="460" t="str">
        <f t="shared" si="77"/>
        <v/>
      </c>
      <c r="V827" s="439" t="s">
        <v>1248</v>
      </c>
      <c r="W827" s="439" t="s">
        <v>540</v>
      </c>
      <c r="X827" s="439"/>
      <c r="Y827" s="428" t="str">
        <f>J827</f>
        <v>Plastik Mika</v>
      </c>
      <c r="Z827" s="449" t="str">
        <f>K827</f>
        <v>Plastik Mika Asahi</v>
      </c>
      <c r="AA827" s="440" t="s">
        <v>551</v>
      </c>
      <c r="AB827" s="441">
        <f t="shared" si="78"/>
        <v>31531.531531531531</v>
      </c>
      <c r="AC827" s="442">
        <f t="shared" si="79"/>
        <v>31531.531531531531</v>
      </c>
      <c r="AD827" s="437">
        <v>10171500</v>
      </c>
      <c r="AE827" s="447">
        <v>9163513.5135135129</v>
      </c>
      <c r="AF827" s="447">
        <v>10171500</v>
      </c>
      <c r="AG827" s="437">
        <v>10171500</v>
      </c>
      <c r="AH827" s="452" t="s">
        <v>2101</v>
      </c>
    </row>
    <row r="828" spans="1:36">
      <c r="A828" s="350">
        <v>402</v>
      </c>
      <c r="B828" s="352" t="s">
        <v>1458</v>
      </c>
      <c r="C828" s="352" t="s">
        <v>704</v>
      </c>
      <c r="D828" s="355" t="s">
        <v>705</v>
      </c>
      <c r="E828" s="368">
        <v>45231</v>
      </c>
      <c r="F828" s="362">
        <v>45231</v>
      </c>
      <c r="G828" s="362">
        <v>45231</v>
      </c>
      <c r="H828" s="362">
        <v>45231</v>
      </c>
      <c r="I828" s="394">
        <v>45231</v>
      </c>
      <c r="J828" s="387" t="s">
        <v>779</v>
      </c>
      <c r="K828" s="388" t="s">
        <v>906</v>
      </c>
      <c r="L828" s="402">
        <v>1</v>
      </c>
      <c r="M828" s="352" t="s">
        <v>753</v>
      </c>
      <c r="N828" s="403">
        <v>75000</v>
      </c>
      <c r="O828" s="404">
        <v>75000</v>
      </c>
      <c r="P828" s="421">
        <v>12</v>
      </c>
      <c r="Q828" s="275"/>
      <c r="R828" s="437">
        <v>90000</v>
      </c>
      <c r="S828" s="438">
        <f t="shared" si="76"/>
        <v>77000</v>
      </c>
      <c r="T828" s="439" t="s">
        <v>227</v>
      </c>
      <c r="U828" s="460" t="str">
        <f t="shared" si="77"/>
        <v/>
      </c>
      <c r="V828" s="439" t="s">
        <v>1248</v>
      </c>
      <c r="W828" s="439" t="s">
        <v>540</v>
      </c>
      <c r="X828" s="439"/>
      <c r="Y828" s="428" t="s">
        <v>542</v>
      </c>
      <c r="Z828" s="449" t="s">
        <v>542</v>
      </c>
      <c r="AA828" s="440" t="s">
        <v>488</v>
      </c>
      <c r="AB828" s="441">
        <f t="shared" si="78"/>
        <v>67567.567567567574</v>
      </c>
      <c r="AC828" s="442">
        <f t="shared" si="79"/>
        <v>67567.567567567574</v>
      </c>
      <c r="AD828" s="437">
        <v>90000</v>
      </c>
      <c r="AE828" s="447">
        <v>297297.29729729734</v>
      </c>
      <c r="AF828" s="447">
        <v>330000</v>
      </c>
      <c r="AG828" s="437">
        <v>90000</v>
      </c>
      <c r="AH828" s="271" t="s">
        <v>2101</v>
      </c>
      <c r="AI828" s="277">
        <f>SUM(AC828:AC829)</f>
        <v>121621.62162162163</v>
      </c>
      <c r="AJ828" s="277">
        <f>SUM(AD828:AD829)</f>
        <v>330000</v>
      </c>
    </row>
    <row r="829" spans="1:36">
      <c r="A829" s="350">
        <v>402</v>
      </c>
      <c r="B829" s="352" t="s">
        <v>1458</v>
      </c>
      <c r="C829" s="352" t="s">
        <v>704</v>
      </c>
      <c r="D829" s="355" t="s">
        <v>705</v>
      </c>
      <c r="E829" s="368">
        <v>45231</v>
      </c>
      <c r="F829" s="362">
        <v>45231</v>
      </c>
      <c r="G829" s="362">
        <v>45231</v>
      </c>
      <c r="H829" s="362">
        <v>45231</v>
      </c>
      <c r="I829" s="394">
        <v>45231</v>
      </c>
      <c r="J829" s="387" t="s">
        <v>263</v>
      </c>
      <c r="K829" s="388" t="s">
        <v>885</v>
      </c>
      <c r="L829" s="402">
        <v>5</v>
      </c>
      <c r="M829" s="352" t="s">
        <v>753</v>
      </c>
      <c r="N829" s="403">
        <v>12000</v>
      </c>
      <c r="O829" s="404">
        <v>60000</v>
      </c>
      <c r="P829" s="421">
        <v>12</v>
      </c>
      <c r="Q829" s="275"/>
      <c r="R829" s="437">
        <v>240000</v>
      </c>
      <c r="S829" s="438">
        <f t="shared" si="76"/>
        <v>70000</v>
      </c>
      <c r="T829" s="439" t="s">
        <v>227</v>
      </c>
      <c r="U829" s="460" t="str">
        <f t="shared" si="77"/>
        <v/>
      </c>
      <c r="V829" s="439" t="s">
        <v>1248</v>
      </c>
      <c r="W829" s="439" t="s">
        <v>540</v>
      </c>
      <c r="X829" s="439"/>
      <c r="Y829" s="428" t="s">
        <v>542</v>
      </c>
      <c r="Z829" s="449" t="s">
        <v>542</v>
      </c>
      <c r="AA829" s="440" t="s">
        <v>574</v>
      </c>
      <c r="AB829" s="441">
        <f t="shared" si="78"/>
        <v>10810.810810810812</v>
      </c>
      <c r="AC829" s="442">
        <f t="shared" si="79"/>
        <v>54054.054054054061</v>
      </c>
      <c r="AD829" s="437">
        <v>240000</v>
      </c>
      <c r="AE829" s="447">
        <v>297297.29729729734</v>
      </c>
      <c r="AF829" s="447">
        <v>330000</v>
      </c>
      <c r="AG829" s="437">
        <v>240000</v>
      </c>
      <c r="AH829" s="271" t="s">
        <v>2101</v>
      </c>
    </row>
    <row r="830" spans="1:36">
      <c r="A830" s="350">
        <v>402</v>
      </c>
      <c r="B830" s="352" t="s">
        <v>1458</v>
      </c>
      <c r="C830" s="352" t="s">
        <v>704</v>
      </c>
      <c r="D830" s="355" t="s">
        <v>705</v>
      </c>
      <c r="E830" s="368">
        <v>45231</v>
      </c>
      <c r="F830" s="362">
        <v>45231</v>
      </c>
      <c r="G830" s="362">
        <v>45231</v>
      </c>
      <c r="H830" s="362">
        <v>45231</v>
      </c>
      <c r="I830" s="394">
        <v>45231</v>
      </c>
      <c r="J830" s="387" t="s">
        <v>252</v>
      </c>
      <c r="K830" s="387" t="s">
        <v>786</v>
      </c>
      <c r="L830" s="402">
        <v>1</v>
      </c>
      <c r="M830" s="352" t="s">
        <v>753</v>
      </c>
      <c r="N830" s="403">
        <v>25000</v>
      </c>
      <c r="O830" s="404">
        <v>25000</v>
      </c>
      <c r="P830" s="421">
        <v>12</v>
      </c>
      <c r="Q830" s="275"/>
      <c r="R830" s="437">
        <v>500000</v>
      </c>
      <c r="S830" s="438">
        <f t="shared" si="76"/>
        <v>27000</v>
      </c>
      <c r="T830" s="439" t="s">
        <v>227</v>
      </c>
      <c r="U830" s="460" t="str">
        <f t="shared" si="77"/>
        <v/>
      </c>
      <c r="V830" s="439" t="s">
        <v>1248</v>
      </c>
      <c r="W830" s="439" t="s">
        <v>540</v>
      </c>
      <c r="X830" s="439"/>
      <c r="Y830" s="428" t="str">
        <f>J830</f>
        <v>Lakban Bening</v>
      </c>
      <c r="Z830" s="449"/>
      <c r="AA830" s="440" t="s">
        <v>488</v>
      </c>
      <c r="AB830" s="441">
        <f t="shared" si="78"/>
        <v>22522.522522522522</v>
      </c>
      <c r="AC830" s="442">
        <f t="shared" si="79"/>
        <v>22522.522522522522</v>
      </c>
      <c r="AD830" s="437">
        <v>500000</v>
      </c>
      <c r="AE830" s="447">
        <v>450450.45045045041</v>
      </c>
      <c r="AF830" s="447">
        <v>500000</v>
      </c>
      <c r="AG830" s="437">
        <v>500000</v>
      </c>
      <c r="AH830" s="271" t="s">
        <v>2101</v>
      </c>
    </row>
    <row r="831" spans="1:36">
      <c r="A831" s="350">
        <v>402</v>
      </c>
      <c r="B831" s="352" t="s">
        <v>1458</v>
      </c>
      <c r="C831" s="352" t="s">
        <v>704</v>
      </c>
      <c r="D831" s="355" t="s">
        <v>705</v>
      </c>
      <c r="E831" s="368">
        <v>45231</v>
      </c>
      <c r="F831" s="362">
        <v>45231</v>
      </c>
      <c r="G831" s="362">
        <v>45231</v>
      </c>
      <c r="H831" s="362">
        <v>45231</v>
      </c>
      <c r="I831" s="394">
        <v>45231</v>
      </c>
      <c r="J831" s="387" t="s">
        <v>897</v>
      </c>
      <c r="K831" s="388" t="s">
        <v>723</v>
      </c>
      <c r="L831" s="402">
        <v>1</v>
      </c>
      <c r="M831" s="352" t="s">
        <v>724</v>
      </c>
      <c r="N831" s="403">
        <v>45000</v>
      </c>
      <c r="O831" s="404">
        <v>45000</v>
      </c>
      <c r="P831" s="421">
        <v>12</v>
      </c>
      <c r="Q831" s="275"/>
      <c r="R831" s="437">
        <v>800000</v>
      </c>
      <c r="S831" s="438">
        <f t="shared" si="76"/>
        <v>47000</v>
      </c>
      <c r="T831" s="439" t="s">
        <v>227</v>
      </c>
      <c r="U831" s="460" t="str">
        <f t="shared" si="77"/>
        <v/>
      </c>
      <c r="V831" s="439" t="s">
        <v>1248</v>
      </c>
      <c r="W831" s="439" t="s">
        <v>540</v>
      </c>
      <c r="X831" s="439"/>
      <c r="Y831" s="428" t="s">
        <v>799</v>
      </c>
      <c r="Z831" s="449"/>
      <c r="AA831" s="440" t="s">
        <v>231</v>
      </c>
      <c r="AB831" s="441">
        <f t="shared" si="78"/>
        <v>40540.54054054054</v>
      </c>
      <c r="AC831" s="442">
        <f t="shared" si="79"/>
        <v>40540.54054054054</v>
      </c>
      <c r="AD831" s="437">
        <v>800000</v>
      </c>
      <c r="AE831" s="447">
        <v>720720.72072072071</v>
      </c>
      <c r="AF831" s="447">
        <v>800000</v>
      </c>
      <c r="AG831" s="437">
        <v>800000</v>
      </c>
      <c r="AH831" s="271" t="s">
        <v>2101</v>
      </c>
    </row>
    <row r="832" spans="1:36" ht="15.5">
      <c r="A832" s="350">
        <v>402</v>
      </c>
      <c r="B832" s="352" t="s">
        <v>1458</v>
      </c>
      <c r="C832" s="352" t="s">
        <v>704</v>
      </c>
      <c r="D832" s="355" t="s">
        <v>705</v>
      </c>
      <c r="E832" s="368">
        <v>45231</v>
      </c>
      <c r="F832" s="362">
        <v>45231</v>
      </c>
      <c r="G832" s="362">
        <v>45231</v>
      </c>
      <c r="H832" s="362">
        <v>45231</v>
      </c>
      <c r="I832" s="394">
        <v>45231</v>
      </c>
      <c r="J832" s="387" t="s">
        <v>260</v>
      </c>
      <c r="K832" s="388" t="s">
        <v>891</v>
      </c>
      <c r="L832" s="402">
        <v>5</v>
      </c>
      <c r="M832" s="352" t="s">
        <v>753</v>
      </c>
      <c r="N832" s="403">
        <v>65000</v>
      </c>
      <c r="O832" s="404">
        <v>325000</v>
      </c>
      <c r="P832" s="421">
        <v>12</v>
      </c>
      <c r="Q832" s="426" t="s">
        <v>81</v>
      </c>
      <c r="R832" s="437">
        <v>140000</v>
      </c>
      <c r="S832" s="438">
        <f t="shared" si="76"/>
        <v>335000</v>
      </c>
      <c r="T832" s="439" t="s">
        <v>227</v>
      </c>
      <c r="U832" s="460" t="str">
        <f t="shared" si="77"/>
        <v/>
      </c>
      <c r="V832" s="439" t="s">
        <v>1248</v>
      </c>
      <c r="W832" s="439" t="s">
        <v>540</v>
      </c>
      <c r="X832" s="439" t="s">
        <v>468</v>
      </c>
      <c r="Y832" s="428" t="str">
        <f t="shared" ref="Y832:Y877" si="81">J832</f>
        <v>Sampul Plastik</v>
      </c>
      <c r="Z832" s="449" t="s">
        <v>8</v>
      </c>
      <c r="AA832" s="440" t="s">
        <v>472</v>
      </c>
      <c r="AB832" s="441">
        <f t="shared" si="78"/>
        <v>58558.558558558558</v>
      </c>
      <c r="AC832" s="442">
        <f t="shared" si="79"/>
        <v>292792.79279279278</v>
      </c>
      <c r="AD832" s="437">
        <v>210000</v>
      </c>
      <c r="AE832" s="447">
        <v>189189.18918918917</v>
      </c>
      <c r="AF832" s="447">
        <v>210000</v>
      </c>
      <c r="AG832" s="437">
        <v>210000</v>
      </c>
      <c r="AH832" s="271" t="s">
        <v>2101</v>
      </c>
    </row>
    <row r="833" spans="1:36">
      <c r="A833" s="350">
        <v>402</v>
      </c>
      <c r="B833" s="352" t="s">
        <v>1458</v>
      </c>
      <c r="C833" s="352" t="s">
        <v>704</v>
      </c>
      <c r="D833" s="355" t="s">
        <v>705</v>
      </c>
      <c r="E833" s="368">
        <v>45231</v>
      </c>
      <c r="F833" s="362">
        <v>45231</v>
      </c>
      <c r="G833" s="362">
        <v>45231</v>
      </c>
      <c r="H833" s="362">
        <v>45231</v>
      </c>
      <c r="I833" s="394">
        <v>45231</v>
      </c>
      <c r="J833" s="387" t="s">
        <v>239</v>
      </c>
      <c r="K833" s="387" t="s">
        <v>239</v>
      </c>
      <c r="L833" s="402">
        <v>1</v>
      </c>
      <c r="M833" s="352" t="s">
        <v>597</v>
      </c>
      <c r="N833" s="403">
        <v>16500</v>
      </c>
      <c r="O833" s="404">
        <v>16500</v>
      </c>
      <c r="P833" s="421">
        <v>12</v>
      </c>
      <c r="Q833" s="494" t="s">
        <v>163</v>
      </c>
      <c r="R833" s="437">
        <v>200000</v>
      </c>
      <c r="S833" s="438">
        <f t="shared" si="76"/>
        <v>18500</v>
      </c>
      <c r="T833" s="439" t="s">
        <v>227</v>
      </c>
      <c r="U833" s="460" t="str">
        <f t="shared" si="77"/>
        <v/>
      </c>
      <c r="V833" s="439" t="s">
        <v>1248</v>
      </c>
      <c r="W833" s="439" t="s">
        <v>540</v>
      </c>
      <c r="X833" s="439" t="s">
        <v>474</v>
      </c>
      <c r="Y833" s="428" t="str">
        <f t="shared" si="81"/>
        <v>Binder Klip  nomor 200</v>
      </c>
      <c r="Z833" s="449" t="s">
        <v>1545</v>
      </c>
      <c r="AA833" s="440" t="s">
        <v>231</v>
      </c>
      <c r="AB833" s="441">
        <f t="shared" si="78"/>
        <v>14864.864864864865</v>
      </c>
      <c r="AC833" s="442">
        <f t="shared" si="79"/>
        <v>14864.864864864865</v>
      </c>
      <c r="AD833" s="437">
        <v>700000</v>
      </c>
      <c r="AE833" s="447">
        <v>630630.63063063065</v>
      </c>
      <c r="AF833" s="447">
        <v>700000</v>
      </c>
      <c r="AG833" s="437">
        <v>700000</v>
      </c>
      <c r="AH833" s="271" t="s">
        <v>2101</v>
      </c>
    </row>
    <row r="834" spans="1:36" ht="25">
      <c r="A834" s="350">
        <v>402</v>
      </c>
      <c r="B834" s="352" t="s">
        <v>1458</v>
      </c>
      <c r="C834" s="352" t="s">
        <v>704</v>
      </c>
      <c r="D834" s="355" t="s">
        <v>705</v>
      </c>
      <c r="E834" s="368">
        <v>45231</v>
      </c>
      <c r="F834" s="362">
        <v>45231</v>
      </c>
      <c r="G834" s="362">
        <v>45231</v>
      </c>
      <c r="H834" s="362">
        <v>45231</v>
      </c>
      <c r="I834" s="394">
        <v>45231</v>
      </c>
      <c r="J834" s="387" t="s">
        <v>251</v>
      </c>
      <c r="K834" s="388" t="s">
        <v>907</v>
      </c>
      <c r="L834" s="402">
        <v>1</v>
      </c>
      <c r="M834" s="352" t="s">
        <v>735</v>
      </c>
      <c r="N834" s="403">
        <v>70000</v>
      </c>
      <c r="O834" s="404">
        <v>70000</v>
      </c>
      <c r="P834" s="421">
        <v>12</v>
      </c>
      <c r="Q834" s="493" t="s">
        <v>81</v>
      </c>
      <c r="R834" s="437">
        <v>70000</v>
      </c>
      <c r="S834" s="438">
        <f t="shared" si="76"/>
        <v>72000</v>
      </c>
      <c r="T834" s="439" t="s">
        <v>227</v>
      </c>
      <c r="U834" s="460" t="str">
        <f t="shared" si="77"/>
        <v/>
      </c>
      <c r="V834" s="439" t="s">
        <v>1248</v>
      </c>
      <c r="W834" s="439" t="s">
        <v>540</v>
      </c>
      <c r="X834" s="439" t="s">
        <v>468</v>
      </c>
      <c r="Y834" s="428" t="str">
        <f t="shared" si="81"/>
        <v>Kertas Warna Blank Folio, Ukuran : 8,5 x 14",  70 gram</v>
      </c>
      <c r="Z834" s="449" t="s">
        <v>8</v>
      </c>
      <c r="AA834" s="440" t="s">
        <v>472</v>
      </c>
      <c r="AB834" s="441">
        <f t="shared" si="78"/>
        <v>63063.063063063062</v>
      </c>
      <c r="AC834" s="442">
        <f t="shared" si="79"/>
        <v>63063.063063063062</v>
      </c>
      <c r="AD834" s="437">
        <v>70000</v>
      </c>
      <c r="AE834" s="447">
        <v>63063.063063063062</v>
      </c>
      <c r="AF834" s="447">
        <v>70000</v>
      </c>
      <c r="AG834" s="437">
        <v>70000</v>
      </c>
      <c r="AH834" s="271" t="s">
        <v>2101</v>
      </c>
    </row>
    <row r="835" spans="1:36">
      <c r="A835" s="350">
        <v>402</v>
      </c>
      <c r="B835" s="352" t="s">
        <v>1458</v>
      </c>
      <c r="C835" s="352" t="s">
        <v>704</v>
      </c>
      <c r="D835" s="355" t="s">
        <v>705</v>
      </c>
      <c r="E835" s="368">
        <v>45231</v>
      </c>
      <c r="F835" s="362">
        <v>45231</v>
      </c>
      <c r="G835" s="362">
        <v>45231</v>
      </c>
      <c r="H835" s="362">
        <v>45231</v>
      </c>
      <c r="I835" s="394">
        <v>45231</v>
      </c>
      <c r="J835" s="387" t="s">
        <v>249</v>
      </c>
      <c r="K835" s="387" t="s">
        <v>888</v>
      </c>
      <c r="L835" s="402">
        <v>1</v>
      </c>
      <c r="M835" s="352" t="s">
        <v>749</v>
      </c>
      <c r="N835" s="403">
        <v>21000</v>
      </c>
      <c r="O835" s="404">
        <v>21000</v>
      </c>
      <c r="P835" s="421">
        <v>12</v>
      </c>
      <c r="Q835" s="494" t="s">
        <v>163</v>
      </c>
      <c r="R835" s="273">
        <v>200000</v>
      </c>
      <c r="S835" s="438">
        <f t="shared" ref="S835:S892" si="82">L835*(N835+2000)</f>
        <v>23000</v>
      </c>
      <c r="T835" s="439" t="s">
        <v>227</v>
      </c>
      <c r="U835" s="460" t="str">
        <f t="shared" ref="U835:U898" si="83">IF(K835="Nasi Kotak","Resto JFC Esther",IF(K835="Aqua Botol 600 ml","UD. USAHA JAYA",""))</f>
        <v/>
      </c>
      <c r="V835" s="439" t="s">
        <v>1248</v>
      </c>
      <c r="W835" s="439" t="s">
        <v>540</v>
      </c>
      <c r="X835" s="439" t="s">
        <v>474</v>
      </c>
      <c r="Y835" s="428" t="str">
        <f t="shared" si="81"/>
        <v>Kertas Post-It Warna Warni  Sign Here</v>
      </c>
      <c r="Z835" s="449" t="s">
        <v>1545</v>
      </c>
      <c r="AA835" s="440" t="s">
        <v>472</v>
      </c>
      <c r="AB835" s="441">
        <f t="shared" ref="AB835:AB898" si="84">100/111*N835</f>
        <v>18918.91891891892</v>
      </c>
      <c r="AC835" s="442">
        <f t="shared" ref="AC835:AC898" si="85">AB835*L835</f>
        <v>18918.91891891892</v>
      </c>
      <c r="AD835" s="437">
        <v>500000</v>
      </c>
      <c r="AE835" s="447">
        <v>315315.31531531533</v>
      </c>
      <c r="AF835" s="447">
        <v>500000</v>
      </c>
      <c r="AG835" s="437">
        <v>500000</v>
      </c>
      <c r="AH835" s="271" t="s">
        <v>2101</v>
      </c>
    </row>
    <row r="836" spans="1:36" ht="15.5">
      <c r="A836" s="350">
        <v>402</v>
      </c>
      <c r="B836" s="352" t="s">
        <v>1458</v>
      </c>
      <c r="C836" s="352" t="s">
        <v>704</v>
      </c>
      <c r="D836" s="355" t="s">
        <v>705</v>
      </c>
      <c r="E836" s="368">
        <v>45231</v>
      </c>
      <c r="F836" s="362">
        <v>45231</v>
      </c>
      <c r="G836" s="362">
        <v>45231</v>
      </c>
      <c r="H836" s="362">
        <v>45231</v>
      </c>
      <c r="I836" s="394">
        <v>45231</v>
      </c>
      <c r="J836" s="387" t="s">
        <v>253</v>
      </c>
      <c r="K836" s="387" t="s">
        <v>719</v>
      </c>
      <c r="L836" s="402">
        <v>1</v>
      </c>
      <c r="M836" s="352" t="s">
        <v>720</v>
      </c>
      <c r="N836" s="403">
        <v>20000</v>
      </c>
      <c r="O836" s="404">
        <v>20000</v>
      </c>
      <c r="P836" s="421">
        <v>12</v>
      </c>
      <c r="Q836" s="426" t="s">
        <v>81</v>
      </c>
      <c r="R836" s="437">
        <v>140000</v>
      </c>
      <c r="S836" s="438">
        <f t="shared" si="82"/>
        <v>22000</v>
      </c>
      <c r="T836" s="439" t="s">
        <v>227</v>
      </c>
      <c r="U836" s="460" t="str">
        <f t="shared" si="83"/>
        <v/>
      </c>
      <c r="V836" s="439" t="s">
        <v>1248</v>
      </c>
      <c r="W836" s="439" t="s">
        <v>540</v>
      </c>
      <c r="X836" s="439" t="s">
        <v>468</v>
      </c>
      <c r="Y836" s="428" t="str">
        <f t="shared" si="81"/>
        <v>Lakban warna Uk 2" Warna Coklat Cofiie</v>
      </c>
      <c r="Z836" s="449" t="s">
        <v>8</v>
      </c>
      <c r="AA836" s="607" t="s">
        <v>231</v>
      </c>
      <c r="AB836" s="441">
        <f t="shared" si="84"/>
        <v>18018.018018018018</v>
      </c>
      <c r="AC836" s="442">
        <f t="shared" si="85"/>
        <v>18018.018018018018</v>
      </c>
      <c r="AD836" s="437">
        <v>140000</v>
      </c>
      <c r="AE836" s="447">
        <v>126126.12612612612</v>
      </c>
      <c r="AF836" s="447">
        <v>140000</v>
      </c>
      <c r="AG836" s="437">
        <v>140000</v>
      </c>
      <c r="AH836" s="271" t="s">
        <v>2101</v>
      </c>
    </row>
    <row r="837" spans="1:36" ht="15.5">
      <c r="A837" s="350">
        <v>403</v>
      </c>
      <c r="B837" s="352" t="s">
        <v>1459</v>
      </c>
      <c r="C837" s="352" t="s">
        <v>532</v>
      </c>
      <c r="D837" s="355" t="s">
        <v>533</v>
      </c>
      <c r="E837" s="368">
        <v>45231</v>
      </c>
      <c r="F837" s="362">
        <v>45231</v>
      </c>
      <c r="G837" s="362">
        <v>45231</v>
      </c>
      <c r="H837" s="362">
        <v>45231</v>
      </c>
      <c r="I837" s="394">
        <v>45231</v>
      </c>
      <c r="J837" s="387" t="s">
        <v>276</v>
      </c>
      <c r="K837" s="387" t="s">
        <v>746</v>
      </c>
      <c r="L837" s="402">
        <v>5</v>
      </c>
      <c r="M837" s="352" t="s">
        <v>551</v>
      </c>
      <c r="N837" s="403">
        <v>18000</v>
      </c>
      <c r="O837" s="404">
        <v>90000</v>
      </c>
      <c r="P837" s="421">
        <v>12</v>
      </c>
      <c r="Q837" s="426" t="s">
        <v>81</v>
      </c>
      <c r="R837" s="437">
        <v>2100000</v>
      </c>
      <c r="S837" s="438">
        <f t="shared" si="82"/>
        <v>100000</v>
      </c>
      <c r="T837" s="439" t="s">
        <v>227</v>
      </c>
      <c r="U837" s="460" t="str">
        <f t="shared" si="83"/>
        <v/>
      </c>
      <c r="V837" s="439" t="s">
        <v>1248</v>
      </c>
      <c r="W837" s="439" t="s">
        <v>540</v>
      </c>
      <c r="X837" s="439" t="s">
        <v>468</v>
      </c>
      <c r="Y837" s="428" t="str">
        <f t="shared" si="81"/>
        <v>vixal 500ml</v>
      </c>
      <c r="Z837" s="449" t="s">
        <v>8</v>
      </c>
      <c r="AA837" s="440" t="s">
        <v>488</v>
      </c>
      <c r="AB837" s="441">
        <f t="shared" si="84"/>
        <v>16216.216216216217</v>
      </c>
      <c r="AC837" s="442">
        <f t="shared" si="85"/>
        <v>81081.08108108108</v>
      </c>
      <c r="AD837" s="437">
        <v>2100000</v>
      </c>
      <c r="AE837" s="447">
        <v>1891891.8918918918</v>
      </c>
      <c r="AF837" s="447">
        <v>2100000</v>
      </c>
      <c r="AG837" s="437">
        <v>2100000</v>
      </c>
      <c r="AH837" s="271" t="s">
        <v>2101</v>
      </c>
    </row>
    <row r="838" spans="1:36">
      <c r="A838" s="350">
        <v>403</v>
      </c>
      <c r="B838" s="352" t="s">
        <v>1459</v>
      </c>
      <c r="C838" s="352" t="s">
        <v>532</v>
      </c>
      <c r="D838" s="355" t="s">
        <v>533</v>
      </c>
      <c r="E838" s="368">
        <v>45231</v>
      </c>
      <c r="F838" s="362">
        <v>45231</v>
      </c>
      <c r="G838" s="362">
        <v>45231</v>
      </c>
      <c r="H838" s="362">
        <v>45231</v>
      </c>
      <c r="I838" s="394">
        <v>45231</v>
      </c>
      <c r="J838" s="387" t="s">
        <v>669</v>
      </c>
      <c r="K838" s="387" t="s">
        <v>712</v>
      </c>
      <c r="L838" s="402">
        <v>20</v>
      </c>
      <c r="M838" s="352" t="s">
        <v>488</v>
      </c>
      <c r="N838" s="403">
        <v>12000</v>
      </c>
      <c r="O838" s="404">
        <v>240000</v>
      </c>
      <c r="P838" s="421">
        <v>12</v>
      </c>
      <c r="Q838" s="425" t="s">
        <v>165</v>
      </c>
      <c r="R838" s="437">
        <v>480000</v>
      </c>
      <c r="S838" s="438">
        <f t="shared" si="82"/>
        <v>280000</v>
      </c>
      <c r="T838" s="439" t="s">
        <v>227</v>
      </c>
      <c r="U838" s="460" t="str">
        <f t="shared" si="83"/>
        <v/>
      </c>
      <c r="V838" s="439" t="s">
        <v>1248</v>
      </c>
      <c r="W838" s="439" t="s">
        <v>540</v>
      </c>
      <c r="X838" s="439" t="s">
        <v>490</v>
      </c>
      <c r="Y838" s="428" t="str">
        <f t="shared" si="81"/>
        <v>Tissue</v>
      </c>
      <c r="Z838" s="449" t="s">
        <v>280</v>
      </c>
      <c r="AA838" s="440" t="s">
        <v>472</v>
      </c>
      <c r="AB838" s="441">
        <f t="shared" si="84"/>
        <v>10810.810810810812</v>
      </c>
      <c r="AC838" s="442">
        <f t="shared" si="85"/>
        <v>216216.21621621624</v>
      </c>
      <c r="AD838" s="437">
        <v>480000</v>
      </c>
      <c r="AE838" s="447">
        <v>684684.68468468473</v>
      </c>
      <c r="AF838" s="447">
        <v>760000</v>
      </c>
      <c r="AG838" s="437">
        <v>480000</v>
      </c>
      <c r="AH838" s="271" t="s">
        <v>2101</v>
      </c>
      <c r="AI838" s="277">
        <f>SUM(AC838:AC839)</f>
        <v>2468468.4684684686</v>
      </c>
      <c r="AJ838" s="277">
        <f>SUM(AD838:AD839)</f>
        <v>760000</v>
      </c>
    </row>
    <row r="839" spans="1:36">
      <c r="A839" s="350">
        <v>404</v>
      </c>
      <c r="B839" s="352" t="s">
        <v>1460</v>
      </c>
      <c r="C839" s="352" t="s">
        <v>795</v>
      </c>
      <c r="D839" s="355" t="s">
        <v>796</v>
      </c>
      <c r="E839" s="368">
        <v>45231</v>
      </c>
      <c r="F839" s="362">
        <v>45231</v>
      </c>
      <c r="G839" s="362">
        <v>45231</v>
      </c>
      <c r="H839" s="362">
        <v>45231</v>
      </c>
      <c r="I839" s="394">
        <v>45231</v>
      </c>
      <c r="J839" s="387" t="s">
        <v>930</v>
      </c>
      <c r="K839" s="387" t="s">
        <v>738</v>
      </c>
      <c r="L839" s="402">
        <v>5</v>
      </c>
      <c r="M839" s="352" t="s">
        <v>756</v>
      </c>
      <c r="N839" s="403">
        <v>500000</v>
      </c>
      <c r="O839" s="404">
        <v>2500000</v>
      </c>
      <c r="P839" s="421">
        <v>12</v>
      </c>
      <c r="Q839" s="425" t="s">
        <v>164</v>
      </c>
      <c r="R839" s="437">
        <v>280000</v>
      </c>
      <c r="S839" s="438">
        <f t="shared" si="82"/>
        <v>2510000</v>
      </c>
      <c r="T839" s="439" t="s">
        <v>12</v>
      </c>
      <c r="U839" s="460" t="str">
        <f t="shared" si="83"/>
        <v/>
      </c>
      <c r="V839" s="439" t="s">
        <v>13</v>
      </c>
      <c r="W839" s="439" t="s">
        <v>804</v>
      </c>
      <c r="X839" s="439" t="s">
        <v>474</v>
      </c>
      <c r="Y839" s="428" t="str">
        <f t="shared" si="81"/>
        <v>Kabel Listrik</v>
      </c>
      <c r="Z839" s="449" t="s">
        <v>1545</v>
      </c>
      <c r="AA839" s="440" t="s">
        <v>472</v>
      </c>
      <c r="AB839" s="441">
        <f t="shared" si="84"/>
        <v>450450.45045045047</v>
      </c>
      <c r="AC839" s="442">
        <f t="shared" si="85"/>
        <v>2252252.2522522523</v>
      </c>
      <c r="AD839" s="437">
        <v>280000</v>
      </c>
      <c r="AE839" s="447">
        <v>684684.68468468473</v>
      </c>
      <c r="AF839" s="447">
        <v>760000</v>
      </c>
      <c r="AG839" s="437">
        <v>280000</v>
      </c>
      <c r="AH839" s="271" t="s">
        <v>2101</v>
      </c>
    </row>
    <row r="840" spans="1:36">
      <c r="A840" s="350">
        <v>405</v>
      </c>
      <c r="B840" s="352" t="s">
        <v>1461</v>
      </c>
      <c r="C840" s="352" t="s">
        <v>1253</v>
      </c>
      <c r="D840" s="355" t="s">
        <v>571</v>
      </c>
      <c r="E840" s="368">
        <v>45231</v>
      </c>
      <c r="F840" s="362">
        <v>45231</v>
      </c>
      <c r="G840" s="362">
        <v>45231</v>
      </c>
      <c r="H840" s="362">
        <v>45231</v>
      </c>
      <c r="I840" s="394">
        <v>45231</v>
      </c>
      <c r="J840" s="387" t="s">
        <v>9</v>
      </c>
      <c r="K840" s="387" t="s">
        <v>786</v>
      </c>
      <c r="L840" s="402">
        <v>5830</v>
      </c>
      <c r="M840" s="352" t="s">
        <v>574</v>
      </c>
      <c r="N840" s="405">
        <v>300</v>
      </c>
      <c r="O840" s="404">
        <v>1749000</v>
      </c>
      <c r="P840" s="421">
        <v>12</v>
      </c>
      <c r="Q840" s="494" t="s">
        <v>163</v>
      </c>
      <c r="R840" s="437">
        <v>1000000</v>
      </c>
      <c r="S840" s="438">
        <f t="shared" si="82"/>
        <v>13409000</v>
      </c>
      <c r="T840" s="439" t="s">
        <v>227</v>
      </c>
      <c r="U840" s="460" t="str">
        <f t="shared" si="83"/>
        <v/>
      </c>
      <c r="V840" s="439" t="s">
        <v>1248</v>
      </c>
      <c r="W840" s="439" t="s">
        <v>540</v>
      </c>
      <c r="X840" s="439" t="s">
        <v>474</v>
      </c>
      <c r="Y840" s="428" t="str">
        <f t="shared" si="81"/>
        <v>Foto Copy Filio dan Kuarto</v>
      </c>
      <c r="Z840" s="449" t="s">
        <v>1545</v>
      </c>
      <c r="AA840" s="432" t="s">
        <v>472</v>
      </c>
      <c r="AB840" s="441">
        <f t="shared" si="84"/>
        <v>270.27027027027026</v>
      </c>
      <c r="AC840" s="442">
        <f t="shared" si="85"/>
        <v>1575675.6756756755</v>
      </c>
      <c r="AD840" s="437">
        <v>1000000</v>
      </c>
      <c r="AE840" s="447">
        <v>900900.90090090083</v>
      </c>
      <c r="AF840" s="447">
        <v>1000000</v>
      </c>
      <c r="AG840" s="437">
        <v>1000000</v>
      </c>
      <c r="AH840" s="271" t="s">
        <v>2101</v>
      </c>
    </row>
    <row r="841" spans="1:36" ht="25">
      <c r="A841" s="350">
        <v>407</v>
      </c>
      <c r="B841" s="352" t="s">
        <v>1462</v>
      </c>
      <c r="C841" s="352" t="s">
        <v>481</v>
      </c>
      <c r="D841" s="355" t="s">
        <v>464</v>
      </c>
      <c r="E841" s="368">
        <v>45235</v>
      </c>
      <c r="F841" s="362">
        <v>45236</v>
      </c>
      <c r="G841" s="362">
        <v>45236</v>
      </c>
      <c r="H841" s="362">
        <v>45236</v>
      </c>
      <c r="I841" s="394">
        <v>45236</v>
      </c>
      <c r="J841" s="387" t="s">
        <v>483</v>
      </c>
      <c r="K841" s="387" t="s">
        <v>484</v>
      </c>
      <c r="L841" s="402">
        <v>20</v>
      </c>
      <c r="M841" s="352" t="s">
        <v>472</v>
      </c>
      <c r="N841" s="403">
        <v>50000</v>
      </c>
      <c r="O841" s="404">
        <v>1000000</v>
      </c>
      <c r="P841" s="421">
        <v>12</v>
      </c>
      <c r="Q841" s="425" t="s">
        <v>164</v>
      </c>
      <c r="R841" s="437">
        <v>1680000</v>
      </c>
      <c r="S841" s="438">
        <f t="shared" si="82"/>
        <v>1040000</v>
      </c>
      <c r="T841" s="439" t="s">
        <v>10</v>
      </c>
      <c r="U841" s="460" t="str">
        <f t="shared" si="83"/>
        <v/>
      </c>
      <c r="V841" s="439" t="s">
        <v>11</v>
      </c>
      <c r="W841" s="439" t="s">
        <v>473</v>
      </c>
      <c r="X841" s="439" t="s">
        <v>474</v>
      </c>
      <c r="Y841" s="428" t="str">
        <f t="shared" si="81"/>
        <v>Air Mineral wadah gelaspada kegiatan rubrik/ibadah bulanan</v>
      </c>
      <c r="Z841" s="449" t="s">
        <v>1545</v>
      </c>
      <c r="AA841" s="432" t="s">
        <v>488</v>
      </c>
      <c r="AB841" s="441">
        <f t="shared" si="84"/>
        <v>45045.045045045044</v>
      </c>
      <c r="AC841" s="442">
        <f t="shared" si="85"/>
        <v>900900.90090090083</v>
      </c>
      <c r="AD841" s="437">
        <v>1680000</v>
      </c>
      <c r="AE841" s="447">
        <v>4540540.5405405406</v>
      </c>
      <c r="AF841" s="447">
        <v>5040000</v>
      </c>
      <c r="AG841" s="437">
        <v>1680000</v>
      </c>
      <c r="AH841" s="271" t="s">
        <v>2092</v>
      </c>
      <c r="AI841" s="277">
        <f>SUM(AC841:AC842)</f>
        <v>6306306.3063063063</v>
      </c>
      <c r="AJ841" s="277">
        <f>SUM(AD841:AD842)</f>
        <v>5040000</v>
      </c>
    </row>
    <row r="842" spans="1:36">
      <c r="A842" s="350">
        <v>407</v>
      </c>
      <c r="B842" s="352" t="s">
        <v>1462</v>
      </c>
      <c r="C842" s="352" t="s">
        <v>481</v>
      </c>
      <c r="D842" s="355" t="s">
        <v>464</v>
      </c>
      <c r="E842" s="368">
        <v>45235</v>
      </c>
      <c r="F842" s="362">
        <v>45236</v>
      </c>
      <c r="G842" s="362">
        <v>45236</v>
      </c>
      <c r="H842" s="362">
        <v>45236</v>
      </c>
      <c r="I842" s="394">
        <v>45236</v>
      </c>
      <c r="J842" s="387" t="s">
        <v>486</v>
      </c>
      <c r="K842" s="352" t="s">
        <v>487</v>
      </c>
      <c r="L842" s="402">
        <v>750</v>
      </c>
      <c r="M842" s="352" t="s">
        <v>488</v>
      </c>
      <c r="N842" s="403">
        <v>8000</v>
      </c>
      <c r="O842" s="404">
        <v>6000000</v>
      </c>
      <c r="P842" s="421">
        <v>12</v>
      </c>
      <c r="Q842" s="425" t="s">
        <v>165</v>
      </c>
      <c r="R842" s="437">
        <v>3360000</v>
      </c>
      <c r="S842" s="438">
        <f t="shared" si="82"/>
        <v>7500000</v>
      </c>
      <c r="T842" s="439" t="s">
        <v>10</v>
      </c>
      <c r="U842" s="460" t="str">
        <f t="shared" si="83"/>
        <v/>
      </c>
      <c r="V842" s="439" t="s">
        <v>11</v>
      </c>
      <c r="W842" s="439" t="s">
        <v>489</v>
      </c>
      <c r="X842" s="439" t="s">
        <v>490</v>
      </c>
      <c r="Y842" s="428" t="str">
        <f t="shared" si="81"/>
        <v>Snack Kegiatan rubrik/Ibadah Bulanan</v>
      </c>
      <c r="Z842" s="449" t="s">
        <v>280</v>
      </c>
      <c r="AA842" s="432" t="s">
        <v>753</v>
      </c>
      <c r="AB842" s="441">
        <f t="shared" si="84"/>
        <v>7207.2072072072069</v>
      </c>
      <c r="AC842" s="442">
        <f t="shared" si="85"/>
        <v>5405405.405405405</v>
      </c>
      <c r="AD842" s="437">
        <v>3360000</v>
      </c>
      <c r="AE842" s="447">
        <v>4540540.5405405406</v>
      </c>
      <c r="AF842" s="447">
        <v>5040000</v>
      </c>
      <c r="AG842" s="437">
        <v>3360000</v>
      </c>
      <c r="AH842" s="271" t="s">
        <v>2092</v>
      </c>
    </row>
    <row r="843" spans="1:36">
      <c r="A843" s="350">
        <v>408</v>
      </c>
      <c r="B843" s="352" t="s">
        <v>1463</v>
      </c>
      <c r="C843" s="352" t="s">
        <v>492</v>
      </c>
      <c r="D843" s="355" t="s">
        <v>464</v>
      </c>
      <c r="E843" s="368">
        <v>45237</v>
      </c>
      <c r="F843" s="362">
        <v>45238</v>
      </c>
      <c r="G843" s="362">
        <v>45238</v>
      </c>
      <c r="H843" s="362">
        <v>45238</v>
      </c>
      <c r="I843" s="394">
        <v>45238</v>
      </c>
      <c r="J843" s="387" t="s">
        <v>494</v>
      </c>
      <c r="K843" s="387" t="s">
        <v>467</v>
      </c>
      <c r="L843" s="402">
        <v>16</v>
      </c>
      <c r="M843" s="352" t="s">
        <v>231</v>
      </c>
      <c r="N843" s="403">
        <v>35000</v>
      </c>
      <c r="O843" s="404">
        <v>560000</v>
      </c>
      <c r="P843" s="421">
        <v>12</v>
      </c>
      <c r="Q843" s="275"/>
      <c r="R843" s="437">
        <v>3000000</v>
      </c>
      <c r="S843" s="438">
        <f t="shared" si="82"/>
        <v>592000</v>
      </c>
      <c r="T843" s="444" t="s">
        <v>282</v>
      </c>
      <c r="U843" s="460" t="str">
        <f t="shared" si="83"/>
        <v>Resto JFC Esther</v>
      </c>
      <c r="V843" s="444" t="s">
        <v>1258</v>
      </c>
      <c r="W843" s="444" t="s">
        <v>468</v>
      </c>
      <c r="X843" s="439"/>
      <c r="Y843" s="428" t="str">
        <f t="shared" si="81"/>
        <v>Konsumsi Pembina pramuka Putera/Puteri</v>
      </c>
      <c r="Z843" s="606" t="s">
        <v>1560</v>
      </c>
      <c r="AA843" s="432" t="s">
        <v>753</v>
      </c>
      <c r="AB843" s="441">
        <f t="shared" si="84"/>
        <v>31531.531531531531</v>
      </c>
      <c r="AC843" s="442">
        <f t="shared" si="85"/>
        <v>504504.5045045045</v>
      </c>
      <c r="AD843" s="437">
        <v>3000000</v>
      </c>
      <c r="AE843" s="447">
        <v>11261261.261261262</v>
      </c>
      <c r="AF843" s="447">
        <v>12500000</v>
      </c>
      <c r="AG843" s="437">
        <v>3000000</v>
      </c>
      <c r="AH843" s="271" t="s">
        <v>2091</v>
      </c>
      <c r="AI843" s="277">
        <f>SUM(AC843:AC844)</f>
        <v>756756.75675675669</v>
      </c>
      <c r="AJ843" s="277">
        <f>SUM(AD843:AD844)</f>
        <v>12500000</v>
      </c>
    </row>
    <row r="844" spans="1:36" ht="25">
      <c r="A844" s="350">
        <v>408</v>
      </c>
      <c r="B844" s="352" t="s">
        <v>1465</v>
      </c>
      <c r="C844" s="352" t="s">
        <v>498</v>
      </c>
      <c r="D844" s="355" t="s">
        <v>464</v>
      </c>
      <c r="E844" s="368">
        <v>45237</v>
      </c>
      <c r="F844" s="362">
        <v>45238</v>
      </c>
      <c r="G844" s="362">
        <v>45238</v>
      </c>
      <c r="H844" s="362">
        <v>45238</v>
      </c>
      <c r="I844" s="394">
        <v>45238</v>
      </c>
      <c r="J844" s="387" t="s">
        <v>500</v>
      </c>
      <c r="K844" s="387" t="s">
        <v>467</v>
      </c>
      <c r="L844" s="402">
        <v>8</v>
      </c>
      <c r="M844" s="352" t="s">
        <v>231</v>
      </c>
      <c r="N844" s="403">
        <v>35000</v>
      </c>
      <c r="O844" s="404">
        <v>280000</v>
      </c>
      <c r="P844" s="421">
        <v>12</v>
      </c>
      <c r="Q844" s="275"/>
      <c r="R844" s="437">
        <v>9500000</v>
      </c>
      <c r="S844" s="438">
        <f t="shared" si="82"/>
        <v>296000</v>
      </c>
      <c r="T844" s="444" t="s">
        <v>282</v>
      </c>
      <c r="U844" s="460" t="str">
        <f t="shared" si="83"/>
        <v>Resto JFC Esther</v>
      </c>
      <c r="V844" s="444" t="s">
        <v>1258</v>
      </c>
      <c r="W844" s="444" t="s">
        <v>468</v>
      </c>
      <c r="X844" s="439"/>
      <c r="Y844" s="428" t="str">
        <f t="shared" si="81"/>
        <v>Konsumsi pembina pada kegiatan ekstrakurikuler seni dan budaya (paduan suara)</v>
      </c>
      <c r="Z844" s="606" t="s">
        <v>1560</v>
      </c>
      <c r="AA844" s="432" t="s">
        <v>608</v>
      </c>
      <c r="AB844" s="441">
        <f t="shared" si="84"/>
        <v>31531.531531531531</v>
      </c>
      <c r="AC844" s="442">
        <f t="shared" si="85"/>
        <v>252252.25225225225</v>
      </c>
      <c r="AD844" s="437">
        <v>9500000</v>
      </c>
      <c r="AE844" s="447">
        <v>11261261.261261262</v>
      </c>
      <c r="AF844" s="447">
        <v>12500000</v>
      </c>
      <c r="AG844" s="437">
        <v>9500000</v>
      </c>
      <c r="AH844" s="271" t="s">
        <v>2091</v>
      </c>
    </row>
    <row r="845" spans="1:36">
      <c r="A845" s="350">
        <v>409</v>
      </c>
      <c r="B845" s="352" t="s">
        <v>1464</v>
      </c>
      <c r="C845" s="352" t="s">
        <v>492</v>
      </c>
      <c r="D845" s="355" t="s">
        <v>464</v>
      </c>
      <c r="E845" s="368">
        <v>45237</v>
      </c>
      <c r="F845" s="362">
        <v>45238</v>
      </c>
      <c r="G845" s="362">
        <v>45238</v>
      </c>
      <c r="H845" s="362">
        <v>45238</v>
      </c>
      <c r="I845" s="394">
        <v>45238</v>
      </c>
      <c r="J845" s="387" t="s">
        <v>496</v>
      </c>
      <c r="K845" s="387" t="s">
        <v>484</v>
      </c>
      <c r="L845" s="402">
        <v>16</v>
      </c>
      <c r="M845" s="352" t="s">
        <v>472</v>
      </c>
      <c r="N845" s="403">
        <v>50000</v>
      </c>
      <c r="O845" s="404">
        <v>800000</v>
      </c>
      <c r="P845" s="421">
        <v>12</v>
      </c>
      <c r="Q845" s="275"/>
      <c r="R845" s="437">
        <v>2500000</v>
      </c>
      <c r="S845" s="438">
        <f t="shared" si="82"/>
        <v>832000</v>
      </c>
      <c r="T845" s="439" t="s">
        <v>10</v>
      </c>
      <c r="U845" s="460" t="str">
        <f t="shared" si="83"/>
        <v/>
      </c>
      <c r="V845" s="439" t="s">
        <v>11</v>
      </c>
      <c r="W845" s="439" t="s">
        <v>489</v>
      </c>
      <c r="X845" s="439"/>
      <c r="Y845" s="428" t="str">
        <f t="shared" si="81"/>
        <v>Aqua gelas siwa/i pada kegiatan ekstrakurikuler pramuka</v>
      </c>
      <c r="Z845" s="449"/>
      <c r="AA845" s="432" t="s">
        <v>488</v>
      </c>
      <c r="AB845" s="441">
        <f t="shared" si="84"/>
        <v>45045.045045045044</v>
      </c>
      <c r="AC845" s="442">
        <f t="shared" si="85"/>
        <v>720720.72072072071</v>
      </c>
      <c r="AD845" s="437">
        <v>2500000</v>
      </c>
      <c r="AE845" s="447">
        <v>2252252.2522522523</v>
      </c>
      <c r="AF845" s="447">
        <v>2500000</v>
      </c>
      <c r="AG845" s="437">
        <v>2500000</v>
      </c>
      <c r="AH845" s="271" t="s">
        <v>2092</v>
      </c>
    </row>
    <row r="846" spans="1:36" ht="25">
      <c r="A846" s="350">
        <v>409</v>
      </c>
      <c r="B846" s="352" t="s">
        <v>1466</v>
      </c>
      <c r="C846" s="352" t="s">
        <v>498</v>
      </c>
      <c r="D846" s="355" t="s">
        <v>464</v>
      </c>
      <c r="E846" s="368">
        <v>45237</v>
      </c>
      <c r="F846" s="362">
        <v>45238</v>
      </c>
      <c r="G846" s="362">
        <v>45238</v>
      </c>
      <c r="H846" s="362">
        <v>45238</v>
      </c>
      <c r="I846" s="394">
        <v>45238</v>
      </c>
      <c r="J846" s="387" t="s">
        <v>502</v>
      </c>
      <c r="K846" s="387" t="s">
        <v>484</v>
      </c>
      <c r="L846" s="402">
        <v>16</v>
      </c>
      <c r="M846" s="352" t="s">
        <v>472</v>
      </c>
      <c r="N846" s="403">
        <v>50000</v>
      </c>
      <c r="O846" s="404">
        <v>800000</v>
      </c>
      <c r="P846" s="421">
        <v>12</v>
      </c>
      <c r="Q846" s="275"/>
      <c r="R846" s="437">
        <v>360000</v>
      </c>
      <c r="S846" s="438">
        <f t="shared" si="82"/>
        <v>832000</v>
      </c>
      <c r="T846" s="439" t="s">
        <v>10</v>
      </c>
      <c r="U846" s="460" t="str">
        <f t="shared" si="83"/>
        <v/>
      </c>
      <c r="V846" s="439" t="s">
        <v>11</v>
      </c>
      <c r="W846" s="439" t="s">
        <v>489</v>
      </c>
      <c r="X846" s="439"/>
      <c r="Y846" s="428" t="str">
        <f t="shared" si="81"/>
        <v>Air mineral/Aqua gelas siswa/i peserta kegiatan ekstrakurikuler seni dan budaya (paduan suara)</v>
      </c>
      <c r="Z846" s="449" t="s">
        <v>1555</v>
      </c>
      <c r="AA846" s="432" t="s">
        <v>587</v>
      </c>
      <c r="AB846" s="441">
        <f t="shared" si="84"/>
        <v>45045.045045045044</v>
      </c>
      <c r="AC846" s="442">
        <f t="shared" si="85"/>
        <v>720720.72072072071</v>
      </c>
      <c r="AD846" s="437">
        <v>360000</v>
      </c>
      <c r="AE846" s="447">
        <v>324324.32432432432</v>
      </c>
      <c r="AF846" s="447">
        <v>360000</v>
      </c>
      <c r="AG846" s="437">
        <v>360000</v>
      </c>
      <c r="AH846" s="271" t="s">
        <v>2092</v>
      </c>
    </row>
    <row r="847" spans="1:36" ht="25">
      <c r="A847" s="350">
        <v>410</v>
      </c>
      <c r="B847" s="352" t="s">
        <v>1467</v>
      </c>
      <c r="C847" s="352" t="s">
        <v>504</v>
      </c>
      <c r="D847" s="355" t="s">
        <v>464</v>
      </c>
      <c r="E847" s="368">
        <v>45239</v>
      </c>
      <c r="F847" s="362">
        <v>45240</v>
      </c>
      <c r="G847" s="362">
        <v>45240</v>
      </c>
      <c r="H847" s="362">
        <v>45240</v>
      </c>
      <c r="I847" s="394">
        <v>45240</v>
      </c>
      <c r="J847" s="387" t="s">
        <v>505</v>
      </c>
      <c r="K847" s="387" t="s">
        <v>484</v>
      </c>
      <c r="L847" s="402">
        <v>8</v>
      </c>
      <c r="M847" s="352" t="s">
        <v>472</v>
      </c>
      <c r="N847" s="403">
        <v>50000</v>
      </c>
      <c r="O847" s="404">
        <v>400000</v>
      </c>
      <c r="P847" s="421">
        <v>12</v>
      </c>
      <c r="Q847" s="428" t="s">
        <v>575</v>
      </c>
      <c r="R847" s="437">
        <v>1155000</v>
      </c>
      <c r="S847" s="438">
        <f t="shared" si="82"/>
        <v>416000</v>
      </c>
      <c r="T847" s="439" t="s">
        <v>10</v>
      </c>
      <c r="U847" s="460" t="str">
        <f t="shared" si="83"/>
        <v/>
      </c>
      <c r="V847" s="439" t="s">
        <v>11</v>
      </c>
      <c r="W847" s="439" t="s">
        <v>489</v>
      </c>
      <c r="X847" s="615" t="s">
        <v>541</v>
      </c>
      <c r="Y847" s="428" t="str">
        <f t="shared" si="81"/>
        <v>aqua gelas siswa/i peserta kegiatan ekstrakurikuler olahraga karate</v>
      </c>
      <c r="Z847" s="449" t="str">
        <f>K847</f>
        <v xml:space="preserve">Aqua Cup  </v>
      </c>
      <c r="AA847" s="432" t="s">
        <v>488</v>
      </c>
      <c r="AB847" s="441">
        <f t="shared" si="84"/>
        <v>45045.045045045044</v>
      </c>
      <c r="AC847" s="442">
        <f t="shared" si="85"/>
        <v>360360.36036036036</v>
      </c>
      <c r="AD847" s="437">
        <v>1155000</v>
      </c>
      <c r="AE847" s="447">
        <v>1040540.5405405405</v>
      </c>
      <c r="AF847" s="447">
        <v>1155000</v>
      </c>
      <c r="AG847" s="437">
        <v>1155000</v>
      </c>
      <c r="AH847" s="271" t="s">
        <v>2092</v>
      </c>
    </row>
    <row r="848" spans="1:36">
      <c r="A848" s="350">
        <v>410</v>
      </c>
      <c r="B848" s="352" t="s">
        <v>1469</v>
      </c>
      <c r="C848" s="352" t="s">
        <v>507</v>
      </c>
      <c r="D848" s="355" t="s">
        <v>464</v>
      </c>
      <c r="E848" s="368">
        <v>45239</v>
      </c>
      <c r="F848" s="362">
        <v>45240</v>
      </c>
      <c r="G848" s="362">
        <v>45240</v>
      </c>
      <c r="H848" s="362">
        <v>45240</v>
      </c>
      <c r="I848" s="394">
        <v>45240</v>
      </c>
      <c r="J848" s="387" t="s">
        <v>510</v>
      </c>
      <c r="K848" s="387" t="s">
        <v>484</v>
      </c>
      <c r="L848" s="402">
        <v>16</v>
      </c>
      <c r="M848" s="352" t="s">
        <v>472</v>
      </c>
      <c r="N848" s="403">
        <v>50000</v>
      </c>
      <c r="O848" s="404">
        <v>800000</v>
      </c>
      <c r="P848" s="421">
        <v>12</v>
      </c>
      <c r="Q848" s="275"/>
      <c r="R848" s="437">
        <v>600000</v>
      </c>
      <c r="S848" s="438">
        <f t="shared" si="82"/>
        <v>832000</v>
      </c>
      <c r="T848" s="439" t="s">
        <v>10</v>
      </c>
      <c r="U848" s="460" t="str">
        <f t="shared" si="83"/>
        <v/>
      </c>
      <c r="V848" s="439" t="s">
        <v>11</v>
      </c>
      <c r="W848" s="439" t="s">
        <v>489</v>
      </c>
      <c r="X848" s="439"/>
      <c r="Y848" s="428" t="str">
        <f t="shared" si="81"/>
        <v>Air Mineral pelaksanaan kegiatan ekstrakurikuler paskibra</v>
      </c>
      <c r="Z848" s="449"/>
      <c r="AA848" s="432" t="s">
        <v>608</v>
      </c>
      <c r="AB848" s="441">
        <f t="shared" si="84"/>
        <v>45045.045045045044</v>
      </c>
      <c r="AC848" s="442">
        <f t="shared" si="85"/>
        <v>720720.72072072071</v>
      </c>
      <c r="AD848" s="437">
        <v>600000</v>
      </c>
      <c r="AE848" s="447">
        <v>540540.54054054059</v>
      </c>
      <c r="AF848" s="447">
        <v>600000</v>
      </c>
      <c r="AG848" s="437">
        <v>600000</v>
      </c>
      <c r="AH848" s="271" t="s">
        <v>2092</v>
      </c>
    </row>
    <row r="849" spans="1:36" ht="25">
      <c r="A849" s="350">
        <v>411</v>
      </c>
      <c r="B849" s="352" t="s">
        <v>1468</v>
      </c>
      <c r="C849" s="352" t="s">
        <v>507</v>
      </c>
      <c r="D849" s="355" t="s">
        <v>464</v>
      </c>
      <c r="E849" s="368">
        <v>45239</v>
      </c>
      <c r="F849" s="362">
        <v>45240</v>
      </c>
      <c r="G849" s="362">
        <v>45240</v>
      </c>
      <c r="H849" s="362">
        <v>45240</v>
      </c>
      <c r="I849" s="394">
        <v>45240</v>
      </c>
      <c r="J849" s="387" t="s">
        <v>508</v>
      </c>
      <c r="K849" s="387" t="s">
        <v>467</v>
      </c>
      <c r="L849" s="402">
        <v>8</v>
      </c>
      <c r="M849" s="352" t="s">
        <v>231</v>
      </c>
      <c r="N849" s="403">
        <v>35000</v>
      </c>
      <c r="O849" s="404">
        <v>280000</v>
      </c>
      <c r="P849" s="421">
        <v>12</v>
      </c>
      <c r="Q849" s="275"/>
      <c r="R849" s="437">
        <v>2400000</v>
      </c>
      <c r="S849" s="438">
        <f t="shared" si="82"/>
        <v>296000</v>
      </c>
      <c r="T849" s="444" t="s">
        <v>282</v>
      </c>
      <c r="U849" s="460" t="str">
        <f t="shared" si="83"/>
        <v>Resto JFC Esther</v>
      </c>
      <c r="V849" s="444" t="s">
        <v>1258</v>
      </c>
      <c r="W849" s="444" t="s">
        <v>468</v>
      </c>
      <c r="X849" s="439"/>
      <c r="Y849" s="428" t="str">
        <f t="shared" si="81"/>
        <v>Konsumsi pendamping/pembina kegiatan ekstrakurikuler paskibra</v>
      </c>
      <c r="Z849" s="449"/>
      <c r="AA849" s="432" t="s">
        <v>488</v>
      </c>
      <c r="AB849" s="441">
        <f t="shared" si="84"/>
        <v>31531.531531531531</v>
      </c>
      <c r="AC849" s="442">
        <f t="shared" si="85"/>
        <v>252252.25225225225</v>
      </c>
      <c r="AD849" s="437">
        <v>2400000</v>
      </c>
      <c r="AE849" s="447">
        <v>2162162.1621621624</v>
      </c>
      <c r="AF849" s="447">
        <v>2400000</v>
      </c>
      <c r="AG849" s="437">
        <v>2400000</v>
      </c>
      <c r="AH849" s="271" t="s">
        <v>2091</v>
      </c>
    </row>
    <row r="850" spans="1:36">
      <c r="A850" s="350">
        <v>412</v>
      </c>
      <c r="B850" s="352" t="s">
        <v>1470</v>
      </c>
      <c r="C850" s="352" t="s">
        <v>512</v>
      </c>
      <c r="D850" s="355" t="s">
        <v>464</v>
      </c>
      <c r="E850" s="368">
        <v>45240</v>
      </c>
      <c r="F850" s="362">
        <v>45241</v>
      </c>
      <c r="G850" s="362">
        <v>45241</v>
      </c>
      <c r="H850" s="362">
        <v>45241</v>
      </c>
      <c r="I850" s="394">
        <v>45241</v>
      </c>
      <c r="J850" s="387" t="s">
        <v>513</v>
      </c>
      <c r="K850" s="387" t="s">
        <v>484</v>
      </c>
      <c r="L850" s="402">
        <v>4</v>
      </c>
      <c r="M850" s="352" t="s">
        <v>472</v>
      </c>
      <c r="N850" s="403">
        <v>50000</v>
      </c>
      <c r="O850" s="404">
        <v>200000</v>
      </c>
      <c r="P850" s="421">
        <v>12</v>
      </c>
      <c r="Q850" s="425" t="s">
        <v>165</v>
      </c>
      <c r="R850" s="437">
        <v>7500000</v>
      </c>
      <c r="S850" s="438">
        <f t="shared" si="82"/>
        <v>208000</v>
      </c>
      <c r="T850" s="439" t="s">
        <v>10</v>
      </c>
      <c r="U850" s="460" t="str">
        <f t="shared" si="83"/>
        <v/>
      </c>
      <c r="V850" s="439" t="s">
        <v>11</v>
      </c>
      <c r="W850" s="439" t="s">
        <v>489</v>
      </c>
      <c r="X850" s="439" t="s">
        <v>490</v>
      </c>
      <c r="Y850" s="428" t="str">
        <f t="shared" si="81"/>
        <v>Air Mineral peserta kegiatan ekstrakurikuler band musik</v>
      </c>
      <c r="Z850" s="449" t="s">
        <v>280</v>
      </c>
      <c r="AA850" s="432" t="s">
        <v>472</v>
      </c>
      <c r="AB850" s="441">
        <f t="shared" si="84"/>
        <v>45045.045045045044</v>
      </c>
      <c r="AC850" s="442">
        <f t="shared" si="85"/>
        <v>180180.18018018018</v>
      </c>
      <c r="AD850" s="437">
        <v>7500000</v>
      </c>
      <c r="AE850" s="447">
        <v>12657657.657657657</v>
      </c>
      <c r="AF850" s="447">
        <v>14050000</v>
      </c>
      <c r="AG850" s="437">
        <v>7500000</v>
      </c>
      <c r="AH850" s="271" t="s">
        <v>2092</v>
      </c>
      <c r="AI850" s="277">
        <f>SUM(AC850:AC852)</f>
        <v>1207207.2072072071</v>
      </c>
      <c r="AJ850" s="277">
        <f>SUM(AD850:AD852)</f>
        <v>14050000</v>
      </c>
    </row>
    <row r="851" spans="1:36" ht="25">
      <c r="A851" s="350">
        <v>412</v>
      </c>
      <c r="B851" s="352" t="s">
        <v>1472</v>
      </c>
      <c r="C851" s="352" t="s">
        <v>517</v>
      </c>
      <c r="D851" s="355" t="s">
        <v>464</v>
      </c>
      <c r="E851" s="368">
        <v>45240</v>
      </c>
      <c r="F851" s="362">
        <v>45241</v>
      </c>
      <c r="G851" s="362">
        <v>45241</v>
      </c>
      <c r="H851" s="362">
        <v>45241</v>
      </c>
      <c r="I851" s="394">
        <v>45241</v>
      </c>
      <c r="J851" s="387" t="s">
        <v>518</v>
      </c>
      <c r="K851" s="387" t="s">
        <v>484</v>
      </c>
      <c r="L851" s="402">
        <v>20</v>
      </c>
      <c r="M851" s="352" t="s">
        <v>472</v>
      </c>
      <c r="N851" s="403">
        <v>50000</v>
      </c>
      <c r="O851" s="404">
        <v>1000000</v>
      </c>
      <c r="P851" s="421">
        <v>12</v>
      </c>
      <c r="Q851" s="425" t="s">
        <v>164</v>
      </c>
      <c r="R851" s="437">
        <v>2800000</v>
      </c>
      <c r="S851" s="438">
        <f t="shared" si="82"/>
        <v>1040000</v>
      </c>
      <c r="T851" s="439" t="s">
        <v>10</v>
      </c>
      <c r="U851" s="460" t="str">
        <f t="shared" si="83"/>
        <v/>
      </c>
      <c r="V851" s="439" t="s">
        <v>11</v>
      </c>
      <c r="W851" s="439" t="s">
        <v>473</v>
      </c>
      <c r="X851" s="439" t="s">
        <v>474</v>
      </c>
      <c r="Y851" s="428" t="str">
        <f t="shared" si="81"/>
        <v>Aqua gelas pelaksanaan kegiatan bulanan Gerakan Bersih Lingkungan Sekolah</v>
      </c>
      <c r="Z851" s="449" t="s">
        <v>1545</v>
      </c>
      <c r="AA851" s="432" t="s">
        <v>231</v>
      </c>
      <c r="AB851" s="441">
        <f t="shared" si="84"/>
        <v>45045.045045045044</v>
      </c>
      <c r="AC851" s="442">
        <f t="shared" si="85"/>
        <v>900900.90090090083</v>
      </c>
      <c r="AD851" s="437">
        <v>2800000</v>
      </c>
      <c r="AE851" s="447">
        <v>12657657.657657657</v>
      </c>
      <c r="AF851" s="447">
        <v>14050000</v>
      </c>
      <c r="AG851" s="437">
        <v>2800000</v>
      </c>
      <c r="AH851" s="271" t="s">
        <v>2092</v>
      </c>
    </row>
    <row r="852" spans="1:36" ht="25">
      <c r="A852" s="350">
        <v>413</v>
      </c>
      <c r="B852" s="352" t="s">
        <v>1471</v>
      </c>
      <c r="C852" s="352" t="s">
        <v>512</v>
      </c>
      <c r="D852" s="355" t="s">
        <v>464</v>
      </c>
      <c r="E852" s="368">
        <v>45240</v>
      </c>
      <c r="F852" s="362">
        <v>45241</v>
      </c>
      <c r="G852" s="362">
        <v>45241</v>
      </c>
      <c r="H852" s="362">
        <v>45241</v>
      </c>
      <c r="I852" s="394">
        <v>45241</v>
      </c>
      <c r="J852" s="387" t="s">
        <v>515</v>
      </c>
      <c r="K852" s="387" t="s">
        <v>467</v>
      </c>
      <c r="L852" s="402">
        <v>4</v>
      </c>
      <c r="M852" s="352" t="s">
        <v>231</v>
      </c>
      <c r="N852" s="403">
        <v>35000</v>
      </c>
      <c r="O852" s="404">
        <v>140000</v>
      </c>
      <c r="P852" s="421">
        <v>12</v>
      </c>
      <c r="Q852" s="425" t="s">
        <v>165</v>
      </c>
      <c r="R852" s="437">
        <v>3750000</v>
      </c>
      <c r="S852" s="438">
        <f t="shared" si="82"/>
        <v>148000</v>
      </c>
      <c r="T852" s="444" t="s">
        <v>282</v>
      </c>
      <c r="U852" s="460" t="str">
        <f t="shared" si="83"/>
        <v>Resto JFC Esther</v>
      </c>
      <c r="V852" s="444" t="s">
        <v>1258</v>
      </c>
      <c r="W852" s="444" t="s">
        <v>468</v>
      </c>
      <c r="X852" s="439" t="s">
        <v>490</v>
      </c>
      <c r="Y852" s="428" t="str">
        <f t="shared" si="81"/>
        <v>Konsumsi pendamping/pembina kegiatan ekstrakurikuler band musik</v>
      </c>
      <c r="Z852" s="449" t="s">
        <v>280</v>
      </c>
      <c r="AA852" s="432" t="s">
        <v>608</v>
      </c>
      <c r="AB852" s="441">
        <f t="shared" si="84"/>
        <v>31531.531531531531</v>
      </c>
      <c r="AC852" s="442">
        <f t="shared" si="85"/>
        <v>126126.12612612612</v>
      </c>
      <c r="AD852" s="437">
        <v>3750000</v>
      </c>
      <c r="AE852" s="447">
        <v>12657657.657657657</v>
      </c>
      <c r="AF852" s="447">
        <v>14050000</v>
      </c>
      <c r="AG852" s="437">
        <v>3750000</v>
      </c>
      <c r="AH852" s="271" t="s">
        <v>2091</v>
      </c>
    </row>
    <row r="853" spans="1:36">
      <c r="A853" s="350">
        <v>415</v>
      </c>
      <c r="B853" s="352" t="s">
        <v>1474</v>
      </c>
      <c r="C853" s="352" t="s">
        <v>639</v>
      </c>
      <c r="D853" s="355" t="s">
        <v>464</v>
      </c>
      <c r="E853" s="368">
        <v>45249</v>
      </c>
      <c r="F853" s="362">
        <v>45250</v>
      </c>
      <c r="G853" s="362">
        <v>45250</v>
      </c>
      <c r="H853" s="362">
        <v>45250</v>
      </c>
      <c r="I853" s="394">
        <v>45250</v>
      </c>
      <c r="J853" s="387" t="s">
        <v>640</v>
      </c>
      <c r="K853" s="387" t="s">
        <v>641</v>
      </c>
      <c r="L853" s="402">
        <v>72</v>
      </c>
      <c r="M853" s="352" t="s">
        <v>488</v>
      </c>
      <c r="N853" s="403">
        <v>5000</v>
      </c>
      <c r="O853" s="404">
        <v>360000</v>
      </c>
      <c r="P853" s="421">
        <v>12</v>
      </c>
      <c r="Q853" s="281"/>
      <c r="R853" s="437">
        <v>3500000</v>
      </c>
      <c r="S853" s="438">
        <f t="shared" si="82"/>
        <v>504000</v>
      </c>
      <c r="T853" s="802"/>
      <c r="U853" s="460" t="str">
        <f t="shared" si="83"/>
        <v/>
      </c>
      <c r="V853" s="597"/>
      <c r="W853" s="439"/>
      <c r="X853" s="439"/>
      <c r="Y853" s="428" t="str">
        <f t="shared" si="81"/>
        <v>Langganan Daya dan Jasa Isi ulang aqua galon</v>
      </c>
      <c r="Z853" s="449"/>
      <c r="AA853" s="432" t="s">
        <v>940</v>
      </c>
      <c r="AB853" s="441">
        <f t="shared" si="84"/>
        <v>4504.5045045045044</v>
      </c>
      <c r="AC853" s="442">
        <f t="shared" si="85"/>
        <v>324324.32432432432</v>
      </c>
      <c r="AD853" s="437">
        <v>3500000</v>
      </c>
      <c r="AE853" s="447">
        <v>3153153.1531531531</v>
      </c>
      <c r="AF853" s="447">
        <v>3500000</v>
      </c>
      <c r="AG853" s="437">
        <v>3500000</v>
      </c>
    </row>
    <row r="854" spans="1:36" ht="15.5">
      <c r="A854" s="350">
        <v>417</v>
      </c>
      <c r="B854" s="352" t="s">
        <v>1479</v>
      </c>
      <c r="C854" s="352" t="s">
        <v>974</v>
      </c>
      <c r="D854" s="355" t="s">
        <v>464</v>
      </c>
      <c r="E854" s="368">
        <v>45254</v>
      </c>
      <c r="F854" s="362">
        <v>45255</v>
      </c>
      <c r="G854" s="362">
        <v>45255</v>
      </c>
      <c r="H854" s="362">
        <v>45255</v>
      </c>
      <c r="I854" s="394">
        <v>45255</v>
      </c>
      <c r="J854" s="387" t="s">
        <v>1480</v>
      </c>
      <c r="K854" s="387" t="s">
        <v>467</v>
      </c>
      <c r="L854" s="402">
        <v>100</v>
      </c>
      <c r="M854" s="352" t="s">
        <v>597</v>
      </c>
      <c r="N854" s="403">
        <v>35000</v>
      </c>
      <c r="O854" s="404">
        <v>3500000</v>
      </c>
      <c r="P854" s="421">
        <v>12</v>
      </c>
      <c r="Q854" s="426" t="s">
        <v>81</v>
      </c>
      <c r="R854" s="437">
        <v>2450000</v>
      </c>
      <c r="S854" s="438">
        <f t="shared" si="82"/>
        <v>3700000</v>
      </c>
      <c r="T854" s="444" t="s">
        <v>282</v>
      </c>
      <c r="U854" s="460" t="str">
        <f t="shared" si="83"/>
        <v>Resto JFC Esther</v>
      </c>
      <c r="V854" s="444" t="s">
        <v>1258</v>
      </c>
      <c r="W854" s="444" t="s">
        <v>468</v>
      </c>
      <c r="X854" s="439" t="s">
        <v>468</v>
      </c>
      <c r="Y854" s="428" t="str">
        <f t="shared" si="81"/>
        <v>Konsumsi pada Kegiatan Hari Guru</v>
      </c>
      <c r="Z854" s="449" t="s">
        <v>8</v>
      </c>
      <c r="AA854" s="432" t="s">
        <v>472</v>
      </c>
      <c r="AB854" s="441">
        <f t="shared" si="84"/>
        <v>31531.531531531531</v>
      </c>
      <c r="AC854" s="442">
        <f t="shared" si="85"/>
        <v>3153153.1531531531</v>
      </c>
      <c r="AD854" s="437">
        <v>2450000</v>
      </c>
      <c r="AE854" s="447">
        <v>2207207.2072072071</v>
      </c>
      <c r="AF854" s="447">
        <v>2450000</v>
      </c>
      <c r="AG854" s="437">
        <v>2450000</v>
      </c>
      <c r="AH854" s="271" t="s">
        <v>2091</v>
      </c>
    </row>
    <row r="855" spans="1:36">
      <c r="A855" s="350">
        <v>418</v>
      </c>
      <c r="B855" s="352" t="s">
        <v>1481</v>
      </c>
      <c r="C855" s="352" t="s">
        <v>974</v>
      </c>
      <c r="D855" s="355" t="s">
        <v>464</v>
      </c>
      <c r="E855" s="368">
        <v>45254</v>
      </c>
      <c r="F855" s="362">
        <v>45255</v>
      </c>
      <c r="G855" s="362">
        <v>45255</v>
      </c>
      <c r="H855" s="362">
        <v>45255</v>
      </c>
      <c r="I855" s="394">
        <v>45255</v>
      </c>
      <c r="J855" s="387" t="s">
        <v>1482</v>
      </c>
      <c r="K855" s="387" t="s">
        <v>471</v>
      </c>
      <c r="L855" s="402">
        <v>3</v>
      </c>
      <c r="M855" s="352" t="s">
        <v>472</v>
      </c>
      <c r="N855" s="403">
        <v>70000</v>
      </c>
      <c r="O855" s="404">
        <v>210000</v>
      </c>
      <c r="P855" s="421">
        <v>12</v>
      </c>
      <c r="Q855" s="425" t="s">
        <v>164</v>
      </c>
      <c r="R855" s="437">
        <v>560000</v>
      </c>
      <c r="S855" s="438">
        <f t="shared" si="82"/>
        <v>216000</v>
      </c>
      <c r="T855" s="439" t="s">
        <v>10</v>
      </c>
      <c r="U855" s="460"/>
      <c r="V855" s="439" t="s">
        <v>11</v>
      </c>
      <c r="W855" s="439" t="s">
        <v>473</v>
      </c>
      <c r="X855" s="439" t="s">
        <v>474</v>
      </c>
      <c r="Y855" s="428" t="str">
        <f t="shared" si="81"/>
        <v>Air Mineral pada Kegiatan Hari Guru</v>
      </c>
      <c r="Z855" s="449" t="s">
        <v>1545</v>
      </c>
      <c r="AA855" s="432" t="s">
        <v>488</v>
      </c>
      <c r="AB855" s="441">
        <f t="shared" si="84"/>
        <v>63063.063063063062</v>
      </c>
      <c r="AC855" s="442">
        <f t="shared" si="85"/>
        <v>189189.18918918917</v>
      </c>
      <c r="AD855" s="437">
        <v>560000</v>
      </c>
      <c r="AE855" s="447">
        <v>504504.5045045045</v>
      </c>
      <c r="AF855" s="447">
        <v>560000</v>
      </c>
      <c r="AG855" s="437">
        <v>560000</v>
      </c>
      <c r="AH855" s="271" t="s">
        <v>2092</v>
      </c>
    </row>
    <row r="856" spans="1:36">
      <c r="A856" s="350">
        <v>419</v>
      </c>
      <c r="B856" s="352" t="s">
        <v>1484</v>
      </c>
      <c r="C856" s="352" t="s">
        <v>570</v>
      </c>
      <c r="D856" s="355" t="s">
        <v>571</v>
      </c>
      <c r="E856" s="368">
        <v>45256</v>
      </c>
      <c r="F856" s="362">
        <v>45257</v>
      </c>
      <c r="G856" s="362">
        <v>45257</v>
      </c>
      <c r="H856" s="362">
        <v>45257</v>
      </c>
      <c r="I856" s="394">
        <v>45257</v>
      </c>
      <c r="J856" s="387" t="s">
        <v>9</v>
      </c>
      <c r="K856" s="387" t="s">
        <v>573</v>
      </c>
      <c r="L856" s="402">
        <v>3850</v>
      </c>
      <c r="M856" s="352" t="s">
        <v>574</v>
      </c>
      <c r="N856" s="405">
        <v>300</v>
      </c>
      <c r="O856" s="404">
        <v>1155000</v>
      </c>
      <c r="P856" s="421">
        <v>12</v>
      </c>
      <c r="Q856" s="425" t="s">
        <v>165</v>
      </c>
      <c r="R856" s="437">
        <v>1120000</v>
      </c>
      <c r="S856" s="438">
        <f t="shared" si="82"/>
        <v>8855000</v>
      </c>
      <c r="T856" s="439" t="s">
        <v>227</v>
      </c>
      <c r="U856" s="460" t="str">
        <f t="shared" si="83"/>
        <v/>
      </c>
      <c r="V856" s="439" t="s">
        <v>1248</v>
      </c>
      <c r="W856" s="439" t="s">
        <v>540</v>
      </c>
      <c r="X856" s="439" t="s">
        <v>490</v>
      </c>
      <c r="Y856" s="428" t="str">
        <f t="shared" si="81"/>
        <v>Foto Copy Filio dan Kuarto</v>
      </c>
      <c r="Z856" s="449" t="s">
        <v>280</v>
      </c>
      <c r="AA856" s="432" t="s">
        <v>488</v>
      </c>
      <c r="AB856" s="441">
        <f t="shared" si="84"/>
        <v>270.27027027027026</v>
      </c>
      <c r="AC856" s="442">
        <f t="shared" si="85"/>
        <v>1040540.5405405405</v>
      </c>
      <c r="AD856" s="437">
        <v>1120000</v>
      </c>
      <c r="AE856" s="447">
        <v>1009009.009009009</v>
      </c>
      <c r="AF856" s="447">
        <v>1120000</v>
      </c>
      <c r="AG856" s="437">
        <v>1120000</v>
      </c>
      <c r="AH856" s="271" t="s">
        <v>2101</v>
      </c>
    </row>
    <row r="857" spans="1:36">
      <c r="A857" s="350">
        <v>420</v>
      </c>
      <c r="B857" s="352" t="s">
        <v>1485</v>
      </c>
      <c r="C857" s="352" t="s">
        <v>594</v>
      </c>
      <c r="D857" s="355" t="s">
        <v>464</v>
      </c>
      <c r="E857" s="368">
        <v>45259</v>
      </c>
      <c r="F857" s="362">
        <v>45260</v>
      </c>
      <c r="G857" s="362">
        <v>45260</v>
      </c>
      <c r="H857" s="362">
        <v>45260</v>
      </c>
      <c r="I857" s="394">
        <v>45260</v>
      </c>
      <c r="J857" s="387" t="s">
        <v>596</v>
      </c>
      <c r="K857" s="387" t="s">
        <v>467</v>
      </c>
      <c r="L857" s="402">
        <v>70</v>
      </c>
      <c r="M857" s="352" t="s">
        <v>597</v>
      </c>
      <c r="N857" s="403">
        <v>35000</v>
      </c>
      <c r="O857" s="404">
        <v>2450000</v>
      </c>
      <c r="P857" s="421">
        <v>4</v>
      </c>
      <c r="Q857" s="275"/>
      <c r="R857" s="437">
        <v>1475600</v>
      </c>
      <c r="S857" s="438">
        <f t="shared" si="82"/>
        <v>2590000</v>
      </c>
      <c r="T857" s="444" t="s">
        <v>282</v>
      </c>
      <c r="U857" s="460" t="str">
        <f t="shared" si="83"/>
        <v>Resto JFC Esther</v>
      </c>
      <c r="V857" s="444" t="s">
        <v>1258</v>
      </c>
      <c r="W857" s="444" t="s">
        <v>468</v>
      </c>
      <c r="X857" s="439"/>
      <c r="Y857" s="428" t="str">
        <f t="shared" si="81"/>
        <v>Konsumsi rapat rutin sekolah</v>
      </c>
      <c r="Z857" s="449"/>
      <c r="AA857" s="432" t="s">
        <v>587</v>
      </c>
      <c r="AB857" s="441">
        <f t="shared" si="84"/>
        <v>31531.531531531531</v>
      </c>
      <c r="AC857" s="442">
        <f t="shared" si="85"/>
        <v>2207207.2072072071</v>
      </c>
      <c r="AD857" s="437">
        <v>1475600</v>
      </c>
      <c r="AE857" s="447"/>
      <c r="AF857" s="447"/>
      <c r="AG857" s="437">
        <v>1475600</v>
      </c>
      <c r="AH857" s="271" t="s">
        <v>2091</v>
      </c>
    </row>
    <row r="858" spans="1:36">
      <c r="A858" s="350">
        <v>421</v>
      </c>
      <c r="B858" s="352" t="s">
        <v>1486</v>
      </c>
      <c r="C858" s="352" t="s">
        <v>594</v>
      </c>
      <c r="D858" s="355" t="s">
        <v>464</v>
      </c>
      <c r="E858" s="368">
        <v>45259</v>
      </c>
      <c r="F858" s="362">
        <v>45260</v>
      </c>
      <c r="G858" s="362">
        <v>45260</v>
      </c>
      <c r="H858" s="362">
        <v>45260</v>
      </c>
      <c r="I858" s="394">
        <v>45260</v>
      </c>
      <c r="J858" s="387" t="s">
        <v>599</v>
      </c>
      <c r="K858" s="387" t="s">
        <v>471</v>
      </c>
      <c r="L858" s="402">
        <v>8</v>
      </c>
      <c r="M858" s="352" t="s">
        <v>472</v>
      </c>
      <c r="N858" s="403">
        <v>70000</v>
      </c>
      <c r="O858" s="404">
        <v>560000</v>
      </c>
      <c r="P858" s="421">
        <v>4</v>
      </c>
      <c r="Q858" s="275"/>
      <c r="R858" s="437">
        <v>1313800</v>
      </c>
      <c r="S858" s="438">
        <f t="shared" si="82"/>
        <v>576000</v>
      </c>
      <c r="T858" s="444" t="s">
        <v>282</v>
      </c>
      <c r="U858" s="460" t="str">
        <f t="shared" si="83"/>
        <v>UD. USAHA JAYA</v>
      </c>
      <c r="V858" s="444" t="s">
        <v>1258</v>
      </c>
      <c r="W858" s="444" t="s">
        <v>468</v>
      </c>
      <c r="X858" s="439"/>
      <c r="Y858" s="428" t="str">
        <f t="shared" si="81"/>
        <v>Air mineral botol 600 ml rapat rutin sekolah</v>
      </c>
      <c r="Z858" s="449"/>
      <c r="AA858" s="432" t="s">
        <v>587</v>
      </c>
      <c r="AB858" s="441">
        <f t="shared" si="84"/>
        <v>63063.063063063062</v>
      </c>
      <c r="AC858" s="442">
        <f t="shared" si="85"/>
        <v>504504.5045045045</v>
      </c>
      <c r="AD858" s="437">
        <v>1313800</v>
      </c>
      <c r="AE858" s="447"/>
      <c r="AF858" s="447"/>
      <c r="AG858" s="437">
        <v>1313800</v>
      </c>
      <c r="AH858" s="271" t="s">
        <v>2091</v>
      </c>
    </row>
    <row r="859" spans="1:36">
      <c r="A859" s="350">
        <v>421</v>
      </c>
      <c r="B859" s="352" t="s">
        <v>1486</v>
      </c>
      <c r="C859" s="352" t="s">
        <v>594</v>
      </c>
      <c r="D859" s="355" t="s">
        <v>464</v>
      </c>
      <c r="E859" s="368">
        <v>45259</v>
      </c>
      <c r="F859" s="362">
        <v>45260</v>
      </c>
      <c r="G859" s="362">
        <v>45260</v>
      </c>
      <c r="H859" s="362">
        <v>45260</v>
      </c>
      <c r="I859" s="394">
        <v>45260</v>
      </c>
      <c r="J859" s="387" t="s">
        <v>601</v>
      </c>
      <c r="K859" s="352" t="s">
        <v>487</v>
      </c>
      <c r="L859" s="402">
        <v>140</v>
      </c>
      <c r="M859" s="352" t="s">
        <v>488</v>
      </c>
      <c r="N859" s="403">
        <v>8000</v>
      </c>
      <c r="O859" s="404">
        <v>1120000</v>
      </c>
      <c r="P859" s="421">
        <v>4</v>
      </c>
      <c r="Q859" s="275"/>
      <c r="R859" s="437">
        <v>1179100</v>
      </c>
      <c r="S859" s="438">
        <f t="shared" si="82"/>
        <v>1400000</v>
      </c>
      <c r="T859" s="444" t="s">
        <v>282</v>
      </c>
      <c r="U859" s="460" t="str">
        <f t="shared" si="83"/>
        <v/>
      </c>
      <c r="V859" s="444" t="s">
        <v>1258</v>
      </c>
      <c r="W859" s="444" t="s">
        <v>468</v>
      </c>
      <c r="X859" s="439"/>
      <c r="Y859" s="428" t="str">
        <f t="shared" si="81"/>
        <v>Snack rapat rutin sekolah</v>
      </c>
      <c r="Z859" s="449"/>
      <c r="AA859" s="432" t="s">
        <v>488</v>
      </c>
      <c r="AB859" s="441">
        <f t="shared" si="84"/>
        <v>7207.2072072072069</v>
      </c>
      <c r="AC859" s="442">
        <f t="shared" si="85"/>
        <v>1009009.009009009</v>
      </c>
      <c r="AD859" s="437">
        <v>1179100</v>
      </c>
      <c r="AE859" s="447"/>
      <c r="AF859" s="447"/>
      <c r="AG859" s="437">
        <v>1179100</v>
      </c>
      <c r="AH859" s="271" t="s">
        <v>2091</v>
      </c>
    </row>
    <row r="860" spans="1:36" ht="25">
      <c r="A860" s="350">
        <v>423</v>
      </c>
      <c r="B860" s="352" t="s">
        <v>1487</v>
      </c>
      <c r="C860" s="354" t="s">
        <v>704</v>
      </c>
      <c r="D860" s="355" t="s">
        <v>705</v>
      </c>
      <c r="E860" s="368">
        <v>45261</v>
      </c>
      <c r="F860" s="362">
        <v>45261</v>
      </c>
      <c r="G860" s="362">
        <v>45261</v>
      </c>
      <c r="H860" s="362">
        <v>45261</v>
      </c>
      <c r="I860" s="395">
        <v>45261</v>
      </c>
      <c r="J860" s="387" t="s">
        <v>230</v>
      </c>
      <c r="K860" s="387" t="s">
        <v>230</v>
      </c>
      <c r="L860" s="402">
        <v>1</v>
      </c>
      <c r="M860" s="352" t="s">
        <v>728</v>
      </c>
      <c r="N860" s="403">
        <v>40000</v>
      </c>
      <c r="O860" s="404">
        <v>40000</v>
      </c>
      <c r="P860" s="421">
        <v>4</v>
      </c>
      <c r="Q860" s="275"/>
      <c r="R860" s="437">
        <v>100000</v>
      </c>
      <c r="S860" s="438">
        <f t="shared" si="82"/>
        <v>42000</v>
      </c>
      <c r="T860" s="439" t="s">
        <v>227</v>
      </c>
      <c r="U860" s="460" t="str">
        <f t="shared" si="83"/>
        <v/>
      </c>
      <c r="V860" s="439" t="s">
        <v>1248</v>
      </c>
      <c r="W860" s="439" t="s">
        <v>540</v>
      </c>
      <c r="X860" s="439"/>
      <c r="Y860" s="428" t="str">
        <f t="shared" si="81"/>
        <v>Amplop Coklat Merk : GSU Ukuran : 1/2 folio, bergaris</v>
      </c>
      <c r="Z860" s="449"/>
      <c r="AA860" s="432" t="s">
        <v>587</v>
      </c>
      <c r="AB860" s="441">
        <f t="shared" si="84"/>
        <v>36036.036036036036</v>
      </c>
      <c r="AC860" s="442">
        <f t="shared" si="85"/>
        <v>36036.036036036036</v>
      </c>
      <c r="AD860" s="437">
        <v>100000</v>
      </c>
      <c r="AE860" s="447"/>
      <c r="AF860" s="447"/>
      <c r="AG860" s="437">
        <v>100000</v>
      </c>
      <c r="AH860" s="271" t="s">
        <v>2101</v>
      </c>
    </row>
    <row r="861" spans="1:36">
      <c r="A861" s="350">
        <v>423</v>
      </c>
      <c r="B861" s="352" t="s">
        <v>1487</v>
      </c>
      <c r="C861" s="354" t="s">
        <v>704</v>
      </c>
      <c r="D861" s="355" t="s">
        <v>705</v>
      </c>
      <c r="E861" s="368">
        <v>45261</v>
      </c>
      <c r="F861" s="362">
        <v>45261</v>
      </c>
      <c r="G861" s="362">
        <v>45261</v>
      </c>
      <c r="H861" s="362">
        <v>45261</v>
      </c>
      <c r="I861" s="395">
        <v>45261</v>
      </c>
      <c r="J861" s="387" t="s">
        <v>711</v>
      </c>
      <c r="K861" s="387" t="s">
        <v>746</v>
      </c>
      <c r="L861" s="402">
        <v>2</v>
      </c>
      <c r="M861" s="352" t="s">
        <v>488</v>
      </c>
      <c r="N861" s="403">
        <v>11500</v>
      </c>
      <c r="O861" s="404">
        <v>23000</v>
      </c>
      <c r="P861" s="421">
        <v>4</v>
      </c>
      <c r="Q861" s="275"/>
      <c r="R861" s="437">
        <v>200000</v>
      </c>
      <c r="S861" s="438">
        <f t="shared" si="82"/>
        <v>27000</v>
      </c>
      <c r="T861" s="439" t="s">
        <v>227</v>
      </c>
      <c r="U861" s="460" t="str">
        <f t="shared" si="83"/>
        <v/>
      </c>
      <c r="V861" s="439" t="s">
        <v>1248</v>
      </c>
      <c r="W861" s="439" t="s">
        <v>540</v>
      </c>
      <c r="X861" s="439"/>
      <c r="Y861" s="428" t="str">
        <f t="shared" si="81"/>
        <v>Lakban Kain Warna Hitam</v>
      </c>
      <c r="Z861" s="449"/>
      <c r="AA861" s="432" t="s">
        <v>587</v>
      </c>
      <c r="AB861" s="441">
        <f t="shared" si="84"/>
        <v>10360.360360360361</v>
      </c>
      <c r="AC861" s="442">
        <f t="shared" si="85"/>
        <v>20720.720720720721</v>
      </c>
      <c r="AD861" s="437">
        <v>200000</v>
      </c>
      <c r="AE861" s="447"/>
      <c r="AF861" s="447"/>
      <c r="AG861" s="437">
        <v>200000</v>
      </c>
      <c r="AH861" s="271" t="s">
        <v>2101</v>
      </c>
    </row>
    <row r="862" spans="1:36">
      <c r="A862" s="350">
        <v>423</v>
      </c>
      <c r="B862" s="352" t="s">
        <v>1487</v>
      </c>
      <c r="C862" s="354" t="s">
        <v>704</v>
      </c>
      <c r="D862" s="355" t="s">
        <v>705</v>
      </c>
      <c r="E862" s="368">
        <v>45261</v>
      </c>
      <c r="F862" s="362">
        <v>45261</v>
      </c>
      <c r="G862" s="362">
        <v>45261</v>
      </c>
      <c r="H862" s="362">
        <v>45261</v>
      </c>
      <c r="I862" s="395">
        <v>45261</v>
      </c>
      <c r="J862" s="387" t="s">
        <v>711</v>
      </c>
      <c r="K862" s="387" t="s">
        <v>712</v>
      </c>
      <c r="L862" s="402">
        <v>2</v>
      </c>
      <c r="M862" s="352" t="s">
        <v>488</v>
      </c>
      <c r="N862" s="403">
        <v>14000</v>
      </c>
      <c r="O862" s="404">
        <v>28000</v>
      </c>
      <c r="P862" s="421">
        <v>4</v>
      </c>
      <c r="Q862" s="275"/>
      <c r="R862" s="437">
        <v>400000</v>
      </c>
      <c r="S862" s="438">
        <f t="shared" si="82"/>
        <v>32000</v>
      </c>
      <c r="T862" s="439" t="s">
        <v>227</v>
      </c>
      <c r="U862" s="460" t="str">
        <f t="shared" si="83"/>
        <v/>
      </c>
      <c r="V862" s="439" t="s">
        <v>1248</v>
      </c>
      <c r="W862" s="439" t="s">
        <v>540</v>
      </c>
      <c r="X862" s="439"/>
      <c r="Y862" s="428" t="str">
        <f t="shared" si="81"/>
        <v>Lakban Kain Warna Hitam</v>
      </c>
      <c r="Z862" s="449" t="s">
        <v>1554</v>
      </c>
      <c r="AA862" s="432" t="s">
        <v>488</v>
      </c>
      <c r="AB862" s="441">
        <f t="shared" si="84"/>
        <v>12612.612612612613</v>
      </c>
      <c r="AC862" s="442">
        <f t="shared" si="85"/>
        <v>25225.225225225226</v>
      </c>
      <c r="AD862" s="437">
        <v>400000</v>
      </c>
      <c r="AE862" s="447"/>
      <c r="AF862" s="447"/>
      <c r="AG862" s="437">
        <v>400000</v>
      </c>
      <c r="AH862" s="271" t="s">
        <v>2101</v>
      </c>
    </row>
    <row r="863" spans="1:36">
      <c r="A863" s="350">
        <v>423</v>
      </c>
      <c r="B863" s="352" t="s">
        <v>1487</v>
      </c>
      <c r="C863" s="354" t="s">
        <v>704</v>
      </c>
      <c r="D863" s="355" t="s">
        <v>705</v>
      </c>
      <c r="E863" s="368">
        <v>45261</v>
      </c>
      <c r="F863" s="362">
        <v>45261</v>
      </c>
      <c r="G863" s="362">
        <v>45261</v>
      </c>
      <c r="H863" s="362">
        <v>45261</v>
      </c>
      <c r="I863" s="395">
        <v>45261</v>
      </c>
      <c r="J863" s="387" t="s">
        <v>711</v>
      </c>
      <c r="K863" s="387" t="s">
        <v>738</v>
      </c>
      <c r="L863" s="402">
        <v>2</v>
      </c>
      <c r="M863" s="352" t="s">
        <v>488</v>
      </c>
      <c r="N863" s="403">
        <v>20000</v>
      </c>
      <c r="O863" s="404">
        <v>40000</v>
      </c>
      <c r="P863" s="421">
        <v>4</v>
      </c>
      <c r="Q863" s="275"/>
      <c r="R863" s="437">
        <v>2000000</v>
      </c>
      <c r="S863" s="438">
        <f t="shared" si="82"/>
        <v>44000</v>
      </c>
      <c r="T863" s="439" t="s">
        <v>227</v>
      </c>
      <c r="U863" s="460" t="str">
        <f t="shared" si="83"/>
        <v/>
      </c>
      <c r="V863" s="439" t="s">
        <v>1248</v>
      </c>
      <c r="W863" s="439" t="s">
        <v>540</v>
      </c>
      <c r="X863" s="439"/>
      <c r="Y863" s="428" t="str">
        <f t="shared" si="81"/>
        <v>Lakban Kain Warna Hitam</v>
      </c>
      <c r="Z863" s="449"/>
      <c r="AA863" s="432" t="s">
        <v>587</v>
      </c>
      <c r="AB863" s="441">
        <f t="shared" si="84"/>
        <v>18018.018018018018</v>
      </c>
      <c r="AC863" s="442">
        <f t="shared" si="85"/>
        <v>36036.036036036036</v>
      </c>
      <c r="AD863" s="437">
        <v>2000000</v>
      </c>
      <c r="AE863" s="447"/>
      <c r="AF863" s="447"/>
      <c r="AG863" s="437">
        <v>2000000</v>
      </c>
      <c r="AH863" s="271" t="s">
        <v>2101</v>
      </c>
    </row>
    <row r="864" spans="1:36">
      <c r="A864" s="350">
        <v>423</v>
      </c>
      <c r="B864" s="352" t="s">
        <v>1487</v>
      </c>
      <c r="C864" s="354" t="s">
        <v>704</v>
      </c>
      <c r="D864" s="355" t="s">
        <v>705</v>
      </c>
      <c r="E864" s="368">
        <v>45261</v>
      </c>
      <c r="F864" s="362">
        <v>45261</v>
      </c>
      <c r="G864" s="362">
        <v>45261</v>
      </c>
      <c r="H864" s="362">
        <v>45261</v>
      </c>
      <c r="I864" s="395">
        <v>45261</v>
      </c>
      <c r="J864" s="387" t="s">
        <v>256</v>
      </c>
      <c r="K864" s="388" t="s">
        <v>727</v>
      </c>
      <c r="L864" s="402">
        <v>1</v>
      </c>
      <c r="M864" s="352" t="s">
        <v>728</v>
      </c>
      <c r="N864" s="403">
        <v>21000</v>
      </c>
      <c r="O864" s="404">
        <v>21000</v>
      </c>
      <c r="P864" s="421">
        <v>4</v>
      </c>
      <c r="Q864" s="275"/>
      <c r="R864" s="437">
        <v>1200000</v>
      </c>
      <c r="S864" s="438">
        <f t="shared" si="82"/>
        <v>23000</v>
      </c>
      <c r="T864" s="439" t="s">
        <v>227</v>
      </c>
      <c r="U864" s="460" t="str">
        <f t="shared" si="83"/>
        <v/>
      </c>
      <c r="V864" s="439" t="s">
        <v>1248</v>
      </c>
      <c r="W864" s="439" t="s">
        <v>540</v>
      </c>
      <c r="X864" s="439"/>
      <c r="Y864" s="428" t="str">
        <f t="shared" si="81"/>
        <v>Paper Clip No 1  Paper Clip No 3</v>
      </c>
      <c r="Z864" s="449"/>
      <c r="AA864" s="432" t="s">
        <v>488</v>
      </c>
      <c r="AB864" s="441">
        <f t="shared" si="84"/>
        <v>18918.91891891892</v>
      </c>
      <c r="AC864" s="442">
        <f t="shared" si="85"/>
        <v>18918.91891891892</v>
      </c>
      <c r="AD864" s="437">
        <v>1200000</v>
      </c>
      <c r="AE864" s="447"/>
      <c r="AF864" s="447"/>
      <c r="AG864" s="437">
        <v>1200000</v>
      </c>
      <c r="AH864" s="271" t="s">
        <v>2101</v>
      </c>
    </row>
    <row r="865" spans="1:34">
      <c r="A865" s="350">
        <v>423</v>
      </c>
      <c r="B865" s="352" t="s">
        <v>1487</v>
      </c>
      <c r="C865" s="354" t="s">
        <v>704</v>
      </c>
      <c r="D865" s="355" t="s">
        <v>705</v>
      </c>
      <c r="E865" s="368">
        <v>45261</v>
      </c>
      <c r="F865" s="362">
        <v>45261</v>
      </c>
      <c r="G865" s="362">
        <v>45261</v>
      </c>
      <c r="H865" s="362">
        <v>45261</v>
      </c>
      <c r="I865" s="395">
        <v>45261</v>
      </c>
      <c r="J865" s="387" t="s">
        <v>250</v>
      </c>
      <c r="K865" s="388" t="s">
        <v>1159</v>
      </c>
      <c r="L865" s="402">
        <v>10</v>
      </c>
      <c r="M865" s="352" t="s">
        <v>753</v>
      </c>
      <c r="N865" s="403">
        <v>44000</v>
      </c>
      <c r="O865" s="404">
        <v>440000</v>
      </c>
      <c r="P865" s="421">
        <v>8</v>
      </c>
      <c r="Q865" s="275"/>
      <c r="R865" s="437">
        <v>360000</v>
      </c>
      <c r="S865" s="438">
        <f t="shared" si="82"/>
        <v>460000</v>
      </c>
      <c r="T865" s="439" t="s">
        <v>227</v>
      </c>
      <c r="U865" s="460" t="str">
        <f t="shared" si="83"/>
        <v/>
      </c>
      <c r="V865" s="439" t="s">
        <v>1248</v>
      </c>
      <c r="W865" s="439" t="s">
        <v>540</v>
      </c>
      <c r="X865" s="439"/>
      <c r="Y865" s="428" t="str">
        <f t="shared" si="81"/>
        <v>Kertas StensiI</v>
      </c>
      <c r="Z865" s="449" t="s">
        <v>1555</v>
      </c>
      <c r="AA865" s="432" t="s">
        <v>488</v>
      </c>
      <c r="AB865" s="441">
        <f t="shared" si="84"/>
        <v>39639.639639639638</v>
      </c>
      <c r="AC865" s="442">
        <f t="shared" si="85"/>
        <v>396396.39639639639</v>
      </c>
      <c r="AD865" s="437">
        <v>360000</v>
      </c>
      <c r="AE865" s="447"/>
      <c r="AF865" s="447"/>
      <c r="AG865" s="437">
        <v>360000</v>
      </c>
      <c r="AH865" s="271" t="s">
        <v>2101</v>
      </c>
    </row>
    <row r="866" spans="1:34">
      <c r="A866" s="350">
        <v>423</v>
      </c>
      <c r="B866" s="352" t="s">
        <v>1487</v>
      </c>
      <c r="C866" s="354" t="s">
        <v>704</v>
      </c>
      <c r="D866" s="355" t="s">
        <v>705</v>
      </c>
      <c r="E866" s="368">
        <v>45261</v>
      </c>
      <c r="F866" s="362">
        <v>45261</v>
      </c>
      <c r="G866" s="362">
        <v>45261</v>
      </c>
      <c r="H866" s="362">
        <v>45261</v>
      </c>
      <c r="I866" s="395">
        <v>45261</v>
      </c>
      <c r="J866" s="387" t="s">
        <v>240</v>
      </c>
      <c r="K866" s="388" t="s">
        <v>731</v>
      </c>
      <c r="L866" s="402">
        <v>1</v>
      </c>
      <c r="M866" s="352" t="s">
        <v>597</v>
      </c>
      <c r="N866" s="403">
        <v>20000</v>
      </c>
      <c r="O866" s="404">
        <v>20000</v>
      </c>
      <c r="P866" s="421">
        <v>4</v>
      </c>
      <c r="Q866" s="275"/>
      <c r="R866" s="437">
        <v>1000000</v>
      </c>
      <c r="S866" s="438">
        <f t="shared" si="82"/>
        <v>22000</v>
      </c>
      <c r="T866" s="439" t="s">
        <v>227</v>
      </c>
      <c r="U866" s="460" t="str">
        <f t="shared" si="83"/>
        <v/>
      </c>
      <c r="V866" s="439" t="s">
        <v>1248</v>
      </c>
      <c r="W866" s="439" t="s">
        <v>540</v>
      </c>
      <c r="X866" s="439"/>
      <c r="Y866" s="428" t="str">
        <f t="shared" si="81"/>
        <v>Binder Klip  nomor 260</v>
      </c>
      <c r="Z866" s="449" t="s">
        <v>1553</v>
      </c>
      <c r="AA866" s="432" t="s">
        <v>231</v>
      </c>
      <c r="AB866" s="441">
        <f t="shared" si="84"/>
        <v>18018.018018018018</v>
      </c>
      <c r="AC866" s="442">
        <f t="shared" si="85"/>
        <v>18018.018018018018</v>
      </c>
      <c r="AD866" s="437">
        <v>1000000</v>
      </c>
      <c r="AE866" s="447"/>
      <c r="AF866" s="447"/>
      <c r="AG866" s="437">
        <v>1000000</v>
      </c>
      <c r="AH866" s="271" t="s">
        <v>2101</v>
      </c>
    </row>
    <row r="867" spans="1:34">
      <c r="A867" s="350">
        <v>423</v>
      </c>
      <c r="B867" s="352" t="s">
        <v>1487</v>
      </c>
      <c r="C867" s="354" t="s">
        <v>704</v>
      </c>
      <c r="D867" s="355" t="s">
        <v>705</v>
      </c>
      <c r="E867" s="368">
        <v>45261</v>
      </c>
      <c r="F867" s="362">
        <v>45261</v>
      </c>
      <c r="G867" s="362">
        <v>45261</v>
      </c>
      <c r="H867" s="362">
        <v>45261</v>
      </c>
      <c r="I867" s="395">
        <v>45261</v>
      </c>
      <c r="J867" s="387" t="s">
        <v>740</v>
      </c>
      <c r="K867" s="388" t="s">
        <v>741</v>
      </c>
      <c r="L867" s="402">
        <v>2</v>
      </c>
      <c r="M867" s="352" t="s">
        <v>488</v>
      </c>
      <c r="N867" s="403">
        <v>5500</v>
      </c>
      <c r="O867" s="404">
        <v>11000</v>
      </c>
      <c r="P867" s="421">
        <v>4</v>
      </c>
      <c r="Q867" s="275"/>
      <c r="R867" s="437">
        <v>1200000</v>
      </c>
      <c r="S867" s="438">
        <f t="shared" si="82"/>
        <v>15000</v>
      </c>
      <c r="T867" s="439" t="s">
        <v>227</v>
      </c>
      <c r="U867" s="460" t="str">
        <f t="shared" si="83"/>
        <v/>
      </c>
      <c r="V867" s="439" t="s">
        <v>1248</v>
      </c>
      <c r="W867" s="439" t="s">
        <v>540</v>
      </c>
      <c r="X867" s="439"/>
      <c r="Y867" s="428" t="str">
        <f t="shared" si="81"/>
        <v>Buku Nota</v>
      </c>
      <c r="Z867" s="449"/>
      <c r="AA867" s="432" t="s">
        <v>528</v>
      </c>
      <c r="AB867" s="441">
        <f t="shared" si="84"/>
        <v>4954.9549549549547</v>
      </c>
      <c r="AC867" s="442">
        <f t="shared" si="85"/>
        <v>9909.9099099099094</v>
      </c>
      <c r="AD867" s="437">
        <v>1200000</v>
      </c>
      <c r="AE867" s="447"/>
      <c r="AF867" s="447"/>
      <c r="AG867" s="437">
        <v>1200000</v>
      </c>
      <c r="AH867" s="271" t="s">
        <v>2101</v>
      </c>
    </row>
    <row r="868" spans="1:34">
      <c r="A868" s="350">
        <v>423</v>
      </c>
      <c r="B868" s="352" t="s">
        <v>1487</v>
      </c>
      <c r="C868" s="354" t="s">
        <v>704</v>
      </c>
      <c r="D868" s="355" t="s">
        <v>705</v>
      </c>
      <c r="E868" s="368">
        <v>45261</v>
      </c>
      <c r="F868" s="362">
        <v>45261</v>
      </c>
      <c r="G868" s="362">
        <v>45261</v>
      </c>
      <c r="H868" s="362">
        <v>45261</v>
      </c>
      <c r="I868" s="395">
        <v>45261</v>
      </c>
      <c r="J868" s="387" t="s">
        <v>238</v>
      </c>
      <c r="K868" s="387" t="s">
        <v>238</v>
      </c>
      <c r="L868" s="402">
        <v>2</v>
      </c>
      <c r="M868" s="352" t="s">
        <v>597</v>
      </c>
      <c r="N868" s="403">
        <v>11000</v>
      </c>
      <c r="O868" s="404">
        <v>22000</v>
      </c>
      <c r="P868" s="421">
        <v>4</v>
      </c>
      <c r="Q868" s="275"/>
      <c r="R868" s="437">
        <v>54532835</v>
      </c>
      <c r="S868" s="438">
        <f t="shared" si="82"/>
        <v>26000</v>
      </c>
      <c r="T868" s="439" t="s">
        <v>227</v>
      </c>
      <c r="U868" s="460" t="str">
        <f t="shared" si="83"/>
        <v/>
      </c>
      <c r="V868" s="439" t="s">
        <v>1248</v>
      </c>
      <c r="W868" s="439" t="s">
        <v>540</v>
      </c>
      <c r="X868" s="439"/>
      <c r="Y868" s="428" t="str">
        <f t="shared" si="81"/>
        <v>Binder Klip  nomor 111</v>
      </c>
      <c r="Z868" s="449"/>
      <c r="AA868" s="432" t="s">
        <v>940</v>
      </c>
      <c r="AB868" s="441">
        <f t="shared" si="84"/>
        <v>9909.9099099099094</v>
      </c>
      <c r="AC868" s="442">
        <f t="shared" si="85"/>
        <v>19819.819819819819</v>
      </c>
      <c r="AD868" s="437">
        <v>54532835</v>
      </c>
      <c r="AE868" s="447"/>
      <c r="AF868" s="447"/>
      <c r="AG868" s="437">
        <v>54532835</v>
      </c>
      <c r="AH868" s="271" t="s">
        <v>2101</v>
      </c>
    </row>
    <row r="869" spans="1:34">
      <c r="A869" s="350">
        <v>423</v>
      </c>
      <c r="B869" s="352" t="s">
        <v>1487</v>
      </c>
      <c r="C869" s="354" t="s">
        <v>704</v>
      </c>
      <c r="D869" s="355" t="s">
        <v>705</v>
      </c>
      <c r="E869" s="368">
        <v>45261</v>
      </c>
      <c r="F869" s="362">
        <v>45261</v>
      </c>
      <c r="G869" s="362">
        <v>45261</v>
      </c>
      <c r="H869" s="362">
        <v>45261</v>
      </c>
      <c r="I869" s="395">
        <v>45261</v>
      </c>
      <c r="J869" s="387" t="s">
        <v>255</v>
      </c>
      <c r="K869" s="388" t="s">
        <v>889</v>
      </c>
      <c r="L869" s="402">
        <v>1</v>
      </c>
      <c r="M869" s="352" t="s">
        <v>728</v>
      </c>
      <c r="N869" s="403">
        <v>25000</v>
      </c>
      <c r="O869" s="404">
        <v>25000</v>
      </c>
      <c r="P869" s="421">
        <v>4</v>
      </c>
      <c r="Q869" s="275"/>
      <c r="R869" s="437">
        <v>15097500</v>
      </c>
      <c r="S869" s="438">
        <f t="shared" si="82"/>
        <v>27000</v>
      </c>
      <c r="T869" s="439" t="s">
        <v>227</v>
      </c>
      <c r="U869" s="460" t="str">
        <f t="shared" si="83"/>
        <v/>
      </c>
      <c r="V869" s="439" t="s">
        <v>1248</v>
      </c>
      <c r="W869" s="439" t="s">
        <v>540</v>
      </c>
      <c r="X869" s="439"/>
      <c r="Y869" s="428" t="str">
        <f t="shared" si="81"/>
        <v>PAPER CLIP  Paper Clip No 1</v>
      </c>
      <c r="Z869" s="449"/>
      <c r="AA869" s="432" t="s">
        <v>868</v>
      </c>
      <c r="AB869" s="441">
        <f t="shared" si="84"/>
        <v>22522.522522522522</v>
      </c>
      <c r="AC869" s="442">
        <f t="shared" si="85"/>
        <v>22522.522522522522</v>
      </c>
      <c r="AD869" s="437">
        <v>15097500</v>
      </c>
      <c r="AE869" s="447"/>
      <c r="AF869" s="447"/>
      <c r="AG869" s="437">
        <v>15097500</v>
      </c>
      <c r="AH869" s="271" t="s">
        <v>2101</v>
      </c>
    </row>
    <row r="870" spans="1:34">
      <c r="A870" s="350">
        <v>423</v>
      </c>
      <c r="B870" s="352" t="s">
        <v>1487</v>
      </c>
      <c r="C870" s="354" t="s">
        <v>704</v>
      </c>
      <c r="D870" s="355" t="s">
        <v>705</v>
      </c>
      <c r="E870" s="368">
        <v>45261</v>
      </c>
      <c r="F870" s="362">
        <v>45261</v>
      </c>
      <c r="G870" s="362">
        <v>45261</v>
      </c>
      <c r="H870" s="362">
        <v>45261</v>
      </c>
      <c r="I870" s="395">
        <v>45261</v>
      </c>
      <c r="J870" s="387" t="s">
        <v>762</v>
      </c>
      <c r="K870" s="387" t="s">
        <v>762</v>
      </c>
      <c r="L870" s="402">
        <v>1</v>
      </c>
      <c r="M870" s="352" t="s">
        <v>488</v>
      </c>
      <c r="N870" s="403">
        <v>15000</v>
      </c>
      <c r="O870" s="404">
        <v>15000</v>
      </c>
      <c r="P870" s="421">
        <v>4</v>
      </c>
      <c r="Q870" s="275"/>
      <c r="R870" s="437">
        <v>1600000</v>
      </c>
      <c r="S870" s="438">
        <f t="shared" si="82"/>
        <v>17000</v>
      </c>
      <c r="T870" s="439" t="s">
        <v>227</v>
      </c>
      <c r="U870" s="460" t="str">
        <f t="shared" si="83"/>
        <v/>
      </c>
      <c r="V870" s="439" t="s">
        <v>1248</v>
      </c>
      <c r="W870" s="439" t="s">
        <v>540</v>
      </c>
      <c r="X870" s="439"/>
      <c r="Y870" s="428" t="str">
        <f t="shared" si="81"/>
        <v>lem fox</v>
      </c>
      <c r="Z870" s="449"/>
      <c r="AA870" s="432" t="s">
        <v>868</v>
      </c>
      <c r="AB870" s="441">
        <f t="shared" si="84"/>
        <v>13513.513513513513</v>
      </c>
      <c r="AC870" s="442">
        <f t="shared" si="85"/>
        <v>13513.513513513513</v>
      </c>
      <c r="AD870" s="437">
        <v>1600000</v>
      </c>
      <c r="AE870" s="447"/>
      <c r="AF870" s="447"/>
      <c r="AG870" s="437">
        <v>1600000</v>
      </c>
      <c r="AH870" s="271" t="s">
        <v>2101</v>
      </c>
    </row>
    <row r="871" spans="1:34" ht="25">
      <c r="A871" s="350">
        <v>423</v>
      </c>
      <c r="B871" s="352" t="s">
        <v>1487</v>
      </c>
      <c r="C871" s="354" t="s">
        <v>704</v>
      </c>
      <c r="D871" s="355" t="s">
        <v>705</v>
      </c>
      <c r="E871" s="368">
        <v>45261</v>
      </c>
      <c r="F871" s="362">
        <v>45261</v>
      </c>
      <c r="G871" s="362">
        <v>45261</v>
      </c>
      <c r="H871" s="362">
        <v>45261</v>
      </c>
      <c r="I871" s="395">
        <v>45261</v>
      </c>
      <c r="J871" s="387" t="s">
        <v>246</v>
      </c>
      <c r="K871" s="387" t="s">
        <v>246</v>
      </c>
      <c r="L871" s="402">
        <v>1</v>
      </c>
      <c r="M871" s="352" t="s">
        <v>551</v>
      </c>
      <c r="N871" s="403">
        <v>95000</v>
      </c>
      <c r="O871" s="404">
        <v>95000</v>
      </c>
      <c r="P871" s="421">
        <v>4</v>
      </c>
      <c r="Q871" s="275"/>
      <c r="R871" s="437">
        <v>700000</v>
      </c>
      <c r="S871" s="438">
        <f t="shared" si="82"/>
        <v>97000</v>
      </c>
      <c r="T871" s="439" t="s">
        <v>227</v>
      </c>
      <c r="U871" s="460" t="str">
        <f t="shared" si="83"/>
        <v/>
      </c>
      <c r="V871" s="439" t="s">
        <v>1248</v>
      </c>
      <c r="W871" s="439" t="s">
        <v>540</v>
      </c>
      <c r="X871" s="439"/>
      <c r="Y871" s="428" t="str">
        <f t="shared" si="81"/>
        <v>C. Tinta Printer EPSON Tinta Printer Epson Yellow</v>
      </c>
      <c r="Z871" s="449"/>
      <c r="AA871" s="432" t="s">
        <v>774</v>
      </c>
      <c r="AB871" s="441">
        <f t="shared" si="84"/>
        <v>85585.585585585592</v>
      </c>
      <c r="AC871" s="442">
        <f t="shared" si="85"/>
        <v>85585.585585585592</v>
      </c>
      <c r="AD871" s="437">
        <v>700000</v>
      </c>
      <c r="AE871" s="447"/>
      <c r="AF871" s="447"/>
      <c r="AG871" s="437">
        <v>700000</v>
      </c>
      <c r="AH871" s="271" t="s">
        <v>2101</v>
      </c>
    </row>
    <row r="872" spans="1:34">
      <c r="A872" s="350">
        <v>423</v>
      </c>
      <c r="B872" s="352" t="s">
        <v>1487</v>
      </c>
      <c r="C872" s="352" t="s">
        <v>704</v>
      </c>
      <c r="D872" s="355" t="s">
        <v>705</v>
      </c>
      <c r="E872" s="368">
        <v>45261</v>
      </c>
      <c r="F872" s="362">
        <v>45261</v>
      </c>
      <c r="G872" s="362">
        <v>45261</v>
      </c>
      <c r="H872" s="362">
        <v>45261</v>
      </c>
      <c r="I872" s="394">
        <v>45261</v>
      </c>
      <c r="J872" s="387" t="s">
        <v>242</v>
      </c>
      <c r="K872" s="388" t="s">
        <v>760</v>
      </c>
      <c r="L872" s="402">
        <v>1</v>
      </c>
      <c r="M872" s="352" t="s">
        <v>488</v>
      </c>
      <c r="N872" s="403">
        <v>26000</v>
      </c>
      <c r="O872" s="404">
        <v>26000</v>
      </c>
      <c r="P872" s="421">
        <v>4</v>
      </c>
      <c r="Q872" s="275"/>
      <c r="R872" s="437">
        <v>2000000</v>
      </c>
      <c r="S872" s="438">
        <f t="shared" si="82"/>
        <v>28000</v>
      </c>
      <c r="T872" s="439" t="s">
        <v>227</v>
      </c>
      <c r="U872" s="460" t="str">
        <f t="shared" si="83"/>
        <v/>
      </c>
      <c r="V872" s="439" t="s">
        <v>1248</v>
      </c>
      <c r="W872" s="439" t="s">
        <v>540</v>
      </c>
      <c r="X872" s="439"/>
      <c r="Y872" s="428" t="str">
        <f t="shared" si="81"/>
        <v>Binder Klip Ordner</v>
      </c>
      <c r="Z872" s="449"/>
      <c r="AA872" s="432" t="s">
        <v>587</v>
      </c>
      <c r="AB872" s="441">
        <f t="shared" si="84"/>
        <v>23423.423423423425</v>
      </c>
      <c r="AC872" s="442">
        <f t="shared" si="85"/>
        <v>23423.423423423425</v>
      </c>
      <c r="AD872" s="437">
        <v>2000000</v>
      </c>
      <c r="AE872" s="447"/>
      <c r="AF872" s="447"/>
      <c r="AG872" s="437">
        <v>2000000</v>
      </c>
      <c r="AH872" s="271" t="s">
        <v>2101</v>
      </c>
    </row>
    <row r="873" spans="1:34" ht="37.5">
      <c r="A873" s="350">
        <v>423</v>
      </c>
      <c r="B873" s="352" t="s">
        <v>1487</v>
      </c>
      <c r="C873" s="352" t="s">
        <v>704</v>
      </c>
      <c r="D873" s="355" t="s">
        <v>705</v>
      </c>
      <c r="E873" s="368">
        <v>45261</v>
      </c>
      <c r="F873" s="362">
        <v>45261</v>
      </c>
      <c r="G873" s="362">
        <v>45261</v>
      </c>
      <c r="H873" s="362">
        <v>45261</v>
      </c>
      <c r="I873" s="394">
        <v>45261</v>
      </c>
      <c r="J873" s="387" t="s">
        <v>247</v>
      </c>
      <c r="K873" s="387" t="s">
        <v>247</v>
      </c>
      <c r="L873" s="402">
        <v>15</v>
      </c>
      <c r="M873" s="352" t="s">
        <v>735</v>
      </c>
      <c r="N873" s="403">
        <v>50000</v>
      </c>
      <c r="O873" s="404">
        <v>750000</v>
      </c>
      <c r="P873" s="421">
        <v>4</v>
      </c>
      <c r="Q873" s="275"/>
      <c r="R873" s="437">
        <v>1200000</v>
      </c>
      <c r="S873" s="438">
        <f t="shared" si="82"/>
        <v>780000</v>
      </c>
      <c r="T873" s="439" t="s">
        <v>227</v>
      </c>
      <c r="U873" s="460" t="str">
        <f t="shared" si="83"/>
        <v/>
      </c>
      <c r="V873" s="439" t="s">
        <v>1248</v>
      </c>
      <c r="W873" s="439" t="s">
        <v>540</v>
      </c>
      <c r="X873" s="439"/>
      <c r="Y873" s="428" t="str">
        <f t="shared" si="81"/>
        <v>Kertas HVS 80 gram Merk : Paper One A4, Ukuran : 8,27" x 11,69", Isi : 500 lembar</v>
      </c>
      <c r="Z873" s="449"/>
      <c r="AA873" s="432" t="s">
        <v>574</v>
      </c>
      <c r="AB873" s="441">
        <f t="shared" si="84"/>
        <v>45045.045045045044</v>
      </c>
      <c r="AC873" s="442">
        <f t="shared" si="85"/>
        <v>675675.67567567562</v>
      </c>
      <c r="AD873" s="437">
        <v>1200000</v>
      </c>
      <c r="AE873" s="447"/>
      <c r="AF873" s="447"/>
      <c r="AG873" s="437">
        <v>1200000</v>
      </c>
      <c r="AH873" s="271" t="s">
        <v>2101</v>
      </c>
    </row>
    <row r="874" spans="1:34" ht="25">
      <c r="A874" s="350">
        <v>423</v>
      </c>
      <c r="B874" s="352" t="s">
        <v>1487</v>
      </c>
      <c r="C874" s="352" t="s">
        <v>704</v>
      </c>
      <c r="D874" s="355" t="s">
        <v>705</v>
      </c>
      <c r="E874" s="368">
        <v>45261</v>
      </c>
      <c r="F874" s="362">
        <v>45261</v>
      </c>
      <c r="G874" s="362">
        <v>45261</v>
      </c>
      <c r="H874" s="362">
        <v>45261</v>
      </c>
      <c r="I874" s="394">
        <v>45261</v>
      </c>
      <c r="J874" s="387" t="s">
        <v>733</v>
      </c>
      <c r="K874" s="388" t="s">
        <v>734</v>
      </c>
      <c r="L874" s="402">
        <v>8</v>
      </c>
      <c r="M874" s="352" t="s">
        <v>735</v>
      </c>
      <c r="N874" s="403">
        <v>54000</v>
      </c>
      <c r="O874" s="404">
        <v>432000</v>
      </c>
      <c r="P874" s="421">
        <v>4</v>
      </c>
      <c r="Q874" s="275"/>
      <c r="R874" s="437">
        <v>1000000</v>
      </c>
      <c r="S874" s="438">
        <f t="shared" si="82"/>
        <v>448000</v>
      </c>
      <c r="T874" s="439" t="s">
        <v>227</v>
      </c>
      <c r="U874" s="460" t="str">
        <f t="shared" si="83"/>
        <v/>
      </c>
      <c r="V874" s="439" t="s">
        <v>1248</v>
      </c>
      <c r="W874" s="439" t="s">
        <v>540</v>
      </c>
      <c r="X874" s="439"/>
      <c r="Y874" s="428" t="str">
        <f t="shared" si="81"/>
        <v>Kertas HVS 60 gram Merk : GOLD Ukuran F4</v>
      </c>
      <c r="Z874" s="449" t="s">
        <v>1553</v>
      </c>
      <c r="AA874" s="432" t="s">
        <v>488</v>
      </c>
      <c r="AB874" s="441">
        <f t="shared" si="84"/>
        <v>48648.648648648646</v>
      </c>
      <c r="AC874" s="442">
        <f t="shared" si="85"/>
        <v>389189.18918918917</v>
      </c>
      <c r="AD874" s="437">
        <v>1000000</v>
      </c>
      <c r="AE874" s="447"/>
      <c r="AF874" s="447"/>
      <c r="AG874" s="437">
        <v>1000000</v>
      </c>
      <c r="AH874" s="271" t="s">
        <v>2101</v>
      </c>
    </row>
    <row r="875" spans="1:34">
      <c r="A875" s="350">
        <v>423</v>
      </c>
      <c r="B875" s="352" t="s">
        <v>1487</v>
      </c>
      <c r="C875" s="352" t="s">
        <v>704</v>
      </c>
      <c r="D875" s="355" t="s">
        <v>705</v>
      </c>
      <c r="E875" s="368">
        <v>45261</v>
      </c>
      <c r="F875" s="362">
        <v>45261</v>
      </c>
      <c r="G875" s="362">
        <v>45261</v>
      </c>
      <c r="H875" s="362">
        <v>45261</v>
      </c>
      <c r="I875" s="394">
        <v>45261</v>
      </c>
      <c r="J875" s="387" t="s">
        <v>758</v>
      </c>
      <c r="K875" s="387" t="s">
        <v>758</v>
      </c>
      <c r="L875" s="402">
        <v>3</v>
      </c>
      <c r="M875" s="352" t="s">
        <v>488</v>
      </c>
      <c r="N875" s="403">
        <v>5000</v>
      </c>
      <c r="O875" s="404">
        <v>15000</v>
      </c>
      <c r="P875" s="421">
        <v>4</v>
      </c>
      <c r="Q875" s="275"/>
      <c r="R875" s="437">
        <v>100000</v>
      </c>
      <c r="S875" s="438">
        <f t="shared" si="82"/>
        <v>21000</v>
      </c>
      <c r="T875" s="439" t="s">
        <v>227</v>
      </c>
      <c r="U875" s="460" t="str">
        <f t="shared" si="83"/>
        <v/>
      </c>
      <c r="V875" s="439" t="s">
        <v>1248</v>
      </c>
      <c r="W875" s="439" t="s">
        <v>540</v>
      </c>
      <c r="X875" s="439"/>
      <c r="Y875" s="439" t="str">
        <f t="shared" si="81"/>
        <v>buku harian guru</v>
      </c>
      <c r="Z875" s="449"/>
      <c r="AA875" s="432" t="s">
        <v>587</v>
      </c>
      <c r="AB875" s="441">
        <f t="shared" si="84"/>
        <v>4504.5045045045044</v>
      </c>
      <c r="AC875" s="442">
        <f t="shared" si="85"/>
        <v>13513.513513513513</v>
      </c>
      <c r="AD875" s="437">
        <v>100000</v>
      </c>
      <c r="AE875" s="447"/>
      <c r="AF875" s="447"/>
      <c r="AG875" s="437">
        <v>100000</v>
      </c>
      <c r="AH875" s="271" t="s">
        <v>2101</v>
      </c>
    </row>
    <row r="876" spans="1:34" ht="25">
      <c r="A876" s="350">
        <v>423</v>
      </c>
      <c r="B876" s="352" t="s">
        <v>1487</v>
      </c>
      <c r="C876" s="352" t="s">
        <v>704</v>
      </c>
      <c r="D876" s="355" t="s">
        <v>705</v>
      </c>
      <c r="E876" s="368">
        <v>45261</v>
      </c>
      <c r="F876" s="362">
        <v>45261</v>
      </c>
      <c r="G876" s="362">
        <v>45261</v>
      </c>
      <c r="H876" s="362">
        <v>45261</v>
      </c>
      <c r="I876" s="394">
        <v>45261</v>
      </c>
      <c r="J876" s="387" t="s">
        <v>243</v>
      </c>
      <c r="K876" s="387" t="s">
        <v>243</v>
      </c>
      <c r="L876" s="402">
        <v>1</v>
      </c>
      <c r="M876" s="352" t="s">
        <v>551</v>
      </c>
      <c r="N876" s="403">
        <v>95000</v>
      </c>
      <c r="O876" s="404">
        <v>95000</v>
      </c>
      <c r="P876" s="421">
        <v>4</v>
      </c>
      <c r="Q876" s="275"/>
      <c r="R876" s="437">
        <v>200000</v>
      </c>
      <c r="S876" s="438">
        <f t="shared" si="82"/>
        <v>97000</v>
      </c>
      <c r="T876" s="439" t="s">
        <v>227</v>
      </c>
      <c r="U876" s="460" t="str">
        <f t="shared" si="83"/>
        <v/>
      </c>
      <c r="V876" s="439" t="s">
        <v>1248</v>
      </c>
      <c r="W876" s="439" t="s">
        <v>540</v>
      </c>
      <c r="X876" s="275"/>
      <c r="Y876" s="428" t="str">
        <f t="shared" si="81"/>
        <v>C. Tinta Printer EPSON Tinta Printer Epson Blue</v>
      </c>
      <c r="Z876" s="449"/>
      <c r="AA876" s="432" t="s">
        <v>587</v>
      </c>
      <c r="AB876" s="441">
        <f t="shared" si="84"/>
        <v>85585.585585585592</v>
      </c>
      <c r="AC876" s="442">
        <f t="shared" si="85"/>
        <v>85585.585585585592</v>
      </c>
      <c r="AD876" s="437">
        <v>200000</v>
      </c>
      <c r="AE876" s="447"/>
      <c r="AF876" s="447"/>
      <c r="AG876" s="437">
        <v>200000</v>
      </c>
      <c r="AH876" s="271" t="s">
        <v>2101</v>
      </c>
    </row>
    <row r="877" spans="1:34">
      <c r="A877" s="350">
        <v>423</v>
      </c>
      <c r="B877" s="352" t="s">
        <v>1487</v>
      </c>
      <c r="C877" s="352" t="s">
        <v>704</v>
      </c>
      <c r="D877" s="355" t="s">
        <v>705</v>
      </c>
      <c r="E877" s="368">
        <v>45261</v>
      </c>
      <c r="F877" s="362">
        <v>45261</v>
      </c>
      <c r="G877" s="362">
        <v>45261</v>
      </c>
      <c r="H877" s="362">
        <v>45261</v>
      </c>
      <c r="I877" s="394">
        <v>45261</v>
      </c>
      <c r="J877" s="387" t="s">
        <v>236</v>
      </c>
      <c r="K877" s="389" t="s">
        <v>771</v>
      </c>
      <c r="L877" s="402">
        <v>4</v>
      </c>
      <c r="M877" s="352" t="s">
        <v>772</v>
      </c>
      <c r="N877" s="403">
        <v>65000</v>
      </c>
      <c r="O877" s="404">
        <v>260000</v>
      </c>
      <c r="P877" s="421">
        <v>4</v>
      </c>
      <c r="Q877" s="275"/>
      <c r="R877" s="437">
        <v>400000</v>
      </c>
      <c r="S877" s="438">
        <f t="shared" si="82"/>
        <v>268000</v>
      </c>
      <c r="T877" s="439" t="s">
        <v>227</v>
      </c>
      <c r="U877" s="460" t="str">
        <f t="shared" si="83"/>
        <v/>
      </c>
      <c r="V877" s="439" t="s">
        <v>1248</v>
      </c>
      <c r="W877" s="439" t="s">
        <v>540</v>
      </c>
      <c r="X877" s="439"/>
      <c r="Y877" s="439" t="str">
        <f t="shared" si="81"/>
        <v>Baterey Kecil</v>
      </c>
      <c r="Z877" s="449" t="s">
        <v>1554</v>
      </c>
      <c r="AA877" s="440" t="s">
        <v>753</v>
      </c>
      <c r="AB877" s="441">
        <f t="shared" si="84"/>
        <v>58558.558558558558</v>
      </c>
      <c r="AC877" s="442">
        <f t="shared" si="85"/>
        <v>234234.23423423423</v>
      </c>
      <c r="AD877" s="437">
        <v>400000</v>
      </c>
      <c r="AE877" s="447"/>
      <c r="AF877" s="447"/>
      <c r="AG877" s="437">
        <v>400000</v>
      </c>
      <c r="AH877" s="271" t="s">
        <v>2101</v>
      </c>
    </row>
    <row r="878" spans="1:34" ht="25">
      <c r="A878" s="350">
        <v>423</v>
      </c>
      <c r="B878" s="352" t="s">
        <v>1487</v>
      </c>
      <c r="C878" s="352" t="s">
        <v>704</v>
      </c>
      <c r="D878" s="355" t="s">
        <v>705</v>
      </c>
      <c r="E878" s="368">
        <v>45261</v>
      </c>
      <c r="F878" s="362">
        <v>45261</v>
      </c>
      <c r="G878" s="362">
        <v>45261</v>
      </c>
      <c r="H878" s="362">
        <v>45261</v>
      </c>
      <c r="I878" s="394">
        <v>45261</v>
      </c>
      <c r="J878" s="387" t="s">
        <v>781</v>
      </c>
      <c r="K878" s="387" t="s">
        <v>781</v>
      </c>
      <c r="L878" s="402">
        <v>2</v>
      </c>
      <c r="M878" s="352" t="s">
        <v>551</v>
      </c>
      <c r="N878" s="403">
        <v>95000</v>
      </c>
      <c r="O878" s="404">
        <v>190000</v>
      </c>
      <c r="P878" s="421"/>
      <c r="Q878" s="275"/>
      <c r="R878" s="437"/>
      <c r="S878" s="438">
        <f t="shared" si="82"/>
        <v>194000</v>
      </c>
      <c r="T878" s="439" t="s">
        <v>227</v>
      </c>
      <c r="U878" s="460" t="str">
        <f t="shared" si="83"/>
        <v/>
      </c>
      <c r="V878" s="439" t="s">
        <v>1248</v>
      </c>
      <c r="W878" s="439" t="s">
        <v>540</v>
      </c>
      <c r="X878" s="439"/>
      <c r="Y878" s="275"/>
      <c r="Z878" s="449"/>
      <c r="AA878" s="432" t="s">
        <v>749</v>
      </c>
      <c r="AB878" s="441">
        <f t="shared" si="84"/>
        <v>85585.585585585592</v>
      </c>
      <c r="AC878" s="442">
        <f t="shared" si="85"/>
        <v>171171.17117117118</v>
      </c>
      <c r="AD878" s="437"/>
      <c r="AE878" s="447"/>
      <c r="AF878" s="447"/>
      <c r="AG878" s="437"/>
      <c r="AH878" s="271" t="s">
        <v>2101</v>
      </c>
    </row>
    <row r="879" spans="1:34" ht="25">
      <c r="A879" s="350">
        <v>423</v>
      </c>
      <c r="B879" s="352" t="s">
        <v>1487</v>
      </c>
      <c r="C879" s="352" t="s">
        <v>704</v>
      </c>
      <c r="D879" s="355" t="s">
        <v>705</v>
      </c>
      <c r="E879" s="368">
        <v>45261</v>
      </c>
      <c r="F879" s="362">
        <v>45261</v>
      </c>
      <c r="G879" s="362">
        <v>45261</v>
      </c>
      <c r="H879" s="362">
        <v>45261</v>
      </c>
      <c r="I879" s="394">
        <v>45261</v>
      </c>
      <c r="J879" s="387" t="s">
        <v>245</v>
      </c>
      <c r="K879" s="387" t="s">
        <v>245</v>
      </c>
      <c r="L879" s="402">
        <v>1</v>
      </c>
      <c r="M879" s="352" t="s">
        <v>551</v>
      </c>
      <c r="N879" s="403">
        <v>95000</v>
      </c>
      <c r="O879" s="404">
        <v>95000</v>
      </c>
      <c r="P879" s="421">
        <v>5</v>
      </c>
      <c r="Q879" s="275"/>
      <c r="R879" s="437">
        <v>2000000</v>
      </c>
      <c r="S879" s="438">
        <f t="shared" si="82"/>
        <v>97000</v>
      </c>
      <c r="T879" s="439" t="s">
        <v>227</v>
      </c>
      <c r="U879" s="460" t="str">
        <f t="shared" si="83"/>
        <v/>
      </c>
      <c r="V879" s="439" t="s">
        <v>1248</v>
      </c>
      <c r="W879" s="439" t="s">
        <v>540</v>
      </c>
      <c r="X879" s="439"/>
      <c r="Y879" s="439" t="str">
        <f t="shared" ref="Y879:Y887" si="86">J879</f>
        <v>C. Tinta Printer EPSON Tinta Printer Epson Read</v>
      </c>
      <c r="Z879" s="449"/>
      <c r="AA879" s="440" t="s">
        <v>587</v>
      </c>
      <c r="AB879" s="441">
        <f t="shared" si="84"/>
        <v>85585.585585585592</v>
      </c>
      <c r="AC879" s="442">
        <f t="shared" si="85"/>
        <v>85585.585585585592</v>
      </c>
      <c r="AD879" s="437">
        <v>2000000</v>
      </c>
      <c r="AE879" s="447"/>
      <c r="AF879" s="447"/>
      <c r="AG879" s="437">
        <v>2000000</v>
      </c>
      <c r="AH879" s="271" t="s">
        <v>2101</v>
      </c>
    </row>
    <row r="880" spans="1:34">
      <c r="A880" s="350">
        <v>423</v>
      </c>
      <c r="B880" s="352" t="s">
        <v>1487</v>
      </c>
      <c r="C880" s="352" t="s">
        <v>704</v>
      </c>
      <c r="D880" s="355" t="s">
        <v>705</v>
      </c>
      <c r="E880" s="368">
        <v>45261</v>
      </c>
      <c r="F880" s="362">
        <v>45261</v>
      </c>
      <c r="G880" s="362">
        <v>45261</v>
      </c>
      <c r="H880" s="362">
        <v>45261</v>
      </c>
      <c r="I880" s="394">
        <v>45261</v>
      </c>
      <c r="J880" s="387" t="s">
        <v>747</v>
      </c>
      <c r="K880" s="388" t="s">
        <v>886</v>
      </c>
      <c r="L880" s="402">
        <v>1</v>
      </c>
      <c r="M880" s="352" t="s">
        <v>488</v>
      </c>
      <c r="N880" s="403">
        <v>5000</v>
      </c>
      <c r="O880" s="404">
        <v>5000</v>
      </c>
      <c r="P880" s="421">
        <v>5</v>
      </c>
      <c r="Q880" s="275"/>
      <c r="R880" s="437">
        <v>400000</v>
      </c>
      <c r="S880" s="438">
        <f t="shared" si="82"/>
        <v>7000</v>
      </c>
      <c r="T880" s="439" t="s">
        <v>227</v>
      </c>
      <c r="U880" s="460" t="str">
        <f t="shared" si="83"/>
        <v/>
      </c>
      <c r="V880" s="439" t="s">
        <v>1248</v>
      </c>
      <c r="W880" s="439" t="s">
        <v>540</v>
      </c>
      <c r="X880" s="275"/>
      <c r="Y880" s="428" t="str">
        <f t="shared" si="86"/>
        <v>Buku Agenda</v>
      </c>
      <c r="Z880" s="449" t="s">
        <v>1554</v>
      </c>
      <c r="AA880" s="432" t="s">
        <v>587</v>
      </c>
      <c r="AB880" s="441">
        <f t="shared" si="84"/>
        <v>4504.5045045045044</v>
      </c>
      <c r="AC880" s="442">
        <f t="shared" si="85"/>
        <v>4504.5045045045044</v>
      </c>
      <c r="AD880" s="437">
        <v>400000</v>
      </c>
      <c r="AE880" s="447"/>
      <c r="AF880" s="447"/>
      <c r="AG880" s="437">
        <v>400000</v>
      </c>
      <c r="AH880" s="271" t="s">
        <v>2101</v>
      </c>
    </row>
    <row r="881" spans="1:34" ht="25">
      <c r="A881" s="350">
        <v>423</v>
      </c>
      <c r="B881" s="352" t="s">
        <v>1487</v>
      </c>
      <c r="C881" s="352" t="s">
        <v>704</v>
      </c>
      <c r="D881" s="355" t="s">
        <v>705</v>
      </c>
      <c r="E881" s="368">
        <v>45261</v>
      </c>
      <c r="F881" s="362">
        <v>45261</v>
      </c>
      <c r="G881" s="362">
        <v>45261</v>
      </c>
      <c r="H881" s="362">
        <v>45261</v>
      </c>
      <c r="I881" s="394">
        <v>45261</v>
      </c>
      <c r="J881" s="387" t="s">
        <v>261</v>
      </c>
      <c r="K881" s="387" t="s">
        <v>261</v>
      </c>
      <c r="L881" s="402">
        <v>12</v>
      </c>
      <c r="M881" s="352" t="s">
        <v>667</v>
      </c>
      <c r="N881" s="403">
        <v>20000</v>
      </c>
      <c r="O881" s="404">
        <v>240000</v>
      </c>
      <c r="P881" s="421">
        <v>5</v>
      </c>
      <c r="Q881" s="275"/>
      <c r="R881" s="437">
        <v>1200000</v>
      </c>
      <c r="S881" s="438">
        <f t="shared" si="82"/>
        <v>264000</v>
      </c>
      <c r="T881" s="439" t="s">
        <v>227</v>
      </c>
      <c r="U881" s="460" t="str">
        <f t="shared" si="83"/>
        <v/>
      </c>
      <c r="V881" s="439" t="s">
        <v>1248</v>
      </c>
      <c r="W881" s="439" t="s">
        <v>540</v>
      </c>
      <c r="X881" s="439"/>
      <c r="Y881" s="428" t="str">
        <f t="shared" si="86"/>
        <v>Spidol Refil Spidol White Board Snowman</v>
      </c>
      <c r="Z881" s="449"/>
      <c r="AA881" s="432" t="s">
        <v>1102</v>
      </c>
      <c r="AB881" s="441">
        <f t="shared" si="84"/>
        <v>18018.018018018018</v>
      </c>
      <c r="AC881" s="442">
        <f t="shared" si="85"/>
        <v>216216.21621621621</v>
      </c>
      <c r="AD881" s="437">
        <v>1200000</v>
      </c>
      <c r="AE881" s="447"/>
      <c r="AF881" s="447"/>
      <c r="AG881" s="437">
        <v>1200000</v>
      </c>
      <c r="AH881" s="271" t="s">
        <v>2101</v>
      </c>
    </row>
    <row r="882" spans="1:34">
      <c r="A882" s="350">
        <v>423</v>
      </c>
      <c r="B882" s="352" t="s">
        <v>1487</v>
      </c>
      <c r="C882" s="352" t="s">
        <v>704</v>
      </c>
      <c r="D882" s="355" t="s">
        <v>705</v>
      </c>
      <c r="E882" s="368">
        <v>45261</v>
      </c>
      <c r="F882" s="362">
        <v>45261</v>
      </c>
      <c r="G882" s="362">
        <v>45261</v>
      </c>
      <c r="H882" s="362">
        <v>45261</v>
      </c>
      <c r="I882" s="394">
        <v>45261</v>
      </c>
      <c r="J882" s="387" t="s">
        <v>264</v>
      </c>
      <c r="K882" s="387" t="s">
        <v>882</v>
      </c>
      <c r="L882" s="402">
        <v>1</v>
      </c>
      <c r="M882" s="352" t="s">
        <v>753</v>
      </c>
      <c r="N882" s="403">
        <v>42000</v>
      </c>
      <c r="O882" s="404">
        <v>42000</v>
      </c>
      <c r="P882" s="421">
        <v>5</v>
      </c>
      <c r="Q882" s="275"/>
      <c r="R882" s="437">
        <v>455000</v>
      </c>
      <c r="S882" s="438">
        <f t="shared" si="82"/>
        <v>44000</v>
      </c>
      <c r="T882" s="439" t="s">
        <v>227</v>
      </c>
      <c r="U882" s="460" t="str">
        <f t="shared" si="83"/>
        <v/>
      </c>
      <c r="V882" s="439" t="s">
        <v>1248</v>
      </c>
      <c r="W882" s="439" t="s">
        <v>540</v>
      </c>
      <c r="X882" s="275"/>
      <c r="Y882" s="428" t="str">
        <f t="shared" si="86"/>
        <v>Stofmap Transparan</v>
      </c>
      <c r="Z882" s="449"/>
      <c r="AA882" s="432" t="s">
        <v>597</v>
      </c>
      <c r="AB882" s="441">
        <f t="shared" si="84"/>
        <v>37837.83783783784</v>
      </c>
      <c r="AC882" s="442">
        <f t="shared" si="85"/>
        <v>37837.83783783784</v>
      </c>
      <c r="AD882" s="437">
        <v>455000</v>
      </c>
      <c r="AE882" s="447"/>
      <c r="AF882" s="447"/>
      <c r="AG882" s="437">
        <v>455000</v>
      </c>
      <c r="AH882" s="271" t="s">
        <v>2101</v>
      </c>
    </row>
    <row r="883" spans="1:34">
      <c r="A883" s="350">
        <v>423</v>
      </c>
      <c r="B883" s="352" t="s">
        <v>1487</v>
      </c>
      <c r="C883" s="352" t="s">
        <v>704</v>
      </c>
      <c r="D883" s="355" t="s">
        <v>705</v>
      </c>
      <c r="E883" s="368">
        <v>45261</v>
      </c>
      <c r="F883" s="362">
        <v>45261</v>
      </c>
      <c r="G883" s="362">
        <v>45261</v>
      </c>
      <c r="H883" s="362">
        <v>45261</v>
      </c>
      <c r="I883" s="394">
        <v>45261</v>
      </c>
      <c r="J883" s="387" t="s">
        <v>241</v>
      </c>
      <c r="K883" s="387" t="s">
        <v>767</v>
      </c>
      <c r="L883" s="402">
        <v>2</v>
      </c>
      <c r="M883" s="352" t="s">
        <v>597</v>
      </c>
      <c r="N883" s="403">
        <v>5500</v>
      </c>
      <c r="O883" s="404">
        <v>11000</v>
      </c>
      <c r="P883" s="421">
        <v>5</v>
      </c>
      <c r="Q883" s="275"/>
      <c r="R883" s="437">
        <v>3000000</v>
      </c>
      <c r="S883" s="438">
        <f t="shared" si="82"/>
        <v>15000</v>
      </c>
      <c r="T883" s="439" t="s">
        <v>227</v>
      </c>
      <c r="U883" s="460" t="str">
        <f t="shared" si="83"/>
        <v/>
      </c>
      <c r="V883" s="439" t="s">
        <v>1248</v>
      </c>
      <c r="W883" s="439" t="s">
        <v>540</v>
      </c>
      <c r="X883" s="275"/>
      <c r="Y883" s="428" t="str">
        <f t="shared" si="86"/>
        <v>Binder Klip Merk : KENKO nomor 105</v>
      </c>
      <c r="Z883" s="449"/>
      <c r="AA883" s="432" t="s">
        <v>574</v>
      </c>
      <c r="AB883" s="441">
        <f t="shared" si="84"/>
        <v>4954.9549549549547</v>
      </c>
      <c r="AC883" s="442">
        <f t="shared" si="85"/>
        <v>9909.9099099099094</v>
      </c>
      <c r="AD883" s="437">
        <v>3000000</v>
      </c>
      <c r="AE883" s="447"/>
      <c r="AF883" s="447"/>
      <c r="AG883" s="437">
        <v>3000000</v>
      </c>
      <c r="AH883" s="271" t="s">
        <v>2101</v>
      </c>
    </row>
    <row r="884" spans="1:34">
      <c r="A884" s="350">
        <v>423</v>
      </c>
      <c r="B884" s="352" t="s">
        <v>1487</v>
      </c>
      <c r="C884" s="352" t="s">
        <v>704</v>
      </c>
      <c r="D884" s="355" t="s">
        <v>705</v>
      </c>
      <c r="E884" s="368">
        <v>45261</v>
      </c>
      <c r="F884" s="362">
        <v>45261</v>
      </c>
      <c r="G884" s="362">
        <v>45261</v>
      </c>
      <c r="H884" s="362">
        <v>45261</v>
      </c>
      <c r="I884" s="394">
        <v>45261</v>
      </c>
      <c r="J884" s="389" t="s">
        <v>755</v>
      </c>
      <c r="K884" s="389" t="s">
        <v>755</v>
      </c>
      <c r="L884" s="402">
        <v>2</v>
      </c>
      <c r="M884" s="352" t="s">
        <v>756</v>
      </c>
      <c r="N884" s="403">
        <v>26000</v>
      </c>
      <c r="O884" s="404">
        <v>52000</v>
      </c>
      <c r="P884" s="421">
        <v>5</v>
      </c>
      <c r="Q884" s="275"/>
      <c r="R884" s="437">
        <v>1000000</v>
      </c>
      <c r="S884" s="438">
        <f t="shared" si="82"/>
        <v>56000</v>
      </c>
      <c r="T884" s="439" t="s">
        <v>227</v>
      </c>
      <c r="U884" s="460" t="str">
        <f t="shared" si="83"/>
        <v/>
      </c>
      <c r="V884" s="439" t="s">
        <v>1248</v>
      </c>
      <c r="W884" s="439" t="s">
        <v>540</v>
      </c>
      <c r="X884" s="275"/>
      <c r="Y884" s="428" t="str">
        <f t="shared" si="86"/>
        <v>Ballpoint Pilot Balliner Warna Hitam</v>
      </c>
      <c r="Z884" s="449" t="s">
        <v>1553</v>
      </c>
      <c r="AA884" s="432" t="s">
        <v>488</v>
      </c>
      <c r="AB884" s="441">
        <f t="shared" si="84"/>
        <v>23423.423423423425</v>
      </c>
      <c r="AC884" s="442">
        <f t="shared" si="85"/>
        <v>46846.846846846849</v>
      </c>
      <c r="AD884" s="437">
        <v>1000000</v>
      </c>
      <c r="AE884" s="447"/>
      <c r="AF884" s="447"/>
      <c r="AG884" s="437">
        <v>1000000</v>
      </c>
      <c r="AH884" s="271" t="s">
        <v>2101</v>
      </c>
    </row>
    <row r="885" spans="1:34">
      <c r="A885" s="350">
        <v>423</v>
      </c>
      <c r="B885" s="352" t="s">
        <v>1487</v>
      </c>
      <c r="C885" s="352" t="s">
        <v>704</v>
      </c>
      <c r="D885" s="355" t="s">
        <v>705</v>
      </c>
      <c r="E885" s="368">
        <v>45261</v>
      </c>
      <c r="F885" s="362">
        <v>45261</v>
      </c>
      <c r="G885" s="362">
        <v>45261</v>
      </c>
      <c r="H885" s="362">
        <v>45261</v>
      </c>
      <c r="I885" s="394">
        <v>45261</v>
      </c>
      <c r="J885" s="389" t="s">
        <v>233</v>
      </c>
      <c r="K885" s="389" t="s">
        <v>233</v>
      </c>
      <c r="L885" s="402">
        <v>1</v>
      </c>
      <c r="M885" s="352" t="s">
        <v>714</v>
      </c>
      <c r="N885" s="403">
        <v>97000</v>
      </c>
      <c r="O885" s="404">
        <v>97000</v>
      </c>
      <c r="P885" s="421">
        <v>5</v>
      </c>
      <c r="Q885" s="275"/>
      <c r="R885" s="437">
        <v>360000</v>
      </c>
      <c r="S885" s="438">
        <f t="shared" si="82"/>
        <v>99000</v>
      </c>
      <c r="T885" s="439" t="s">
        <v>227</v>
      </c>
      <c r="U885" s="460" t="str">
        <f t="shared" si="83"/>
        <v/>
      </c>
      <c r="V885" s="439" t="s">
        <v>1248</v>
      </c>
      <c r="W885" s="439" t="s">
        <v>540</v>
      </c>
      <c r="X885" s="275"/>
      <c r="Y885" s="428" t="str">
        <f t="shared" si="86"/>
        <v>Ballpoint Drawing Pen 0,1 Snowman</v>
      </c>
      <c r="Z885" s="449" t="s">
        <v>1555</v>
      </c>
      <c r="AA885" s="432" t="s">
        <v>574</v>
      </c>
      <c r="AB885" s="441">
        <f t="shared" si="84"/>
        <v>87387.387387387382</v>
      </c>
      <c r="AC885" s="442">
        <f t="shared" si="85"/>
        <v>87387.387387387382</v>
      </c>
      <c r="AD885" s="437">
        <v>360000</v>
      </c>
      <c r="AE885" s="447"/>
      <c r="AF885" s="447"/>
      <c r="AG885" s="437">
        <v>360000</v>
      </c>
      <c r="AH885" s="271" t="s">
        <v>2101</v>
      </c>
    </row>
    <row r="886" spans="1:34">
      <c r="A886" s="350">
        <v>423</v>
      </c>
      <c r="B886" s="352" t="s">
        <v>1487</v>
      </c>
      <c r="C886" s="352" t="s">
        <v>704</v>
      </c>
      <c r="D886" s="355" t="s">
        <v>705</v>
      </c>
      <c r="E886" s="368">
        <v>45261</v>
      </c>
      <c r="F886" s="362">
        <v>45261</v>
      </c>
      <c r="G886" s="362">
        <v>45261</v>
      </c>
      <c r="H886" s="362">
        <v>45261</v>
      </c>
      <c r="I886" s="394">
        <v>45261</v>
      </c>
      <c r="J886" s="387" t="s">
        <v>237</v>
      </c>
      <c r="K886" s="387" t="s">
        <v>237</v>
      </c>
      <c r="L886" s="402">
        <v>2</v>
      </c>
      <c r="M886" s="352" t="s">
        <v>597</v>
      </c>
      <c r="N886" s="403">
        <v>7500</v>
      </c>
      <c r="O886" s="404">
        <v>15000</v>
      </c>
      <c r="P886" s="421">
        <v>5</v>
      </c>
      <c r="Q886" s="275"/>
      <c r="R886" s="437">
        <v>100000</v>
      </c>
      <c r="S886" s="274">
        <f t="shared" si="82"/>
        <v>19000</v>
      </c>
      <c r="T886" s="439" t="s">
        <v>227</v>
      </c>
      <c r="U886" s="460" t="str">
        <f t="shared" si="83"/>
        <v/>
      </c>
      <c r="V886" s="439" t="s">
        <v>1248</v>
      </c>
      <c r="W886" s="439" t="s">
        <v>540</v>
      </c>
      <c r="X886" s="275"/>
      <c r="Y886" s="428" t="str">
        <f t="shared" si="86"/>
        <v>Binder Klip  nomor 107</v>
      </c>
      <c r="Z886" s="449"/>
      <c r="AA886" s="432" t="s">
        <v>587</v>
      </c>
      <c r="AB886" s="457">
        <f t="shared" si="84"/>
        <v>6756.7567567567567</v>
      </c>
      <c r="AC886" s="458">
        <f t="shared" si="85"/>
        <v>13513.513513513513</v>
      </c>
      <c r="AD886" s="455">
        <v>100000</v>
      </c>
      <c r="AE886" s="240"/>
      <c r="AF886" s="240"/>
      <c r="AG886" s="437">
        <v>100000</v>
      </c>
      <c r="AH886" s="271" t="s">
        <v>2101</v>
      </c>
    </row>
    <row r="887" spans="1:34">
      <c r="A887" s="350">
        <v>423</v>
      </c>
      <c r="B887" s="352" t="s">
        <v>1487</v>
      </c>
      <c r="C887" s="352" t="s">
        <v>704</v>
      </c>
      <c r="D887" s="355" t="s">
        <v>705</v>
      </c>
      <c r="E887" s="368">
        <v>45261</v>
      </c>
      <c r="F887" s="362">
        <v>45261</v>
      </c>
      <c r="G887" s="362">
        <v>45261</v>
      </c>
      <c r="H887" s="362">
        <v>45261</v>
      </c>
      <c r="I887" s="394">
        <v>45261</v>
      </c>
      <c r="J887" s="389" t="s">
        <v>234</v>
      </c>
      <c r="K887" s="389" t="s">
        <v>234</v>
      </c>
      <c r="L887" s="402">
        <v>1</v>
      </c>
      <c r="M887" s="352" t="s">
        <v>714</v>
      </c>
      <c r="N887" s="403">
        <v>225000</v>
      </c>
      <c r="O887" s="404">
        <v>225000</v>
      </c>
      <c r="P887" s="421">
        <v>5</v>
      </c>
      <c r="Q887" s="275"/>
      <c r="R887" s="437">
        <v>200000</v>
      </c>
      <c r="S887" s="274">
        <f t="shared" si="82"/>
        <v>227000</v>
      </c>
      <c r="T887" s="439" t="s">
        <v>227</v>
      </c>
      <c r="U887" s="460" t="str">
        <f t="shared" si="83"/>
        <v/>
      </c>
      <c r="V887" s="439" t="s">
        <v>1248</v>
      </c>
      <c r="W887" s="439" t="s">
        <v>540</v>
      </c>
      <c r="X887" s="275"/>
      <c r="Y887" s="428" t="str">
        <f t="shared" si="86"/>
        <v>Ballpoint Pilot G2</v>
      </c>
      <c r="Z887" s="449"/>
      <c r="AA887" s="432" t="s">
        <v>792</v>
      </c>
      <c r="AB887" s="457">
        <f t="shared" si="84"/>
        <v>202702.70270270269</v>
      </c>
      <c r="AC887" s="458">
        <f t="shared" si="85"/>
        <v>202702.70270270269</v>
      </c>
      <c r="AD887" s="455">
        <v>200000</v>
      </c>
      <c r="AE887" s="240"/>
      <c r="AF887" s="240"/>
      <c r="AG887" s="437">
        <v>200000</v>
      </c>
      <c r="AH887" s="271" t="s">
        <v>2101</v>
      </c>
    </row>
    <row r="888" spans="1:34">
      <c r="A888" s="350">
        <v>423</v>
      </c>
      <c r="B888" s="352" t="s">
        <v>1487</v>
      </c>
      <c r="C888" s="352" t="s">
        <v>704</v>
      </c>
      <c r="D888" s="355" t="s">
        <v>705</v>
      </c>
      <c r="E888" s="368">
        <v>45261</v>
      </c>
      <c r="F888" s="362">
        <v>45261</v>
      </c>
      <c r="G888" s="362">
        <v>45261</v>
      </c>
      <c r="H888" s="362">
        <v>45261</v>
      </c>
      <c r="I888" s="394">
        <v>45261</v>
      </c>
      <c r="J888" s="387" t="s">
        <v>262</v>
      </c>
      <c r="K888" s="388" t="s">
        <v>744</v>
      </c>
      <c r="L888" s="402">
        <v>1</v>
      </c>
      <c r="M888" s="352" t="s">
        <v>714</v>
      </c>
      <c r="N888" s="403">
        <v>150000</v>
      </c>
      <c r="O888" s="404">
        <v>150000</v>
      </c>
      <c r="P888" s="421"/>
      <c r="Q888" s="275"/>
      <c r="R888" s="437"/>
      <c r="S888" s="274">
        <f t="shared" si="82"/>
        <v>152000</v>
      </c>
      <c r="T888" s="439" t="s">
        <v>227</v>
      </c>
      <c r="U888" s="460" t="str">
        <f t="shared" si="83"/>
        <v/>
      </c>
      <c r="V888" s="439" t="s">
        <v>1248</v>
      </c>
      <c r="W888" s="439" t="s">
        <v>540</v>
      </c>
      <c r="X888" s="275"/>
      <c r="Y888" s="275"/>
      <c r="Z888" s="449"/>
      <c r="AA888" s="432" t="s">
        <v>1133</v>
      </c>
      <c r="AB888" s="457">
        <f t="shared" si="84"/>
        <v>135135.13513513515</v>
      </c>
      <c r="AC888" s="458">
        <f t="shared" si="85"/>
        <v>135135.13513513515</v>
      </c>
      <c r="AD888" s="273"/>
      <c r="AE888" s="240"/>
      <c r="AF888" s="240"/>
      <c r="AG888" s="437"/>
      <c r="AH888" s="271" t="s">
        <v>2101</v>
      </c>
    </row>
    <row r="889" spans="1:34">
      <c r="A889" s="350">
        <v>423</v>
      </c>
      <c r="B889" s="352" t="s">
        <v>1487</v>
      </c>
      <c r="C889" s="352" t="s">
        <v>704</v>
      </c>
      <c r="D889" s="355" t="s">
        <v>705</v>
      </c>
      <c r="E889" s="368">
        <v>45261</v>
      </c>
      <c r="F889" s="362">
        <v>45261</v>
      </c>
      <c r="G889" s="362">
        <v>45261</v>
      </c>
      <c r="H889" s="362">
        <v>45261</v>
      </c>
      <c r="I889" s="394">
        <v>45261</v>
      </c>
      <c r="J889" s="387" t="s">
        <v>259</v>
      </c>
      <c r="K889" s="388" t="s">
        <v>752</v>
      </c>
      <c r="L889" s="402">
        <v>1</v>
      </c>
      <c r="M889" s="352" t="s">
        <v>753</v>
      </c>
      <c r="N889" s="403">
        <v>35000</v>
      </c>
      <c r="O889" s="404">
        <v>35000</v>
      </c>
      <c r="P889" s="421">
        <v>6</v>
      </c>
      <c r="Q889" s="275"/>
      <c r="R889" s="437">
        <v>11542765</v>
      </c>
      <c r="S889" s="274">
        <f t="shared" si="82"/>
        <v>37000</v>
      </c>
      <c r="T889" s="439" t="s">
        <v>227</v>
      </c>
      <c r="U889" s="460" t="str">
        <f t="shared" si="83"/>
        <v/>
      </c>
      <c r="V889" s="439" t="s">
        <v>1248</v>
      </c>
      <c r="W889" s="439" t="s">
        <v>540</v>
      </c>
      <c r="X889" s="275"/>
      <c r="Y889" s="428" t="str">
        <f t="shared" ref="Y889:Y900" si="87">J889</f>
        <v>Plastik Mika</v>
      </c>
      <c r="Z889" s="449"/>
      <c r="AA889" s="432" t="s">
        <v>868</v>
      </c>
      <c r="AB889" s="457">
        <f t="shared" si="84"/>
        <v>31531.531531531531</v>
      </c>
      <c r="AC889" s="458">
        <f t="shared" si="85"/>
        <v>31531.531531531531</v>
      </c>
      <c r="AD889" s="455">
        <v>11542765</v>
      </c>
      <c r="AE889" s="240"/>
      <c r="AF889" s="240"/>
      <c r="AG889" s="437">
        <v>11542765</v>
      </c>
      <c r="AH889" s="271" t="s">
        <v>2101</v>
      </c>
    </row>
    <row r="890" spans="1:34">
      <c r="A890" s="350">
        <v>423</v>
      </c>
      <c r="B890" s="352" t="s">
        <v>1487</v>
      </c>
      <c r="C890" s="352" t="s">
        <v>704</v>
      </c>
      <c r="D890" s="355" t="s">
        <v>705</v>
      </c>
      <c r="E890" s="368">
        <v>45261</v>
      </c>
      <c r="F890" s="362">
        <v>45261</v>
      </c>
      <c r="G890" s="362">
        <v>45261</v>
      </c>
      <c r="H890" s="362">
        <v>45261</v>
      </c>
      <c r="I890" s="394">
        <v>45261</v>
      </c>
      <c r="J890" s="387" t="s">
        <v>779</v>
      </c>
      <c r="K890" s="388" t="s">
        <v>906</v>
      </c>
      <c r="L890" s="402">
        <v>3</v>
      </c>
      <c r="M890" s="352" t="s">
        <v>753</v>
      </c>
      <c r="N890" s="403">
        <v>75000</v>
      </c>
      <c r="O890" s="404">
        <v>225000</v>
      </c>
      <c r="P890" s="421">
        <v>6</v>
      </c>
      <c r="Q890" s="275"/>
      <c r="R890" s="437">
        <v>800000</v>
      </c>
      <c r="S890" s="274">
        <f t="shared" si="82"/>
        <v>231000</v>
      </c>
      <c r="T890" s="439" t="s">
        <v>227</v>
      </c>
      <c r="U890" s="460" t="str">
        <f t="shared" si="83"/>
        <v/>
      </c>
      <c r="V890" s="439" t="s">
        <v>1248</v>
      </c>
      <c r="W890" s="439" t="s">
        <v>540</v>
      </c>
      <c r="X890" s="275"/>
      <c r="Y890" s="428" t="str">
        <f t="shared" si="87"/>
        <v>Kertas Buffalo</v>
      </c>
      <c r="Z890" s="449"/>
      <c r="AA890" s="432" t="s">
        <v>868</v>
      </c>
      <c r="AB890" s="457">
        <f t="shared" si="84"/>
        <v>67567.567567567574</v>
      </c>
      <c r="AC890" s="458">
        <f t="shared" si="85"/>
        <v>202702.70270270272</v>
      </c>
      <c r="AD890" s="455">
        <v>800000</v>
      </c>
      <c r="AE890" s="240"/>
      <c r="AF890" s="240"/>
      <c r="AG890" s="437">
        <v>800000</v>
      </c>
      <c r="AH890" s="271" t="s">
        <v>2101</v>
      </c>
    </row>
    <row r="891" spans="1:34">
      <c r="A891" s="350">
        <v>423</v>
      </c>
      <c r="B891" s="352" t="s">
        <v>1487</v>
      </c>
      <c r="C891" s="352" t="s">
        <v>704</v>
      </c>
      <c r="D891" s="355" t="s">
        <v>705</v>
      </c>
      <c r="E891" s="368">
        <v>45261</v>
      </c>
      <c r="F891" s="362">
        <v>45261</v>
      </c>
      <c r="G891" s="362">
        <v>45261</v>
      </c>
      <c r="H891" s="362">
        <v>45261</v>
      </c>
      <c r="I891" s="394">
        <v>45261</v>
      </c>
      <c r="J891" s="387" t="s">
        <v>263</v>
      </c>
      <c r="K891" s="388" t="s">
        <v>885</v>
      </c>
      <c r="L891" s="402">
        <v>5</v>
      </c>
      <c r="M891" s="352" t="s">
        <v>753</v>
      </c>
      <c r="N891" s="403">
        <v>12000</v>
      </c>
      <c r="O891" s="404">
        <v>60000</v>
      </c>
      <c r="P891" s="421">
        <v>6</v>
      </c>
      <c r="Q891" s="275"/>
      <c r="R891" s="437">
        <v>800000</v>
      </c>
      <c r="S891" s="274">
        <f t="shared" si="82"/>
        <v>70000</v>
      </c>
      <c r="T891" s="439" t="s">
        <v>227</v>
      </c>
      <c r="U891" s="460" t="str">
        <f t="shared" si="83"/>
        <v/>
      </c>
      <c r="V891" s="439" t="s">
        <v>1248</v>
      </c>
      <c r="W891" s="439" t="s">
        <v>540</v>
      </c>
      <c r="X891" s="275"/>
      <c r="Y891" s="428" t="str">
        <f t="shared" si="87"/>
        <v>Stofmap Kertas</v>
      </c>
      <c r="Z891" s="449"/>
      <c r="AA891" s="432" t="s">
        <v>868</v>
      </c>
      <c r="AB891" s="457">
        <f t="shared" si="84"/>
        <v>10810.810810810812</v>
      </c>
      <c r="AC891" s="458">
        <f t="shared" si="85"/>
        <v>54054.054054054061</v>
      </c>
      <c r="AD891" s="455">
        <v>800000</v>
      </c>
      <c r="AE891" s="240"/>
      <c r="AF891" s="240"/>
      <c r="AG891" s="437">
        <v>800000</v>
      </c>
      <c r="AH891" s="271" t="s">
        <v>2101</v>
      </c>
    </row>
    <row r="892" spans="1:34">
      <c r="A892" s="350">
        <v>423</v>
      </c>
      <c r="B892" s="352" t="s">
        <v>1487</v>
      </c>
      <c r="C892" s="352" t="s">
        <v>704</v>
      </c>
      <c r="D892" s="355" t="s">
        <v>705</v>
      </c>
      <c r="E892" s="368">
        <v>45261</v>
      </c>
      <c r="F892" s="362">
        <v>45261</v>
      </c>
      <c r="G892" s="362">
        <v>45261</v>
      </c>
      <c r="H892" s="362">
        <v>45261</v>
      </c>
      <c r="I892" s="394">
        <v>45261</v>
      </c>
      <c r="J892" s="387" t="s">
        <v>252</v>
      </c>
      <c r="K892" s="387" t="s">
        <v>786</v>
      </c>
      <c r="L892" s="402">
        <v>2</v>
      </c>
      <c r="M892" s="352" t="s">
        <v>753</v>
      </c>
      <c r="N892" s="403">
        <v>25000</v>
      </c>
      <c r="O892" s="404">
        <v>50000</v>
      </c>
      <c r="P892" s="421">
        <v>6</v>
      </c>
      <c r="Q892" s="275"/>
      <c r="R892" s="437">
        <v>700000</v>
      </c>
      <c r="S892" s="274">
        <f t="shared" si="82"/>
        <v>54000</v>
      </c>
      <c r="T892" s="439" t="s">
        <v>227</v>
      </c>
      <c r="U892" s="460" t="str">
        <f t="shared" si="83"/>
        <v/>
      </c>
      <c r="V892" s="439" t="s">
        <v>1248</v>
      </c>
      <c r="W892" s="439" t="s">
        <v>540</v>
      </c>
      <c r="X892" s="275"/>
      <c r="Y892" s="428" t="str">
        <f t="shared" si="87"/>
        <v>Lakban Bening</v>
      </c>
      <c r="Z892" s="449"/>
      <c r="AA892" s="432" t="s">
        <v>792</v>
      </c>
      <c r="AB892" s="457">
        <f t="shared" si="84"/>
        <v>22522.522522522522</v>
      </c>
      <c r="AC892" s="458">
        <f t="shared" si="85"/>
        <v>45045.045045045044</v>
      </c>
      <c r="AD892" s="455">
        <v>700000</v>
      </c>
      <c r="AE892" s="240"/>
      <c r="AF892" s="240"/>
      <c r="AG892" s="437">
        <v>700000</v>
      </c>
      <c r="AH892" s="271" t="s">
        <v>2101</v>
      </c>
    </row>
    <row r="893" spans="1:34">
      <c r="A893" s="350">
        <v>423</v>
      </c>
      <c r="B893" s="352" t="s">
        <v>1487</v>
      </c>
      <c r="C893" s="352" t="s">
        <v>704</v>
      </c>
      <c r="D893" s="355" t="s">
        <v>705</v>
      </c>
      <c r="E893" s="368">
        <v>45261</v>
      </c>
      <c r="F893" s="362">
        <v>45261</v>
      </c>
      <c r="G893" s="362">
        <v>45261</v>
      </c>
      <c r="H893" s="362">
        <v>45261</v>
      </c>
      <c r="I893" s="394">
        <v>45261</v>
      </c>
      <c r="J893" s="387" t="s">
        <v>897</v>
      </c>
      <c r="K893" s="388" t="s">
        <v>723</v>
      </c>
      <c r="L893" s="402">
        <v>1</v>
      </c>
      <c r="M893" s="352" t="s">
        <v>724</v>
      </c>
      <c r="N893" s="403">
        <v>45000</v>
      </c>
      <c r="O893" s="404">
        <v>45000</v>
      </c>
      <c r="P893" s="421">
        <v>6</v>
      </c>
      <c r="Q893" s="275"/>
      <c r="R893" s="437">
        <v>5000000</v>
      </c>
      <c r="S893" s="456">
        <f>L893*(N893+1000000)</f>
        <v>1045000</v>
      </c>
      <c r="T893" s="439" t="s">
        <v>227</v>
      </c>
      <c r="U893" s="460" t="str">
        <f t="shared" si="83"/>
        <v/>
      </c>
      <c r="V893" s="439" t="s">
        <v>1248</v>
      </c>
      <c r="W893" s="439" t="s">
        <v>540</v>
      </c>
      <c r="X893" s="275"/>
      <c r="Y893" s="428" t="str">
        <f t="shared" si="87"/>
        <v>Isi Staples</v>
      </c>
      <c r="Z893" s="449" t="s">
        <v>303</v>
      </c>
      <c r="AA893" s="432" t="s">
        <v>587</v>
      </c>
      <c r="AB893" s="457">
        <f t="shared" si="84"/>
        <v>40540.54054054054</v>
      </c>
      <c r="AC893" s="458">
        <f t="shared" si="85"/>
        <v>40540.54054054054</v>
      </c>
      <c r="AD893" s="455">
        <v>5000000</v>
      </c>
      <c r="AE893" s="240"/>
      <c r="AF893" s="240"/>
      <c r="AG893" s="437">
        <v>5000000</v>
      </c>
      <c r="AH893" s="452" t="s">
        <v>2101</v>
      </c>
    </row>
    <row r="894" spans="1:34">
      <c r="A894" s="350">
        <v>423</v>
      </c>
      <c r="B894" s="420" t="s">
        <v>1487</v>
      </c>
      <c r="C894" s="352" t="s">
        <v>704</v>
      </c>
      <c r="D894" s="355" t="s">
        <v>705</v>
      </c>
      <c r="E894" s="368">
        <v>45261</v>
      </c>
      <c r="F894" s="362">
        <v>45261</v>
      </c>
      <c r="G894" s="362">
        <v>45261</v>
      </c>
      <c r="H894" s="362">
        <v>45261</v>
      </c>
      <c r="I894" s="394">
        <v>45261</v>
      </c>
      <c r="J894" s="387" t="s">
        <v>260</v>
      </c>
      <c r="K894" s="388" t="s">
        <v>891</v>
      </c>
      <c r="L894" s="402">
        <v>10</v>
      </c>
      <c r="M894" s="352" t="s">
        <v>753</v>
      </c>
      <c r="N894" s="403">
        <v>65000</v>
      </c>
      <c r="O894" s="404">
        <v>650000</v>
      </c>
      <c r="P894" s="459">
        <v>6</v>
      </c>
      <c r="Q894" s="275"/>
      <c r="R894" s="437">
        <v>2000000</v>
      </c>
      <c r="S894" s="456">
        <f t="shared" ref="S894:S905" si="88">L894*(N894+2000)</f>
        <v>670000</v>
      </c>
      <c r="T894" s="439" t="s">
        <v>227</v>
      </c>
      <c r="U894" s="460" t="str">
        <f t="shared" si="83"/>
        <v/>
      </c>
      <c r="V894" s="439" t="s">
        <v>1248</v>
      </c>
      <c r="W894" s="439" t="s">
        <v>540</v>
      </c>
      <c r="X894" s="275"/>
      <c r="Y894" s="428" t="str">
        <f t="shared" si="87"/>
        <v>Sampul Plastik</v>
      </c>
      <c r="Z894" s="449"/>
      <c r="AA894" s="432" t="s">
        <v>587</v>
      </c>
      <c r="AB894" s="457">
        <f t="shared" si="84"/>
        <v>58558.558558558558</v>
      </c>
      <c r="AC894" s="458">
        <f t="shared" si="85"/>
        <v>585585.58558558556</v>
      </c>
      <c r="AD894" s="455">
        <v>2000000</v>
      </c>
      <c r="AE894" s="240"/>
      <c r="AF894" s="240"/>
      <c r="AG894" s="437">
        <v>2000000</v>
      </c>
      <c r="AH894" s="452" t="s">
        <v>2101</v>
      </c>
    </row>
    <row r="895" spans="1:34">
      <c r="A895" s="350">
        <v>423</v>
      </c>
      <c r="B895" s="420" t="s">
        <v>1487</v>
      </c>
      <c r="C895" s="352" t="s">
        <v>704</v>
      </c>
      <c r="D895" s="355" t="s">
        <v>705</v>
      </c>
      <c r="E895" s="368">
        <v>45261</v>
      </c>
      <c r="F895" s="362">
        <v>45261</v>
      </c>
      <c r="G895" s="362">
        <v>45261</v>
      </c>
      <c r="H895" s="362">
        <v>45261</v>
      </c>
      <c r="I895" s="394">
        <v>45261</v>
      </c>
      <c r="J895" s="387" t="s">
        <v>239</v>
      </c>
      <c r="K895" s="387" t="s">
        <v>239</v>
      </c>
      <c r="L895" s="402">
        <v>1</v>
      </c>
      <c r="M895" s="352" t="s">
        <v>597</v>
      </c>
      <c r="N895" s="403">
        <v>16500</v>
      </c>
      <c r="O895" s="404">
        <v>16500</v>
      </c>
      <c r="P895" s="459">
        <v>6</v>
      </c>
      <c r="Q895" s="275"/>
      <c r="R895" s="437">
        <v>1200000</v>
      </c>
      <c r="S895" s="456">
        <f t="shared" si="88"/>
        <v>18500</v>
      </c>
      <c r="T895" s="439" t="s">
        <v>227</v>
      </c>
      <c r="U895" s="460" t="str">
        <f t="shared" si="83"/>
        <v/>
      </c>
      <c r="V895" s="439" t="s">
        <v>1248</v>
      </c>
      <c r="W895" s="439" t="s">
        <v>540</v>
      </c>
      <c r="X895" s="275"/>
      <c r="Y895" s="428" t="str">
        <f t="shared" si="87"/>
        <v>Binder Klip  nomor 200</v>
      </c>
      <c r="Z895" s="449"/>
      <c r="AA895" s="432" t="s">
        <v>574</v>
      </c>
      <c r="AB895" s="457">
        <f t="shared" si="84"/>
        <v>14864.864864864865</v>
      </c>
      <c r="AC895" s="458">
        <f t="shared" si="85"/>
        <v>14864.864864864865</v>
      </c>
      <c r="AD895" s="455">
        <v>1200000</v>
      </c>
      <c r="AE895" s="240"/>
      <c r="AF895" s="240"/>
      <c r="AG895" s="437">
        <v>1200000</v>
      </c>
      <c r="AH895" s="452" t="s">
        <v>2101</v>
      </c>
    </row>
    <row r="896" spans="1:34" ht="25">
      <c r="A896" s="350">
        <v>423</v>
      </c>
      <c r="B896" s="420" t="s">
        <v>1487</v>
      </c>
      <c r="C896" s="352" t="s">
        <v>704</v>
      </c>
      <c r="D896" s="355" t="s">
        <v>705</v>
      </c>
      <c r="E896" s="368">
        <v>45261</v>
      </c>
      <c r="F896" s="362">
        <v>45261</v>
      </c>
      <c r="G896" s="362">
        <v>45261</v>
      </c>
      <c r="H896" s="362">
        <v>45261</v>
      </c>
      <c r="I896" s="394">
        <v>45261</v>
      </c>
      <c r="J896" s="387" t="s">
        <v>251</v>
      </c>
      <c r="K896" s="388" t="s">
        <v>907</v>
      </c>
      <c r="L896" s="402">
        <v>2</v>
      </c>
      <c r="M896" s="352" t="s">
        <v>735</v>
      </c>
      <c r="N896" s="403">
        <v>70000</v>
      </c>
      <c r="O896" s="404">
        <v>140000</v>
      </c>
      <c r="P896" s="459">
        <v>6</v>
      </c>
      <c r="Q896" s="275"/>
      <c r="R896" s="437">
        <v>3000000</v>
      </c>
      <c r="S896" s="456">
        <f t="shared" si="88"/>
        <v>144000</v>
      </c>
      <c r="T896" s="439" t="s">
        <v>227</v>
      </c>
      <c r="U896" s="460" t="str">
        <f t="shared" si="83"/>
        <v/>
      </c>
      <c r="V896" s="439" t="s">
        <v>1248</v>
      </c>
      <c r="W896" s="439" t="s">
        <v>540</v>
      </c>
      <c r="X896" s="275"/>
      <c r="Y896" s="428" t="str">
        <f t="shared" si="87"/>
        <v>Kertas Warna Blank Folio, Ukuran : 8,5 x 14",  70 gram</v>
      </c>
      <c r="Z896" s="449"/>
      <c r="AA896" s="432" t="s">
        <v>597</v>
      </c>
      <c r="AB896" s="457">
        <f t="shared" si="84"/>
        <v>63063.063063063062</v>
      </c>
      <c r="AC896" s="458">
        <f t="shared" si="85"/>
        <v>126126.12612612612</v>
      </c>
      <c r="AD896" s="455">
        <v>3000000</v>
      </c>
      <c r="AE896" s="240"/>
      <c r="AF896" s="240"/>
      <c r="AG896" s="437">
        <v>3000000</v>
      </c>
      <c r="AH896" s="452" t="s">
        <v>2101</v>
      </c>
    </row>
    <row r="897" spans="1:34">
      <c r="A897" s="350">
        <v>423</v>
      </c>
      <c r="B897" s="420" t="s">
        <v>1487</v>
      </c>
      <c r="C897" s="352" t="s">
        <v>704</v>
      </c>
      <c r="D897" s="355" t="s">
        <v>705</v>
      </c>
      <c r="E897" s="368">
        <v>45261</v>
      </c>
      <c r="F897" s="362">
        <v>45261</v>
      </c>
      <c r="G897" s="362">
        <v>45261</v>
      </c>
      <c r="H897" s="362">
        <v>45261</v>
      </c>
      <c r="I897" s="394">
        <v>45261</v>
      </c>
      <c r="J897" s="387" t="s">
        <v>249</v>
      </c>
      <c r="K897" s="387" t="s">
        <v>888</v>
      </c>
      <c r="L897" s="402">
        <v>1</v>
      </c>
      <c r="M897" s="352" t="s">
        <v>749</v>
      </c>
      <c r="N897" s="403">
        <v>21000</v>
      </c>
      <c r="O897" s="404">
        <v>21000</v>
      </c>
      <c r="P897" s="459">
        <v>6</v>
      </c>
      <c r="Q897" s="275"/>
      <c r="R897" s="437">
        <v>100000</v>
      </c>
      <c r="S897" s="456">
        <f t="shared" si="88"/>
        <v>23000</v>
      </c>
      <c r="T897" s="439" t="s">
        <v>227</v>
      </c>
      <c r="U897" s="460" t="str">
        <f t="shared" si="83"/>
        <v/>
      </c>
      <c r="V897" s="439" t="s">
        <v>1248</v>
      </c>
      <c r="W897" s="439" t="s">
        <v>540</v>
      </c>
      <c r="X897" s="275"/>
      <c r="Y897" s="428" t="str">
        <f t="shared" si="87"/>
        <v>Kertas Post-It Warna Warni  Sign Here</v>
      </c>
      <c r="Z897" s="449"/>
      <c r="AA897" s="432" t="s">
        <v>587</v>
      </c>
      <c r="AB897" s="457">
        <f t="shared" si="84"/>
        <v>18918.91891891892</v>
      </c>
      <c r="AC897" s="458">
        <f t="shared" si="85"/>
        <v>18918.91891891892</v>
      </c>
      <c r="AD897" s="455">
        <v>100000</v>
      </c>
      <c r="AE897" s="240"/>
      <c r="AF897" s="240"/>
      <c r="AG897" s="437">
        <v>100000</v>
      </c>
      <c r="AH897" s="452" t="s">
        <v>2101</v>
      </c>
    </row>
    <row r="898" spans="1:34">
      <c r="A898" s="350">
        <v>423</v>
      </c>
      <c r="B898" s="420" t="s">
        <v>1487</v>
      </c>
      <c r="C898" s="352" t="s">
        <v>704</v>
      </c>
      <c r="D898" s="355" t="s">
        <v>705</v>
      </c>
      <c r="E898" s="368">
        <v>45261</v>
      </c>
      <c r="F898" s="362">
        <v>45261</v>
      </c>
      <c r="G898" s="362">
        <v>45261</v>
      </c>
      <c r="H898" s="362">
        <v>45261</v>
      </c>
      <c r="I898" s="394">
        <v>45261</v>
      </c>
      <c r="J898" s="387" t="s">
        <v>253</v>
      </c>
      <c r="K898" s="387" t="s">
        <v>719</v>
      </c>
      <c r="L898" s="402">
        <v>2</v>
      </c>
      <c r="M898" s="352" t="s">
        <v>720</v>
      </c>
      <c r="N898" s="403">
        <v>20000</v>
      </c>
      <c r="O898" s="404">
        <v>40000</v>
      </c>
      <c r="P898" s="459">
        <v>6</v>
      </c>
      <c r="Q898" s="275"/>
      <c r="R898" s="437">
        <v>200000</v>
      </c>
      <c r="S898" s="456">
        <f t="shared" si="88"/>
        <v>44000</v>
      </c>
      <c r="T898" s="439" t="s">
        <v>227</v>
      </c>
      <c r="U898" s="460" t="str">
        <f t="shared" si="83"/>
        <v/>
      </c>
      <c r="V898" s="439" t="s">
        <v>1248</v>
      </c>
      <c r="W898" s="439" t="s">
        <v>540</v>
      </c>
      <c r="X898" s="275"/>
      <c r="Y898" s="428" t="str">
        <f t="shared" si="87"/>
        <v>Lakban warna Uk 2" Warna Coklat Cofiie</v>
      </c>
      <c r="Z898" s="449"/>
      <c r="AA898" s="432" t="s">
        <v>614</v>
      </c>
      <c r="AB898" s="457">
        <f t="shared" si="84"/>
        <v>18018.018018018018</v>
      </c>
      <c r="AC898" s="458">
        <f t="shared" si="85"/>
        <v>36036.036036036036</v>
      </c>
      <c r="AD898" s="455">
        <v>200000</v>
      </c>
      <c r="AE898" s="240"/>
      <c r="AF898" s="240"/>
      <c r="AG898" s="437">
        <v>200000</v>
      </c>
      <c r="AH898" s="452" t="s">
        <v>2101</v>
      </c>
    </row>
    <row r="899" spans="1:34">
      <c r="A899" s="350">
        <v>424</v>
      </c>
      <c r="B899" s="420" t="s">
        <v>1488</v>
      </c>
      <c r="C899" s="352" t="s">
        <v>1489</v>
      </c>
      <c r="D899" s="355" t="s">
        <v>571</v>
      </c>
      <c r="E899" s="368">
        <v>45261</v>
      </c>
      <c r="F899" s="362">
        <v>45261</v>
      </c>
      <c r="G899" s="362">
        <v>45261</v>
      </c>
      <c r="H899" s="362">
        <v>45261</v>
      </c>
      <c r="I899" s="394">
        <v>45261</v>
      </c>
      <c r="J899" s="387" t="s">
        <v>9</v>
      </c>
      <c r="K899" s="387" t="s">
        <v>1490</v>
      </c>
      <c r="L899" s="402">
        <v>33905</v>
      </c>
      <c r="M899" s="352" t="s">
        <v>574</v>
      </c>
      <c r="N899" s="405">
        <v>300</v>
      </c>
      <c r="O899" s="404">
        <v>10171500</v>
      </c>
      <c r="P899" s="459">
        <v>6</v>
      </c>
      <c r="Q899" s="275"/>
      <c r="R899" s="437">
        <v>1000000</v>
      </c>
      <c r="S899" s="456">
        <f t="shared" si="88"/>
        <v>77981500</v>
      </c>
      <c r="T899" s="439" t="s">
        <v>227</v>
      </c>
      <c r="U899" s="460" t="str">
        <f t="shared" ref="U899:U905" si="89">IF(K899="Nasi Kotak","Resto JFC Esther",IF(K899="Aqua Botol 600 ml","UD. USAHA JAYA",""))</f>
        <v/>
      </c>
      <c r="V899" s="439" t="s">
        <v>1248</v>
      </c>
      <c r="W899" s="439" t="s">
        <v>540</v>
      </c>
      <c r="X899" s="275"/>
      <c r="Y899" s="428" t="str">
        <f t="shared" si="87"/>
        <v>Foto Copy Filio dan Kuarto</v>
      </c>
      <c r="Z899" s="449" t="s">
        <v>1553</v>
      </c>
      <c r="AA899" s="432" t="s">
        <v>587</v>
      </c>
      <c r="AB899" s="457">
        <f t="shared" ref="AB899:AB951" si="90">100/111*N899</f>
        <v>270.27027027027026</v>
      </c>
      <c r="AC899" s="458">
        <f t="shared" ref="AC899:AC951" si="91">AB899*L899</f>
        <v>9163513.5135135129</v>
      </c>
      <c r="AD899" s="455">
        <v>1000000</v>
      </c>
      <c r="AE899" s="240"/>
      <c r="AF899" s="240"/>
      <c r="AG899" s="437">
        <v>1000000</v>
      </c>
      <c r="AH899" s="452" t="s">
        <v>2101</v>
      </c>
    </row>
    <row r="900" spans="1:34">
      <c r="A900" s="350">
        <v>425</v>
      </c>
      <c r="B900" s="420" t="s">
        <v>1491</v>
      </c>
      <c r="C900" s="352" t="s">
        <v>532</v>
      </c>
      <c r="D900" s="355" t="s">
        <v>533</v>
      </c>
      <c r="E900" s="368">
        <v>45261</v>
      </c>
      <c r="F900" s="362">
        <v>45261</v>
      </c>
      <c r="G900" s="362">
        <v>45261</v>
      </c>
      <c r="H900" s="362">
        <v>45261</v>
      </c>
      <c r="I900" s="394">
        <v>45261</v>
      </c>
      <c r="J900" s="387" t="s">
        <v>276</v>
      </c>
      <c r="K900" s="387" t="s">
        <v>712</v>
      </c>
      <c r="L900" s="402">
        <v>5</v>
      </c>
      <c r="M900" s="352" t="s">
        <v>551</v>
      </c>
      <c r="N900" s="403">
        <v>18000</v>
      </c>
      <c r="O900" s="404">
        <v>90000</v>
      </c>
      <c r="P900" s="459">
        <v>6</v>
      </c>
      <c r="Q900" s="275"/>
      <c r="R900" s="437">
        <v>400000</v>
      </c>
      <c r="S900" s="456">
        <f t="shared" si="88"/>
        <v>100000</v>
      </c>
      <c r="T900" s="439" t="s">
        <v>227</v>
      </c>
      <c r="U900" s="460" t="str">
        <f t="shared" si="89"/>
        <v/>
      </c>
      <c r="V900" s="439" t="s">
        <v>1248</v>
      </c>
      <c r="W900" s="439" t="s">
        <v>540</v>
      </c>
      <c r="X900" s="275"/>
      <c r="Y900" s="428" t="str">
        <f t="shared" si="87"/>
        <v>vixal 500ml</v>
      </c>
      <c r="Z900" s="449" t="s">
        <v>1554</v>
      </c>
      <c r="AA900" s="432" t="s">
        <v>232</v>
      </c>
      <c r="AB900" s="457">
        <f t="shared" si="90"/>
        <v>16216.216216216217</v>
      </c>
      <c r="AC900" s="458">
        <f t="shared" si="91"/>
        <v>81081.08108108108</v>
      </c>
      <c r="AD900" s="455">
        <v>400000</v>
      </c>
      <c r="AE900" s="240"/>
      <c r="AF900" s="240"/>
      <c r="AG900" s="437">
        <v>400000</v>
      </c>
      <c r="AH900" s="452" t="s">
        <v>2101</v>
      </c>
    </row>
    <row r="901" spans="1:34">
      <c r="A901" s="350">
        <v>425</v>
      </c>
      <c r="B901" s="420" t="s">
        <v>1491</v>
      </c>
      <c r="C901" s="352" t="s">
        <v>532</v>
      </c>
      <c r="D901" s="355" t="s">
        <v>533</v>
      </c>
      <c r="E901" s="368">
        <v>45261</v>
      </c>
      <c r="F901" s="362">
        <v>45261</v>
      </c>
      <c r="G901" s="362">
        <v>45261</v>
      </c>
      <c r="H901" s="362">
        <v>45261</v>
      </c>
      <c r="I901" s="394">
        <v>45261</v>
      </c>
      <c r="J901" s="387" t="s">
        <v>669</v>
      </c>
      <c r="K901" s="387" t="s">
        <v>738</v>
      </c>
      <c r="L901" s="402">
        <v>20</v>
      </c>
      <c r="M901" s="352" t="s">
        <v>488</v>
      </c>
      <c r="N901" s="403">
        <v>12000</v>
      </c>
      <c r="O901" s="404">
        <v>240000</v>
      </c>
      <c r="P901" s="272"/>
      <c r="Q901" s="275"/>
      <c r="R901" s="437"/>
      <c r="S901" s="456">
        <f t="shared" si="88"/>
        <v>280000</v>
      </c>
      <c r="T901" s="439" t="s">
        <v>227</v>
      </c>
      <c r="U901" s="460" t="str">
        <f t="shared" si="89"/>
        <v/>
      </c>
      <c r="V901" s="439" t="s">
        <v>1248</v>
      </c>
      <c r="W901" s="439" t="s">
        <v>540</v>
      </c>
      <c r="X901" s="275"/>
      <c r="Y901" s="275"/>
      <c r="Z901" s="449"/>
      <c r="AA901" s="432" t="s">
        <v>488</v>
      </c>
      <c r="AB901" s="457">
        <f t="shared" si="90"/>
        <v>10810.810810810812</v>
      </c>
      <c r="AC901" s="458">
        <f t="shared" si="91"/>
        <v>216216.21621621624</v>
      </c>
      <c r="AD901" s="273"/>
      <c r="AE901" s="240"/>
      <c r="AF901" s="240"/>
      <c r="AG901" s="437"/>
      <c r="AH901" s="452" t="s">
        <v>2101</v>
      </c>
    </row>
    <row r="902" spans="1:34">
      <c r="A902" s="350">
        <v>426</v>
      </c>
      <c r="B902" s="420" t="s">
        <v>1492</v>
      </c>
      <c r="C902" s="352" t="s">
        <v>1026</v>
      </c>
      <c r="D902" s="355" t="s">
        <v>1027</v>
      </c>
      <c r="E902" s="368">
        <v>45261</v>
      </c>
      <c r="F902" s="362">
        <v>45261</v>
      </c>
      <c r="G902" s="362">
        <v>45261</v>
      </c>
      <c r="H902" s="362">
        <v>45261</v>
      </c>
      <c r="I902" s="394">
        <v>45261</v>
      </c>
      <c r="J902" s="387" t="s">
        <v>1028</v>
      </c>
      <c r="K902" s="387" t="s">
        <v>1029</v>
      </c>
      <c r="L902" s="402">
        <v>50</v>
      </c>
      <c r="M902" s="352" t="s">
        <v>574</v>
      </c>
      <c r="N902" s="403">
        <v>10000</v>
      </c>
      <c r="O902" s="404">
        <v>500000</v>
      </c>
      <c r="P902" s="459">
        <v>7</v>
      </c>
      <c r="Q902" s="275"/>
      <c r="R902" s="437">
        <v>125000</v>
      </c>
      <c r="S902" s="456">
        <f t="shared" si="88"/>
        <v>600000</v>
      </c>
      <c r="T902" s="439" t="s">
        <v>227</v>
      </c>
      <c r="U902" s="460" t="str">
        <f t="shared" si="89"/>
        <v/>
      </c>
      <c r="V902" s="439" t="s">
        <v>1248</v>
      </c>
      <c r="W902" s="439" t="s">
        <v>540</v>
      </c>
      <c r="X902" s="275"/>
      <c r="Y902" s="428" t="str">
        <f t="shared" ref="Y902:Y909" si="92">J902</f>
        <v>Materai</v>
      </c>
      <c r="Z902" s="449"/>
      <c r="AA902" s="432" t="s">
        <v>488</v>
      </c>
      <c r="AB902" s="457">
        <f t="shared" si="90"/>
        <v>9009.0090090090089</v>
      </c>
      <c r="AC902" s="458">
        <f t="shared" si="91"/>
        <v>450450.45045045041</v>
      </c>
      <c r="AD902" s="455">
        <v>125000</v>
      </c>
      <c r="AE902" s="240"/>
      <c r="AF902" s="240"/>
      <c r="AG902" s="437">
        <v>125000</v>
      </c>
      <c r="AH902" s="452" t="s">
        <v>2101</v>
      </c>
    </row>
    <row r="903" spans="1:34">
      <c r="A903" s="350">
        <v>427</v>
      </c>
      <c r="B903" s="420" t="s">
        <v>1493</v>
      </c>
      <c r="C903" s="352" t="s">
        <v>795</v>
      </c>
      <c r="D903" s="355" t="s">
        <v>796</v>
      </c>
      <c r="E903" s="368">
        <v>45261</v>
      </c>
      <c r="F903" s="362">
        <v>45261</v>
      </c>
      <c r="G903" s="362">
        <v>45261</v>
      </c>
      <c r="H903" s="362">
        <v>45261</v>
      </c>
      <c r="I903" s="394">
        <v>45261</v>
      </c>
      <c r="J903" s="387" t="s">
        <v>797</v>
      </c>
      <c r="K903" s="387" t="s">
        <v>798</v>
      </c>
      <c r="L903" s="402">
        <v>10</v>
      </c>
      <c r="M903" s="352" t="s">
        <v>488</v>
      </c>
      <c r="N903" s="403">
        <v>80000</v>
      </c>
      <c r="O903" s="404">
        <v>800000</v>
      </c>
      <c r="P903" s="459">
        <v>7</v>
      </c>
      <c r="Q903" s="275"/>
      <c r="R903" s="437">
        <v>1490470</v>
      </c>
      <c r="S903" s="456">
        <f t="shared" si="88"/>
        <v>820000</v>
      </c>
      <c r="T903" s="439" t="s">
        <v>12</v>
      </c>
      <c r="U903" s="460" t="str">
        <f t="shared" si="89"/>
        <v/>
      </c>
      <c r="V903" s="439" t="s">
        <v>13</v>
      </c>
      <c r="W903" s="439" t="s">
        <v>804</v>
      </c>
      <c r="X903" s="428" t="s">
        <v>709</v>
      </c>
      <c r="Y903" s="428" t="str">
        <f t="shared" si="92"/>
        <v>Lampu Hemat Energi</v>
      </c>
      <c r="Z903" s="449"/>
      <c r="AA903" s="432" t="s">
        <v>587</v>
      </c>
      <c r="AB903" s="457">
        <f t="shared" si="90"/>
        <v>72072.072072072071</v>
      </c>
      <c r="AC903" s="458">
        <f t="shared" si="91"/>
        <v>720720.72072072071</v>
      </c>
      <c r="AD903" s="455">
        <v>1490470</v>
      </c>
      <c r="AE903" s="240"/>
      <c r="AF903" s="240"/>
      <c r="AG903" s="437">
        <v>1490470</v>
      </c>
      <c r="AH903" s="452" t="s">
        <v>2099</v>
      </c>
    </row>
    <row r="904" spans="1:34">
      <c r="A904" s="350">
        <v>430</v>
      </c>
      <c r="B904" s="420" t="s">
        <v>1494</v>
      </c>
      <c r="C904" s="352" t="s">
        <v>492</v>
      </c>
      <c r="D904" s="355" t="s">
        <v>464</v>
      </c>
      <c r="E904" s="368">
        <v>45270</v>
      </c>
      <c r="F904" s="362">
        <v>45271</v>
      </c>
      <c r="G904" s="362">
        <v>45271</v>
      </c>
      <c r="H904" s="362">
        <v>45271</v>
      </c>
      <c r="I904" s="394">
        <v>45271</v>
      </c>
      <c r="J904" s="387" t="s">
        <v>494</v>
      </c>
      <c r="K904" s="387" t="s">
        <v>467</v>
      </c>
      <c r="L904" s="402">
        <v>4</v>
      </c>
      <c r="M904" s="352" t="s">
        <v>231</v>
      </c>
      <c r="N904" s="403">
        <v>35000</v>
      </c>
      <c r="O904" s="404">
        <v>140000</v>
      </c>
      <c r="P904" s="459">
        <v>7</v>
      </c>
      <c r="Q904" s="275"/>
      <c r="R904" s="437">
        <v>1179100</v>
      </c>
      <c r="S904" s="456">
        <f t="shared" si="88"/>
        <v>148000</v>
      </c>
      <c r="T904" s="444" t="s">
        <v>282</v>
      </c>
      <c r="U904" s="460" t="str">
        <f t="shared" si="89"/>
        <v>Resto JFC Esther</v>
      </c>
      <c r="V904" s="444" t="s">
        <v>1258</v>
      </c>
      <c r="W904" s="444" t="s">
        <v>468</v>
      </c>
      <c r="X904" s="428" t="s">
        <v>709</v>
      </c>
      <c r="Y904" s="428" t="str">
        <f t="shared" si="92"/>
        <v>Konsumsi Pembina pramuka Putera/Puteri</v>
      </c>
      <c r="Z904" s="449"/>
      <c r="AA904" s="432" t="s">
        <v>488</v>
      </c>
      <c r="AB904" s="457">
        <f t="shared" si="90"/>
        <v>31531.531531531531</v>
      </c>
      <c r="AC904" s="458">
        <f t="shared" si="91"/>
        <v>126126.12612612612</v>
      </c>
      <c r="AD904" s="455">
        <v>1179100</v>
      </c>
      <c r="AE904" s="240"/>
      <c r="AF904" s="240"/>
      <c r="AG904" s="437">
        <v>1179100</v>
      </c>
      <c r="AH904" s="452" t="s">
        <v>2091</v>
      </c>
    </row>
    <row r="905" spans="1:34" ht="25">
      <c r="A905" s="350">
        <v>430</v>
      </c>
      <c r="B905" s="420" t="s">
        <v>1496</v>
      </c>
      <c r="C905" s="352" t="s">
        <v>498</v>
      </c>
      <c r="D905" s="355" t="s">
        <v>464</v>
      </c>
      <c r="E905" s="368">
        <v>45270</v>
      </c>
      <c r="F905" s="362">
        <v>45271</v>
      </c>
      <c r="G905" s="362">
        <v>45271</v>
      </c>
      <c r="H905" s="362">
        <v>45271</v>
      </c>
      <c r="I905" s="394">
        <v>45271</v>
      </c>
      <c r="J905" s="387" t="s">
        <v>500</v>
      </c>
      <c r="K905" s="387" t="s">
        <v>467</v>
      </c>
      <c r="L905" s="402">
        <v>2</v>
      </c>
      <c r="M905" s="352" t="s">
        <v>231</v>
      </c>
      <c r="N905" s="403">
        <v>35000</v>
      </c>
      <c r="O905" s="404">
        <v>70000</v>
      </c>
      <c r="P905" s="459">
        <v>7</v>
      </c>
      <c r="Q905" s="275"/>
      <c r="R905" s="437">
        <v>750000</v>
      </c>
      <c r="S905" s="456">
        <f t="shared" si="88"/>
        <v>74000</v>
      </c>
      <c r="T905" s="444" t="s">
        <v>282</v>
      </c>
      <c r="U905" s="460" t="str">
        <f t="shared" si="89"/>
        <v>Resto JFC Esther</v>
      </c>
      <c r="V905" s="444" t="s">
        <v>1258</v>
      </c>
      <c r="W905" s="444" t="s">
        <v>468</v>
      </c>
      <c r="X905" s="428" t="s">
        <v>709</v>
      </c>
      <c r="Y905" s="428" t="str">
        <f t="shared" si="92"/>
        <v>Konsumsi pembina pada kegiatan ekstrakurikuler seni dan budaya (paduan suara)</v>
      </c>
      <c r="Z905" s="449"/>
      <c r="AA905" s="432" t="s">
        <v>488</v>
      </c>
      <c r="AB905" s="457">
        <f t="shared" si="90"/>
        <v>31531.531531531531</v>
      </c>
      <c r="AC905" s="458">
        <f t="shared" si="91"/>
        <v>63063.063063063062</v>
      </c>
      <c r="AD905" s="455">
        <v>750000</v>
      </c>
      <c r="AE905" s="240"/>
      <c r="AF905" s="240"/>
      <c r="AG905" s="437">
        <v>750000</v>
      </c>
      <c r="AH905" s="452" t="s">
        <v>2091</v>
      </c>
    </row>
    <row r="906" spans="1:34">
      <c r="A906" s="350">
        <v>431</v>
      </c>
      <c r="B906" s="420" t="s">
        <v>1495</v>
      </c>
      <c r="C906" s="352" t="s">
        <v>492</v>
      </c>
      <c r="D906" s="355" t="s">
        <v>464</v>
      </c>
      <c r="E906" s="368">
        <v>45270</v>
      </c>
      <c r="F906" s="362">
        <v>45271</v>
      </c>
      <c r="G906" s="362">
        <v>45271</v>
      </c>
      <c r="H906" s="362">
        <v>45271</v>
      </c>
      <c r="I906" s="394">
        <v>45271</v>
      </c>
      <c r="J906" s="387" t="s">
        <v>496</v>
      </c>
      <c r="K906" s="387" t="s">
        <v>484</v>
      </c>
      <c r="L906" s="402">
        <v>4</v>
      </c>
      <c r="M906" s="352" t="s">
        <v>472</v>
      </c>
      <c r="N906" s="403">
        <v>50000</v>
      </c>
      <c r="O906" s="404">
        <v>200000</v>
      </c>
      <c r="P906" s="459">
        <v>7</v>
      </c>
      <c r="Q906" s="275"/>
      <c r="R906" s="437">
        <v>1000000</v>
      </c>
      <c r="S906" s="455">
        <v>1000000</v>
      </c>
      <c r="T906" s="439" t="s">
        <v>10</v>
      </c>
      <c r="U906" s="460"/>
      <c r="V906" s="439" t="s">
        <v>11</v>
      </c>
      <c r="W906" s="439" t="s">
        <v>473</v>
      </c>
      <c r="X906" s="275"/>
      <c r="Y906" s="428" t="str">
        <f t="shared" si="92"/>
        <v>Aqua gelas siwa/i pada kegiatan ekstrakurikuler pramuka</v>
      </c>
      <c r="Z906" s="449" t="s">
        <v>1553</v>
      </c>
      <c r="AA906" s="432" t="s">
        <v>587</v>
      </c>
      <c r="AB906" s="457">
        <f t="shared" si="90"/>
        <v>45045.045045045044</v>
      </c>
      <c r="AC906" s="458">
        <f t="shared" si="91"/>
        <v>180180.18018018018</v>
      </c>
      <c r="AD906" s="455">
        <v>1000000</v>
      </c>
      <c r="AE906" s="240"/>
      <c r="AF906" s="240"/>
      <c r="AG906" s="437">
        <v>1000000</v>
      </c>
      <c r="AH906" s="452" t="s">
        <v>2092</v>
      </c>
    </row>
    <row r="907" spans="1:34" ht="25">
      <c r="A907" s="350">
        <v>431</v>
      </c>
      <c r="B907" s="420" t="s">
        <v>1497</v>
      </c>
      <c r="C907" s="352" t="s">
        <v>498</v>
      </c>
      <c r="D907" s="355" t="s">
        <v>464</v>
      </c>
      <c r="E907" s="368">
        <v>45270</v>
      </c>
      <c r="F907" s="362">
        <v>45271</v>
      </c>
      <c r="G907" s="362">
        <v>45271</v>
      </c>
      <c r="H907" s="362">
        <v>45271</v>
      </c>
      <c r="I907" s="394">
        <v>45271</v>
      </c>
      <c r="J907" s="387" t="s">
        <v>502</v>
      </c>
      <c r="K907" s="387" t="s">
        <v>484</v>
      </c>
      <c r="L907" s="402">
        <v>4</v>
      </c>
      <c r="M907" s="352" t="s">
        <v>472</v>
      </c>
      <c r="N907" s="403">
        <v>50000</v>
      </c>
      <c r="O907" s="404">
        <v>200000</v>
      </c>
      <c r="P907" s="459">
        <v>7</v>
      </c>
      <c r="Q907" s="275"/>
      <c r="R907" s="437">
        <v>100000</v>
      </c>
      <c r="S907" s="456">
        <f t="shared" ref="S907:S912" si="93">L907*(N907+2000)</f>
        <v>208000</v>
      </c>
      <c r="T907" s="439" t="s">
        <v>10</v>
      </c>
      <c r="U907" s="460"/>
      <c r="V907" s="439" t="s">
        <v>11</v>
      </c>
      <c r="W907" s="439" t="s">
        <v>473</v>
      </c>
      <c r="X907" s="275"/>
      <c r="Y907" s="428" t="str">
        <f t="shared" si="92"/>
        <v>Air mineral/Aqua gelas siswa/i peserta kegiatan ekstrakurikuler seni dan budaya (paduan suara)</v>
      </c>
      <c r="Z907" s="449"/>
      <c r="AA907" s="432" t="s">
        <v>587</v>
      </c>
      <c r="AB907" s="457">
        <f t="shared" si="90"/>
        <v>45045.045045045044</v>
      </c>
      <c r="AC907" s="458">
        <f t="shared" si="91"/>
        <v>180180.18018018018</v>
      </c>
      <c r="AD907" s="455">
        <v>100000</v>
      </c>
      <c r="AE907" s="240"/>
      <c r="AF907" s="240"/>
      <c r="AG907" s="437">
        <v>100000</v>
      </c>
      <c r="AH907" s="452" t="s">
        <v>2092</v>
      </c>
    </row>
    <row r="908" spans="1:34" ht="25">
      <c r="A908" s="350">
        <v>431</v>
      </c>
      <c r="B908" s="352" t="s">
        <v>1498</v>
      </c>
      <c r="C908" s="352" t="s">
        <v>504</v>
      </c>
      <c r="D908" s="355" t="s">
        <v>464</v>
      </c>
      <c r="E908" s="368">
        <v>45270</v>
      </c>
      <c r="F908" s="362">
        <v>45271</v>
      </c>
      <c r="G908" s="362">
        <v>45271</v>
      </c>
      <c r="H908" s="362">
        <v>45271</v>
      </c>
      <c r="I908" s="394">
        <v>45271</v>
      </c>
      <c r="J908" s="387" t="s">
        <v>505</v>
      </c>
      <c r="K908" s="387" t="s">
        <v>484</v>
      </c>
      <c r="L908" s="402">
        <v>6</v>
      </c>
      <c r="M908" s="352" t="s">
        <v>472</v>
      </c>
      <c r="N908" s="403">
        <v>50000</v>
      </c>
      <c r="O908" s="404">
        <v>300000</v>
      </c>
      <c r="P908" s="421">
        <v>7</v>
      </c>
      <c r="Q908" s="275"/>
      <c r="R908" s="437">
        <v>200000</v>
      </c>
      <c r="S908" s="274">
        <f t="shared" si="93"/>
        <v>312000</v>
      </c>
      <c r="T908" s="439" t="s">
        <v>10</v>
      </c>
      <c r="U908" s="460"/>
      <c r="V908" s="439" t="s">
        <v>11</v>
      </c>
      <c r="W908" s="439" t="s">
        <v>473</v>
      </c>
      <c r="X908" s="275"/>
      <c r="Y908" s="428" t="str">
        <f t="shared" si="92"/>
        <v>aqua gelas siswa/i peserta kegiatan ekstrakurikuler olahraga karate</v>
      </c>
      <c r="Z908" s="449"/>
      <c r="AA908" s="432" t="s">
        <v>488</v>
      </c>
      <c r="AB908" s="457">
        <f t="shared" si="90"/>
        <v>45045.045045045044</v>
      </c>
      <c r="AC908" s="458">
        <f t="shared" si="91"/>
        <v>270270.2702702703</v>
      </c>
      <c r="AD908" s="455">
        <v>200000</v>
      </c>
      <c r="AE908" s="240"/>
      <c r="AF908" s="240"/>
      <c r="AG908" s="437">
        <v>200000</v>
      </c>
      <c r="AH908" s="271" t="s">
        <v>2092</v>
      </c>
    </row>
    <row r="909" spans="1:34" ht="25">
      <c r="A909" s="350">
        <v>433</v>
      </c>
      <c r="B909" s="352" t="s">
        <v>1499</v>
      </c>
      <c r="C909" s="352" t="s">
        <v>507</v>
      </c>
      <c r="D909" s="355" t="s">
        <v>464</v>
      </c>
      <c r="E909" s="368">
        <v>45272</v>
      </c>
      <c r="F909" s="362">
        <v>45273</v>
      </c>
      <c r="G909" s="362">
        <v>45273</v>
      </c>
      <c r="H909" s="362">
        <v>45273</v>
      </c>
      <c r="I909" s="394">
        <v>45273</v>
      </c>
      <c r="J909" s="387" t="s">
        <v>508</v>
      </c>
      <c r="K909" s="387" t="s">
        <v>467</v>
      </c>
      <c r="L909" s="402">
        <v>2</v>
      </c>
      <c r="M909" s="352" t="s">
        <v>231</v>
      </c>
      <c r="N909" s="403">
        <v>35000</v>
      </c>
      <c r="O909" s="404">
        <v>70000</v>
      </c>
      <c r="P909" s="421">
        <v>7</v>
      </c>
      <c r="Q909" s="275"/>
      <c r="R909" s="437">
        <v>400000</v>
      </c>
      <c r="S909" s="274">
        <f t="shared" si="93"/>
        <v>74000</v>
      </c>
      <c r="T909" s="444" t="s">
        <v>282</v>
      </c>
      <c r="U909" s="460" t="str">
        <f t="shared" ref="U909:U956" si="94">IF(K909="Nasi Kotak","Resto JFC Esther",IF(K909="Aqua Botol 600 ml","UD. USAHA JAYA",""))</f>
        <v>Resto JFC Esther</v>
      </c>
      <c r="V909" s="444" t="s">
        <v>1258</v>
      </c>
      <c r="W909" s="444" t="s">
        <v>468</v>
      </c>
      <c r="X909" s="428" t="s">
        <v>709</v>
      </c>
      <c r="Y909" s="428" t="str">
        <f t="shared" si="92"/>
        <v>Konsumsi pendamping/pembina kegiatan ekstrakurikuler paskibra</v>
      </c>
      <c r="Z909" s="449" t="s">
        <v>1554</v>
      </c>
      <c r="AA909" s="432" t="s">
        <v>792</v>
      </c>
      <c r="AB909" s="457">
        <f t="shared" si="90"/>
        <v>31531.531531531531</v>
      </c>
      <c r="AC909" s="458">
        <f t="shared" si="91"/>
        <v>63063.063063063062</v>
      </c>
      <c r="AD909" s="455">
        <v>400000</v>
      </c>
      <c r="AE909" s="240"/>
      <c r="AF909" s="240"/>
      <c r="AG909" s="437">
        <v>400000</v>
      </c>
      <c r="AH909" s="271" t="s">
        <v>2091</v>
      </c>
    </row>
    <row r="910" spans="1:34">
      <c r="A910" s="350">
        <v>434</v>
      </c>
      <c r="B910" s="352" t="s">
        <v>1500</v>
      </c>
      <c r="C910" s="352" t="s">
        <v>507</v>
      </c>
      <c r="D910" s="355" t="s">
        <v>464</v>
      </c>
      <c r="E910" s="368">
        <v>45272</v>
      </c>
      <c r="F910" s="362">
        <v>45273</v>
      </c>
      <c r="G910" s="362">
        <v>45273</v>
      </c>
      <c r="H910" s="362">
        <v>45273</v>
      </c>
      <c r="I910" s="394">
        <v>45273</v>
      </c>
      <c r="J910" s="387" t="s">
        <v>510</v>
      </c>
      <c r="K910" s="387" t="s">
        <v>484</v>
      </c>
      <c r="L910" s="402">
        <v>4</v>
      </c>
      <c r="M910" s="352" t="s">
        <v>472</v>
      </c>
      <c r="N910" s="403">
        <v>50000</v>
      </c>
      <c r="O910" s="404">
        <v>200000</v>
      </c>
      <c r="P910" s="421"/>
      <c r="Q910" s="275"/>
      <c r="R910" s="437"/>
      <c r="S910" s="274">
        <f t="shared" si="93"/>
        <v>208000</v>
      </c>
      <c r="T910" s="439" t="s">
        <v>10</v>
      </c>
      <c r="U910" s="460"/>
      <c r="V910" s="439" t="s">
        <v>11</v>
      </c>
      <c r="W910" s="439" t="s">
        <v>473</v>
      </c>
      <c r="X910" s="428" t="s">
        <v>709</v>
      </c>
      <c r="Y910" s="275"/>
      <c r="Z910" s="449"/>
      <c r="AA910" s="432" t="s">
        <v>940</v>
      </c>
      <c r="AB910" s="457">
        <f t="shared" si="90"/>
        <v>45045.045045045044</v>
      </c>
      <c r="AC910" s="458">
        <f t="shared" si="91"/>
        <v>180180.18018018018</v>
      </c>
      <c r="AD910" s="273"/>
      <c r="AE910" s="240"/>
      <c r="AF910" s="240"/>
      <c r="AG910" s="437"/>
      <c r="AH910" s="271" t="s">
        <v>2092</v>
      </c>
    </row>
    <row r="911" spans="1:34">
      <c r="A911" s="350">
        <v>434</v>
      </c>
      <c r="B911" s="352" t="s">
        <v>1501</v>
      </c>
      <c r="C911" s="352" t="s">
        <v>512</v>
      </c>
      <c r="D911" s="355" t="s">
        <v>464</v>
      </c>
      <c r="E911" s="368">
        <v>45272</v>
      </c>
      <c r="F911" s="362">
        <v>45273</v>
      </c>
      <c r="G911" s="362">
        <v>45274</v>
      </c>
      <c r="H911" s="362">
        <v>45274</v>
      </c>
      <c r="I911" s="394">
        <v>45274</v>
      </c>
      <c r="J911" s="387" t="s">
        <v>513</v>
      </c>
      <c r="K911" s="387" t="s">
        <v>484</v>
      </c>
      <c r="L911" s="402">
        <v>3</v>
      </c>
      <c r="M911" s="352" t="s">
        <v>472</v>
      </c>
      <c r="N911" s="403">
        <v>50000</v>
      </c>
      <c r="O911" s="404">
        <v>150000</v>
      </c>
      <c r="P911" s="421">
        <v>8</v>
      </c>
      <c r="Q911" s="275"/>
      <c r="R911" s="437">
        <v>5400000</v>
      </c>
      <c r="S911" s="274">
        <f t="shared" si="93"/>
        <v>156000</v>
      </c>
      <c r="T911" s="439" t="s">
        <v>10</v>
      </c>
      <c r="U911" s="460"/>
      <c r="V911" s="439" t="s">
        <v>11</v>
      </c>
      <c r="W911" s="439" t="s">
        <v>473</v>
      </c>
      <c r="X911" s="428" t="s">
        <v>709</v>
      </c>
      <c r="Y911" s="428" t="str">
        <f t="shared" ref="Y911:Y935" si="95">J911</f>
        <v>Air Mineral peserta kegiatan ekstrakurikuler band musik</v>
      </c>
      <c r="Z911" s="449"/>
      <c r="AA911" s="432" t="s">
        <v>488</v>
      </c>
      <c r="AB911" s="457">
        <f t="shared" si="90"/>
        <v>45045.045045045044</v>
      </c>
      <c r="AC911" s="458">
        <f t="shared" si="91"/>
        <v>135135.13513513515</v>
      </c>
      <c r="AD911" s="455">
        <v>5400000</v>
      </c>
      <c r="AE911" s="240"/>
      <c r="AF911" s="240"/>
      <c r="AG911" s="437">
        <v>5400000</v>
      </c>
      <c r="AH911" s="271" t="s">
        <v>2092</v>
      </c>
    </row>
    <row r="912" spans="1:34" ht="25">
      <c r="A912" s="350">
        <v>435</v>
      </c>
      <c r="B912" s="352" t="s">
        <v>1502</v>
      </c>
      <c r="C912" s="352" t="s">
        <v>512</v>
      </c>
      <c r="D912" s="355" t="s">
        <v>464</v>
      </c>
      <c r="E912" s="368">
        <v>45272</v>
      </c>
      <c r="F912" s="362">
        <v>45273</v>
      </c>
      <c r="G912" s="362">
        <v>45274</v>
      </c>
      <c r="H912" s="362">
        <v>45274</v>
      </c>
      <c r="I912" s="394">
        <v>45274</v>
      </c>
      <c r="J912" s="387" t="s">
        <v>515</v>
      </c>
      <c r="K912" s="387" t="s">
        <v>467</v>
      </c>
      <c r="L912" s="402">
        <v>4</v>
      </c>
      <c r="M912" s="352" t="s">
        <v>231</v>
      </c>
      <c r="N912" s="403">
        <v>35000</v>
      </c>
      <c r="O912" s="404">
        <v>140000</v>
      </c>
      <c r="P912" s="421">
        <v>8</v>
      </c>
      <c r="Q912" s="275"/>
      <c r="R912" s="437">
        <v>2500000</v>
      </c>
      <c r="S912" s="274">
        <f t="shared" si="93"/>
        <v>148000</v>
      </c>
      <c r="T912" s="444" t="s">
        <v>282</v>
      </c>
      <c r="U912" s="460" t="str">
        <f t="shared" si="94"/>
        <v>Resto JFC Esther</v>
      </c>
      <c r="V912" s="444" t="s">
        <v>1258</v>
      </c>
      <c r="W912" s="444" t="s">
        <v>468</v>
      </c>
      <c r="X912" s="275"/>
      <c r="Y912" s="428" t="str">
        <f t="shared" si="95"/>
        <v>Konsumsi pendamping/pembina kegiatan ekstrakurikuler band musik</v>
      </c>
      <c r="Z912" s="449" t="s">
        <v>303</v>
      </c>
      <c r="AA912" s="432" t="s">
        <v>608</v>
      </c>
      <c r="AB912" s="457">
        <f t="shared" si="90"/>
        <v>31531.531531531531</v>
      </c>
      <c r="AC912" s="458">
        <f t="shared" si="91"/>
        <v>126126.12612612612</v>
      </c>
      <c r="AD912" s="455">
        <v>2500000</v>
      </c>
      <c r="AE912" s="240"/>
      <c r="AF912" s="240"/>
      <c r="AG912" s="437">
        <v>2500000</v>
      </c>
      <c r="AH912" s="271" t="s">
        <v>2091</v>
      </c>
    </row>
    <row r="913" spans="1:34">
      <c r="A913" s="350">
        <v>436</v>
      </c>
      <c r="B913" s="352" t="s">
        <v>1503</v>
      </c>
      <c r="C913" s="352" t="s">
        <v>562</v>
      </c>
      <c r="D913" s="355" t="s">
        <v>464</v>
      </c>
      <c r="E913" s="368">
        <v>45274</v>
      </c>
      <c r="F913" s="362">
        <v>45275</v>
      </c>
      <c r="G913" s="362">
        <v>45275</v>
      </c>
      <c r="H913" s="362">
        <v>45275</v>
      </c>
      <c r="I913" s="394">
        <v>45275</v>
      </c>
      <c r="J913" s="387" t="s">
        <v>564</v>
      </c>
      <c r="K913" s="387" t="s">
        <v>467</v>
      </c>
      <c r="L913" s="402">
        <v>60</v>
      </c>
      <c r="M913" s="352" t="s">
        <v>231</v>
      </c>
      <c r="N913" s="403">
        <v>35000</v>
      </c>
      <c r="O913" s="404">
        <v>2100000</v>
      </c>
      <c r="P913" s="421">
        <v>8</v>
      </c>
      <c r="Q913" s="275"/>
      <c r="R913" s="437">
        <v>5000000</v>
      </c>
      <c r="S913" s="274">
        <f>L913*(N913+1000000)</f>
        <v>62100000</v>
      </c>
      <c r="T913" s="444" t="s">
        <v>282</v>
      </c>
      <c r="U913" s="460" t="str">
        <f t="shared" si="94"/>
        <v>Resto JFC Esther</v>
      </c>
      <c r="V913" s="444" t="s">
        <v>1258</v>
      </c>
      <c r="W913" s="444" t="s">
        <v>468</v>
      </c>
      <c r="X913" s="275"/>
      <c r="Y913" s="428" t="str">
        <f t="shared" si="95"/>
        <v>Konsumsi Penyusunan dan pelaporan RKAS</v>
      </c>
      <c r="Z913" s="449" t="s">
        <v>303</v>
      </c>
      <c r="AA913" s="432" t="s">
        <v>587</v>
      </c>
      <c r="AB913" s="457">
        <f t="shared" si="90"/>
        <v>31531.531531531531</v>
      </c>
      <c r="AC913" s="458">
        <f t="shared" si="91"/>
        <v>1891891.8918918918</v>
      </c>
      <c r="AD913" s="455">
        <v>5000000</v>
      </c>
      <c r="AE913" s="240"/>
      <c r="AF913" s="240"/>
      <c r="AG913" s="437">
        <v>5000000</v>
      </c>
      <c r="AH913" s="271" t="s">
        <v>2091</v>
      </c>
    </row>
    <row r="914" spans="1:34">
      <c r="A914" s="350">
        <v>437</v>
      </c>
      <c r="B914" s="352" t="s">
        <v>1504</v>
      </c>
      <c r="C914" s="352" t="s">
        <v>562</v>
      </c>
      <c r="D914" s="355" t="s">
        <v>464</v>
      </c>
      <c r="E914" s="368">
        <v>45274</v>
      </c>
      <c r="F914" s="362">
        <v>45275</v>
      </c>
      <c r="G914" s="362">
        <v>45275</v>
      </c>
      <c r="H914" s="362">
        <v>45275</v>
      </c>
      <c r="I914" s="394">
        <v>45275</v>
      </c>
      <c r="J914" s="387" t="s">
        <v>568</v>
      </c>
      <c r="K914" s="352" t="s">
        <v>487</v>
      </c>
      <c r="L914" s="402">
        <v>60</v>
      </c>
      <c r="M914" s="352" t="s">
        <v>488</v>
      </c>
      <c r="N914" s="403">
        <v>8000</v>
      </c>
      <c r="O914" s="404">
        <v>480000</v>
      </c>
      <c r="P914" s="421">
        <v>8</v>
      </c>
      <c r="Q914" s="275"/>
      <c r="R914" s="437">
        <v>1356330</v>
      </c>
      <c r="S914" s="274">
        <f t="shared" ref="S914:S956" si="96">L914*(N914+2000)</f>
        <v>600000</v>
      </c>
      <c r="T914" s="439" t="s">
        <v>10</v>
      </c>
      <c r="U914" s="460"/>
      <c r="V914" s="439" t="s">
        <v>11</v>
      </c>
      <c r="W914" s="439" t="s">
        <v>473</v>
      </c>
      <c r="X914" s="428" t="s">
        <v>709</v>
      </c>
      <c r="Y914" s="428" t="str">
        <f t="shared" si="95"/>
        <v>Snack pada kegiatan penyusunan dan pelaporan RKAS</v>
      </c>
      <c r="Z914" s="449"/>
      <c r="AA914" s="432" t="s">
        <v>488</v>
      </c>
      <c r="AB914" s="457">
        <f t="shared" si="90"/>
        <v>7207.2072072072069</v>
      </c>
      <c r="AC914" s="458">
        <f t="shared" si="91"/>
        <v>432432.43243243243</v>
      </c>
      <c r="AD914" s="455">
        <v>1356330</v>
      </c>
      <c r="AE914" s="240"/>
      <c r="AF914" s="240"/>
      <c r="AG914" s="437">
        <v>1356330</v>
      </c>
      <c r="AH914" s="271" t="s">
        <v>2092</v>
      </c>
    </row>
    <row r="915" spans="1:34" ht="25">
      <c r="A915" s="350">
        <v>437</v>
      </c>
      <c r="B915" s="352" t="s">
        <v>1504</v>
      </c>
      <c r="C915" s="352" t="s">
        <v>562</v>
      </c>
      <c r="D915" s="355" t="s">
        <v>464</v>
      </c>
      <c r="E915" s="368">
        <v>45274</v>
      </c>
      <c r="F915" s="362">
        <v>45275</v>
      </c>
      <c r="G915" s="362">
        <v>45275</v>
      </c>
      <c r="H915" s="362">
        <v>45275</v>
      </c>
      <c r="I915" s="394">
        <v>45275</v>
      </c>
      <c r="J915" s="387" t="s">
        <v>566</v>
      </c>
      <c r="K915" s="387" t="s">
        <v>471</v>
      </c>
      <c r="L915" s="402">
        <v>4</v>
      </c>
      <c r="M915" s="352" t="s">
        <v>472</v>
      </c>
      <c r="N915" s="403">
        <v>70000</v>
      </c>
      <c r="O915" s="404">
        <v>280000</v>
      </c>
      <c r="P915" s="421">
        <v>8</v>
      </c>
      <c r="Q915" s="275"/>
      <c r="R915" s="437">
        <v>100000</v>
      </c>
      <c r="S915" s="274">
        <f t="shared" si="96"/>
        <v>288000</v>
      </c>
      <c r="T915" s="439" t="s">
        <v>10</v>
      </c>
      <c r="U915" s="460"/>
      <c r="V915" s="439" t="s">
        <v>11</v>
      </c>
      <c r="W915" s="439" t="s">
        <v>473</v>
      </c>
      <c r="X915" s="275"/>
      <c r="Y915" s="428" t="str">
        <f t="shared" si="95"/>
        <v>Air Mineral pada kegiatan Penyusunan dan Pelaporan RKAS</v>
      </c>
      <c r="Z915" s="449"/>
      <c r="AA915" s="432" t="s">
        <v>587</v>
      </c>
      <c r="AB915" s="457">
        <f t="shared" si="90"/>
        <v>63063.063063063062</v>
      </c>
      <c r="AC915" s="458">
        <f t="shared" si="91"/>
        <v>252252.25225225225</v>
      </c>
      <c r="AD915" s="455">
        <v>100000</v>
      </c>
      <c r="AE915" s="240"/>
      <c r="AF915" s="240"/>
      <c r="AG915" s="437">
        <v>100000</v>
      </c>
      <c r="AH915" s="271" t="s">
        <v>2092</v>
      </c>
    </row>
    <row r="916" spans="1:34" ht="25">
      <c r="A916" s="350">
        <v>438</v>
      </c>
      <c r="B916" s="352" t="s">
        <v>1505</v>
      </c>
      <c r="C916" s="352" t="s">
        <v>517</v>
      </c>
      <c r="D916" s="355" t="s">
        <v>464</v>
      </c>
      <c r="E916" s="368">
        <v>45275</v>
      </c>
      <c r="F916" s="362">
        <v>45276</v>
      </c>
      <c r="G916" s="362">
        <v>45276</v>
      </c>
      <c r="H916" s="362">
        <v>45276</v>
      </c>
      <c r="I916" s="394">
        <v>45276</v>
      </c>
      <c r="J916" s="387" t="s">
        <v>518</v>
      </c>
      <c r="K916" s="387" t="s">
        <v>484</v>
      </c>
      <c r="L916" s="402">
        <v>20</v>
      </c>
      <c r="M916" s="352" t="s">
        <v>472</v>
      </c>
      <c r="N916" s="403">
        <v>50000</v>
      </c>
      <c r="O916" s="404">
        <v>1000000</v>
      </c>
      <c r="P916" s="421">
        <v>8</v>
      </c>
      <c r="Q916" s="275"/>
      <c r="R916" s="437">
        <v>200000</v>
      </c>
      <c r="S916" s="274">
        <f t="shared" si="96"/>
        <v>1040000</v>
      </c>
      <c r="T916" s="439" t="s">
        <v>10</v>
      </c>
      <c r="U916" s="460"/>
      <c r="V916" s="439" t="s">
        <v>11</v>
      </c>
      <c r="W916" s="439" t="s">
        <v>473</v>
      </c>
      <c r="X916" s="275"/>
      <c r="Y916" s="428" t="str">
        <f t="shared" si="95"/>
        <v>Aqua gelas pelaksanaan kegiatan bulanan Gerakan Bersih Lingkungan Sekolah</v>
      </c>
      <c r="Z916" s="449"/>
      <c r="AA916" s="432" t="s">
        <v>614</v>
      </c>
      <c r="AB916" s="457">
        <f t="shared" si="90"/>
        <v>45045.045045045044</v>
      </c>
      <c r="AC916" s="458">
        <f t="shared" si="91"/>
        <v>900900.90090090083</v>
      </c>
      <c r="AD916" s="455">
        <v>200000</v>
      </c>
      <c r="AE916" s="240"/>
      <c r="AF916" s="240"/>
      <c r="AG916" s="437">
        <v>200000</v>
      </c>
      <c r="AH916" s="271" t="s">
        <v>2092</v>
      </c>
    </row>
    <row r="917" spans="1:34" ht="25">
      <c r="A917" s="350">
        <v>439</v>
      </c>
      <c r="B917" s="352" t="s">
        <v>1506</v>
      </c>
      <c r="C917" s="352" t="s">
        <v>1507</v>
      </c>
      <c r="D917" s="355" t="s">
        <v>464</v>
      </c>
      <c r="E917" s="368">
        <v>45277</v>
      </c>
      <c r="F917" s="362">
        <v>45278</v>
      </c>
      <c r="G917" s="362">
        <v>45278</v>
      </c>
      <c r="H917" s="362">
        <v>45278</v>
      </c>
      <c r="I917" s="394">
        <v>45278</v>
      </c>
      <c r="J917" s="387" t="s">
        <v>1508</v>
      </c>
      <c r="K917" s="387" t="s">
        <v>471</v>
      </c>
      <c r="L917" s="402">
        <v>24</v>
      </c>
      <c r="M917" s="352" t="s">
        <v>472</v>
      </c>
      <c r="N917" s="403">
        <v>70000</v>
      </c>
      <c r="O917" s="404">
        <v>1680000</v>
      </c>
      <c r="P917" s="421">
        <v>8</v>
      </c>
      <c r="Q917" s="275"/>
      <c r="R917" s="437">
        <v>1000000</v>
      </c>
      <c r="S917" s="274">
        <f t="shared" si="96"/>
        <v>1728000</v>
      </c>
      <c r="T917" s="439" t="s">
        <v>10</v>
      </c>
      <c r="U917" s="460"/>
      <c r="V917" s="439" t="s">
        <v>11</v>
      </c>
      <c r="W917" s="439" t="s">
        <v>473</v>
      </c>
      <c r="X917" s="275"/>
      <c r="Y917" s="428" t="str">
        <f t="shared" si="95"/>
        <v>Aqua botol pelaksanaan penilaian / ulangan akhir semester</v>
      </c>
      <c r="Z917" s="449" t="s">
        <v>1553</v>
      </c>
      <c r="AA917" s="432" t="s">
        <v>597</v>
      </c>
      <c r="AB917" s="457">
        <f t="shared" si="90"/>
        <v>63063.063063063062</v>
      </c>
      <c r="AC917" s="458">
        <f t="shared" si="91"/>
        <v>1513513.5135135134</v>
      </c>
      <c r="AD917" s="455">
        <v>1000000</v>
      </c>
      <c r="AE917" s="240"/>
      <c r="AF917" s="240"/>
      <c r="AG917" s="437">
        <v>1000000</v>
      </c>
      <c r="AH917" s="271" t="s">
        <v>2092</v>
      </c>
    </row>
    <row r="918" spans="1:34">
      <c r="A918" s="350">
        <v>439</v>
      </c>
      <c r="B918" s="352" t="s">
        <v>1506</v>
      </c>
      <c r="C918" s="352" t="s">
        <v>1507</v>
      </c>
      <c r="D918" s="355" t="s">
        <v>464</v>
      </c>
      <c r="E918" s="368">
        <v>45277</v>
      </c>
      <c r="F918" s="362">
        <v>45278</v>
      </c>
      <c r="G918" s="362">
        <v>45278</v>
      </c>
      <c r="H918" s="362">
        <v>45278</v>
      </c>
      <c r="I918" s="394">
        <v>45278</v>
      </c>
      <c r="J918" s="387" t="s">
        <v>1509</v>
      </c>
      <c r="K918" s="352" t="s">
        <v>487</v>
      </c>
      <c r="L918" s="402">
        <v>420</v>
      </c>
      <c r="M918" s="352" t="s">
        <v>488</v>
      </c>
      <c r="N918" s="403">
        <v>8000</v>
      </c>
      <c r="O918" s="404">
        <v>3360000</v>
      </c>
      <c r="P918" s="421">
        <v>8</v>
      </c>
      <c r="Q918" s="275"/>
      <c r="R918" s="437">
        <v>400000</v>
      </c>
      <c r="S918" s="274">
        <f t="shared" si="96"/>
        <v>4200000</v>
      </c>
      <c r="T918" s="439" t="s">
        <v>10</v>
      </c>
      <c r="U918" s="460"/>
      <c r="V918" s="439" t="s">
        <v>11</v>
      </c>
      <c r="W918" s="439" t="s">
        <v>473</v>
      </c>
      <c r="X918" s="275"/>
      <c r="Y918" s="428" t="str">
        <f t="shared" si="95"/>
        <v>Snack pelaksanaan penilaian / ulangan akhir semester</v>
      </c>
      <c r="Z918" s="449" t="s">
        <v>1554</v>
      </c>
      <c r="AA918" s="432" t="s">
        <v>792</v>
      </c>
      <c r="AB918" s="457">
        <f t="shared" si="90"/>
        <v>7207.2072072072069</v>
      </c>
      <c r="AC918" s="458">
        <f t="shared" si="91"/>
        <v>3027027.0270270268</v>
      </c>
      <c r="AD918" s="455">
        <v>400000</v>
      </c>
      <c r="AE918" s="240"/>
      <c r="AF918" s="240"/>
      <c r="AG918" s="437">
        <v>400000</v>
      </c>
      <c r="AH918" s="271" t="s">
        <v>2092</v>
      </c>
    </row>
    <row r="919" spans="1:34">
      <c r="A919" s="350">
        <v>440</v>
      </c>
      <c r="B919" s="352" t="s">
        <v>1510</v>
      </c>
      <c r="C919" s="352" t="s">
        <v>1507</v>
      </c>
      <c r="D919" s="355" t="s">
        <v>705</v>
      </c>
      <c r="E919" s="368">
        <v>45277</v>
      </c>
      <c r="F919" s="362">
        <v>45278</v>
      </c>
      <c r="G919" s="362">
        <v>45278</v>
      </c>
      <c r="H919" s="362">
        <v>45278</v>
      </c>
      <c r="I919" s="394">
        <v>45278</v>
      </c>
      <c r="J919" s="387" t="s">
        <v>1230</v>
      </c>
      <c r="K919" s="387" t="s">
        <v>1511</v>
      </c>
      <c r="L919" s="402">
        <v>12</v>
      </c>
      <c r="M919" s="352" t="s">
        <v>753</v>
      </c>
      <c r="N919" s="403">
        <v>250000</v>
      </c>
      <c r="O919" s="404">
        <v>3000000</v>
      </c>
      <c r="P919" s="422">
        <v>9</v>
      </c>
      <c r="Q919" s="288"/>
      <c r="R919" s="286">
        <v>2000000</v>
      </c>
      <c r="S919" s="289">
        <f t="shared" si="96"/>
        <v>3024000</v>
      </c>
      <c r="T919" s="439" t="s">
        <v>227</v>
      </c>
      <c r="U919" s="460" t="str">
        <f t="shared" ref="U919:U923" si="97">IF(K919="Nasi Kotak","Resto JFC Esther",IF(K919="Aqua Botol 600 ml","UD. USAHA JAYA",""))</f>
        <v/>
      </c>
      <c r="V919" s="439" t="s">
        <v>1248</v>
      </c>
      <c r="W919" s="439" t="s">
        <v>540</v>
      </c>
      <c r="X919" s="288"/>
      <c r="Y919" s="428" t="str">
        <f t="shared" si="95"/>
        <v>Buku Tulis</v>
      </c>
      <c r="Z919" s="617"/>
      <c r="AA919" s="432" t="s">
        <v>587</v>
      </c>
      <c r="AB919" s="457">
        <f t="shared" si="90"/>
        <v>225225.22522522524</v>
      </c>
      <c r="AC919" s="458">
        <f t="shared" si="91"/>
        <v>2702702.702702703</v>
      </c>
      <c r="AD919" s="486">
        <v>2000000</v>
      </c>
      <c r="AE919" s="240"/>
      <c r="AF919" s="240"/>
      <c r="AG919" s="473">
        <v>2000000</v>
      </c>
      <c r="AH919" s="271" t="s">
        <v>2101</v>
      </c>
    </row>
    <row r="920" spans="1:34">
      <c r="A920" s="350">
        <v>440</v>
      </c>
      <c r="B920" s="352" t="s">
        <v>1510</v>
      </c>
      <c r="C920" s="352" t="s">
        <v>1507</v>
      </c>
      <c r="D920" s="355" t="s">
        <v>705</v>
      </c>
      <c r="E920" s="368">
        <v>45277</v>
      </c>
      <c r="F920" s="362">
        <v>45278</v>
      </c>
      <c r="G920" s="362">
        <v>45278</v>
      </c>
      <c r="H920" s="362">
        <v>45278</v>
      </c>
      <c r="I920" s="394">
        <v>45278</v>
      </c>
      <c r="J920" s="387" t="s">
        <v>1230</v>
      </c>
      <c r="K920" s="387" t="s">
        <v>1511</v>
      </c>
      <c r="L920" s="402">
        <v>19</v>
      </c>
      <c r="M920" s="352" t="s">
        <v>753</v>
      </c>
      <c r="N920" s="403">
        <v>500000</v>
      </c>
      <c r="O920" s="404">
        <v>9500000</v>
      </c>
      <c r="P920" s="422">
        <v>9</v>
      </c>
      <c r="Q920" s="288"/>
      <c r="R920" s="473">
        <v>1200000</v>
      </c>
      <c r="S920" s="289">
        <f t="shared" si="96"/>
        <v>9538000</v>
      </c>
      <c r="T920" s="439" t="s">
        <v>227</v>
      </c>
      <c r="U920" s="460" t="str">
        <f t="shared" si="97"/>
        <v/>
      </c>
      <c r="V920" s="439" t="s">
        <v>1248</v>
      </c>
      <c r="W920" s="439" t="s">
        <v>540</v>
      </c>
      <c r="X920" s="288"/>
      <c r="Y920" s="428" t="str">
        <f t="shared" si="95"/>
        <v>Buku Tulis</v>
      </c>
      <c r="Z920" s="617"/>
      <c r="AA920" s="432" t="s">
        <v>587</v>
      </c>
      <c r="AB920" s="457">
        <f t="shared" si="90"/>
        <v>450450.45045045047</v>
      </c>
      <c r="AC920" s="458">
        <f t="shared" si="91"/>
        <v>8558558.558558559</v>
      </c>
      <c r="AD920" s="486">
        <v>1200000</v>
      </c>
      <c r="AE920" s="240"/>
      <c r="AF920" s="240"/>
      <c r="AG920" s="473">
        <v>1200000</v>
      </c>
      <c r="AH920" s="271" t="s">
        <v>2101</v>
      </c>
    </row>
    <row r="921" spans="1:34">
      <c r="A921" s="350">
        <v>441</v>
      </c>
      <c r="B921" s="352" t="s">
        <v>1512</v>
      </c>
      <c r="C921" s="352" t="s">
        <v>1507</v>
      </c>
      <c r="D921" s="355" t="s">
        <v>1174</v>
      </c>
      <c r="E921" s="368">
        <v>45279</v>
      </c>
      <c r="F921" s="362">
        <v>45280</v>
      </c>
      <c r="G921" s="362">
        <v>45280</v>
      </c>
      <c r="H921" s="362">
        <v>45280</v>
      </c>
      <c r="I921" s="394">
        <v>45278</v>
      </c>
      <c r="J921" s="387" t="s">
        <v>1175</v>
      </c>
      <c r="K921" s="388" t="s">
        <v>1513</v>
      </c>
      <c r="L921" s="402">
        <v>5</v>
      </c>
      <c r="M921" s="352" t="s">
        <v>608</v>
      </c>
      <c r="N921" s="403">
        <v>500000</v>
      </c>
      <c r="O921" s="404">
        <v>2500000</v>
      </c>
      <c r="P921" s="422">
        <v>9</v>
      </c>
      <c r="Q921" s="288"/>
      <c r="R921" s="473">
        <v>1200000</v>
      </c>
      <c r="S921" s="289">
        <f t="shared" si="96"/>
        <v>2510000</v>
      </c>
      <c r="T921" s="439" t="s">
        <v>227</v>
      </c>
      <c r="U921" s="460" t="str">
        <f t="shared" si="97"/>
        <v/>
      </c>
      <c r="V921" s="439" t="s">
        <v>1248</v>
      </c>
      <c r="W921" s="439" t="s">
        <v>540</v>
      </c>
      <c r="X921" s="288"/>
      <c r="Y921" s="428" t="str">
        <f t="shared" si="95"/>
        <v>Hadiah Lomba</v>
      </c>
      <c r="Z921" s="617"/>
      <c r="AA921" s="432" t="s">
        <v>574</v>
      </c>
      <c r="AB921" s="457">
        <f t="shared" si="90"/>
        <v>450450.45045045047</v>
      </c>
      <c r="AC921" s="458">
        <f t="shared" si="91"/>
        <v>2252252.2522522523</v>
      </c>
      <c r="AD921" s="486">
        <v>1200000</v>
      </c>
      <c r="AE921" s="240"/>
      <c r="AF921" s="240"/>
      <c r="AG921" s="473">
        <v>1200000</v>
      </c>
      <c r="AH921" s="271" t="s">
        <v>2101</v>
      </c>
    </row>
    <row r="922" spans="1:34">
      <c r="A922" s="350">
        <v>442</v>
      </c>
      <c r="B922" s="352" t="s">
        <v>1514</v>
      </c>
      <c r="C922" s="352" t="s">
        <v>639</v>
      </c>
      <c r="D922" s="355" t="s">
        <v>464</v>
      </c>
      <c r="E922" s="368">
        <v>45279</v>
      </c>
      <c r="F922" s="362">
        <v>45280</v>
      </c>
      <c r="G922" s="362">
        <v>45280</v>
      </c>
      <c r="H922" s="362">
        <v>45280</v>
      </c>
      <c r="I922" s="394">
        <v>45280</v>
      </c>
      <c r="J922" s="387" t="s">
        <v>640</v>
      </c>
      <c r="K922" s="387" t="s">
        <v>641</v>
      </c>
      <c r="L922" s="402">
        <v>72</v>
      </c>
      <c r="M922" s="352" t="s">
        <v>488</v>
      </c>
      <c r="N922" s="403">
        <v>5000</v>
      </c>
      <c r="O922" s="404">
        <v>360000</v>
      </c>
      <c r="P922" s="272">
        <v>9</v>
      </c>
      <c r="Q922" s="275"/>
      <c r="R922" s="437">
        <v>100000</v>
      </c>
      <c r="S922" s="274">
        <f t="shared" si="96"/>
        <v>504000</v>
      </c>
      <c r="T922" s="439" t="s">
        <v>227</v>
      </c>
      <c r="U922" s="460" t="str">
        <f t="shared" si="97"/>
        <v/>
      </c>
      <c r="V922" s="439" t="s">
        <v>1248</v>
      </c>
      <c r="W922" s="439" t="s">
        <v>540</v>
      </c>
      <c r="X922" s="275"/>
      <c r="Y922" s="428" t="str">
        <f t="shared" si="95"/>
        <v>Langganan Daya dan Jasa Isi ulang aqua galon</v>
      </c>
      <c r="Z922" s="449"/>
      <c r="AA922" s="432" t="s">
        <v>587</v>
      </c>
      <c r="AB922" s="457">
        <f t="shared" si="90"/>
        <v>4504.5045045045044</v>
      </c>
      <c r="AC922" s="458">
        <f t="shared" si="91"/>
        <v>324324.32432432432</v>
      </c>
      <c r="AD922" s="455">
        <v>100000</v>
      </c>
      <c r="AE922" s="240"/>
      <c r="AF922" s="240"/>
      <c r="AG922" s="437">
        <v>100000</v>
      </c>
      <c r="AH922" s="271" t="s">
        <v>2101</v>
      </c>
    </row>
    <row r="923" spans="1:34">
      <c r="A923" s="350">
        <v>443</v>
      </c>
      <c r="B923" s="352" t="s">
        <v>1520</v>
      </c>
      <c r="C923" s="352" t="s">
        <v>570</v>
      </c>
      <c r="D923" s="355" t="s">
        <v>571</v>
      </c>
      <c r="E923" s="368">
        <v>45279</v>
      </c>
      <c r="F923" s="362">
        <v>45280</v>
      </c>
      <c r="G923" s="362">
        <v>45280</v>
      </c>
      <c r="H923" s="362">
        <v>45280</v>
      </c>
      <c r="I923" s="394">
        <v>45280</v>
      </c>
      <c r="J923" s="387" t="s">
        <v>9</v>
      </c>
      <c r="K923" s="387" t="s">
        <v>573</v>
      </c>
      <c r="L923" s="402">
        <v>3850</v>
      </c>
      <c r="M923" s="352" t="s">
        <v>574</v>
      </c>
      <c r="N923" s="405">
        <v>300</v>
      </c>
      <c r="O923" s="404">
        <v>1155000</v>
      </c>
      <c r="P923" s="272">
        <v>9</v>
      </c>
      <c r="Q923" s="275"/>
      <c r="R923" s="437">
        <v>200000</v>
      </c>
      <c r="S923" s="274">
        <f t="shared" si="96"/>
        <v>8855000</v>
      </c>
      <c r="T923" s="439" t="s">
        <v>227</v>
      </c>
      <c r="U923" s="460" t="str">
        <f t="shared" si="97"/>
        <v/>
      </c>
      <c r="V923" s="439" t="s">
        <v>1248</v>
      </c>
      <c r="W923" s="439" t="s">
        <v>540</v>
      </c>
      <c r="X923" s="275"/>
      <c r="Y923" s="428" t="str">
        <f t="shared" si="95"/>
        <v>Foto Copy Filio dan Kuarto</v>
      </c>
      <c r="Z923" s="449"/>
      <c r="AA923" s="432" t="s">
        <v>587</v>
      </c>
      <c r="AB923" s="457">
        <f t="shared" si="90"/>
        <v>270.27027027027026</v>
      </c>
      <c r="AC923" s="458">
        <f t="shared" si="91"/>
        <v>1040540.5405405405</v>
      </c>
      <c r="AD923" s="455">
        <v>200000</v>
      </c>
      <c r="AE923" s="240"/>
      <c r="AF923" s="240"/>
      <c r="AG923" s="437">
        <v>200000</v>
      </c>
      <c r="AH923" s="271" t="s">
        <v>2101</v>
      </c>
    </row>
    <row r="924" spans="1:34">
      <c r="A924" s="350">
        <v>444</v>
      </c>
      <c r="B924" s="352" t="s">
        <v>1521</v>
      </c>
      <c r="C924" s="352" t="s">
        <v>974</v>
      </c>
      <c r="D924" s="355" t="s">
        <v>571</v>
      </c>
      <c r="E924" s="368">
        <v>45279</v>
      </c>
      <c r="F924" s="362">
        <v>45280</v>
      </c>
      <c r="G924" s="362">
        <v>45280</v>
      </c>
      <c r="H924" s="362">
        <v>45280</v>
      </c>
      <c r="I924" s="394">
        <v>45280</v>
      </c>
      <c r="J924" s="387" t="s">
        <v>1039</v>
      </c>
      <c r="K924" s="387" t="s">
        <v>296</v>
      </c>
      <c r="L924" s="402">
        <v>2</v>
      </c>
      <c r="M924" s="352" t="s">
        <v>488</v>
      </c>
      <c r="N924" s="403">
        <v>300000</v>
      </c>
      <c r="O924" s="404">
        <v>600000</v>
      </c>
      <c r="P924" s="272">
        <v>9</v>
      </c>
      <c r="Q924" s="275"/>
      <c r="R924" s="437">
        <v>400000</v>
      </c>
      <c r="S924" s="274">
        <f t="shared" si="96"/>
        <v>604000</v>
      </c>
      <c r="T924" s="275"/>
      <c r="U924" s="460" t="str">
        <f t="shared" si="94"/>
        <v/>
      </c>
      <c r="V924" s="439"/>
      <c r="W924" s="439"/>
      <c r="X924" s="275"/>
      <c r="Y924" s="428" t="str">
        <f t="shared" si="95"/>
        <v>Spanduk</v>
      </c>
      <c r="Z924" s="449" t="s">
        <v>1554</v>
      </c>
      <c r="AA924" s="432" t="s">
        <v>488</v>
      </c>
      <c r="AB924" s="457">
        <f t="shared" si="90"/>
        <v>270270.2702702703</v>
      </c>
      <c r="AC924" s="458">
        <f t="shared" si="91"/>
        <v>540540.54054054059</v>
      </c>
      <c r="AD924" s="455">
        <v>400000</v>
      </c>
      <c r="AE924" s="240"/>
      <c r="AF924" s="240"/>
      <c r="AG924" s="437">
        <v>400000</v>
      </c>
      <c r="AH924" s="271" t="s">
        <v>2101</v>
      </c>
    </row>
    <row r="925" spans="1:34">
      <c r="A925" s="350">
        <v>445</v>
      </c>
      <c r="B925" s="352" t="s">
        <v>1522</v>
      </c>
      <c r="C925" s="352" t="s">
        <v>974</v>
      </c>
      <c r="D925" s="355" t="s">
        <v>1174</v>
      </c>
      <c r="E925" s="368">
        <v>45279</v>
      </c>
      <c r="F925" s="362">
        <v>45280</v>
      </c>
      <c r="G925" s="362">
        <v>45280</v>
      </c>
      <c r="H925" s="362">
        <v>45280</v>
      </c>
      <c r="I925" s="394">
        <v>45280</v>
      </c>
      <c r="J925" s="387" t="s">
        <v>1175</v>
      </c>
      <c r="K925" s="388" t="s">
        <v>1513</v>
      </c>
      <c r="L925" s="402">
        <v>4</v>
      </c>
      <c r="M925" s="352" t="s">
        <v>608</v>
      </c>
      <c r="N925" s="403">
        <v>600000</v>
      </c>
      <c r="O925" s="404">
        <v>2400000</v>
      </c>
      <c r="P925" s="272">
        <v>9</v>
      </c>
      <c r="Q925" s="281"/>
      <c r="R925" s="273">
        <v>1000000</v>
      </c>
      <c r="S925" s="274">
        <f t="shared" si="96"/>
        <v>2408000</v>
      </c>
      <c r="T925" s="439" t="s">
        <v>227</v>
      </c>
      <c r="U925" s="460" t="str">
        <f t="shared" si="94"/>
        <v/>
      </c>
      <c r="V925" s="439" t="s">
        <v>1248</v>
      </c>
      <c r="W925" s="439" t="s">
        <v>540</v>
      </c>
      <c r="X925" s="275"/>
      <c r="Y925" s="428" t="str">
        <f t="shared" si="95"/>
        <v>Hadiah Lomba</v>
      </c>
      <c r="Z925" s="449" t="s">
        <v>1553</v>
      </c>
      <c r="AA925" s="432" t="s">
        <v>597</v>
      </c>
      <c r="AB925" s="457">
        <f t="shared" si="90"/>
        <v>540540.54054054059</v>
      </c>
      <c r="AC925" s="458">
        <f t="shared" si="91"/>
        <v>2162162.1621621624</v>
      </c>
      <c r="AD925" s="455">
        <v>1000000</v>
      </c>
      <c r="AE925" s="240"/>
      <c r="AF925" s="240"/>
      <c r="AG925" s="437">
        <v>1000000</v>
      </c>
      <c r="AH925" s="271" t="s">
        <v>2101</v>
      </c>
    </row>
    <row r="926" spans="1:34">
      <c r="A926" s="350">
        <v>446</v>
      </c>
      <c r="B926" s="352" t="s">
        <v>1523</v>
      </c>
      <c r="C926" s="352" t="s">
        <v>974</v>
      </c>
      <c r="D926" s="355" t="s">
        <v>464</v>
      </c>
      <c r="E926" s="368">
        <v>45279</v>
      </c>
      <c r="F926" s="362">
        <v>45280</v>
      </c>
      <c r="G926" s="362">
        <v>45280</v>
      </c>
      <c r="H926" s="362">
        <v>45280</v>
      </c>
      <c r="I926" s="394">
        <v>45280</v>
      </c>
      <c r="J926" s="387" t="s">
        <v>1524</v>
      </c>
      <c r="K926" s="352" t="s">
        <v>487</v>
      </c>
      <c r="L926" s="402">
        <v>750</v>
      </c>
      <c r="M926" s="352" t="s">
        <v>488</v>
      </c>
      <c r="N926" s="403">
        <v>10000</v>
      </c>
      <c r="O926" s="404">
        <v>7500000</v>
      </c>
      <c r="P926" s="421">
        <v>10</v>
      </c>
      <c r="Q926" s="275"/>
      <c r="R926" s="437">
        <v>125000</v>
      </c>
      <c r="S926" s="274">
        <f t="shared" si="96"/>
        <v>9000000</v>
      </c>
      <c r="T926" s="439" t="s">
        <v>10</v>
      </c>
      <c r="U926" s="460"/>
      <c r="V926" s="439" t="s">
        <v>11</v>
      </c>
      <c r="W926" s="439" t="s">
        <v>473</v>
      </c>
      <c r="X926" s="275"/>
      <c r="Y926" s="428" t="str">
        <f t="shared" si="95"/>
        <v>Snack pada kegiatan Perayaan Hari Natal dan Tahun Baru</v>
      </c>
      <c r="Z926" s="449"/>
      <c r="AA926" s="432" t="s">
        <v>231</v>
      </c>
      <c r="AB926" s="457">
        <f t="shared" si="90"/>
        <v>9009.0090090090089</v>
      </c>
      <c r="AC926" s="458">
        <f t="shared" si="91"/>
        <v>6756756.7567567565</v>
      </c>
      <c r="AD926" s="455">
        <v>125000</v>
      </c>
      <c r="AE926" s="240"/>
      <c r="AF926" s="240"/>
      <c r="AG926" s="437">
        <v>125000</v>
      </c>
      <c r="AH926" s="271" t="s">
        <v>2092</v>
      </c>
    </row>
    <row r="927" spans="1:34">
      <c r="A927" s="350">
        <v>446</v>
      </c>
      <c r="B927" s="352" t="s">
        <v>1523</v>
      </c>
      <c r="C927" s="352" t="s">
        <v>974</v>
      </c>
      <c r="D927" s="355" t="s">
        <v>464</v>
      </c>
      <c r="E927" s="368">
        <v>45279</v>
      </c>
      <c r="F927" s="362">
        <v>45280</v>
      </c>
      <c r="G927" s="362">
        <v>45280</v>
      </c>
      <c r="H927" s="362">
        <v>45280</v>
      </c>
      <c r="I927" s="394">
        <v>45280</v>
      </c>
      <c r="J927" s="387" t="s">
        <v>1525</v>
      </c>
      <c r="K927" s="387" t="s">
        <v>471</v>
      </c>
      <c r="L927" s="402">
        <v>40</v>
      </c>
      <c r="M927" s="352" t="s">
        <v>472</v>
      </c>
      <c r="N927" s="403">
        <v>70000</v>
      </c>
      <c r="O927" s="404">
        <v>2800000</v>
      </c>
      <c r="P927" s="421">
        <v>10</v>
      </c>
      <c r="Q927" s="275"/>
      <c r="R927" s="437">
        <v>5000000</v>
      </c>
      <c r="S927" s="274">
        <f t="shared" si="96"/>
        <v>2880000</v>
      </c>
      <c r="T927" s="439" t="s">
        <v>10</v>
      </c>
      <c r="U927" s="460"/>
      <c r="V927" s="439" t="s">
        <v>11</v>
      </c>
      <c r="W927" s="439" t="s">
        <v>473</v>
      </c>
      <c r="X927" s="275"/>
      <c r="Y927" s="428" t="str">
        <f t="shared" si="95"/>
        <v>Air Mineral pada kegiatan Perayaan Natal dan Tahun Baru</v>
      </c>
      <c r="Z927" s="449"/>
      <c r="AA927" s="432" t="s">
        <v>231</v>
      </c>
      <c r="AB927" s="457">
        <f t="shared" si="90"/>
        <v>63063.063063063062</v>
      </c>
      <c r="AC927" s="458">
        <f t="shared" si="91"/>
        <v>2522522.5225225226</v>
      </c>
      <c r="AD927" s="455">
        <v>5000000</v>
      </c>
      <c r="AE927" s="240"/>
      <c r="AF927" s="240"/>
      <c r="AG927" s="437">
        <v>5000000</v>
      </c>
      <c r="AH927" s="271" t="s">
        <v>2092</v>
      </c>
    </row>
    <row r="928" spans="1:34" ht="25">
      <c r="A928" s="350">
        <v>446</v>
      </c>
      <c r="B928" s="352" t="s">
        <v>1523</v>
      </c>
      <c r="C928" s="352" t="s">
        <v>974</v>
      </c>
      <c r="D928" s="355" t="s">
        <v>464</v>
      </c>
      <c r="E928" s="368">
        <v>45279</v>
      </c>
      <c r="F928" s="362">
        <v>45280</v>
      </c>
      <c r="G928" s="362">
        <v>45280</v>
      </c>
      <c r="H928" s="362">
        <v>45280</v>
      </c>
      <c r="I928" s="394">
        <v>45280</v>
      </c>
      <c r="J928" s="387" t="s">
        <v>1526</v>
      </c>
      <c r="K928" s="352" t="s">
        <v>487</v>
      </c>
      <c r="L928" s="402">
        <v>250</v>
      </c>
      <c r="M928" s="352" t="s">
        <v>231</v>
      </c>
      <c r="N928" s="403">
        <v>15000</v>
      </c>
      <c r="O928" s="404">
        <v>3750000</v>
      </c>
      <c r="P928" s="421">
        <v>10</v>
      </c>
      <c r="Q928" s="275"/>
      <c r="R928" s="437">
        <v>1200000</v>
      </c>
      <c r="S928" s="274">
        <f t="shared" si="96"/>
        <v>4250000</v>
      </c>
      <c r="T928" s="439" t="s">
        <v>10</v>
      </c>
      <c r="U928" s="460"/>
      <c r="V928" s="439" t="s">
        <v>11</v>
      </c>
      <c r="W928" s="439" t="s">
        <v>473</v>
      </c>
      <c r="X928" s="275"/>
      <c r="Y928" s="428" t="str">
        <f t="shared" si="95"/>
        <v>Snack GTK d an Undangan pada kegiatan Perayaan Hari Natal dan Tahun Baru</v>
      </c>
      <c r="Z928" s="449"/>
      <c r="AA928" s="432" t="s">
        <v>587</v>
      </c>
      <c r="AB928" s="457">
        <f t="shared" si="90"/>
        <v>13513.513513513513</v>
      </c>
      <c r="AC928" s="458">
        <f t="shared" si="91"/>
        <v>3378378.3783783782</v>
      </c>
      <c r="AD928" s="455">
        <v>1200000</v>
      </c>
      <c r="AE928" s="240"/>
      <c r="AF928" s="240"/>
      <c r="AG928" s="437">
        <v>1200000</v>
      </c>
      <c r="AH928" s="271" t="s">
        <v>2092</v>
      </c>
    </row>
    <row r="929" spans="1:34" ht="25">
      <c r="A929" s="350">
        <v>447</v>
      </c>
      <c r="B929" s="352" t="s">
        <v>1527</v>
      </c>
      <c r="C929" s="352" t="s">
        <v>974</v>
      </c>
      <c r="D929" s="355" t="s">
        <v>1528</v>
      </c>
      <c r="E929" s="368">
        <v>45279</v>
      </c>
      <c r="F929" s="362">
        <v>45280</v>
      </c>
      <c r="G929" s="362">
        <v>45280</v>
      </c>
      <c r="H929" s="362">
        <v>45280</v>
      </c>
      <c r="I929" s="394">
        <v>45280</v>
      </c>
      <c r="J929" s="387" t="s">
        <v>1529</v>
      </c>
      <c r="K929" s="387" t="s">
        <v>1530</v>
      </c>
      <c r="L929" s="402">
        <v>1</v>
      </c>
      <c r="M929" s="352" t="s">
        <v>608</v>
      </c>
      <c r="N929" s="403">
        <v>3500000</v>
      </c>
      <c r="O929" s="404">
        <v>3500000</v>
      </c>
      <c r="P929" s="421">
        <v>10</v>
      </c>
      <c r="Q929" s="275"/>
      <c r="R929" s="437">
        <v>2000000</v>
      </c>
      <c r="S929" s="274">
        <f t="shared" si="96"/>
        <v>3502000</v>
      </c>
      <c r="T929" s="275"/>
      <c r="U929" s="460" t="str">
        <f t="shared" si="94"/>
        <v/>
      </c>
      <c r="V929" s="439"/>
      <c r="W929" s="439"/>
      <c r="X929" s="275"/>
      <c r="Y929" s="428" t="str">
        <f t="shared" si="95"/>
        <v>Biaya Sewa Gedung untuk kegiatan Perayaan hari Natal dan Tahun Baru</v>
      </c>
      <c r="Z929" s="449"/>
      <c r="AA929" s="432" t="s">
        <v>587</v>
      </c>
      <c r="AB929" s="457">
        <f t="shared" si="90"/>
        <v>3153153.1531531531</v>
      </c>
      <c r="AC929" s="458">
        <f t="shared" si="91"/>
        <v>3153153.1531531531</v>
      </c>
      <c r="AD929" s="455">
        <v>2000000</v>
      </c>
      <c r="AE929" s="240"/>
      <c r="AF929" s="240"/>
      <c r="AG929" s="437">
        <v>2000000</v>
      </c>
    </row>
    <row r="930" spans="1:34">
      <c r="A930" s="350">
        <v>448</v>
      </c>
      <c r="B930" s="352" t="s">
        <v>1533</v>
      </c>
      <c r="C930" s="352" t="s">
        <v>594</v>
      </c>
      <c r="D930" s="355" t="s">
        <v>464</v>
      </c>
      <c r="E930" s="368">
        <v>45281</v>
      </c>
      <c r="F930" s="362">
        <v>45282</v>
      </c>
      <c r="G930" s="362">
        <v>45282</v>
      </c>
      <c r="H930" s="362">
        <v>45282</v>
      </c>
      <c r="I930" s="394">
        <v>45282</v>
      </c>
      <c r="J930" s="387" t="s">
        <v>596</v>
      </c>
      <c r="K930" s="387" t="s">
        <v>467</v>
      </c>
      <c r="L930" s="402">
        <v>70</v>
      </c>
      <c r="M930" s="352" t="s">
        <v>597</v>
      </c>
      <c r="N930" s="403">
        <v>35000</v>
      </c>
      <c r="O930" s="404">
        <v>2450000</v>
      </c>
      <c r="P930" s="421">
        <v>10</v>
      </c>
      <c r="Q930" s="275"/>
      <c r="R930" s="437">
        <v>400000</v>
      </c>
      <c r="S930" s="274">
        <f t="shared" si="96"/>
        <v>2590000</v>
      </c>
      <c r="T930" s="444" t="s">
        <v>282</v>
      </c>
      <c r="U930" s="460" t="str">
        <f t="shared" si="94"/>
        <v>Resto JFC Esther</v>
      </c>
      <c r="V930" s="444" t="s">
        <v>1258</v>
      </c>
      <c r="W930" s="444" t="s">
        <v>468</v>
      </c>
      <c r="X930" s="439"/>
      <c r="Y930" s="428" t="str">
        <f t="shared" si="95"/>
        <v>Konsumsi rapat rutin sekolah</v>
      </c>
      <c r="Z930" s="449" t="s">
        <v>1554</v>
      </c>
      <c r="AA930" s="432" t="s">
        <v>488</v>
      </c>
      <c r="AB930" s="457">
        <f t="shared" si="90"/>
        <v>31531.531531531531</v>
      </c>
      <c r="AC930" s="458">
        <f t="shared" si="91"/>
        <v>2207207.2072072071</v>
      </c>
      <c r="AD930" s="455">
        <v>400000</v>
      </c>
      <c r="AE930" s="240"/>
      <c r="AF930" s="240"/>
      <c r="AG930" s="437">
        <v>400000</v>
      </c>
      <c r="AH930" s="271" t="s">
        <v>2091</v>
      </c>
    </row>
    <row r="931" spans="1:34">
      <c r="A931" s="350">
        <v>449</v>
      </c>
      <c r="B931" s="352" t="s">
        <v>1534</v>
      </c>
      <c r="C931" s="352" t="s">
        <v>594</v>
      </c>
      <c r="D931" s="355" t="s">
        <v>464</v>
      </c>
      <c r="E931" s="368">
        <v>45281</v>
      </c>
      <c r="F931" s="362">
        <v>45282</v>
      </c>
      <c r="G931" s="362">
        <v>45282</v>
      </c>
      <c r="H931" s="362">
        <v>45282</v>
      </c>
      <c r="I931" s="394">
        <v>45282</v>
      </c>
      <c r="J931" s="387" t="s">
        <v>599</v>
      </c>
      <c r="K931" s="387" t="s">
        <v>471</v>
      </c>
      <c r="L931" s="402">
        <v>8</v>
      </c>
      <c r="M931" s="352" t="s">
        <v>472</v>
      </c>
      <c r="N931" s="403">
        <v>70000</v>
      </c>
      <c r="O931" s="404">
        <v>560000</v>
      </c>
      <c r="P931" s="421">
        <v>10</v>
      </c>
      <c r="Q931" s="275"/>
      <c r="R931" s="437">
        <v>100000</v>
      </c>
      <c r="S931" s="274">
        <f t="shared" si="96"/>
        <v>576000</v>
      </c>
      <c r="T931" s="439" t="s">
        <v>10</v>
      </c>
      <c r="U931" s="460"/>
      <c r="V931" s="439" t="s">
        <v>11</v>
      </c>
      <c r="W931" s="439" t="s">
        <v>473</v>
      </c>
      <c r="X931" s="439"/>
      <c r="Y931" s="439" t="str">
        <f t="shared" si="95"/>
        <v>Air mineral botol 600 ml rapat rutin sekolah</v>
      </c>
      <c r="Z931" s="449"/>
      <c r="AA931" s="440" t="s">
        <v>587</v>
      </c>
      <c r="AB931" s="441">
        <f t="shared" si="90"/>
        <v>63063.063063063062</v>
      </c>
      <c r="AC931" s="442">
        <f t="shared" si="91"/>
        <v>504504.5045045045</v>
      </c>
      <c r="AD931" s="437">
        <v>100000</v>
      </c>
      <c r="AE931" s="447"/>
      <c r="AF931" s="447"/>
      <c r="AG931" s="437">
        <v>100000</v>
      </c>
      <c r="AH931" s="271" t="s">
        <v>2092</v>
      </c>
    </row>
    <row r="932" spans="1:34">
      <c r="A932" s="350">
        <v>499</v>
      </c>
      <c r="B932" s="352" t="s">
        <v>1534</v>
      </c>
      <c r="C932" s="352" t="s">
        <v>594</v>
      </c>
      <c r="D932" s="355" t="s">
        <v>464</v>
      </c>
      <c r="E932" s="368">
        <v>45281</v>
      </c>
      <c r="F932" s="362">
        <v>45282</v>
      </c>
      <c r="G932" s="362">
        <v>45282</v>
      </c>
      <c r="H932" s="362">
        <v>45282</v>
      </c>
      <c r="I932" s="394">
        <v>45282</v>
      </c>
      <c r="J932" s="387" t="s">
        <v>601</v>
      </c>
      <c r="K932" s="352" t="s">
        <v>487</v>
      </c>
      <c r="L932" s="402">
        <v>140</v>
      </c>
      <c r="M932" s="352" t="s">
        <v>488</v>
      </c>
      <c r="N932" s="403">
        <v>8000</v>
      </c>
      <c r="O932" s="404">
        <v>1120000</v>
      </c>
      <c r="P932" s="272">
        <v>10</v>
      </c>
      <c r="Q932" s="275"/>
      <c r="R932" s="437">
        <v>200000</v>
      </c>
      <c r="S932" s="274">
        <f t="shared" si="96"/>
        <v>1400000</v>
      </c>
      <c r="T932" s="439" t="s">
        <v>10</v>
      </c>
      <c r="U932" s="460"/>
      <c r="V932" s="439" t="s">
        <v>11</v>
      </c>
      <c r="W932" s="439" t="s">
        <v>473</v>
      </c>
      <c r="X932" s="439"/>
      <c r="Y932" s="428" t="str">
        <f t="shared" si="95"/>
        <v>Snack rapat rutin sekolah</v>
      </c>
      <c r="Z932" s="449"/>
      <c r="AA932" s="432" t="s">
        <v>574</v>
      </c>
      <c r="AB932" s="457">
        <f t="shared" si="90"/>
        <v>7207.2072072072069</v>
      </c>
      <c r="AC932" s="458">
        <f t="shared" si="91"/>
        <v>1009009.009009009</v>
      </c>
      <c r="AD932" s="455">
        <v>200000</v>
      </c>
      <c r="AE932" s="240"/>
      <c r="AF932" s="240"/>
      <c r="AG932" s="437">
        <v>200000</v>
      </c>
      <c r="AH932" s="271" t="s">
        <v>2092</v>
      </c>
    </row>
    <row r="933" spans="1:34">
      <c r="A933" s="773"/>
      <c r="B933" s="352" t="s">
        <v>676</v>
      </c>
      <c r="C933" s="352" t="s">
        <v>610</v>
      </c>
      <c r="D933" s="355" t="s">
        <v>611</v>
      </c>
      <c r="E933" s="374" t="s">
        <v>677</v>
      </c>
      <c r="F933" s="361">
        <v>44982</v>
      </c>
      <c r="G933" s="361">
        <f>F933</f>
        <v>44982</v>
      </c>
      <c r="H933" s="361">
        <f>G933</f>
        <v>44982</v>
      </c>
      <c r="I933" s="365">
        <v>45034</v>
      </c>
      <c r="J933" s="387" t="s">
        <v>612</v>
      </c>
      <c r="K933" s="352" t="s">
        <v>613</v>
      </c>
      <c r="L933" s="402">
        <v>1</v>
      </c>
      <c r="M933" s="352" t="s">
        <v>614</v>
      </c>
      <c r="N933" s="403">
        <v>1000000</v>
      </c>
      <c r="O933" s="404">
        <v>1000000</v>
      </c>
      <c r="P933" s="272">
        <v>10</v>
      </c>
      <c r="Q933" s="275"/>
      <c r="R933" s="437">
        <v>1000000</v>
      </c>
      <c r="S933" s="274">
        <f t="shared" si="96"/>
        <v>1002000</v>
      </c>
      <c r="T933" s="275"/>
      <c r="U933" s="460" t="str">
        <f t="shared" si="94"/>
        <v/>
      </c>
      <c r="V933" s="439"/>
      <c r="W933" s="439"/>
      <c r="X933" s="439"/>
      <c r="Y933" s="428" t="str">
        <f t="shared" si="95"/>
        <v>Belanja jasa pendataan dapodik</v>
      </c>
      <c r="Z933" s="449" t="s">
        <v>1553</v>
      </c>
      <c r="AA933" s="432" t="s">
        <v>488</v>
      </c>
      <c r="AB933" s="457">
        <f t="shared" si="90"/>
        <v>900900.90090090095</v>
      </c>
      <c r="AC933" s="458">
        <f t="shared" si="91"/>
        <v>900900.90090090095</v>
      </c>
      <c r="AD933" s="455">
        <v>1000000</v>
      </c>
      <c r="AE933" s="240"/>
      <c r="AF933" s="240"/>
      <c r="AG933" s="437">
        <v>1000000</v>
      </c>
    </row>
    <row r="934" spans="1:34">
      <c r="A934" s="773"/>
      <c r="B934" s="352" t="s">
        <v>932</v>
      </c>
      <c r="C934" s="352" t="s">
        <v>863</v>
      </c>
      <c r="D934" s="355" t="s">
        <v>864</v>
      </c>
      <c r="E934" s="377">
        <v>45020</v>
      </c>
      <c r="F934" s="361">
        <v>45024</v>
      </c>
      <c r="G934" s="361">
        <v>45021</v>
      </c>
      <c r="H934" s="361">
        <v>45021</v>
      </c>
      <c r="I934" s="394">
        <v>45037</v>
      </c>
      <c r="J934" s="387" t="s">
        <v>933</v>
      </c>
      <c r="K934" s="352" t="s">
        <v>934</v>
      </c>
      <c r="L934" s="408">
        <v>6</v>
      </c>
      <c r="M934" s="352" t="s">
        <v>868</v>
      </c>
      <c r="N934" s="409">
        <v>200000</v>
      </c>
      <c r="O934" s="404">
        <v>1200000</v>
      </c>
      <c r="P934" s="272">
        <v>10</v>
      </c>
      <c r="Q934" s="281"/>
      <c r="R934" s="437">
        <v>3450000</v>
      </c>
      <c r="S934" s="274">
        <f t="shared" si="96"/>
        <v>1212000</v>
      </c>
      <c r="T934" s="802"/>
      <c r="U934" s="460" t="str">
        <f t="shared" si="94"/>
        <v/>
      </c>
      <c r="V934" s="597"/>
      <c r="W934" s="439"/>
      <c r="X934" s="439"/>
      <c r="Y934" s="428" t="str">
        <f t="shared" si="95"/>
        <v>Biaya Penginapan Peserta Lomba MTQ Tingkat Propinsi</v>
      </c>
      <c r="Z934" s="449"/>
      <c r="AA934" s="432" t="s">
        <v>940</v>
      </c>
      <c r="AB934" s="457">
        <f t="shared" si="90"/>
        <v>180180.18018018018</v>
      </c>
      <c r="AC934" s="458">
        <f t="shared" si="91"/>
        <v>1081081.0810810812</v>
      </c>
      <c r="AD934" s="455">
        <v>3450000</v>
      </c>
      <c r="AE934" s="240"/>
      <c r="AF934" s="240"/>
      <c r="AG934" s="437">
        <v>3450000</v>
      </c>
    </row>
    <row r="935" spans="1:34">
      <c r="A935" s="773"/>
      <c r="B935" s="352" t="s">
        <v>935</v>
      </c>
      <c r="C935" s="352" t="s">
        <v>863</v>
      </c>
      <c r="D935" s="355" t="s">
        <v>864</v>
      </c>
      <c r="E935" s="377">
        <v>45020</v>
      </c>
      <c r="F935" s="361">
        <v>45021</v>
      </c>
      <c r="G935" s="361">
        <v>45021</v>
      </c>
      <c r="H935" s="361">
        <v>45021</v>
      </c>
      <c r="I935" s="394">
        <v>45044</v>
      </c>
      <c r="J935" s="387" t="s">
        <v>936</v>
      </c>
      <c r="K935" s="352" t="s">
        <v>937</v>
      </c>
      <c r="L935" s="402">
        <v>35</v>
      </c>
      <c r="M935" s="352" t="s">
        <v>528</v>
      </c>
      <c r="N935" s="403">
        <v>1558081</v>
      </c>
      <c r="O935" s="404">
        <v>54532835</v>
      </c>
      <c r="P935" s="272">
        <v>10</v>
      </c>
      <c r="Q935" s="281"/>
      <c r="R935" s="437">
        <v>3450000</v>
      </c>
      <c r="S935" s="274">
        <f t="shared" si="96"/>
        <v>54602835</v>
      </c>
      <c r="T935" s="802"/>
      <c r="U935" s="460" t="str">
        <f t="shared" si="94"/>
        <v/>
      </c>
      <c r="V935" s="597"/>
      <c r="W935" s="439"/>
      <c r="X935" s="439"/>
      <c r="Y935" s="428" t="str">
        <f t="shared" si="95"/>
        <v>Transportasi Peserta Pesparawi Tingkat Propinsi</v>
      </c>
      <c r="Z935" s="449"/>
      <c r="AA935" s="607"/>
      <c r="AB935" s="457">
        <f t="shared" si="90"/>
        <v>1403676.5765765766</v>
      </c>
      <c r="AC935" s="458">
        <f t="shared" si="91"/>
        <v>49128680.180180177</v>
      </c>
      <c r="AD935" s="455">
        <v>3450000</v>
      </c>
      <c r="AE935" s="240"/>
      <c r="AF935" s="240"/>
      <c r="AG935" s="437">
        <v>3450000</v>
      </c>
    </row>
    <row r="936" spans="1:34">
      <c r="A936" s="773"/>
      <c r="B936" s="352" t="s">
        <v>938</v>
      </c>
      <c r="C936" s="352" t="s">
        <v>863</v>
      </c>
      <c r="D936" s="355" t="s">
        <v>864</v>
      </c>
      <c r="E936" s="377">
        <v>45020</v>
      </c>
      <c r="F936" s="361">
        <v>45021</v>
      </c>
      <c r="G936" s="361">
        <v>45021</v>
      </c>
      <c r="H936" s="361">
        <v>45021</v>
      </c>
      <c r="I936" s="394">
        <v>45044</v>
      </c>
      <c r="J936" s="387" t="s">
        <v>939</v>
      </c>
      <c r="K936" s="352" t="s">
        <v>937</v>
      </c>
      <c r="L936" s="408">
        <v>9</v>
      </c>
      <c r="M936" s="352" t="s">
        <v>940</v>
      </c>
      <c r="N936" s="409">
        <v>1677500</v>
      </c>
      <c r="O936" s="404">
        <v>15097500</v>
      </c>
      <c r="P936" s="421"/>
      <c r="Q936" s="281"/>
      <c r="R936" s="437"/>
      <c r="S936" s="274">
        <f t="shared" si="96"/>
        <v>15115500</v>
      </c>
      <c r="T936" s="802"/>
      <c r="U936" s="460" t="str">
        <f t="shared" si="94"/>
        <v/>
      </c>
      <c r="V936" s="597"/>
      <c r="W936" s="439"/>
      <c r="X936" s="439"/>
      <c r="Y936" s="428" t="s">
        <v>710</v>
      </c>
      <c r="Z936" s="449" t="s">
        <v>710</v>
      </c>
      <c r="AA936" s="432" t="s">
        <v>728</v>
      </c>
      <c r="AB936" s="457">
        <f t="shared" si="90"/>
        <v>1511261.2612612613</v>
      </c>
      <c r="AC936" s="458">
        <f t="shared" si="91"/>
        <v>13601351.351351352</v>
      </c>
      <c r="AD936" s="273"/>
      <c r="AE936" s="240"/>
      <c r="AF936" s="240"/>
      <c r="AG936" s="437"/>
    </row>
    <row r="937" spans="1:34">
      <c r="A937" s="773"/>
      <c r="B937" s="352" t="s">
        <v>941</v>
      </c>
      <c r="C937" s="352" t="s">
        <v>863</v>
      </c>
      <c r="D937" s="355" t="s">
        <v>864</v>
      </c>
      <c r="E937" s="377">
        <v>45020</v>
      </c>
      <c r="F937" s="361">
        <v>45021</v>
      </c>
      <c r="G937" s="361">
        <v>45021</v>
      </c>
      <c r="H937" s="361">
        <v>45021</v>
      </c>
      <c r="I937" s="394">
        <v>45044</v>
      </c>
      <c r="J937" s="388" t="s">
        <v>942</v>
      </c>
      <c r="K937" s="352" t="s">
        <v>943</v>
      </c>
      <c r="L937" s="408">
        <v>16</v>
      </c>
      <c r="M937" s="352" t="s">
        <v>868</v>
      </c>
      <c r="N937" s="409">
        <v>100000</v>
      </c>
      <c r="O937" s="404">
        <v>1600000</v>
      </c>
      <c r="P937" s="421">
        <v>11</v>
      </c>
      <c r="Q937" s="275"/>
      <c r="R937" s="437">
        <v>3450000</v>
      </c>
      <c r="S937" s="274">
        <f t="shared" si="96"/>
        <v>1632000</v>
      </c>
      <c r="T937" s="275"/>
      <c r="U937" s="460" t="str">
        <f t="shared" si="94"/>
        <v/>
      </c>
      <c r="V937" s="439"/>
      <c r="W937" s="439"/>
      <c r="X937" s="439"/>
      <c r="Y937" s="428" t="str">
        <f t="shared" ref="Y937:Y951" si="98">J937</f>
        <v>Uang Saku Peserta Lomba MTQ Tingkat Propinsi</v>
      </c>
      <c r="Z937" s="449"/>
      <c r="AA937" s="432" t="s">
        <v>488</v>
      </c>
      <c r="AB937" s="457">
        <f t="shared" si="90"/>
        <v>90090.090090090089</v>
      </c>
      <c r="AC937" s="458">
        <f t="shared" si="91"/>
        <v>1441441.4414414414</v>
      </c>
      <c r="AD937" s="455">
        <v>3450000</v>
      </c>
      <c r="AE937" s="240"/>
      <c r="AF937" s="240"/>
      <c r="AG937" s="437">
        <v>3450000</v>
      </c>
    </row>
    <row r="938" spans="1:34">
      <c r="A938" s="773"/>
      <c r="B938" s="352" t="s">
        <v>944</v>
      </c>
      <c r="C938" s="352" t="s">
        <v>863</v>
      </c>
      <c r="D938" s="355" t="s">
        <v>864</v>
      </c>
      <c r="E938" s="377">
        <v>45020</v>
      </c>
      <c r="F938" s="361">
        <v>45021</v>
      </c>
      <c r="G938" s="361">
        <v>45021</v>
      </c>
      <c r="H938" s="361">
        <v>45021</v>
      </c>
      <c r="I938" s="394">
        <v>45044</v>
      </c>
      <c r="J938" s="388" t="s">
        <v>945</v>
      </c>
      <c r="K938" s="352" t="s">
        <v>874</v>
      </c>
      <c r="L938" s="408">
        <v>2</v>
      </c>
      <c r="M938" s="352" t="s">
        <v>868</v>
      </c>
      <c r="N938" s="409">
        <v>350000</v>
      </c>
      <c r="O938" s="404">
        <v>700000</v>
      </c>
      <c r="P938" s="421">
        <v>11</v>
      </c>
      <c r="Q938" s="275"/>
      <c r="R938" s="437">
        <v>2000000</v>
      </c>
      <c r="S938" s="274">
        <f t="shared" si="96"/>
        <v>704000</v>
      </c>
      <c r="T938" s="275"/>
      <c r="U938" s="460" t="str">
        <f t="shared" si="94"/>
        <v/>
      </c>
      <c r="V938" s="439"/>
      <c r="W938" s="439"/>
      <c r="X938" s="439"/>
      <c r="Y938" s="428" t="str">
        <f t="shared" si="98"/>
        <v>Honor Pembimbing Lomba MTQ Tingkat Propinsi</v>
      </c>
      <c r="Z938" s="449"/>
      <c r="AA938" s="432" t="s">
        <v>587</v>
      </c>
      <c r="AB938" s="457">
        <f t="shared" si="90"/>
        <v>315315.31531531533</v>
      </c>
      <c r="AC938" s="458">
        <f t="shared" si="91"/>
        <v>630630.63063063065</v>
      </c>
      <c r="AD938" s="455">
        <v>2000000</v>
      </c>
      <c r="AE938" s="240"/>
      <c r="AF938" s="240"/>
      <c r="AG938" s="437">
        <v>2000000</v>
      </c>
    </row>
    <row r="939" spans="1:34">
      <c r="A939" s="773"/>
      <c r="B939" s="352" t="s">
        <v>993</v>
      </c>
      <c r="C939" s="352" t="s">
        <v>583</v>
      </c>
      <c r="D939" s="355" t="s">
        <v>584</v>
      </c>
      <c r="E939" s="376" t="s">
        <v>994</v>
      </c>
      <c r="F939" s="361">
        <v>45036</v>
      </c>
      <c r="G939" s="361">
        <v>45036</v>
      </c>
      <c r="H939" s="361">
        <v>45036</v>
      </c>
      <c r="I939" s="394">
        <v>45044</v>
      </c>
      <c r="J939" s="387" t="s">
        <v>841</v>
      </c>
      <c r="K939" s="352" t="s">
        <v>586</v>
      </c>
      <c r="L939" s="408">
        <v>1</v>
      </c>
      <c r="M939" s="352" t="s">
        <v>587</v>
      </c>
      <c r="N939" s="409">
        <v>2000000</v>
      </c>
      <c r="O939" s="404">
        <v>2000000</v>
      </c>
      <c r="P939" s="421">
        <v>11</v>
      </c>
      <c r="Q939" s="275"/>
      <c r="R939" s="437">
        <v>400000</v>
      </c>
      <c r="S939" s="274">
        <f t="shared" si="96"/>
        <v>2002000</v>
      </c>
      <c r="T939" s="275"/>
      <c r="U939" s="460" t="str">
        <f t="shared" si="94"/>
        <v/>
      </c>
      <c r="V939" s="439"/>
      <c r="W939" s="439"/>
      <c r="X939" s="439"/>
      <c r="Y939" s="428" t="str">
        <f t="shared" si="98"/>
        <v>Pembayaran Langganan Daya dan Jasa listrik</v>
      </c>
      <c r="Z939" s="449" t="s">
        <v>1554</v>
      </c>
      <c r="AA939" s="432" t="s">
        <v>587</v>
      </c>
      <c r="AB939" s="457">
        <f t="shared" si="90"/>
        <v>1801801.8018018019</v>
      </c>
      <c r="AC939" s="458">
        <f t="shared" si="91"/>
        <v>1801801.8018018019</v>
      </c>
      <c r="AD939" s="455">
        <v>400000</v>
      </c>
      <c r="AE939" s="240"/>
      <c r="AF939" s="240"/>
      <c r="AG939" s="437">
        <v>400000</v>
      </c>
    </row>
    <row r="940" spans="1:34">
      <c r="A940" s="773"/>
      <c r="B940" s="352" t="s">
        <v>995</v>
      </c>
      <c r="C940" s="352" t="s">
        <v>589</v>
      </c>
      <c r="D940" s="355" t="s">
        <v>590</v>
      </c>
      <c r="E940" s="377">
        <v>45034</v>
      </c>
      <c r="F940" s="361">
        <v>45036</v>
      </c>
      <c r="G940" s="361">
        <v>45036</v>
      </c>
      <c r="H940" s="361">
        <v>45036</v>
      </c>
      <c r="I940" s="394">
        <v>45044</v>
      </c>
      <c r="J940" s="387" t="s">
        <v>843</v>
      </c>
      <c r="K940" s="352" t="s">
        <v>592</v>
      </c>
      <c r="L940" s="408">
        <v>1</v>
      </c>
      <c r="M940" s="352" t="s">
        <v>587</v>
      </c>
      <c r="N940" s="409">
        <v>1200000</v>
      </c>
      <c r="O940" s="404">
        <v>1200000</v>
      </c>
      <c r="P940" s="421">
        <v>11</v>
      </c>
      <c r="Q940" s="275"/>
      <c r="R940" s="437">
        <v>1200000</v>
      </c>
      <c r="S940" s="274">
        <f t="shared" si="96"/>
        <v>1202000</v>
      </c>
      <c r="T940" s="275"/>
      <c r="U940" s="460" t="str">
        <f t="shared" si="94"/>
        <v/>
      </c>
      <c r="V940" s="439"/>
      <c r="W940" s="439"/>
      <c r="X940" s="439"/>
      <c r="Y940" s="428" t="str">
        <f t="shared" si="98"/>
        <v>Pembayaran Langganan Daya dan Jasa Internet Indihome</v>
      </c>
      <c r="Z940" s="449"/>
      <c r="AA940" s="432" t="s">
        <v>587</v>
      </c>
      <c r="AB940" s="457">
        <f t="shared" si="90"/>
        <v>1081081.0810810812</v>
      </c>
      <c r="AC940" s="458">
        <f t="shared" si="91"/>
        <v>1081081.0810810812</v>
      </c>
      <c r="AD940" s="455">
        <v>1200000</v>
      </c>
      <c r="AE940" s="240"/>
      <c r="AF940" s="240"/>
      <c r="AG940" s="437">
        <v>1200000</v>
      </c>
    </row>
    <row r="941" spans="1:34">
      <c r="A941" s="773"/>
      <c r="B941" s="352" t="s">
        <v>997</v>
      </c>
      <c r="C941" s="352" t="s">
        <v>610</v>
      </c>
      <c r="D941" s="355" t="s">
        <v>611</v>
      </c>
      <c r="E941" s="377">
        <v>45040</v>
      </c>
      <c r="F941" s="361">
        <v>45041</v>
      </c>
      <c r="G941" s="361">
        <v>45041</v>
      </c>
      <c r="H941" s="361">
        <v>45041</v>
      </c>
      <c r="I941" s="394">
        <v>45044</v>
      </c>
      <c r="J941" s="387" t="s">
        <v>612</v>
      </c>
      <c r="K941" s="352" t="s">
        <v>613</v>
      </c>
      <c r="L941" s="408">
        <v>1</v>
      </c>
      <c r="M941" s="352" t="s">
        <v>614</v>
      </c>
      <c r="N941" s="409">
        <v>1000000</v>
      </c>
      <c r="O941" s="404">
        <v>1000000</v>
      </c>
      <c r="P941" s="421">
        <v>11</v>
      </c>
      <c r="Q941" s="275"/>
      <c r="R941" s="437">
        <v>100000</v>
      </c>
      <c r="S941" s="274">
        <f t="shared" si="96"/>
        <v>1002000</v>
      </c>
      <c r="T941" s="275"/>
      <c r="U941" s="460" t="str">
        <f t="shared" si="94"/>
        <v/>
      </c>
      <c r="V941" s="439"/>
      <c r="W941" s="439"/>
      <c r="X941" s="439"/>
      <c r="Y941" s="428" t="str">
        <f t="shared" si="98"/>
        <v>Belanja jasa pendataan dapodik</v>
      </c>
      <c r="Z941" s="449"/>
      <c r="AA941" s="432" t="s">
        <v>587</v>
      </c>
      <c r="AB941" s="457">
        <f t="shared" si="90"/>
        <v>900900.90090090095</v>
      </c>
      <c r="AC941" s="458">
        <f t="shared" si="91"/>
        <v>900900.90090090095</v>
      </c>
      <c r="AD941" s="455">
        <v>100000</v>
      </c>
      <c r="AE941" s="240"/>
      <c r="AF941" s="240"/>
      <c r="AG941" s="437">
        <v>100000</v>
      </c>
    </row>
    <row r="942" spans="1:34" ht="25">
      <c r="A942" s="773"/>
      <c r="B942" s="352" t="s">
        <v>1000</v>
      </c>
      <c r="C942" s="352" t="s">
        <v>627</v>
      </c>
      <c r="D942" s="355" t="s">
        <v>628</v>
      </c>
      <c r="E942" s="377">
        <v>45040</v>
      </c>
      <c r="F942" s="361">
        <v>45041</v>
      </c>
      <c r="G942" s="361">
        <v>45041</v>
      </c>
      <c r="H942" s="361">
        <v>45041</v>
      </c>
      <c r="I942" s="394">
        <v>45045</v>
      </c>
      <c r="J942" s="387" t="s">
        <v>630</v>
      </c>
      <c r="K942" s="352" t="s">
        <v>631</v>
      </c>
      <c r="L942" s="408">
        <v>1</v>
      </c>
      <c r="M942" s="352" t="s">
        <v>587</v>
      </c>
      <c r="N942" s="409">
        <v>100000</v>
      </c>
      <c r="O942" s="404">
        <v>100000</v>
      </c>
      <c r="P942" s="421">
        <v>11</v>
      </c>
      <c r="Q942" s="275"/>
      <c r="R942" s="437">
        <v>200000</v>
      </c>
      <c r="S942" s="274">
        <f t="shared" si="96"/>
        <v>102000</v>
      </c>
      <c r="T942" s="275"/>
      <c r="U942" s="460" t="str">
        <f t="shared" si="94"/>
        <v/>
      </c>
      <c r="V942" s="439"/>
      <c r="W942" s="439"/>
      <c r="X942" s="439"/>
      <c r="Y942" s="428" t="str">
        <f t="shared" si="98"/>
        <v>Pembayaran langganan surat kabar/media harian online Media Suara Nasional</v>
      </c>
      <c r="Z942" s="449"/>
      <c r="AA942" s="432" t="s">
        <v>597</v>
      </c>
      <c r="AB942" s="457">
        <f t="shared" si="90"/>
        <v>90090.090090090089</v>
      </c>
      <c r="AC942" s="458">
        <f t="shared" si="91"/>
        <v>90090.090090090089</v>
      </c>
      <c r="AD942" s="455">
        <v>200000</v>
      </c>
      <c r="AE942" s="240"/>
      <c r="AF942" s="240"/>
      <c r="AG942" s="437">
        <v>200000</v>
      </c>
    </row>
    <row r="943" spans="1:34" ht="25">
      <c r="A943" s="773"/>
      <c r="B943" s="352" t="s">
        <v>1001</v>
      </c>
      <c r="C943" s="352" t="s">
        <v>627</v>
      </c>
      <c r="D943" s="355" t="s">
        <v>628</v>
      </c>
      <c r="E943" s="377">
        <v>45040</v>
      </c>
      <c r="F943" s="361">
        <v>45041</v>
      </c>
      <c r="G943" s="361">
        <v>45041</v>
      </c>
      <c r="H943" s="361">
        <v>45041</v>
      </c>
      <c r="I943" s="394">
        <v>45045</v>
      </c>
      <c r="J943" s="387" t="s">
        <v>633</v>
      </c>
      <c r="K943" s="352" t="s">
        <v>631</v>
      </c>
      <c r="L943" s="408">
        <v>1</v>
      </c>
      <c r="M943" s="352" t="s">
        <v>587</v>
      </c>
      <c r="N943" s="409">
        <v>200000</v>
      </c>
      <c r="O943" s="404">
        <v>200000</v>
      </c>
      <c r="P943" s="421">
        <v>11</v>
      </c>
      <c r="Q943" s="275"/>
      <c r="R943" s="437">
        <v>1000000</v>
      </c>
      <c r="S943" s="274">
        <f t="shared" si="96"/>
        <v>202000</v>
      </c>
      <c r="T943" s="275"/>
      <c r="U943" s="460" t="str">
        <f t="shared" si="94"/>
        <v/>
      </c>
      <c r="V943" s="439"/>
      <c r="W943" s="439"/>
      <c r="X943" s="439"/>
      <c r="Y943" s="428" t="str">
        <f t="shared" si="98"/>
        <v>Pembayaran langganan surat kabar/media harian online Sumut Pos</v>
      </c>
      <c r="Z943" s="449" t="s">
        <v>1553</v>
      </c>
      <c r="AA943" s="432" t="s">
        <v>574</v>
      </c>
      <c r="AB943" s="457">
        <f t="shared" si="90"/>
        <v>180180.18018018018</v>
      </c>
      <c r="AC943" s="458">
        <f t="shared" si="91"/>
        <v>180180.18018018018</v>
      </c>
      <c r="AD943" s="455">
        <v>1000000</v>
      </c>
      <c r="AE943" s="240"/>
      <c r="AF943" s="240"/>
      <c r="AG943" s="437">
        <v>1000000</v>
      </c>
    </row>
    <row r="944" spans="1:34">
      <c r="A944" s="773"/>
      <c r="B944" s="352" t="s">
        <v>1002</v>
      </c>
      <c r="C944" s="352" t="s">
        <v>635</v>
      </c>
      <c r="D944" s="355" t="s">
        <v>590</v>
      </c>
      <c r="E944" s="377">
        <v>45040</v>
      </c>
      <c r="F944" s="361">
        <v>45041</v>
      </c>
      <c r="G944" s="361">
        <v>45041</v>
      </c>
      <c r="H944" s="361">
        <v>45041</v>
      </c>
      <c r="I944" s="394">
        <v>45045</v>
      </c>
      <c r="J944" s="387" t="s">
        <v>636</v>
      </c>
      <c r="K944" s="352" t="s">
        <v>637</v>
      </c>
      <c r="L944" s="408">
        <v>1</v>
      </c>
      <c r="M944" s="352" t="s">
        <v>587</v>
      </c>
      <c r="N944" s="409">
        <v>400000</v>
      </c>
      <c r="O944" s="404">
        <v>400000</v>
      </c>
      <c r="P944" s="421">
        <v>12</v>
      </c>
      <c r="Q944" s="275"/>
      <c r="R944" s="437">
        <v>2000000</v>
      </c>
      <c r="S944" s="274">
        <f t="shared" si="96"/>
        <v>402000</v>
      </c>
      <c r="T944" s="275"/>
      <c r="U944" s="460" t="str">
        <f t="shared" si="94"/>
        <v/>
      </c>
      <c r="V944" s="439"/>
      <c r="W944" s="439"/>
      <c r="X944" s="439"/>
      <c r="Y944" s="428" t="str">
        <f t="shared" si="98"/>
        <v>Belanja Iuran Paket Internet</v>
      </c>
      <c r="Z944" s="449"/>
      <c r="AA944" s="432" t="s">
        <v>587</v>
      </c>
      <c r="AB944" s="457">
        <f t="shared" si="90"/>
        <v>360360.36036036036</v>
      </c>
      <c r="AC944" s="458">
        <f t="shared" si="91"/>
        <v>360360.36036036036</v>
      </c>
      <c r="AD944" s="455">
        <v>2000000</v>
      </c>
      <c r="AE944" s="240"/>
      <c r="AF944" s="240"/>
      <c r="AG944" s="437">
        <v>2000000</v>
      </c>
    </row>
    <row r="945" spans="1:33">
      <c r="A945" s="773"/>
      <c r="B945" s="352"/>
      <c r="C945" s="262"/>
      <c r="D945" s="264"/>
      <c r="E945" s="782"/>
      <c r="F945" s="265"/>
      <c r="G945" s="265"/>
      <c r="H945" s="265"/>
      <c r="I945" s="785"/>
      <c r="J945" s="390"/>
      <c r="K945" s="390"/>
      <c r="L945" s="513"/>
      <c r="M945" s="513"/>
      <c r="N945" s="796"/>
      <c r="O945" s="792"/>
      <c r="P945" s="421">
        <v>12</v>
      </c>
      <c r="Q945" s="275"/>
      <c r="R945" s="437">
        <v>100000</v>
      </c>
      <c r="S945" s="274">
        <f t="shared" si="96"/>
        <v>0</v>
      </c>
      <c r="T945" s="275"/>
      <c r="U945" s="460" t="str">
        <f t="shared" si="94"/>
        <v/>
      </c>
      <c r="V945" s="439"/>
      <c r="W945" s="439"/>
      <c r="X945" s="439"/>
      <c r="Y945" s="275">
        <f t="shared" si="98"/>
        <v>0</v>
      </c>
      <c r="Z945" s="449"/>
      <c r="AA945" s="432" t="s">
        <v>587</v>
      </c>
      <c r="AB945" s="238">
        <f t="shared" si="90"/>
        <v>0</v>
      </c>
      <c r="AC945" s="239">
        <f t="shared" si="91"/>
        <v>0</v>
      </c>
      <c r="AD945" s="455">
        <v>100000</v>
      </c>
      <c r="AE945" s="240"/>
      <c r="AF945" s="240"/>
      <c r="AG945" s="437">
        <v>100000</v>
      </c>
    </row>
    <row r="946" spans="1:33">
      <c r="A946" s="773"/>
      <c r="B946" s="352" t="s">
        <v>1092</v>
      </c>
      <c r="C946" s="352" t="s">
        <v>583</v>
      </c>
      <c r="D946" s="355" t="s">
        <v>584</v>
      </c>
      <c r="E946" s="376" t="s">
        <v>1071</v>
      </c>
      <c r="F946" s="361" t="s">
        <v>1093</v>
      </c>
      <c r="G946" s="361" t="s">
        <v>1093</v>
      </c>
      <c r="H946" s="361" t="s">
        <v>1093</v>
      </c>
      <c r="I946" s="394">
        <v>45068</v>
      </c>
      <c r="J946" s="387" t="s">
        <v>841</v>
      </c>
      <c r="K946" s="387" t="s">
        <v>586</v>
      </c>
      <c r="L946" s="402">
        <v>1</v>
      </c>
      <c r="M946" s="352" t="s">
        <v>587</v>
      </c>
      <c r="N946" s="403">
        <v>2000000</v>
      </c>
      <c r="O946" s="404">
        <v>2000000</v>
      </c>
      <c r="P946" s="421">
        <v>12</v>
      </c>
      <c r="Q946" s="275"/>
      <c r="R946" s="437">
        <v>200000</v>
      </c>
      <c r="S946" s="274">
        <f t="shared" si="96"/>
        <v>2002000</v>
      </c>
      <c r="T946" s="275"/>
      <c r="U946" s="460" t="str">
        <f t="shared" si="94"/>
        <v/>
      </c>
      <c r="V946" s="439"/>
      <c r="W946" s="439"/>
      <c r="X946" s="439"/>
      <c r="Y946" s="428" t="str">
        <f t="shared" si="98"/>
        <v>Pembayaran Langganan Daya dan Jasa listrik</v>
      </c>
      <c r="Z946" s="449"/>
      <c r="AA946" s="432" t="s">
        <v>587</v>
      </c>
      <c r="AB946" s="457">
        <f t="shared" si="90"/>
        <v>1801801.8018018019</v>
      </c>
      <c r="AC946" s="458">
        <f t="shared" si="91"/>
        <v>1801801.8018018019</v>
      </c>
      <c r="AD946" s="455">
        <v>200000</v>
      </c>
      <c r="AE946" s="240"/>
      <c r="AF946" s="240"/>
      <c r="AG946" s="437">
        <v>200000</v>
      </c>
    </row>
    <row r="947" spans="1:33">
      <c r="A947" s="773"/>
      <c r="B947" s="352" t="s">
        <v>1094</v>
      </c>
      <c r="C947" s="352" t="s">
        <v>635</v>
      </c>
      <c r="D947" s="355" t="s">
        <v>590</v>
      </c>
      <c r="E947" s="376" t="s">
        <v>1071</v>
      </c>
      <c r="F947" s="361" t="s">
        <v>1093</v>
      </c>
      <c r="G947" s="361" t="s">
        <v>1093</v>
      </c>
      <c r="H947" s="361" t="s">
        <v>1093</v>
      </c>
      <c r="I947" s="394">
        <v>45068</v>
      </c>
      <c r="J947" s="387" t="s">
        <v>636</v>
      </c>
      <c r="K947" s="387" t="s">
        <v>637</v>
      </c>
      <c r="L947" s="402">
        <v>1</v>
      </c>
      <c r="M947" s="352" t="s">
        <v>587</v>
      </c>
      <c r="N947" s="403">
        <v>400000</v>
      </c>
      <c r="O947" s="404">
        <v>400000</v>
      </c>
      <c r="P947" s="421">
        <v>12</v>
      </c>
      <c r="Q947" s="275"/>
      <c r="R947" s="437">
        <v>400000</v>
      </c>
      <c r="S947" s="274">
        <f t="shared" si="96"/>
        <v>402000</v>
      </c>
      <c r="T947" s="275"/>
      <c r="U947" s="460" t="str">
        <f t="shared" si="94"/>
        <v/>
      </c>
      <c r="V947" s="439"/>
      <c r="W947" s="439"/>
      <c r="X947" s="439"/>
      <c r="Y947" s="428" t="str">
        <f t="shared" si="98"/>
        <v>Belanja Iuran Paket Internet</v>
      </c>
      <c r="Z947" s="449" t="s">
        <v>1554</v>
      </c>
      <c r="AA947" s="432" t="s">
        <v>587</v>
      </c>
      <c r="AB947" s="457">
        <f t="shared" si="90"/>
        <v>360360.36036036036</v>
      </c>
      <c r="AC947" s="458">
        <f t="shared" si="91"/>
        <v>360360.36036036036</v>
      </c>
      <c r="AD947" s="455">
        <v>400000</v>
      </c>
      <c r="AE947" s="240"/>
      <c r="AF947" s="240"/>
      <c r="AG947" s="437">
        <v>400000</v>
      </c>
    </row>
    <row r="948" spans="1:33">
      <c r="A948" s="773"/>
      <c r="B948" s="352" t="s">
        <v>1095</v>
      </c>
      <c r="C948" s="352" t="s">
        <v>589</v>
      </c>
      <c r="D948" s="355" t="s">
        <v>590</v>
      </c>
      <c r="E948" s="376" t="s">
        <v>1071</v>
      </c>
      <c r="F948" s="361" t="s">
        <v>1093</v>
      </c>
      <c r="G948" s="361" t="s">
        <v>1093</v>
      </c>
      <c r="H948" s="361" t="s">
        <v>1093</v>
      </c>
      <c r="I948" s="394">
        <v>45068</v>
      </c>
      <c r="J948" s="387" t="s">
        <v>843</v>
      </c>
      <c r="K948" s="387" t="s">
        <v>592</v>
      </c>
      <c r="L948" s="402">
        <v>1</v>
      </c>
      <c r="M948" s="352" t="s">
        <v>587</v>
      </c>
      <c r="N948" s="403">
        <v>1200000</v>
      </c>
      <c r="O948" s="404">
        <v>1200000</v>
      </c>
      <c r="P948" s="421">
        <v>12</v>
      </c>
      <c r="Q948" s="275"/>
      <c r="R948" s="437">
        <v>1200000</v>
      </c>
      <c r="S948" s="274">
        <f t="shared" si="96"/>
        <v>1202000</v>
      </c>
      <c r="T948" s="275"/>
      <c r="U948" s="460" t="str">
        <f t="shared" si="94"/>
        <v/>
      </c>
      <c r="V948" s="439"/>
      <c r="W948" s="439"/>
      <c r="X948" s="439"/>
      <c r="Y948" s="428" t="str">
        <f t="shared" si="98"/>
        <v>Pembayaran Langganan Daya dan Jasa Internet Indihome</v>
      </c>
      <c r="Z948" s="449"/>
      <c r="AA948" s="432" t="s">
        <v>753</v>
      </c>
      <c r="AB948" s="457">
        <f t="shared" si="90"/>
        <v>1081081.0810810812</v>
      </c>
      <c r="AC948" s="458">
        <f t="shared" si="91"/>
        <v>1081081.0810810812</v>
      </c>
      <c r="AD948" s="455">
        <v>1200000</v>
      </c>
      <c r="AE948" s="240"/>
      <c r="AF948" s="240"/>
      <c r="AG948" s="437">
        <v>1200000</v>
      </c>
    </row>
    <row r="949" spans="1:33" ht="25">
      <c r="A949" s="773"/>
      <c r="B949" s="352" t="s">
        <v>1096</v>
      </c>
      <c r="C949" s="352" t="s">
        <v>1097</v>
      </c>
      <c r="D949" s="355" t="s">
        <v>1098</v>
      </c>
      <c r="E949" s="377">
        <v>45067</v>
      </c>
      <c r="F949" s="361" t="s">
        <v>1099</v>
      </c>
      <c r="G949" s="361" t="s">
        <v>1099</v>
      </c>
      <c r="H949" s="361" t="s">
        <v>1099</v>
      </c>
      <c r="I949" s="394">
        <v>45068</v>
      </c>
      <c r="J949" s="387" t="s">
        <v>1100</v>
      </c>
      <c r="K949" s="387" t="s">
        <v>1101</v>
      </c>
      <c r="L949" s="402">
        <v>1</v>
      </c>
      <c r="M949" s="352" t="s">
        <v>1102</v>
      </c>
      <c r="N949" s="403">
        <v>455000</v>
      </c>
      <c r="O949" s="404">
        <v>455000</v>
      </c>
      <c r="P949" s="421">
        <v>12</v>
      </c>
      <c r="Q949" s="275"/>
      <c r="R949" s="437">
        <v>1000000</v>
      </c>
      <c r="S949" s="274">
        <f t="shared" si="96"/>
        <v>457000</v>
      </c>
      <c r="T949" s="275"/>
      <c r="U949" s="460" t="str">
        <f t="shared" si="94"/>
        <v/>
      </c>
      <c r="V949" s="439"/>
      <c r="W949" s="439"/>
      <c r="X949" s="439"/>
      <c r="Y949" s="428" t="str">
        <f t="shared" si="98"/>
        <v>Perpanjangan hosting dan domain smansatelukdalam.sch.id</v>
      </c>
      <c r="Z949" s="449"/>
      <c r="AA949" s="432" t="s">
        <v>574</v>
      </c>
      <c r="AB949" s="457">
        <f t="shared" si="90"/>
        <v>409909.90990990994</v>
      </c>
      <c r="AC949" s="458">
        <f t="shared" si="91"/>
        <v>409909.90990990994</v>
      </c>
      <c r="AD949" s="455">
        <v>1000000</v>
      </c>
      <c r="AE949" s="240"/>
      <c r="AF949" s="240"/>
      <c r="AG949" s="437">
        <v>1000000</v>
      </c>
    </row>
    <row r="950" spans="1:33" ht="25">
      <c r="A950" s="773"/>
      <c r="B950" s="352" t="s">
        <v>1115</v>
      </c>
      <c r="C950" s="352" t="s">
        <v>1104</v>
      </c>
      <c r="D950" s="355" t="s">
        <v>1105</v>
      </c>
      <c r="E950" s="377">
        <v>45070</v>
      </c>
      <c r="F950" s="361">
        <v>45071</v>
      </c>
      <c r="G950" s="361">
        <v>45071</v>
      </c>
      <c r="H950" s="361">
        <v>45071</v>
      </c>
      <c r="I950" s="394">
        <v>45076</v>
      </c>
      <c r="J950" s="387" t="s">
        <v>1116</v>
      </c>
      <c r="K950" s="387" t="s">
        <v>1117</v>
      </c>
      <c r="L950" s="402">
        <v>1</v>
      </c>
      <c r="M950" s="352" t="s">
        <v>753</v>
      </c>
      <c r="N950" s="403">
        <v>3000000</v>
      </c>
      <c r="O950" s="404">
        <v>3000000</v>
      </c>
      <c r="P950" s="421">
        <v>12</v>
      </c>
      <c r="Q950" s="281"/>
      <c r="R950" s="437">
        <v>3450000</v>
      </c>
      <c r="S950" s="274">
        <f t="shared" si="96"/>
        <v>3002000</v>
      </c>
      <c r="T950" s="802"/>
      <c r="U950" s="460" t="str">
        <f t="shared" si="94"/>
        <v/>
      </c>
      <c r="V950" s="597"/>
      <c r="W950" s="439"/>
      <c r="X950" s="439"/>
      <c r="Y950" s="428" t="str">
        <f t="shared" si="98"/>
        <v>Honorarium Narasumber kegiatan workshop peningkatan kompetensi guru : Kurikulum Merdeka</v>
      </c>
      <c r="Z950" s="449"/>
      <c r="AA950" s="432" t="s">
        <v>614</v>
      </c>
      <c r="AB950" s="457">
        <f t="shared" si="90"/>
        <v>2702702.702702703</v>
      </c>
      <c r="AC950" s="458">
        <f t="shared" si="91"/>
        <v>2702702.702702703</v>
      </c>
      <c r="AD950" s="455">
        <v>3450000</v>
      </c>
      <c r="AE950" s="240"/>
      <c r="AF950" s="240"/>
      <c r="AG950" s="437">
        <v>3450000</v>
      </c>
    </row>
    <row r="951" spans="1:33">
      <c r="A951" s="773"/>
      <c r="B951" s="352" t="s">
        <v>1119</v>
      </c>
      <c r="C951" s="352" t="s">
        <v>610</v>
      </c>
      <c r="D951" s="355" t="s">
        <v>611</v>
      </c>
      <c r="E951" s="377">
        <v>45070</v>
      </c>
      <c r="F951" s="361">
        <v>45071</v>
      </c>
      <c r="G951" s="361">
        <v>45071</v>
      </c>
      <c r="H951" s="361">
        <v>45071</v>
      </c>
      <c r="I951" s="394">
        <v>45076</v>
      </c>
      <c r="J951" s="387" t="s">
        <v>612</v>
      </c>
      <c r="K951" s="387" t="s">
        <v>613</v>
      </c>
      <c r="L951" s="402">
        <v>1</v>
      </c>
      <c r="M951" s="352" t="s">
        <v>614</v>
      </c>
      <c r="N951" s="403">
        <v>1000000</v>
      </c>
      <c r="O951" s="404">
        <v>1000000</v>
      </c>
      <c r="P951" s="421">
        <v>12</v>
      </c>
      <c r="Q951" s="281"/>
      <c r="R951" s="437">
        <v>1000000</v>
      </c>
      <c r="S951" s="274">
        <f t="shared" si="96"/>
        <v>1002000</v>
      </c>
      <c r="T951" s="802"/>
      <c r="U951" s="460" t="str">
        <f t="shared" si="94"/>
        <v/>
      </c>
      <c r="V951" s="597"/>
      <c r="W951" s="439"/>
      <c r="X951" s="439"/>
      <c r="Y951" s="428" t="str">
        <f t="shared" si="98"/>
        <v>Belanja jasa pendataan dapodik</v>
      </c>
      <c r="Z951" s="449" t="s">
        <v>1553</v>
      </c>
      <c r="AA951" s="432" t="s">
        <v>597</v>
      </c>
      <c r="AB951" s="457">
        <f t="shared" si="90"/>
        <v>900900.90090090095</v>
      </c>
      <c r="AC951" s="458">
        <f t="shared" si="91"/>
        <v>900900.90090090095</v>
      </c>
      <c r="AD951" s="455">
        <v>1000000</v>
      </c>
      <c r="AE951" s="240"/>
      <c r="AF951" s="240"/>
      <c r="AG951" s="437">
        <v>1000000</v>
      </c>
    </row>
    <row r="952" spans="1:33">
      <c r="A952" s="774"/>
      <c r="B952" s="353" t="s">
        <v>1120</v>
      </c>
      <c r="C952" s="353" t="s">
        <v>639</v>
      </c>
      <c r="D952" s="357" t="s">
        <v>464</v>
      </c>
      <c r="E952" s="378">
        <v>45070</v>
      </c>
      <c r="F952" s="369">
        <v>45071</v>
      </c>
      <c r="G952" s="369">
        <v>45071</v>
      </c>
      <c r="H952" s="369">
        <v>45071</v>
      </c>
      <c r="I952" s="396">
        <v>45076</v>
      </c>
      <c r="J952" s="392" t="s">
        <v>640</v>
      </c>
      <c r="K952" s="392" t="s">
        <v>641</v>
      </c>
      <c r="L952" s="402">
        <v>72</v>
      </c>
      <c r="M952" s="352" t="s">
        <v>488</v>
      </c>
      <c r="N952" s="403">
        <v>5000</v>
      </c>
      <c r="O952" s="412">
        <v>360000</v>
      </c>
      <c r="P952" s="423"/>
      <c r="Q952" s="291"/>
      <c r="R952" s="424"/>
      <c r="S952" s="292">
        <f t="shared" si="96"/>
        <v>504000</v>
      </c>
      <c r="T952" s="803"/>
      <c r="U952" s="596" t="str">
        <f t="shared" si="94"/>
        <v/>
      </c>
      <c r="V952" s="598"/>
      <c r="W952" s="424"/>
      <c r="X952" s="424"/>
      <c r="Z952" s="601"/>
      <c r="AG952" s="806">
        <f>SUM(AG3:AG951)</f>
        <v>2372383788800</v>
      </c>
    </row>
    <row r="953" spans="1:33" ht="25">
      <c r="A953" s="774"/>
      <c r="B953" s="353" t="s">
        <v>1122</v>
      </c>
      <c r="C953" s="353" t="s">
        <v>627</v>
      </c>
      <c r="D953" s="357" t="s">
        <v>628</v>
      </c>
      <c r="E953" s="378">
        <v>45070</v>
      </c>
      <c r="F953" s="369" t="s">
        <v>1123</v>
      </c>
      <c r="G953" s="369" t="s">
        <v>1123</v>
      </c>
      <c r="H953" s="369" t="s">
        <v>1123</v>
      </c>
      <c r="I953" s="396">
        <v>45076</v>
      </c>
      <c r="J953" s="392" t="s">
        <v>630</v>
      </c>
      <c r="K953" s="392" t="s">
        <v>631</v>
      </c>
      <c r="L953" s="413">
        <v>1</v>
      </c>
      <c r="M953" s="353" t="s">
        <v>587</v>
      </c>
      <c r="N953" s="414">
        <v>100000</v>
      </c>
      <c r="O953" s="412">
        <v>100000</v>
      </c>
      <c r="P953" s="423"/>
      <c r="Q953" s="295"/>
      <c r="R953" s="424"/>
      <c r="S953" s="292">
        <f t="shared" si="96"/>
        <v>102000</v>
      </c>
      <c r="T953" s="803"/>
      <c r="U953" s="596" t="str">
        <f t="shared" si="94"/>
        <v/>
      </c>
      <c r="V953" s="598"/>
      <c r="W953" s="424"/>
      <c r="X953" s="424"/>
      <c r="Z953" s="601"/>
      <c r="AG953" s="807"/>
    </row>
    <row r="954" spans="1:33" ht="25">
      <c r="A954" s="774"/>
      <c r="B954" s="353" t="s">
        <v>1124</v>
      </c>
      <c r="C954" s="353" t="s">
        <v>627</v>
      </c>
      <c r="D954" s="357" t="s">
        <v>628</v>
      </c>
      <c r="E954" s="378">
        <v>45070</v>
      </c>
      <c r="F954" s="369" t="s">
        <v>1123</v>
      </c>
      <c r="G954" s="369" t="s">
        <v>1123</v>
      </c>
      <c r="H954" s="369" t="s">
        <v>1123</v>
      </c>
      <c r="I954" s="396">
        <v>45076</v>
      </c>
      <c r="J954" s="392" t="s">
        <v>633</v>
      </c>
      <c r="K954" s="392" t="s">
        <v>631</v>
      </c>
      <c r="L954" s="413">
        <v>1</v>
      </c>
      <c r="M954" s="353" t="s">
        <v>587</v>
      </c>
      <c r="N954" s="414">
        <v>200000</v>
      </c>
      <c r="O954" s="412">
        <v>200000</v>
      </c>
      <c r="P954" s="423"/>
      <c r="Q954" s="295"/>
      <c r="R954" s="424"/>
      <c r="S954" s="292">
        <f t="shared" si="96"/>
        <v>202000</v>
      </c>
      <c r="T954" s="803"/>
      <c r="U954" s="596" t="str">
        <f t="shared" si="94"/>
        <v/>
      </c>
      <c r="V954" s="598"/>
      <c r="W954" s="424"/>
      <c r="X954" s="424"/>
      <c r="Z954" s="601"/>
      <c r="AG954" s="807"/>
    </row>
    <row r="955" spans="1:33">
      <c r="A955" s="774"/>
      <c r="B955" s="353"/>
      <c r="C955" s="777"/>
      <c r="D955" s="778"/>
      <c r="E955" s="783"/>
      <c r="F955" s="265"/>
      <c r="G955" s="786"/>
      <c r="H955" s="786"/>
      <c r="I955" s="787"/>
      <c r="J955" s="797"/>
      <c r="K955" s="797"/>
      <c r="L955" s="798"/>
      <c r="M955" s="798"/>
      <c r="N955" s="799"/>
      <c r="O955" s="800"/>
      <c r="P955" s="423"/>
      <c r="Q955" s="295"/>
      <c r="R955" s="424"/>
      <c r="S955" s="292">
        <f t="shared" si="96"/>
        <v>0</v>
      </c>
      <c r="T955" s="803"/>
      <c r="U955" s="596" t="str">
        <f t="shared" si="94"/>
        <v/>
      </c>
      <c r="V955" s="598"/>
      <c r="W955" s="424"/>
      <c r="X955" s="424"/>
      <c r="Z955" s="601"/>
      <c r="AG955" s="807"/>
    </row>
    <row r="956" spans="1:33">
      <c r="A956" s="774"/>
      <c r="B956" s="353" t="s">
        <v>1143</v>
      </c>
      <c r="C956" s="358" t="s">
        <v>863</v>
      </c>
      <c r="D956" s="357" t="s">
        <v>864</v>
      </c>
      <c r="E956" s="379">
        <v>45083</v>
      </c>
      <c r="F956" s="370">
        <v>45084</v>
      </c>
      <c r="G956" s="370">
        <v>45084</v>
      </c>
      <c r="H956" s="370">
        <v>45084</v>
      </c>
      <c r="I956" s="397">
        <v>45084</v>
      </c>
      <c r="J956" s="358" t="s">
        <v>1144</v>
      </c>
      <c r="K956" s="392" t="s">
        <v>937</v>
      </c>
      <c r="L956" s="413">
        <v>5</v>
      </c>
      <c r="M956" s="353" t="s">
        <v>528</v>
      </c>
      <c r="N956" s="414">
        <v>2308553</v>
      </c>
      <c r="O956" s="412">
        <v>11542765</v>
      </c>
      <c r="P956" s="423"/>
      <c r="Q956" s="295"/>
      <c r="R956" s="424"/>
      <c r="S956" s="292">
        <f t="shared" si="96"/>
        <v>11552765</v>
      </c>
      <c r="T956" s="803"/>
      <c r="U956" s="596" t="str">
        <f t="shared" si="94"/>
        <v/>
      </c>
      <c r="V956" s="598"/>
      <c r="W956" s="424"/>
      <c r="X956" s="424"/>
      <c r="Z956" s="601"/>
      <c r="AG956" s="807"/>
    </row>
    <row r="957" spans="1:33">
      <c r="A957" s="774"/>
      <c r="B957" s="353" t="s">
        <v>1145</v>
      </c>
      <c r="C957" s="358" t="s">
        <v>863</v>
      </c>
      <c r="D957" s="357" t="s">
        <v>864</v>
      </c>
      <c r="E957" s="379">
        <v>45083</v>
      </c>
      <c r="F957" s="370">
        <v>45084</v>
      </c>
      <c r="G957" s="370">
        <v>45084</v>
      </c>
      <c r="H957" s="370">
        <v>45084</v>
      </c>
      <c r="I957" s="397">
        <v>45084</v>
      </c>
      <c r="J957" s="358" t="s">
        <v>1146</v>
      </c>
      <c r="K957" s="392" t="s">
        <v>1147</v>
      </c>
      <c r="L957" s="413">
        <v>4</v>
      </c>
      <c r="M957" s="353" t="s">
        <v>868</v>
      </c>
      <c r="N957" s="414">
        <v>200000</v>
      </c>
      <c r="O957" s="412">
        <v>800000</v>
      </c>
      <c r="P957" s="423"/>
      <c r="R957" s="424"/>
      <c r="U957" s="424"/>
      <c r="V957" s="424"/>
      <c r="W957" s="424"/>
      <c r="X957" s="424"/>
      <c r="Z957" s="601"/>
      <c r="AG957" s="807"/>
    </row>
    <row r="958" spans="1:33">
      <c r="A958" s="774"/>
      <c r="B958" s="353" t="s">
        <v>1148</v>
      </c>
      <c r="C958" s="358" t="s">
        <v>863</v>
      </c>
      <c r="D958" s="357" t="s">
        <v>864</v>
      </c>
      <c r="E958" s="379">
        <v>45083</v>
      </c>
      <c r="F958" s="370">
        <v>45084</v>
      </c>
      <c r="G958" s="370">
        <v>45084</v>
      </c>
      <c r="H958" s="370">
        <v>45084</v>
      </c>
      <c r="I958" s="397">
        <v>45084</v>
      </c>
      <c r="J958" s="358" t="s">
        <v>1149</v>
      </c>
      <c r="K958" s="392" t="s">
        <v>1150</v>
      </c>
      <c r="L958" s="413">
        <v>8</v>
      </c>
      <c r="M958" s="353" t="s">
        <v>868</v>
      </c>
      <c r="N958" s="414">
        <v>100000</v>
      </c>
      <c r="O958" s="412">
        <v>800000</v>
      </c>
      <c r="P958" s="423"/>
      <c r="R958" s="424"/>
      <c r="U958" s="424"/>
      <c r="V958" s="424"/>
      <c r="W958" s="424"/>
      <c r="X958" s="424"/>
      <c r="Z958" s="601"/>
      <c r="AG958" s="807"/>
    </row>
    <row r="959" spans="1:33">
      <c r="A959" s="774"/>
      <c r="B959" s="353" t="s">
        <v>1151</v>
      </c>
      <c r="C959" s="358" t="s">
        <v>863</v>
      </c>
      <c r="D959" s="357" t="s">
        <v>864</v>
      </c>
      <c r="E959" s="379">
        <v>45083</v>
      </c>
      <c r="F959" s="370">
        <v>45084</v>
      </c>
      <c r="G959" s="370">
        <v>45084</v>
      </c>
      <c r="H959" s="370">
        <v>45084</v>
      </c>
      <c r="I959" s="397">
        <v>45084</v>
      </c>
      <c r="J959" s="358" t="s">
        <v>1152</v>
      </c>
      <c r="K959" s="392" t="s">
        <v>874</v>
      </c>
      <c r="L959" s="413">
        <v>2</v>
      </c>
      <c r="M959" s="353" t="s">
        <v>868</v>
      </c>
      <c r="N959" s="414">
        <v>350000</v>
      </c>
      <c r="O959" s="412">
        <v>700000</v>
      </c>
      <c r="P959" s="423"/>
      <c r="R959" s="424"/>
      <c r="U959" s="424"/>
      <c r="V959" s="424"/>
      <c r="W959" s="424"/>
      <c r="X959" s="424"/>
      <c r="Z959" s="601"/>
      <c r="AG959" s="808"/>
    </row>
    <row r="960" spans="1:33" ht="25">
      <c r="A960" s="774"/>
      <c r="B960" s="353" t="s">
        <v>1197</v>
      </c>
      <c r="C960" s="353" t="s">
        <v>1131</v>
      </c>
      <c r="D960" s="357" t="s">
        <v>1198</v>
      </c>
      <c r="E960" s="379">
        <v>45099</v>
      </c>
      <c r="F960" s="370">
        <v>45100</v>
      </c>
      <c r="G960" s="370">
        <v>45100</v>
      </c>
      <c r="H960" s="370">
        <v>45100</v>
      </c>
      <c r="I960" s="396">
        <v>45100</v>
      </c>
      <c r="J960" s="392" t="s">
        <v>1199</v>
      </c>
      <c r="K960" s="392" t="s">
        <v>1200</v>
      </c>
      <c r="L960" s="413">
        <v>1</v>
      </c>
      <c r="M960" s="353" t="s">
        <v>608</v>
      </c>
      <c r="N960" s="414">
        <v>5000000</v>
      </c>
      <c r="O960" s="412">
        <v>5000000</v>
      </c>
      <c r="P960" s="423"/>
      <c r="R960" s="424"/>
      <c r="U960" s="424"/>
      <c r="V960" s="424"/>
      <c r="W960" s="424"/>
      <c r="X960" s="424"/>
      <c r="Z960" s="601"/>
      <c r="AG960" s="808"/>
    </row>
    <row r="961" spans="1:33">
      <c r="A961" s="774"/>
      <c r="B961" s="353" t="s">
        <v>1201</v>
      </c>
      <c r="C961" s="353" t="s">
        <v>583</v>
      </c>
      <c r="D961" s="357" t="s">
        <v>584</v>
      </c>
      <c r="E961" s="379">
        <v>45099</v>
      </c>
      <c r="F961" s="370">
        <v>45100</v>
      </c>
      <c r="G961" s="370">
        <v>45100</v>
      </c>
      <c r="H961" s="370">
        <v>45100</v>
      </c>
      <c r="I961" s="396">
        <v>45100</v>
      </c>
      <c r="J961" s="392" t="s">
        <v>841</v>
      </c>
      <c r="K961" s="392" t="s">
        <v>586</v>
      </c>
      <c r="L961" s="413">
        <v>1</v>
      </c>
      <c r="M961" s="353" t="s">
        <v>587</v>
      </c>
      <c r="N961" s="414">
        <v>2000000</v>
      </c>
      <c r="O961" s="412">
        <v>2000000</v>
      </c>
      <c r="P961" s="424"/>
      <c r="R961" s="424"/>
      <c r="U961" s="424"/>
      <c r="V961" s="424"/>
      <c r="W961" s="424"/>
      <c r="X961" s="424"/>
      <c r="Z961" s="424"/>
      <c r="AA961" s="61"/>
      <c r="AB961" s="61"/>
      <c r="AC961" s="61"/>
      <c r="AD961" s="61"/>
      <c r="AE961" s="61"/>
      <c r="AF961" s="61"/>
      <c r="AG961" s="424"/>
    </row>
    <row r="962" spans="1:33">
      <c r="A962" s="774"/>
      <c r="B962" s="353" t="s">
        <v>1202</v>
      </c>
      <c r="C962" s="353" t="s">
        <v>589</v>
      </c>
      <c r="D962" s="357" t="s">
        <v>590</v>
      </c>
      <c r="E962" s="379">
        <v>45099</v>
      </c>
      <c r="F962" s="370">
        <v>45100</v>
      </c>
      <c r="G962" s="370">
        <v>45100</v>
      </c>
      <c r="H962" s="370">
        <v>45100</v>
      </c>
      <c r="I962" s="396">
        <v>45100</v>
      </c>
      <c r="J962" s="392" t="s">
        <v>843</v>
      </c>
      <c r="K962" s="392" t="s">
        <v>592</v>
      </c>
      <c r="L962" s="402">
        <v>1</v>
      </c>
      <c r="M962" s="352" t="s">
        <v>587</v>
      </c>
      <c r="N962" s="403">
        <v>1200000</v>
      </c>
      <c r="O962" s="412">
        <v>1200000</v>
      </c>
      <c r="P962" s="424"/>
      <c r="R962" s="424"/>
      <c r="U962" s="424"/>
      <c r="V962" s="424"/>
      <c r="W962" s="424"/>
      <c r="X962" s="424"/>
      <c r="Z962" s="424"/>
      <c r="AA962" s="61"/>
      <c r="AB962" s="61"/>
      <c r="AC962" s="61"/>
      <c r="AD962" s="61"/>
      <c r="AE962" s="61"/>
      <c r="AF962" s="61"/>
      <c r="AG962" s="424"/>
    </row>
    <row r="963" spans="1:33" ht="37.5">
      <c r="A963" s="774"/>
      <c r="B963" s="353" t="s">
        <v>1213</v>
      </c>
      <c r="C963" s="353" t="s">
        <v>1104</v>
      </c>
      <c r="D963" s="357" t="s">
        <v>1105</v>
      </c>
      <c r="E963" s="379">
        <v>45099</v>
      </c>
      <c r="F963" s="370">
        <v>45100</v>
      </c>
      <c r="G963" s="370">
        <v>45100</v>
      </c>
      <c r="H963" s="370">
        <v>45100</v>
      </c>
      <c r="I963" s="396">
        <v>45100</v>
      </c>
      <c r="J963" s="392" t="s">
        <v>1214</v>
      </c>
      <c r="K963" s="392" t="s">
        <v>874</v>
      </c>
      <c r="L963" s="413">
        <v>1</v>
      </c>
      <c r="M963" s="353" t="s">
        <v>753</v>
      </c>
      <c r="N963" s="414">
        <v>3000000</v>
      </c>
      <c r="O963" s="412">
        <v>3000000</v>
      </c>
      <c r="P963" s="424"/>
      <c r="R963" s="424"/>
      <c r="U963" s="424"/>
      <c r="V963" s="424"/>
      <c r="W963" s="424"/>
      <c r="X963" s="424"/>
      <c r="Z963" s="424"/>
      <c r="AA963" s="61"/>
      <c r="AB963" s="61"/>
      <c r="AC963" s="61"/>
      <c r="AD963" s="61"/>
      <c r="AE963" s="61"/>
      <c r="AF963" s="61"/>
      <c r="AG963" s="424"/>
    </row>
    <row r="964" spans="1:33" ht="25">
      <c r="A964" s="774"/>
      <c r="B964" s="353" t="s">
        <v>1222</v>
      </c>
      <c r="C964" s="353" t="s">
        <v>627</v>
      </c>
      <c r="D964" s="357" t="s">
        <v>628</v>
      </c>
      <c r="E964" s="379">
        <v>45100</v>
      </c>
      <c r="F964" s="370">
        <v>45101</v>
      </c>
      <c r="G964" s="370">
        <v>45101</v>
      </c>
      <c r="H964" s="370">
        <v>45101</v>
      </c>
      <c r="I964" s="396">
        <v>45101</v>
      </c>
      <c r="J964" s="392" t="s">
        <v>630</v>
      </c>
      <c r="K964" s="392" t="s">
        <v>631</v>
      </c>
      <c r="L964" s="413">
        <v>1</v>
      </c>
      <c r="M964" s="353" t="s">
        <v>587</v>
      </c>
      <c r="N964" s="414">
        <v>100000</v>
      </c>
      <c r="O964" s="412">
        <v>100000</v>
      </c>
      <c r="P964" s="423"/>
      <c r="R964" s="424"/>
      <c r="U964" s="424"/>
      <c r="V964" s="424"/>
      <c r="W964" s="424"/>
      <c r="X964" s="424"/>
      <c r="Z964" s="601"/>
      <c r="AG964" s="807"/>
    </row>
    <row r="965" spans="1:33" ht="25">
      <c r="A965" s="774"/>
      <c r="B965" s="353" t="s">
        <v>1223</v>
      </c>
      <c r="C965" s="353" t="s">
        <v>627</v>
      </c>
      <c r="D965" s="357" t="s">
        <v>628</v>
      </c>
      <c r="E965" s="379">
        <v>45100</v>
      </c>
      <c r="F965" s="370">
        <v>45101</v>
      </c>
      <c r="G965" s="370">
        <v>45101</v>
      </c>
      <c r="H965" s="370">
        <v>45101</v>
      </c>
      <c r="I965" s="396">
        <v>45101</v>
      </c>
      <c r="J965" s="392" t="s">
        <v>633</v>
      </c>
      <c r="K965" s="392" t="s">
        <v>631</v>
      </c>
      <c r="L965" s="413">
        <v>1</v>
      </c>
      <c r="M965" s="353" t="s">
        <v>587</v>
      </c>
      <c r="N965" s="414">
        <v>200000</v>
      </c>
      <c r="O965" s="412">
        <v>200000</v>
      </c>
      <c r="P965" s="423"/>
      <c r="R965" s="424"/>
      <c r="U965" s="424"/>
      <c r="V965" s="424"/>
      <c r="W965" s="424"/>
      <c r="X965" s="424"/>
      <c r="Z965" s="601"/>
      <c r="AG965" s="807"/>
    </row>
    <row r="966" spans="1:33">
      <c r="A966" s="774"/>
      <c r="B966" s="353" t="s">
        <v>1224</v>
      </c>
      <c r="C966" s="353" t="s">
        <v>610</v>
      </c>
      <c r="D966" s="357" t="s">
        <v>611</v>
      </c>
      <c r="E966" s="379">
        <v>45102</v>
      </c>
      <c r="F966" s="370">
        <v>45103</v>
      </c>
      <c r="G966" s="370">
        <v>45103</v>
      </c>
      <c r="H966" s="370">
        <v>45103</v>
      </c>
      <c r="I966" s="396">
        <v>45103</v>
      </c>
      <c r="J966" s="392" t="s">
        <v>612</v>
      </c>
      <c r="K966" s="392" t="s">
        <v>613</v>
      </c>
      <c r="L966" s="413">
        <v>1</v>
      </c>
      <c r="M966" s="353" t="s">
        <v>614</v>
      </c>
      <c r="N966" s="414">
        <v>1000000</v>
      </c>
      <c r="O966" s="412">
        <v>1000000</v>
      </c>
      <c r="P966" s="423"/>
      <c r="R966" s="424"/>
      <c r="U966" s="424"/>
      <c r="V966" s="424"/>
      <c r="W966" s="424"/>
      <c r="X966" s="424"/>
      <c r="Z966" s="601"/>
      <c r="AG966" s="807"/>
    </row>
    <row r="967" spans="1:33">
      <c r="A967" s="774"/>
      <c r="B967" s="353" t="s">
        <v>1225</v>
      </c>
      <c r="C967" s="353" t="s">
        <v>635</v>
      </c>
      <c r="D967" s="357" t="s">
        <v>590</v>
      </c>
      <c r="E967" s="379">
        <v>45102</v>
      </c>
      <c r="F967" s="370">
        <v>45103</v>
      </c>
      <c r="G967" s="370">
        <v>45103</v>
      </c>
      <c r="H967" s="370">
        <v>45103</v>
      </c>
      <c r="I967" s="396">
        <v>45103</v>
      </c>
      <c r="J967" s="392" t="s">
        <v>636</v>
      </c>
      <c r="K967" s="392" t="s">
        <v>637</v>
      </c>
      <c r="L967" s="413">
        <v>1</v>
      </c>
      <c r="M967" s="353" t="s">
        <v>587</v>
      </c>
      <c r="N967" s="414">
        <v>400000</v>
      </c>
      <c r="O967" s="412">
        <v>400000</v>
      </c>
      <c r="P967" s="423"/>
      <c r="R967" s="424"/>
      <c r="U967" s="424"/>
      <c r="V967" s="424"/>
      <c r="W967" s="424"/>
      <c r="X967" s="424"/>
      <c r="Z967" s="601"/>
      <c r="AG967" s="807"/>
    </row>
    <row r="968" spans="1:33">
      <c r="A968" s="774"/>
      <c r="B968" s="353"/>
      <c r="C968" s="777"/>
      <c r="D968" s="778"/>
      <c r="E968" s="783"/>
      <c r="F968" s="788"/>
      <c r="G968" s="786"/>
      <c r="H968" s="786"/>
      <c r="I968" s="787"/>
      <c r="J968" s="797"/>
      <c r="K968" s="797"/>
      <c r="L968" s="798"/>
      <c r="M968" s="798"/>
      <c r="N968" s="799"/>
      <c r="O968" s="800"/>
      <c r="P968" s="423"/>
      <c r="R968" s="424"/>
      <c r="U968" s="424"/>
      <c r="V968" s="424"/>
      <c r="W968" s="424"/>
      <c r="X968" s="424"/>
      <c r="Z968" s="601"/>
      <c r="AG968" s="807"/>
    </row>
    <row r="969" spans="1:33">
      <c r="A969" s="774"/>
      <c r="B969" s="353" t="s">
        <v>1246</v>
      </c>
      <c r="C969" s="358" t="s">
        <v>603</v>
      </c>
      <c r="D969" s="357" t="s">
        <v>604</v>
      </c>
      <c r="E969" s="380">
        <v>45111</v>
      </c>
      <c r="F969" s="371">
        <v>45112</v>
      </c>
      <c r="G969" s="371">
        <v>45112</v>
      </c>
      <c r="H969" s="371">
        <v>45112</v>
      </c>
      <c r="I969" s="396">
        <v>45112</v>
      </c>
      <c r="J969" s="358" t="s">
        <v>606</v>
      </c>
      <c r="K969" s="392" t="s">
        <v>607</v>
      </c>
      <c r="L969" s="413">
        <v>1</v>
      </c>
      <c r="M969" s="353" t="s">
        <v>608</v>
      </c>
      <c r="N969" s="414">
        <v>125000</v>
      </c>
      <c r="O969" s="412">
        <v>125000</v>
      </c>
      <c r="P969" s="423"/>
      <c r="R969" s="424"/>
      <c r="U969" s="424"/>
      <c r="V969" s="424"/>
      <c r="W969" s="424"/>
      <c r="X969" s="424"/>
      <c r="Z969" s="601"/>
      <c r="AG969" s="807"/>
    </row>
    <row r="970" spans="1:33">
      <c r="A970" s="774"/>
      <c r="B970" s="353" t="s">
        <v>1268</v>
      </c>
      <c r="C970" s="353" t="s">
        <v>583</v>
      </c>
      <c r="D970" s="357" t="s">
        <v>584</v>
      </c>
      <c r="E970" s="380">
        <v>45126</v>
      </c>
      <c r="F970" s="372">
        <v>45127</v>
      </c>
      <c r="G970" s="372">
        <v>45127</v>
      </c>
      <c r="H970" s="372">
        <v>45127</v>
      </c>
      <c r="I970" s="396">
        <v>45127</v>
      </c>
      <c r="J970" s="392" t="s">
        <v>841</v>
      </c>
      <c r="K970" s="392" t="s">
        <v>586</v>
      </c>
      <c r="L970" s="413">
        <v>1</v>
      </c>
      <c r="M970" s="353" t="s">
        <v>587</v>
      </c>
      <c r="N970" s="414">
        <v>2000000</v>
      </c>
      <c r="O970" s="412">
        <v>1490470</v>
      </c>
      <c r="P970" s="423"/>
      <c r="R970" s="424"/>
      <c r="U970" s="424"/>
      <c r="V970" s="424"/>
      <c r="W970" s="424"/>
      <c r="X970" s="424"/>
      <c r="Z970" s="601"/>
      <c r="AG970" s="807"/>
    </row>
    <row r="971" spans="1:33">
      <c r="A971" s="774"/>
      <c r="B971" s="353" t="s">
        <v>1269</v>
      </c>
      <c r="C971" s="353" t="s">
        <v>589</v>
      </c>
      <c r="D971" s="357" t="s">
        <v>590</v>
      </c>
      <c r="E971" s="380">
        <v>45126</v>
      </c>
      <c r="F971" s="372">
        <v>45127</v>
      </c>
      <c r="G971" s="372">
        <v>45127</v>
      </c>
      <c r="H971" s="372">
        <v>45127</v>
      </c>
      <c r="I971" s="396">
        <v>45127</v>
      </c>
      <c r="J971" s="392" t="s">
        <v>843</v>
      </c>
      <c r="K971" s="392" t="s">
        <v>592</v>
      </c>
      <c r="L971" s="402">
        <v>1</v>
      </c>
      <c r="M971" s="352" t="s">
        <v>587</v>
      </c>
      <c r="N971" s="403">
        <v>1200000</v>
      </c>
      <c r="O971" s="412">
        <v>1179100</v>
      </c>
      <c r="P971" s="423"/>
      <c r="R971" s="424"/>
      <c r="U971" s="424"/>
      <c r="V971" s="424"/>
      <c r="W971" s="424"/>
      <c r="X971" s="424"/>
      <c r="Z971" s="601"/>
      <c r="AG971" s="807"/>
    </row>
    <row r="972" spans="1:33">
      <c r="A972" s="774"/>
      <c r="B972" s="353" t="s">
        <v>1288</v>
      </c>
      <c r="C972" s="353" t="s">
        <v>1289</v>
      </c>
      <c r="D972" s="357" t="s">
        <v>464</v>
      </c>
      <c r="E972" s="380">
        <v>45132</v>
      </c>
      <c r="F972" s="372">
        <v>45133</v>
      </c>
      <c r="G972" s="372">
        <v>45133</v>
      </c>
      <c r="H972" s="372">
        <v>45133</v>
      </c>
      <c r="I972" s="396">
        <v>45133</v>
      </c>
      <c r="J972" s="392" t="s">
        <v>1290</v>
      </c>
      <c r="K972" s="797"/>
      <c r="L972" s="413">
        <v>1</v>
      </c>
      <c r="M972" s="353" t="s">
        <v>753</v>
      </c>
      <c r="N972" s="414">
        <v>750000</v>
      </c>
      <c r="O972" s="412">
        <v>750000</v>
      </c>
      <c r="P972" s="423"/>
      <c r="R972" s="424"/>
      <c r="U972" s="424"/>
      <c r="V972" s="424"/>
      <c r="W972" s="424"/>
      <c r="X972" s="424"/>
      <c r="Z972" s="601"/>
      <c r="AG972" s="807"/>
    </row>
    <row r="973" spans="1:33">
      <c r="A973" s="774"/>
      <c r="B973" s="353" t="s">
        <v>1292</v>
      </c>
      <c r="C973" s="353" t="s">
        <v>610</v>
      </c>
      <c r="D973" s="357" t="s">
        <v>611</v>
      </c>
      <c r="E973" s="380">
        <v>45132</v>
      </c>
      <c r="F973" s="372">
        <v>45133</v>
      </c>
      <c r="G973" s="372">
        <v>45133</v>
      </c>
      <c r="H973" s="372">
        <v>45133</v>
      </c>
      <c r="I973" s="396">
        <v>45133</v>
      </c>
      <c r="J973" s="392" t="s">
        <v>612</v>
      </c>
      <c r="K973" s="392" t="s">
        <v>613</v>
      </c>
      <c r="L973" s="413">
        <v>1</v>
      </c>
      <c r="M973" s="353" t="s">
        <v>614</v>
      </c>
      <c r="N973" s="414">
        <v>1000000</v>
      </c>
      <c r="O973" s="412">
        <v>1000000</v>
      </c>
      <c r="P973" s="423"/>
      <c r="R973" s="424"/>
      <c r="U973" s="424"/>
      <c r="V973" s="424"/>
      <c r="W973" s="424"/>
      <c r="X973" s="424"/>
      <c r="Z973" s="601"/>
      <c r="AG973" s="807"/>
    </row>
    <row r="974" spans="1:33" ht="25">
      <c r="A974" s="774"/>
      <c r="B974" s="353" t="s">
        <v>1293</v>
      </c>
      <c r="C974" s="353" t="s">
        <v>627</v>
      </c>
      <c r="D974" s="357" t="s">
        <v>628</v>
      </c>
      <c r="E974" s="380">
        <v>45132</v>
      </c>
      <c r="F974" s="372">
        <v>45133</v>
      </c>
      <c r="G974" s="372">
        <v>45133</v>
      </c>
      <c r="H974" s="372">
        <v>45133</v>
      </c>
      <c r="I974" s="396">
        <v>45133</v>
      </c>
      <c r="J974" s="392" t="s">
        <v>630</v>
      </c>
      <c r="K974" s="392" t="s">
        <v>631</v>
      </c>
      <c r="L974" s="413">
        <v>1</v>
      </c>
      <c r="M974" s="353" t="s">
        <v>587</v>
      </c>
      <c r="N974" s="414">
        <v>100000</v>
      </c>
      <c r="O974" s="412">
        <v>100000</v>
      </c>
      <c r="P974" s="423"/>
      <c r="R974" s="424"/>
      <c r="U974" s="424"/>
      <c r="V974" s="424"/>
      <c r="W974" s="424"/>
      <c r="X974" s="424"/>
      <c r="Z974" s="601"/>
      <c r="AG974" s="807"/>
    </row>
    <row r="975" spans="1:33" ht="25">
      <c r="A975" s="774"/>
      <c r="B975" s="353" t="s">
        <v>1293</v>
      </c>
      <c r="C975" s="353" t="s">
        <v>627</v>
      </c>
      <c r="D975" s="357" t="s">
        <v>628</v>
      </c>
      <c r="E975" s="380">
        <v>45132</v>
      </c>
      <c r="F975" s="372">
        <v>45133</v>
      </c>
      <c r="G975" s="372">
        <v>45133</v>
      </c>
      <c r="H975" s="372">
        <v>45133</v>
      </c>
      <c r="I975" s="396">
        <v>45133</v>
      </c>
      <c r="J975" s="392" t="s">
        <v>633</v>
      </c>
      <c r="K975" s="392" t="s">
        <v>631</v>
      </c>
      <c r="L975" s="413">
        <v>1</v>
      </c>
      <c r="M975" s="353" t="s">
        <v>587</v>
      </c>
      <c r="N975" s="414">
        <v>200000</v>
      </c>
      <c r="O975" s="412">
        <v>200000</v>
      </c>
      <c r="P975" s="423"/>
      <c r="R975" s="424"/>
      <c r="U975" s="424"/>
      <c r="V975" s="424"/>
      <c r="W975" s="424"/>
      <c r="X975" s="424"/>
      <c r="Z975" s="601"/>
      <c r="AG975" s="807"/>
    </row>
    <row r="976" spans="1:33">
      <c r="A976" s="774"/>
      <c r="B976" s="353" t="s">
        <v>1299</v>
      </c>
      <c r="C976" s="353" t="s">
        <v>635</v>
      </c>
      <c r="D976" s="357" t="s">
        <v>590</v>
      </c>
      <c r="E976" s="380">
        <v>45137</v>
      </c>
      <c r="F976" s="372">
        <v>45138</v>
      </c>
      <c r="G976" s="372">
        <v>45138</v>
      </c>
      <c r="H976" s="372">
        <v>45138</v>
      </c>
      <c r="I976" s="396">
        <v>45138</v>
      </c>
      <c r="J976" s="392" t="s">
        <v>636</v>
      </c>
      <c r="K976" s="392" t="s">
        <v>637</v>
      </c>
      <c r="L976" s="413">
        <v>1</v>
      </c>
      <c r="M976" s="353" t="s">
        <v>587</v>
      </c>
      <c r="N976" s="414">
        <v>400000</v>
      </c>
      <c r="O976" s="412">
        <v>400000</v>
      </c>
      <c r="P976" s="423"/>
      <c r="R976" s="424"/>
      <c r="U976" s="424"/>
      <c r="V976" s="424"/>
      <c r="W976" s="424"/>
      <c r="X976" s="424"/>
      <c r="Z976" s="601"/>
      <c r="AG976" s="807"/>
    </row>
    <row r="977" spans="1:34">
      <c r="A977" s="774"/>
      <c r="B977" s="353"/>
      <c r="C977" s="777"/>
      <c r="D977" s="778"/>
      <c r="E977" s="783"/>
      <c r="F977" s="789"/>
      <c r="G977" s="786"/>
      <c r="H977" s="786"/>
      <c r="I977" s="787"/>
      <c r="J977" s="797"/>
      <c r="K977" s="797"/>
      <c r="L977" s="798"/>
      <c r="M977" s="798"/>
      <c r="N977" s="799"/>
      <c r="O977" s="800"/>
      <c r="P977" s="423"/>
      <c r="R977" s="424"/>
      <c r="U977" s="424"/>
      <c r="V977" s="424"/>
      <c r="W977" s="424"/>
      <c r="X977" s="424"/>
      <c r="Z977" s="601"/>
      <c r="AG977" s="807"/>
    </row>
    <row r="978" spans="1:34" ht="25">
      <c r="A978" s="774"/>
      <c r="B978" s="353" t="s">
        <v>1304</v>
      </c>
      <c r="C978" s="358" t="s">
        <v>1305</v>
      </c>
      <c r="D978" s="357" t="s">
        <v>864</v>
      </c>
      <c r="E978" s="380">
        <v>45165</v>
      </c>
      <c r="F978" s="373">
        <v>45166</v>
      </c>
      <c r="G978" s="373">
        <v>45166</v>
      </c>
      <c r="H978" s="373">
        <v>45166</v>
      </c>
      <c r="I978" s="397">
        <v>45166</v>
      </c>
      <c r="J978" s="393" t="s">
        <v>1306</v>
      </c>
      <c r="K978" s="392" t="s">
        <v>1307</v>
      </c>
      <c r="L978" s="413">
        <v>45</v>
      </c>
      <c r="M978" s="353" t="s">
        <v>940</v>
      </c>
      <c r="N978" s="414">
        <v>120000</v>
      </c>
      <c r="O978" s="412">
        <v>5400000</v>
      </c>
      <c r="P978" s="423"/>
      <c r="R978" s="424"/>
      <c r="U978" s="424"/>
      <c r="V978" s="424"/>
      <c r="W978" s="424"/>
      <c r="X978" s="424"/>
      <c r="Z978" s="601"/>
      <c r="AG978" s="807"/>
    </row>
    <row r="979" spans="1:34">
      <c r="A979" s="774"/>
      <c r="B979" s="353" t="s">
        <v>1309</v>
      </c>
      <c r="C979" s="358" t="s">
        <v>1235</v>
      </c>
      <c r="D979" s="357" t="s">
        <v>1198</v>
      </c>
      <c r="E979" s="380">
        <v>45165</v>
      </c>
      <c r="F979" s="373">
        <v>45166</v>
      </c>
      <c r="G979" s="373">
        <v>45166</v>
      </c>
      <c r="H979" s="373">
        <v>45166</v>
      </c>
      <c r="I979" s="397">
        <v>45166</v>
      </c>
      <c r="J979" s="358" t="s">
        <v>1310</v>
      </c>
      <c r="K979" s="392" t="s">
        <v>1311</v>
      </c>
      <c r="L979" s="413">
        <v>5</v>
      </c>
      <c r="M979" s="353" t="s">
        <v>608</v>
      </c>
      <c r="N979" s="414">
        <v>500000</v>
      </c>
      <c r="O979" s="412">
        <v>2500000</v>
      </c>
      <c r="P979" s="423"/>
      <c r="R979" s="424"/>
      <c r="U979" s="424"/>
      <c r="V979" s="424"/>
      <c r="W979" s="424"/>
      <c r="X979" s="424"/>
      <c r="Z979" s="601"/>
      <c r="AG979" s="807"/>
      <c r="AH979" s="446"/>
    </row>
    <row r="980" spans="1:34" ht="25">
      <c r="A980" s="774"/>
      <c r="B980" s="353" t="s">
        <v>1312</v>
      </c>
      <c r="C980" s="358" t="s">
        <v>1131</v>
      </c>
      <c r="D980" s="357" t="s">
        <v>1198</v>
      </c>
      <c r="E980" s="380">
        <v>45165</v>
      </c>
      <c r="F980" s="373">
        <v>45166</v>
      </c>
      <c r="G980" s="373">
        <v>45166</v>
      </c>
      <c r="H980" s="373">
        <v>45166</v>
      </c>
      <c r="I980" s="397">
        <v>45166</v>
      </c>
      <c r="J980" s="358" t="s">
        <v>1199</v>
      </c>
      <c r="K980" s="392" t="s">
        <v>1200</v>
      </c>
      <c r="L980" s="413">
        <v>1</v>
      </c>
      <c r="M980" s="353" t="s">
        <v>608</v>
      </c>
      <c r="N980" s="414">
        <v>5000000</v>
      </c>
      <c r="O980" s="412">
        <v>5000000</v>
      </c>
      <c r="P980" s="423"/>
      <c r="R980" s="424"/>
      <c r="U980" s="424"/>
      <c r="V980" s="424"/>
      <c r="W980" s="424"/>
      <c r="X980" s="424"/>
      <c r="Z980" s="601"/>
      <c r="AG980" s="807"/>
      <c r="AH980" s="446"/>
    </row>
    <row r="981" spans="1:34">
      <c r="A981" s="774"/>
      <c r="B981" s="353" t="s">
        <v>1313</v>
      </c>
      <c r="C981" s="353" t="s">
        <v>583</v>
      </c>
      <c r="D981" s="357" t="s">
        <v>584</v>
      </c>
      <c r="E981" s="380">
        <v>45158</v>
      </c>
      <c r="F981" s="371">
        <v>45158</v>
      </c>
      <c r="G981" s="371">
        <v>45158</v>
      </c>
      <c r="H981" s="371">
        <v>45158</v>
      </c>
      <c r="I981" s="396">
        <v>45166</v>
      </c>
      <c r="J981" s="392" t="s">
        <v>841</v>
      </c>
      <c r="K981" s="392" t="s">
        <v>586</v>
      </c>
      <c r="L981" s="413">
        <v>1</v>
      </c>
      <c r="M981" s="353" t="s">
        <v>587</v>
      </c>
      <c r="N981" s="414">
        <v>2000000</v>
      </c>
      <c r="O981" s="412">
        <v>1356330</v>
      </c>
      <c r="P981" s="423"/>
      <c r="R981" s="424"/>
      <c r="U981" s="424"/>
      <c r="V981" s="424"/>
      <c r="W981" s="424"/>
      <c r="X981" s="424"/>
      <c r="Z981" s="601"/>
      <c r="AG981" s="807"/>
      <c r="AH981" s="446"/>
    </row>
    <row r="982" spans="1:34" ht="25">
      <c r="A982" s="774"/>
      <c r="B982" s="353" t="s">
        <v>1334</v>
      </c>
      <c r="C982" s="353" t="s">
        <v>627</v>
      </c>
      <c r="D982" s="357" t="s">
        <v>628</v>
      </c>
      <c r="E982" s="379">
        <v>45162</v>
      </c>
      <c r="F982" s="370">
        <v>45163</v>
      </c>
      <c r="G982" s="370">
        <v>45163</v>
      </c>
      <c r="H982" s="370">
        <v>45163</v>
      </c>
      <c r="I982" s="396">
        <v>45166</v>
      </c>
      <c r="J982" s="392" t="s">
        <v>630</v>
      </c>
      <c r="K982" s="392" t="s">
        <v>631</v>
      </c>
      <c r="L982" s="413">
        <v>1</v>
      </c>
      <c r="M982" s="353" t="s">
        <v>587</v>
      </c>
      <c r="N982" s="414">
        <v>100000</v>
      </c>
      <c r="O982" s="412">
        <v>100000</v>
      </c>
      <c r="P982" s="423"/>
      <c r="R982" s="424"/>
      <c r="U982" s="424"/>
      <c r="V982" s="424"/>
      <c r="W982" s="424"/>
      <c r="X982" s="424"/>
      <c r="Z982" s="601"/>
      <c r="AG982" s="807"/>
      <c r="AH982" s="446"/>
    </row>
    <row r="983" spans="1:34" ht="25">
      <c r="A983" s="774"/>
      <c r="B983" s="353" t="s">
        <v>1334</v>
      </c>
      <c r="C983" s="353" t="s">
        <v>627</v>
      </c>
      <c r="D983" s="357" t="s">
        <v>628</v>
      </c>
      <c r="E983" s="379">
        <v>45162</v>
      </c>
      <c r="F983" s="370">
        <v>45163</v>
      </c>
      <c r="G983" s="370">
        <v>45163</v>
      </c>
      <c r="H983" s="370">
        <v>45163</v>
      </c>
      <c r="I983" s="396">
        <v>45166</v>
      </c>
      <c r="J983" s="392" t="s">
        <v>633</v>
      </c>
      <c r="K983" s="392" t="s">
        <v>631</v>
      </c>
      <c r="L983" s="413">
        <v>1</v>
      </c>
      <c r="M983" s="353" t="s">
        <v>587</v>
      </c>
      <c r="N983" s="414">
        <v>200000</v>
      </c>
      <c r="O983" s="412">
        <v>200000</v>
      </c>
      <c r="P983" s="423"/>
      <c r="R983" s="424"/>
      <c r="U983" s="424"/>
      <c r="V983" s="424"/>
      <c r="W983" s="424"/>
      <c r="X983" s="424"/>
      <c r="Z983" s="601"/>
      <c r="AG983" s="807"/>
      <c r="AH983" s="446"/>
    </row>
    <row r="984" spans="1:34">
      <c r="A984" s="774"/>
      <c r="B984" s="353" t="s">
        <v>1335</v>
      </c>
      <c r="C984" s="353" t="s">
        <v>610</v>
      </c>
      <c r="D984" s="357" t="s">
        <v>611</v>
      </c>
      <c r="E984" s="379">
        <v>45162</v>
      </c>
      <c r="F984" s="370">
        <v>45163</v>
      </c>
      <c r="G984" s="370">
        <v>45163</v>
      </c>
      <c r="H984" s="370">
        <v>45163</v>
      </c>
      <c r="I984" s="396">
        <v>45166</v>
      </c>
      <c r="J984" s="392" t="s">
        <v>612</v>
      </c>
      <c r="K984" s="392" t="s">
        <v>613</v>
      </c>
      <c r="L984" s="413">
        <v>1</v>
      </c>
      <c r="M984" s="353" t="s">
        <v>614</v>
      </c>
      <c r="N984" s="414">
        <v>1000000</v>
      </c>
      <c r="O984" s="412">
        <v>1000000</v>
      </c>
      <c r="P984" s="423"/>
      <c r="R984" s="424"/>
      <c r="U984" s="424"/>
      <c r="V984" s="424"/>
      <c r="W984" s="424"/>
      <c r="X984" s="424"/>
      <c r="Z984" s="601"/>
      <c r="AG984" s="807"/>
      <c r="AH984" s="446"/>
    </row>
    <row r="985" spans="1:34">
      <c r="A985" s="774"/>
      <c r="B985" s="353" t="s">
        <v>1344</v>
      </c>
      <c r="C985" s="353" t="s">
        <v>635</v>
      </c>
      <c r="D985" s="357" t="s">
        <v>590</v>
      </c>
      <c r="E985" s="379">
        <v>45167</v>
      </c>
      <c r="F985" s="371">
        <v>45168</v>
      </c>
      <c r="G985" s="371">
        <v>45168</v>
      </c>
      <c r="H985" s="371">
        <v>45168</v>
      </c>
      <c r="I985" s="396">
        <v>45168</v>
      </c>
      <c r="J985" s="392" t="s">
        <v>636</v>
      </c>
      <c r="K985" s="392" t="s">
        <v>637</v>
      </c>
      <c r="L985" s="413">
        <v>1</v>
      </c>
      <c r="M985" s="353" t="s">
        <v>587</v>
      </c>
      <c r="N985" s="414">
        <v>400000</v>
      </c>
      <c r="O985" s="412">
        <v>400000</v>
      </c>
      <c r="P985" s="423"/>
      <c r="R985" s="424"/>
      <c r="U985" s="424"/>
      <c r="V985" s="424"/>
      <c r="W985" s="424"/>
      <c r="X985" s="424"/>
      <c r="Z985" s="601"/>
      <c r="AG985" s="807"/>
      <c r="AH985" s="446"/>
    </row>
    <row r="986" spans="1:34">
      <c r="A986" s="774"/>
      <c r="B986" s="353"/>
      <c r="C986" s="777"/>
      <c r="D986" s="778"/>
      <c r="E986" s="783"/>
      <c r="F986" s="786"/>
      <c r="G986" s="786"/>
      <c r="H986" s="786"/>
      <c r="I986" s="787"/>
      <c r="J986" s="797"/>
      <c r="K986" s="797"/>
      <c r="L986" s="798"/>
      <c r="M986" s="798"/>
      <c r="N986" s="799"/>
      <c r="O986" s="800"/>
      <c r="P986" s="423"/>
      <c r="R986" s="424"/>
      <c r="U986" s="424"/>
      <c r="V986" s="424"/>
      <c r="W986" s="424"/>
      <c r="X986" s="424"/>
      <c r="Z986" s="601"/>
      <c r="AG986" s="807"/>
      <c r="AH986" s="446"/>
    </row>
    <row r="987" spans="1:34">
      <c r="A987" s="774"/>
      <c r="B987" s="353"/>
      <c r="C987" s="777"/>
      <c r="D987" s="778"/>
      <c r="E987" s="783"/>
      <c r="F987" s="786"/>
      <c r="G987" s="786"/>
      <c r="H987" s="786"/>
      <c r="I987" s="787"/>
      <c r="J987" s="797"/>
      <c r="K987" s="797"/>
      <c r="L987" s="798"/>
      <c r="M987" s="798"/>
      <c r="N987" s="799"/>
      <c r="O987" s="800"/>
      <c r="P987" s="423"/>
      <c r="R987" s="424"/>
      <c r="U987" s="424"/>
      <c r="V987" s="424"/>
      <c r="W987" s="424"/>
      <c r="X987" s="424"/>
      <c r="Z987" s="601"/>
      <c r="AG987" s="807"/>
      <c r="AH987" s="446"/>
    </row>
    <row r="988" spans="1:34">
      <c r="A988" s="775"/>
      <c r="B988" s="353" t="s">
        <v>1365</v>
      </c>
      <c r="C988" s="353" t="s">
        <v>583</v>
      </c>
      <c r="D988" s="359" t="s">
        <v>1366</v>
      </c>
      <c r="E988" s="380">
        <v>45188</v>
      </c>
      <c r="F988" s="371">
        <v>45189</v>
      </c>
      <c r="G988" s="371">
        <v>45189</v>
      </c>
      <c r="H988" s="371">
        <v>45189</v>
      </c>
      <c r="I988" s="398">
        <v>45189</v>
      </c>
      <c r="J988" s="392" t="s">
        <v>841</v>
      </c>
      <c r="K988" s="392" t="s">
        <v>586</v>
      </c>
      <c r="L988" s="415">
        <v>1</v>
      </c>
      <c r="M988" s="353" t="s">
        <v>304</v>
      </c>
      <c r="N988" s="416">
        <v>2000000</v>
      </c>
      <c r="O988" s="417">
        <v>2000000</v>
      </c>
      <c r="P988" s="423"/>
      <c r="R988" s="424"/>
      <c r="U988" s="424"/>
      <c r="V988" s="424"/>
      <c r="W988" s="424"/>
      <c r="X988" s="424"/>
      <c r="Z988" s="601"/>
      <c r="AG988" s="807"/>
      <c r="AH988" s="446"/>
    </row>
    <row r="989" spans="1:34">
      <c r="A989" s="775"/>
      <c r="B989" s="353" t="s">
        <v>1367</v>
      </c>
      <c r="C989" s="353" t="s">
        <v>589</v>
      </c>
      <c r="D989" s="359" t="s">
        <v>1368</v>
      </c>
      <c r="E989" s="380">
        <v>45188</v>
      </c>
      <c r="F989" s="371">
        <v>45189</v>
      </c>
      <c r="G989" s="371">
        <v>45189</v>
      </c>
      <c r="H989" s="371">
        <v>45189</v>
      </c>
      <c r="I989" s="398">
        <v>45189</v>
      </c>
      <c r="J989" s="392" t="s">
        <v>843</v>
      </c>
      <c r="K989" s="392" t="s">
        <v>592</v>
      </c>
      <c r="L989" s="418">
        <v>1</v>
      </c>
      <c r="M989" s="352" t="s">
        <v>587</v>
      </c>
      <c r="N989" s="419">
        <v>1200000</v>
      </c>
      <c r="O989" s="417">
        <v>1200000</v>
      </c>
      <c r="P989" s="423"/>
      <c r="R989" s="424"/>
      <c r="U989" s="424"/>
      <c r="V989" s="424"/>
      <c r="W989" s="424"/>
      <c r="X989" s="424"/>
      <c r="Z989" s="601"/>
      <c r="AG989" s="807"/>
      <c r="AH989" s="446"/>
    </row>
    <row r="990" spans="1:34">
      <c r="A990" s="775"/>
      <c r="B990" s="353" t="s">
        <v>1369</v>
      </c>
      <c r="C990" s="353" t="s">
        <v>589</v>
      </c>
      <c r="D990" s="359" t="s">
        <v>1368</v>
      </c>
      <c r="E990" s="380">
        <v>45188</v>
      </c>
      <c r="F990" s="371">
        <v>45189</v>
      </c>
      <c r="G990" s="371">
        <v>45189</v>
      </c>
      <c r="H990" s="371">
        <v>45189</v>
      </c>
      <c r="I990" s="398">
        <v>45189</v>
      </c>
      <c r="J990" s="392" t="s">
        <v>843</v>
      </c>
      <c r="K990" s="392" t="s">
        <v>592</v>
      </c>
      <c r="L990" s="418">
        <v>1</v>
      </c>
      <c r="M990" s="352" t="s">
        <v>587</v>
      </c>
      <c r="N990" s="419">
        <v>1200000</v>
      </c>
      <c r="O990" s="417">
        <v>1200000</v>
      </c>
      <c r="P990" s="423"/>
      <c r="R990" s="424"/>
      <c r="U990" s="424"/>
      <c r="V990" s="424"/>
      <c r="W990" s="424"/>
      <c r="X990" s="424"/>
      <c r="Z990" s="601"/>
      <c r="AG990" s="807"/>
      <c r="AH990" s="446"/>
    </row>
    <row r="991" spans="1:34" ht="25">
      <c r="A991" s="774"/>
      <c r="B991" s="353" t="s">
        <v>1372</v>
      </c>
      <c r="C991" s="353" t="s">
        <v>627</v>
      </c>
      <c r="D991" s="357" t="s">
        <v>628</v>
      </c>
      <c r="E991" s="380">
        <v>45193</v>
      </c>
      <c r="F991" s="371">
        <v>45194</v>
      </c>
      <c r="G991" s="371">
        <v>45194</v>
      </c>
      <c r="H991" s="371">
        <v>45194</v>
      </c>
      <c r="I991" s="396">
        <v>45194</v>
      </c>
      <c r="J991" s="392" t="s">
        <v>630</v>
      </c>
      <c r="K991" s="392" t="s">
        <v>631</v>
      </c>
      <c r="L991" s="413">
        <v>1</v>
      </c>
      <c r="M991" s="353" t="s">
        <v>587</v>
      </c>
      <c r="N991" s="414">
        <v>100000</v>
      </c>
      <c r="O991" s="412">
        <v>100000</v>
      </c>
      <c r="P991" s="423"/>
      <c r="R991" s="424"/>
      <c r="U991" s="424"/>
      <c r="V991" s="424"/>
      <c r="W991" s="424"/>
      <c r="X991" s="424"/>
      <c r="Z991" s="601"/>
      <c r="AG991" s="807"/>
      <c r="AH991" s="446"/>
    </row>
    <row r="992" spans="1:34" ht="25">
      <c r="A992" s="774"/>
      <c r="B992" s="353" t="s">
        <v>1372</v>
      </c>
      <c r="C992" s="353" t="s">
        <v>627</v>
      </c>
      <c r="D992" s="357" t="s">
        <v>628</v>
      </c>
      <c r="E992" s="380">
        <v>45193</v>
      </c>
      <c r="F992" s="371">
        <v>45194</v>
      </c>
      <c r="G992" s="371">
        <v>45194</v>
      </c>
      <c r="H992" s="371">
        <v>45194</v>
      </c>
      <c r="I992" s="396">
        <v>45194</v>
      </c>
      <c r="J992" s="392" t="s">
        <v>633</v>
      </c>
      <c r="K992" s="392" t="s">
        <v>631</v>
      </c>
      <c r="L992" s="413">
        <v>1</v>
      </c>
      <c r="M992" s="353" t="s">
        <v>587</v>
      </c>
      <c r="N992" s="414">
        <v>200000</v>
      </c>
      <c r="O992" s="412">
        <v>200000</v>
      </c>
      <c r="P992" s="423"/>
      <c r="R992" s="424"/>
      <c r="U992" s="424"/>
      <c r="V992" s="424"/>
      <c r="W992" s="424"/>
      <c r="X992" s="424"/>
      <c r="Z992" s="601"/>
      <c r="AG992" s="807"/>
      <c r="AH992" s="446"/>
    </row>
    <row r="993" spans="1:34">
      <c r="A993" s="774"/>
      <c r="B993" s="353" t="s">
        <v>1373</v>
      </c>
      <c r="C993" s="353" t="s">
        <v>635</v>
      </c>
      <c r="D993" s="357" t="s">
        <v>590</v>
      </c>
      <c r="E993" s="380">
        <v>45193</v>
      </c>
      <c r="F993" s="371">
        <v>45194</v>
      </c>
      <c r="G993" s="371">
        <v>45194</v>
      </c>
      <c r="H993" s="371">
        <v>45194</v>
      </c>
      <c r="I993" s="396">
        <v>45194</v>
      </c>
      <c r="J993" s="392" t="s">
        <v>636</v>
      </c>
      <c r="K993" s="392" t="s">
        <v>637</v>
      </c>
      <c r="L993" s="413">
        <v>1</v>
      </c>
      <c r="M993" s="353" t="s">
        <v>587</v>
      </c>
      <c r="N993" s="414">
        <v>400000</v>
      </c>
      <c r="O993" s="412">
        <v>400000</v>
      </c>
      <c r="P993" s="423"/>
      <c r="R993" s="424"/>
      <c r="U993" s="424"/>
      <c r="V993" s="424"/>
      <c r="W993" s="424"/>
      <c r="X993" s="424"/>
      <c r="Z993" s="601"/>
      <c r="AG993" s="807"/>
      <c r="AH993" s="446"/>
    </row>
    <row r="994" spans="1:34">
      <c r="A994" s="774"/>
      <c r="B994" s="353" t="s">
        <v>1383</v>
      </c>
      <c r="C994" s="353" t="s">
        <v>610</v>
      </c>
      <c r="D994" s="357" t="s">
        <v>611</v>
      </c>
      <c r="E994" s="380">
        <v>45198</v>
      </c>
      <c r="F994" s="371">
        <v>45199</v>
      </c>
      <c r="G994" s="371">
        <v>45195</v>
      </c>
      <c r="H994" s="371">
        <v>45195</v>
      </c>
      <c r="I994" s="396">
        <v>45195</v>
      </c>
      <c r="J994" s="392" t="s">
        <v>612</v>
      </c>
      <c r="K994" s="392" t="s">
        <v>613</v>
      </c>
      <c r="L994" s="413">
        <v>1</v>
      </c>
      <c r="M994" s="353" t="s">
        <v>614</v>
      </c>
      <c r="N994" s="414">
        <v>1000000</v>
      </c>
      <c r="O994" s="412">
        <v>1000000</v>
      </c>
      <c r="P994" s="423"/>
      <c r="R994" s="424"/>
      <c r="U994" s="424"/>
      <c r="V994" s="424"/>
      <c r="W994" s="424"/>
      <c r="X994" s="424"/>
      <c r="Y994" s="424"/>
      <c r="Z994" s="601"/>
      <c r="AA994" s="602"/>
      <c r="AB994" s="603"/>
      <c r="AC994" s="603"/>
      <c r="AD994" s="604"/>
      <c r="AE994" s="605"/>
      <c r="AF994" s="605"/>
      <c r="AG994" s="807"/>
      <c r="AH994" s="446"/>
    </row>
    <row r="995" spans="1:34">
      <c r="A995" s="774"/>
      <c r="B995" s="353"/>
      <c r="C995" s="777"/>
      <c r="D995" s="778"/>
      <c r="E995" s="783"/>
      <c r="F995" s="786"/>
      <c r="G995" s="786"/>
      <c r="H995" s="786"/>
      <c r="I995" s="787"/>
      <c r="J995" s="797"/>
      <c r="K995" s="797"/>
      <c r="L995" s="798"/>
      <c r="M995" s="798"/>
      <c r="N995" s="799"/>
      <c r="O995" s="800"/>
      <c r="P995" s="423"/>
      <c r="R995" s="424"/>
      <c r="U995" s="424"/>
      <c r="V995" s="424"/>
      <c r="W995" s="424"/>
      <c r="X995" s="424"/>
      <c r="Z995" s="601"/>
      <c r="AG995" s="807"/>
      <c r="AH995" s="446"/>
    </row>
    <row r="996" spans="1:34">
      <c r="A996" s="774"/>
      <c r="B996" s="353" t="s">
        <v>1411</v>
      </c>
      <c r="C996" s="353" t="s">
        <v>603</v>
      </c>
      <c r="D996" s="357" t="s">
        <v>604</v>
      </c>
      <c r="E996" s="380">
        <v>45208</v>
      </c>
      <c r="F996" s="370">
        <v>45209</v>
      </c>
      <c r="G996" s="370">
        <v>45209</v>
      </c>
      <c r="H996" s="370">
        <v>45209</v>
      </c>
      <c r="I996" s="396">
        <v>45209</v>
      </c>
      <c r="J996" s="392" t="s">
        <v>606</v>
      </c>
      <c r="K996" s="392" t="s">
        <v>607</v>
      </c>
      <c r="L996" s="413">
        <v>1</v>
      </c>
      <c r="M996" s="353" t="s">
        <v>608</v>
      </c>
      <c r="N996" s="414">
        <v>125000</v>
      </c>
      <c r="O996" s="412">
        <v>125000</v>
      </c>
      <c r="P996" s="423"/>
      <c r="R996" s="424"/>
      <c r="U996" s="424"/>
      <c r="V996" s="424"/>
      <c r="W996" s="424"/>
      <c r="X996" s="424"/>
      <c r="Y996" s="424"/>
      <c r="Z996" s="601"/>
      <c r="AA996" s="602"/>
      <c r="AB996" s="603"/>
      <c r="AC996" s="603"/>
      <c r="AD996" s="604"/>
      <c r="AE996" s="605"/>
      <c r="AF996" s="605"/>
      <c r="AG996" s="807"/>
      <c r="AH996" s="446"/>
    </row>
    <row r="997" spans="1:34" ht="25">
      <c r="A997" s="774"/>
      <c r="B997" s="353" t="s">
        <v>1419</v>
      </c>
      <c r="C997" s="353" t="s">
        <v>1420</v>
      </c>
      <c r="D997" s="357" t="s">
        <v>604</v>
      </c>
      <c r="E997" s="380">
        <v>45212</v>
      </c>
      <c r="F997" s="371">
        <v>45213</v>
      </c>
      <c r="G997" s="371">
        <v>45213</v>
      </c>
      <c r="H997" s="371">
        <v>45213</v>
      </c>
      <c r="I997" s="396">
        <v>45213</v>
      </c>
      <c r="J997" s="392" t="s">
        <v>1421</v>
      </c>
      <c r="K997" s="392" t="s">
        <v>1421</v>
      </c>
      <c r="L997" s="413">
        <v>10</v>
      </c>
      <c r="M997" s="353" t="s">
        <v>1422</v>
      </c>
      <c r="N997" s="414">
        <v>500000</v>
      </c>
      <c r="O997" s="412">
        <v>5000000</v>
      </c>
      <c r="P997" s="423"/>
      <c r="R997" s="424"/>
      <c r="U997" s="424"/>
      <c r="V997" s="424"/>
      <c r="W997" s="424"/>
      <c r="Z997" s="601"/>
      <c r="AG997" s="807"/>
      <c r="AH997" s="446"/>
    </row>
    <row r="998" spans="1:34">
      <c r="A998" s="774"/>
      <c r="B998" s="353" t="s">
        <v>1440</v>
      </c>
      <c r="C998" s="353" t="s">
        <v>589</v>
      </c>
      <c r="D998" s="357" t="s">
        <v>590</v>
      </c>
      <c r="E998" s="380">
        <v>45218</v>
      </c>
      <c r="F998" s="371">
        <v>45219</v>
      </c>
      <c r="G998" s="371">
        <v>45219</v>
      </c>
      <c r="H998" s="371">
        <v>45219</v>
      </c>
      <c r="I998" s="396">
        <v>45219</v>
      </c>
      <c r="J998" s="392" t="s">
        <v>843</v>
      </c>
      <c r="K998" s="392" t="s">
        <v>592</v>
      </c>
      <c r="L998" s="402">
        <v>1</v>
      </c>
      <c r="M998" s="352" t="s">
        <v>587</v>
      </c>
      <c r="N998" s="403">
        <v>1200000</v>
      </c>
      <c r="O998" s="412">
        <v>1200000</v>
      </c>
      <c r="P998" s="423"/>
      <c r="R998" s="424"/>
      <c r="U998" s="424"/>
      <c r="V998" s="424"/>
      <c r="W998" s="424"/>
      <c r="Z998" s="601"/>
      <c r="AG998" s="807"/>
      <c r="AH998" s="446"/>
    </row>
    <row r="999" spans="1:34">
      <c r="A999" s="774"/>
      <c r="B999" s="353" t="s">
        <v>1441</v>
      </c>
      <c r="C999" s="353" t="s">
        <v>583</v>
      </c>
      <c r="D999" s="357" t="s">
        <v>584</v>
      </c>
      <c r="E999" s="380">
        <v>45218</v>
      </c>
      <c r="F999" s="371">
        <v>45219</v>
      </c>
      <c r="G999" s="371">
        <v>45219</v>
      </c>
      <c r="H999" s="371">
        <v>45219</v>
      </c>
      <c r="I999" s="396">
        <v>45219</v>
      </c>
      <c r="J999" s="392" t="s">
        <v>841</v>
      </c>
      <c r="K999" s="392" t="s">
        <v>586</v>
      </c>
      <c r="L999" s="413">
        <v>1</v>
      </c>
      <c r="M999" s="353" t="s">
        <v>587</v>
      </c>
      <c r="N999" s="414">
        <v>2000000</v>
      </c>
      <c r="O999" s="412">
        <v>2000000</v>
      </c>
      <c r="P999" s="423"/>
      <c r="R999" s="424"/>
      <c r="U999" s="424"/>
      <c r="V999" s="424"/>
      <c r="W999" s="424"/>
      <c r="X999" s="424"/>
      <c r="Y999" s="424"/>
      <c r="Z999" s="601"/>
      <c r="AA999" s="602"/>
      <c r="AB999" s="603"/>
      <c r="AC999" s="603"/>
      <c r="AD999" s="604"/>
      <c r="AE999" s="605"/>
      <c r="AF999" s="605"/>
      <c r="AG999" s="807"/>
      <c r="AH999" s="446"/>
    </row>
    <row r="1000" spans="1:34">
      <c r="A1000" s="774"/>
      <c r="B1000" s="353" t="s">
        <v>1442</v>
      </c>
      <c r="C1000" s="353" t="s">
        <v>635</v>
      </c>
      <c r="D1000" s="357" t="s">
        <v>590</v>
      </c>
      <c r="E1000" s="380">
        <v>45218</v>
      </c>
      <c r="F1000" s="371">
        <v>45219</v>
      </c>
      <c r="G1000" s="371">
        <v>45219</v>
      </c>
      <c r="H1000" s="371">
        <v>45219</v>
      </c>
      <c r="I1000" s="396">
        <v>45219</v>
      </c>
      <c r="J1000" s="392" t="s">
        <v>636</v>
      </c>
      <c r="K1000" s="392" t="s">
        <v>637</v>
      </c>
      <c r="L1000" s="413">
        <v>1</v>
      </c>
      <c r="M1000" s="353" t="s">
        <v>587</v>
      </c>
      <c r="N1000" s="414">
        <v>400000</v>
      </c>
      <c r="O1000" s="412">
        <v>400000</v>
      </c>
      <c r="P1000" s="423"/>
      <c r="R1000" s="424"/>
      <c r="U1000" s="424"/>
      <c r="V1000" s="424"/>
      <c r="W1000" s="424"/>
      <c r="X1000" s="424"/>
      <c r="Z1000" s="601"/>
      <c r="AG1000" s="807"/>
      <c r="AH1000" s="446"/>
    </row>
    <row r="1001" spans="1:34" ht="25">
      <c r="A1001" s="774"/>
      <c r="B1001" s="353" t="s">
        <v>1445</v>
      </c>
      <c r="C1001" s="353" t="s">
        <v>627</v>
      </c>
      <c r="D1001" s="357" t="s">
        <v>628</v>
      </c>
      <c r="E1001" s="380">
        <v>45223</v>
      </c>
      <c r="F1001" s="371">
        <v>45224</v>
      </c>
      <c r="G1001" s="371">
        <v>45224</v>
      </c>
      <c r="H1001" s="371">
        <v>45224</v>
      </c>
      <c r="I1001" s="396">
        <v>45224</v>
      </c>
      <c r="J1001" s="392" t="s">
        <v>630</v>
      </c>
      <c r="K1001" s="392" t="s">
        <v>631</v>
      </c>
      <c r="L1001" s="413">
        <v>1</v>
      </c>
      <c r="M1001" s="353" t="s">
        <v>587</v>
      </c>
      <c r="N1001" s="414">
        <v>100000</v>
      </c>
      <c r="O1001" s="412">
        <v>100000</v>
      </c>
      <c r="P1001" s="423"/>
      <c r="R1001" s="424"/>
      <c r="U1001" s="424"/>
      <c r="V1001" s="424"/>
      <c r="W1001" s="424"/>
      <c r="X1001" s="424"/>
      <c r="Y1001" s="424"/>
      <c r="Z1001" s="601"/>
      <c r="AA1001" s="602"/>
      <c r="AB1001" s="603"/>
      <c r="AC1001" s="603"/>
      <c r="AD1001" s="604"/>
      <c r="AE1001" s="605"/>
      <c r="AF1001" s="605"/>
      <c r="AG1001" s="807"/>
      <c r="AH1001" s="446"/>
    </row>
    <row r="1002" spans="1:34" ht="25">
      <c r="A1002" s="774"/>
      <c r="B1002" s="353" t="s">
        <v>1445</v>
      </c>
      <c r="C1002" s="353" t="s">
        <v>627</v>
      </c>
      <c r="D1002" s="357" t="s">
        <v>628</v>
      </c>
      <c r="E1002" s="380">
        <v>45223</v>
      </c>
      <c r="F1002" s="371">
        <v>45224</v>
      </c>
      <c r="G1002" s="371">
        <v>45224</v>
      </c>
      <c r="H1002" s="371">
        <v>45224</v>
      </c>
      <c r="I1002" s="396">
        <v>45224</v>
      </c>
      <c r="J1002" s="392" t="s">
        <v>633</v>
      </c>
      <c r="K1002" s="392" t="s">
        <v>631</v>
      </c>
      <c r="L1002" s="413">
        <v>1</v>
      </c>
      <c r="M1002" s="353" t="s">
        <v>587</v>
      </c>
      <c r="N1002" s="414">
        <v>200000</v>
      </c>
      <c r="O1002" s="412">
        <v>200000</v>
      </c>
      <c r="P1002" s="423"/>
      <c r="R1002" s="424"/>
      <c r="U1002" s="424"/>
      <c r="V1002" s="424"/>
      <c r="W1002" s="424"/>
      <c r="Z1002" s="601"/>
      <c r="AG1002" s="807"/>
      <c r="AH1002" s="446"/>
    </row>
    <row r="1003" spans="1:34">
      <c r="A1003" s="774"/>
      <c r="B1003" s="353" t="s">
        <v>1447</v>
      </c>
      <c r="C1003" s="353" t="s">
        <v>610</v>
      </c>
      <c r="D1003" s="357" t="s">
        <v>611</v>
      </c>
      <c r="E1003" s="380">
        <v>45223</v>
      </c>
      <c r="F1003" s="371">
        <v>45224</v>
      </c>
      <c r="G1003" s="371">
        <v>45224</v>
      </c>
      <c r="H1003" s="371">
        <v>45224</v>
      </c>
      <c r="I1003" s="396">
        <v>45224</v>
      </c>
      <c r="J1003" s="392" t="s">
        <v>612</v>
      </c>
      <c r="K1003" s="392" t="s">
        <v>613</v>
      </c>
      <c r="L1003" s="413">
        <v>1</v>
      </c>
      <c r="M1003" s="353" t="s">
        <v>614</v>
      </c>
      <c r="N1003" s="414">
        <v>1000000</v>
      </c>
      <c r="O1003" s="412">
        <v>1000000</v>
      </c>
      <c r="P1003" s="423"/>
      <c r="R1003" s="424"/>
      <c r="U1003" s="424"/>
      <c r="V1003" s="424"/>
      <c r="W1003" s="424"/>
      <c r="X1003" s="424"/>
      <c r="Z1003" s="601"/>
      <c r="AG1003" s="807"/>
      <c r="AH1003" s="446"/>
    </row>
    <row r="1004" spans="1:34" ht="25">
      <c r="A1004" s="774"/>
      <c r="B1004" s="353" t="s">
        <v>1449</v>
      </c>
      <c r="C1004" s="353" t="s">
        <v>1450</v>
      </c>
      <c r="D1004" s="357" t="s">
        <v>864</v>
      </c>
      <c r="E1004" s="380">
        <v>45223</v>
      </c>
      <c r="F1004" s="371">
        <v>45224</v>
      </c>
      <c r="G1004" s="371">
        <v>45224</v>
      </c>
      <c r="H1004" s="371">
        <v>45224</v>
      </c>
      <c r="I1004" s="396">
        <v>45224</v>
      </c>
      <c r="J1004" s="392" t="s">
        <v>1451</v>
      </c>
      <c r="K1004" s="392" t="s">
        <v>1451</v>
      </c>
      <c r="L1004" s="413">
        <v>1</v>
      </c>
      <c r="M1004" s="353" t="s">
        <v>940</v>
      </c>
      <c r="N1004" s="414">
        <v>3450000</v>
      </c>
      <c r="O1004" s="412">
        <v>3450000</v>
      </c>
      <c r="P1004" s="423"/>
      <c r="R1004" s="424"/>
      <c r="U1004" s="424"/>
      <c r="Z1004" s="601"/>
      <c r="AG1004" s="807"/>
    </row>
    <row r="1005" spans="1:34" ht="25">
      <c r="A1005" s="774"/>
      <c r="B1005" s="353" t="s">
        <v>1452</v>
      </c>
      <c r="C1005" s="353" t="s">
        <v>1450</v>
      </c>
      <c r="D1005" s="357" t="s">
        <v>864</v>
      </c>
      <c r="E1005" s="380">
        <v>45223</v>
      </c>
      <c r="F1005" s="371">
        <v>45224</v>
      </c>
      <c r="G1005" s="371">
        <v>45224</v>
      </c>
      <c r="H1005" s="371">
        <v>45224</v>
      </c>
      <c r="I1005" s="396">
        <v>45224</v>
      </c>
      <c r="J1005" s="392" t="s">
        <v>1451</v>
      </c>
      <c r="K1005" s="392" t="s">
        <v>1451</v>
      </c>
      <c r="L1005" s="413">
        <v>1</v>
      </c>
      <c r="M1005" s="353" t="s">
        <v>940</v>
      </c>
      <c r="N1005" s="414">
        <v>3450000</v>
      </c>
      <c r="O1005" s="412">
        <v>3450000</v>
      </c>
      <c r="P1005" s="423"/>
      <c r="R1005" s="424"/>
      <c r="U1005" s="424"/>
      <c r="Z1005" s="601"/>
      <c r="AG1005" s="807"/>
    </row>
    <row r="1006" spans="1:34">
      <c r="A1006" s="774"/>
      <c r="B1006" s="353"/>
      <c r="C1006" s="777"/>
      <c r="D1006" s="778"/>
      <c r="E1006" s="783"/>
      <c r="F1006" s="790"/>
      <c r="G1006" s="786"/>
      <c r="H1006" s="786"/>
      <c r="I1006" s="787"/>
      <c r="J1006" s="797"/>
      <c r="K1006" s="797"/>
      <c r="L1006" s="798"/>
      <c r="M1006" s="798"/>
      <c r="N1006" s="799"/>
      <c r="O1006" s="800"/>
      <c r="P1006" s="423"/>
      <c r="R1006" s="424"/>
      <c r="U1006" s="424"/>
      <c r="Z1006" s="601"/>
      <c r="AG1006" s="807"/>
    </row>
    <row r="1007" spans="1:34">
      <c r="A1007" s="774"/>
      <c r="B1007" s="353" t="s">
        <v>1473</v>
      </c>
      <c r="C1007" s="353" t="s">
        <v>1450</v>
      </c>
      <c r="D1007" s="357" t="s">
        <v>864</v>
      </c>
      <c r="E1007" s="380">
        <v>45244</v>
      </c>
      <c r="F1007" s="371">
        <v>45245</v>
      </c>
      <c r="G1007" s="371">
        <v>45245</v>
      </c>
      <c r="H1007" s="371">
        <v>45245</v>
      </c>
      <c r="I1007" s="396">
        <v>45245</v>
      </c>
      <c r="J1007" s="392" t="s">
        <v>1451</v>
      </c>
      <c r="K1007" s="797"/>
      <c r="L1007" s="413">
        <v>1</v>
      </c>
      <c r="M1007" s="353" t="s">
        <v>940</v>
      </c>
      <c r="N1007" s="414">
        <v>3450000</v>
      </c>
      <c r="O1007" s="412">
        <v>3450000</v>
      </c>
      <c r="P1007" s="423"/>
      <c r="R1007" s="424"/>
      <c r="U1007" s="424"/>
      <c r="Z1007" s="601"/>
      <c r="AG1007" s="807"/>
    </row>
    <row r="1008" spans="1:34">
      <c r="A1008" s="774"/>
      <c r="B1008" s="353" t="s">
        <v>1475</v>
      </c>
      <c r="C1008" s="353" t="s">
        <v>583</v>
      </c>
      <c r="D1008" s="357" t="s">
        <v>584</v>
      </c>
      <c r="E1008" s="380">
        <v>45249</v>
      </c>
      <c r="F1008" s="371">
        <v>45250</v>
      </c>
      <c r="G1008" s="371">
        <v>45250</v>
      </c>
      <c r="H1008" s="371">
        <v>45250</v>
      </c>
      <c r="I1008" s="396">
        <v>45250</v>
      </c>
      <c r="J1008" s="392" t="s">
        <v>841</v>
      </c>
      <c r="K1008" s="392" t="s">
        <v>586</v>
      </c>
      <c r="L1008" s="413">
        <v>1</v>
      </c>
      <c r="M1008" s="353" t="s">
        <v>587</v>
      </c>
      <c r="N1008" s="414">
        <v>2000000</v>
      </c>
      <c r="O1008" s="412">
        <v>2000000</v>
      </c>
      <c r="P1008" s="423"/>
      <c r="R1008" s="424"/>
      <c r="U1008" s="424"/>
      <c r="Z1008" s="601"/>
      <c r="AG1008" s="807"/>
    </row>
    <row r="1009" spans="1:34">
      <c r="A1009" s="774"/>
      <c r="B1009" s="353" t="s">
        <v>1476</v>
      </c>
      <c r="C1009" s="353" t="s">
        <v>635</v>
      </c>
      <c r="D1009" s="357" t="s">
        <v>590</v>
      </c>
      <c r="E1009" s="380">
        <v>45249</v>
      </c>
      <c r="F1009" s="371">
        <v>45250</v>
      </c>
      <c r="G1009" s="371">
        <v>45250</v>
      </c>
      <c r="H1009" s="371">
        <v>45250</v>
      </c>
      <c r="I1009" s="396">
        <v>45250</v>
      </c>
      <c r="J1009" s="392" t="s">
        <v>636</v>
      </c>
      <c r="K1009" s="392" t="s">
        <v>637</v>
      </c>
      <c r="L1009" s="413">
        <v>1</v>
      </c>
      <c r="M1009" s="353" t="s">
        <v>587</v>
      </c>
      <c r="N1009" s="414">
        <v>400000</v>
      </c>
      <c r="O1009" s="412">
        <v>400000</v>
      </c>
      <c r="P1009" s="423"/>
      <c r="R1009" s="424"/>
      <c r="U1009" s="424"/>
      <c r="Z1009" s="601"/>
      <c r="AG1009" s="807"/>
    </row>
    <row r="1010" spans="1:34">
      <c r="A1010" s="774"/>
      <c r="B1010" s="353" t="s">
        <v>1477</v>
      </c>
      <c r="C1010" s="353" t="s">
        <v>589</v>
      </c>
      <c r="D1010" s="357" t="s">
        <v>590</v>
      </c>
      <c r="E1010" s="380">
        <v>45249</v>
      </c>
      <c r="F1010" s="371">
        <v>45250</v>
      </c>
      <c r="G1010" s="371">
        <v>45250</v>
      </c>
      <c r="H1010" s="371">
        <v>45250</v>
      </c>
      <c r="I1010" s="396">
        <v>45250</v>
      </c>
      <c r="J1010" s="392" t="s">
        <v>843</v>
      </c>
      <c r="K1010" s="392" t="s">
        <v>592</v>
      </c>
      <c r="L1010" s="402">
        <v>1</v>
      </c>
      <c r="M1010" s="352" t="s">
        <v>587</v>
      </c>
      <c r="N1010" s="403">
        <v>1200000</v>
      </c>
      <c r="O1010" s="412">
        <v>1200000</v>
      </c>
      <c r="P1010" s="423"/>
      <c r="R1010" s="424"/>
      <c r="U1010" s="424"/>
      <c r="Z1010" s="601"/>
      <c r="AG1010" s="807"/>
    </row>
    <row r="1011" spans="1:34" ht="25">
      <c r="A1011" s="774"/>
      <c r="B1011" s="353" t="s">
        <v>1478</v>
      </c>
      <c r="C1011" s="353" t="s">
        <v>627</v>
      </c>
      <c r="D1011" s="357" t="s">
        <v>628</v>
      </c>
      <c r="E1011" s="380">
        <v>45250</v>
      </c>
      <c r="F1011" s="371">
        <v>45251</v>
      </c>
      <c r="G1011" s="371">
        <v>45251</v>
      </c>
      <c r="H1011" s="371">
        <v>45251</v>
      </c>
      <c r="I1011" s="396">
        <v>45251</v>
      </c>
      <c r="J1011" s="392" t="s">
        <v>630</v>
      </c>
      <c r="K1011" s="392" t="s">
        <v>631</v>
      </c>
      <c r="L1011" s="413">
        <v>1</v>
      </c>
      <c r="M1011" s="353" t="s">
        <v>587</v>
      </c>
      <c r="N1011" s="414">
        <v>100000</v>
      </c>
      <c r="O1011" s="412">
        <v>100000</v>
      </c>
      <c r="P1011" s="423"/>
      <c r="R1011" s="424"/>
      <c r="U1011" s="424"/>
      <c r="Z1011" s="601"/>
      <c r="AG1011" s="807"/>
    </row>
    <row r="1012" spans="1:34" ht="25">
      <c r="A1012" s="774"/>
      <c r="B1012" s="353" t="s">
        <v>1478</v>
      </c>
      <c r="C1012" s="353" t="s">
        <v>627</v>
      </c>
      <c r="D1012" s="357" t="s">
        <v>628</v>
      </c>
      <c r="E1012" s="380">
        <v>45250</v>
      </c>
      <c r="F1012" s="371">
        <v>45251</v>
      </c>
      <c r="G1012" s="371">
        <v>45251</v>
      </c>
      <c r="H1012" s="371">
        <v>45251</v>
      </c>
      <c r="I1012" s="396">
        <v>45251</v>
      </c>
      <c r="J1012" s="392" t="s">
        <v>633</v>
      </c>
      <c r="K1012" s="392" t="s">
        <v>631</v>
      </c>
      <c r="L1012" s="413">
        <v>1</v>
      </c>
      <c r="M1012" s="353" t="s">
        <v>587</v>
      </c>
      <c r="N1012" s="414">
        <v>200000</v>
      </c>
      <c r="O1012" s="412">
        <v>200000</v>
      </c>
      <c r="P1012" s="423"/>
      <c r="R1012" s="424"/>
      <c r="U1012" s="424"/>
      <c r="Z1012" s="601"/>
      <c r="AG1012" s="807"/>
    </row>
    <row r="1013" spans="1:34">
      <c r="A1013" s="774"/>
      <c r="B1013" s="353" t="s">
        <v>1483</v>
      </c>
      <c r="C1013" s="353" t="s">
        <v>610</v>
      </c>
      <c r="D1013" s="357" t="s">
        <v>611</v>
      </c>
      <c r="E1013" s="380">
        <v>45256</v>
      </c>
      <c r="F1013" s="371">
        <v>45257</v>
      </c>
      <c r="G1013" s="371">
        <v>45257</v>
      </c>
      <c r="H1013" s="371">
        <v>45257</v>
      </c>
      <c r="I1013" s="396">
        <v>45257</v>
      </c>
      <c r="J1013" s="392" t="s">
        <v>612</v>
      </c>
      <c r="K1013" s="392" t="s">
        <v>613</v>
      </c>
      <c r="L1013" s="413">
        <v>1</v>
      </c>
      <c r="M1013" s="353" t="s">
        <v>614</v>
      </c>
      <c r="N1013" s="414">
        <v>1000000</v>
      </c>
      <c r="O1013" s="412">
        <v>1000000</v>
      </c>
      <c r="P1013" s="423"/>
      <c r="R1013" s="424"/>
      <c r="U1013" s="424"/>
      <c r="Z1013" s="601"/>
      <c r="AG1013" s="807"/>
    </row>
    <row r="1014" spans="1:34">
      <c r="A1014" s="774"/>
      <c r="B1014" s="353"/>
      <c r="C1014" s="777"/>
      <c r="D1014" s="778"/>
      <c r="E1014" s="784"/>
      <c r="F1014" s="790"/>
      <c r="G1014" s="786"/>
      <c r="H1014" s="786"/>
      <c r="I1014" s="787"/>
      <c r="J1014" s="797"/>
      <c r="K1014" s="797"/>
      <c r="L1014" s="798"/>
      <c r="M1014" s="798"/>
      <c r="N1014" s="799"/>
      <c r="O1014" s="800"/>
      <c r="P1014" s="423"/>
      <c r="R1014" s="424"/>
      <c r="U1014" s="424"/>
      <c r="Z1014" s="601"/>
      <c r="AG1014" s="807"/>
    </row>
    <row r="1015" spans="1:34">
      <c r="A1015" s="774"/>
      <c r="B1015" s="353" t="s">
        <v>1515</v>
      </c>
      <c r="C1015" s="353" t="s">
        <v>583</v>
      </c>
      <c r="D1015" s="357" t="s">
        <v>584</v>
      </c>
      <c r="E1015" s="380">
        <v>45279</v>
      </c>
      <c r="F1015" s="371">
        <v>45280</v>
      </c>
      <c r="G1015" s="371">
        <v>45280</v>
      </c>
      <c r="H1015" s="371">
        <v>45280</v>
      </c>
      <c r="I1015" s="396">
        <v>45280</v>
      </c>
      <c r="J1015" s="392" t="s">
        <v>841</v>
      </c>
      <c r="K1015" s="392" t="s">
        <v>586</v>
      </c>
      <c r="L1015" s="413">
        <v>1</v>
      </c>
      <c r="M1015" s="353" t="s">
        <v>587</v>
      </c>
      <c r="N1015" s="414">
        <v>2000000</v>
      </c>
      <c r="O1015" s="412">
        <v>2000000</v>
      </c>
      <c r="P1015" s="423"/>
      <c r="R1015" s="424"/>
      <c r="U1015" s="424"/>
      <c r="Z1015" s="601"/>
      <c r="AG1015" s="807"/>
    </row>
    <row r="1016" spans="1:34" ht="25">
      <c r="A1016" s="774"/>
      <c r="B1016" s="353" t="s">
        <v>1516</v>
      </c>
      <c r="C1016" s="353" t="s">
        <v>627</v>
      </c>
      <c r="D1016" s="357" t="s">
        <v>628</v>
      </c>
      <c r="E1016" s="380">
        <v>45279</v>
      </c>
      <c r="F1016" s="371">
        <v>45280</v>
      </c>
      <c r="G1016" s="371">
        <v>45280</v>
      </c>
      <c r="H1016" s="371">
        <v>45280</v>
      </c>
      <c r="I1016" s="396">
        <v>45280</v>
      </c>
      <c r="J1016" s="392" t="s">
        <v>630</v>
      </c>
      <c r="K1016" s="392" t="s">
        <v>631</v>
      </c>
      <c r="L1016" s="413">
        <v>1</v>
      </c>
      <c r="M1016" s="353" t="s">
        <v>587</v>
      </c>
      <c r="N1016" s="414">
        <v>100000</v>
      </c>
      <c r="O1016" s="412">
        <v>100000</v>
      </c>
      <c r="P1016" s="423"/>
      <c r="R1016" s="424"/>
      <c r="U1016" s="424"/>
      <c r="Z1016" s="601"/>
      <c r="AG1016" s="807"/>
    </row>
    <row r="1017" spans="1:34" ht="25">
      <c r="A1017" s="774"/>
      <c r="B1017" s="353" t="s">
        <v>1516</v>
      </c>
      <c r="C1017" s="353" t="s">
        <v>627</v>
      </c>
      <c r="D1017" s="357" t="s">
        <v>628</v>
      </c>
      <c r="E1017" s="380">
        <v>45279</v>
      </c>
      <c r="F1017" s="371">
        <v>45280</v>
      </c>
      <c r="G1017" s="371">
        <v>45280</v>
      </c>
      <c r="H1017" s="371">
        <v>45280</v>
      </c>
      <c r="I1017" s="396">
        <v>45280</v>
      </c>
      <c r="J1017" s="392" t="s">
        <v>633</v>
      </c>
      <c r="K1017" s="392" t="s">
        <v>631</v>
      </c>
      <c r="L1017" s="413">
        <v>1</v>
      </c>
      <c r="M1017" s="353" t="s">
        <v>587</v>
      </c>
      <c r="N1017" s="414">
        <v>200000</v>
      </c>
      <c r="O1017" s="412">
        <v>200000</v>
      </c>
      <c r="P1017" s="423"/>
      <c r="R1017" s="424"/>
      <c r="U1017" s="424"/>
      <c r="Z1017" s="601"/>
      <c r="AG1017" s="807"/>
    </row>
    <row r="1018" spans="1:34">
      <c r="A1018" s="774"/>
      <c r="B1018" s="353" t="s">
        <v>1517</v>
      </c>
      <c r="C1018" s="353" t="s">
        <v>635</v>
      </c>
      <c r="D1018" s="357" t="s">
        <v>590</v>
      </c>
      <c r="E1018" s="380">
        <v>45279</v>
      </c>
      <c r="F1018" s="371">
        <v>45280</v>
      </c>
      <c r="G1018" s="371">
        <v>45280</v>
      </c>
      <c r="H1018" s="371">
        <v>45280</v>
      </c>
      <c r="I1018" s="396">
        <v>45280</v>
      </c>
      <c r="J1018" s="392" t="s">
        <v>636</v>
      </c>
      <c r="K1018" s="392" t="s">
        <v>637</v>
      </c>
      <c r="L1018" s="413">
        <v>1</v>
      </c>
      <c r="M1018" s="353" t="s">
        <v>587</v>
      </c>
      <c r="N1018" s="414">
        <v>400000</v>
      </c>
      <c r="O1018" s="412">
        <v>400000</v>
      </c>
      <c r="P1018" s="423"/>
      <c r="R1018" s="424"/>
      <c r="U1018" s="424"/>
      <c r="V1018" s="424"/>
      <c r="Z1018" s="601"/>
      <c r="AG1018" s="807"/>
    </row>
    <row r="1019" spans="1:34">
      <c r="A1019" s="774"/>
      <c r="B1019" s="353" t="s">
        <v>1518</v>
      </c>
      <c r="C1019" s="353" t="s">
        <v>589</v>
      </c>
      <c r="D1019" s="357" t="s">
        <v>590</v>
      </c>
      <c r="E1019" s="380">
        <v>45279</v>
      </c>
      <c r="F1019" s="371">
        <v>45280</v>
      </c>
      <c r="G1019" s="371">
        <v>45280</v>
      </c>
      <c r="H1019" s="371">
        <v>45280</v>
      </c>
      <c r="I1019" s="396">
        <v>45280</v>
      </c>
      <c r="J1019" s="392" t="s">
        <v>843</v>
      </c>
      <c r="K1019" s="392" t="s">
        <v>592</v>
      </c>
      <c r="L1019" s="402">
        <v>1</v>
      </c>
      <c r="M1019" s="352" t="s">
        <v>587</v>
      </c>
      <c r="N1019" s="403">
        <v>1200000</v>
      </c>
      <c r="O1019" s="412">
        <v>1200000</v>
      </c>
      <c r="P1019" s="423"/>
      <c r="R1019" s="424"/>
      <c r="U1019" s="424"/>
      <c r="V1019" s="424"/>
      <c r="W1019" s="424"/>
      <c r="X1019" s="424"/>
      <c r="Y1019" s="424"/>
      <c r="Z1019" s="601"/>
      <c r="AA1019" s="602"/>
      <c r="AB1019" s="603"/>
      <c r="AC1019" s="603"/>
      <c r="AD1019" s="604"/>
      <c r="AE1019" s="605"/>
      <c r="AF1019" s="605"/>
      <c r="AG1019" s="807"/>
      <c r="AH1019" s="446"/>
    </row>
    <row r="1020" spans="1:34">
      <c r="A1020" s="774"/>
      <c r="B1020" s="330" t="s">
        <v>1519</v>
      </c>
      <c r="C1020" s="353" t="s">
        <v>1218</v>
      </c>
      <c r="D1020" s="357" t="s">
        <v>1219</v>
      </c>
      <c r="E1020" s="380">
        <v>45279</v>
      </c>
      <c r="F1020" s="371">
        <v>45280</v>
      </c>
      <c r="G1020" s="371">
        <v>45280</v>
      </c>
      <c r="H1020" s="371">
        <v>45280</v>
      </c>
      <c r="I1020" s="396">
        <v>45280</v>
      </c>
      <c r="J1020" s="392" t="s">
        <v>1220</v>
      </c>
      <c r="K1020" s="392" t="s">
        <v>1221</v>
      </c>
      <c r="L1020" s="413">
        <v>1</v>
      </c>
      <c r="M1020" s="353" t="s">
        <v>753</v>
      </c>
      <c r="N1020" s="414">
        <v>1000000</v>
      </c>
      <c r="O1020" s="412">
        <v>1000000</v>
      </c>
      <c r="R1020" s="424"/>
      <c r="U1020" s="424"/>
      <c r="V1020" s="424"/>
      <c r="W1020" s="424"/>
      <c r="X1020" s="424"/>
      <c r="Z1020" s="601"/>
      <c r="AG1020" s="807"/>
      <c r="AH1020" s="446"/>
    </row>
    <row r="1021" spans="1:34" ht="25">
      <c r="A1021" s="774"/>
      <c r="B1021" s="330" t="s">
        <v>1531</v>
      </c>
      <c r="C1021" s="353" t="s">
        <v>1450</v>
      </c>
      <c r="D1021" s="357" t="s">
        <v>864</v>
      </c>
      <c r="E1021" s="380">
        <v>45279</v>
      </c>
      <c r="F1021" s="371">
        <v>45280</v>
      </c>
      <c r="G1021" s="371">
        <v>45280</v>
      </c>
      <c r="H1021" s="371">
        <v>45280</v>
      </c>
      <c r="I1021" s="396">
        <v>45280</v>
      </c>
      <c r="J1021" s="392" t="s">
        <v>1451</v>
      </c>
      <c r="K1021" s="392" t="s">
        <v>1451</v>
      </c>
      <c r="L1021" s="413">
        <v>1</v>
      </c>
      <c r="M1021" s="353" t="s">
        <v>940</v>
      </c>
      <c r="N1021" s="414">
        <v>3450000</v>
      </c>
      <c r="O1021" s="412">
        <v>3450000</v>
      </c>
      <c r="R1021" s="424"/>
      <c r="U1021" s="424"/>
      <c r="V1021" s="424"/>
      <c r="W1021" s="424"/>
      <c r="X1021" s="424"/>
      <c r="Z1021" s="601"/>
      <c r="AG1021" s="807"/>
      <c r="AH1021" s="446"/>
    </row>
    <row r="1022" spans="1:34">
      <c r="A1022" s="774"/>
      <c r="B1022" s="330" t="s">
        <v>1532</v>
      </c>
      <c r="C1022" s="353" t="s">
        <v>610</v>
      </c>
      <c r="D1022" s="357" t="s">
        <v>611</v>
      </c>
      <c r="E1022" s="380">
        <v>45280</v>
      </c>
      <c r="F1022" s="371">
        <v>45281</v>
      </c>
      <c r="G1022" s="371">
        <v>45281</v>
      </c>
      <c r="H1022" s="371">
        <v>45281</v>
      </c>
      <c r="I1022" s="396">
        <v>45281</v>
      </c>
      <c r="J1022" s="392" t="s">
        <v>612</v>
      </c>
      <c r="K1022" s="392" t="s">
        <v>613</v>
      </c>
      <c r="L1022" s="413">
        <v>1</v>
      </c>
      <c r="M1022" s="353" t="s">
        <v>614</v>
      </c>
      <c r="N1022" s="414">
        <v>1000000</v>
      </c>
      <c r="O1022" s="412">
        <v>1000000</v>
      </c>
      <c r="R1022" s="424"/>
      <c r="U1022" s="424"/>
      <c r="V1022" s="424"/>
      <c r="W1022" s="424"/>
      <c r="X1022" s="424"/>
      <c r="Z1022" s="601"/>
      <c r="AG1022" s="807"/>
      <c r="AH1022" s="604"/>
    </row>
    <row r="1023" spans="1:34">
      <c r="R1023" s="424"/>
      <c r="U1023" s="424"/>
      <c r="V1023" s="424"/>
      <c r="W1023" s="424"/>
      <c r="X1023" s="424"/>
      <c r="Z1023" s="601"/>
      <c r="AG1023" s="807"/>
      <c r="AH1023" s="446"/>
    </row>
    <row r="1024" spans="1:34">
      <c r="R1024" s="424"/>
      <c r="U1024" s="424"/>
      <c r="V1024" s="424"/>
      <c r="W1024" s="424"/>
      <c r="X1024" s="424"/>
      <c r="Z1024" s="601"/>
      <c r="AG1024" s="807"/>
      <c r="AH1024" s="446"/>
    </row>
    <row r="1025" spans="18:34">
      <c r="R1025" s="424"/>
      <c r="U1025" s="424"/>
      <c r="V1025" s="424"/>
      <c r="W1025" s="424"/>
      <c r="X1025" s="424"/>
      <c r="Z1025" s="601"/>
      <c r="AG1025" s="807"/>
      <c r="AH1025" s="446"/>
    </row>
    <row r="1026" spans="18:34">
      <c r="R1026" s="424"/>
      <c r="U1026" s="424"/>
      <c r="V1026" s="424"/>
      <c r="W1026" s="424"/>
      <c r="X1026" s="424"/>
      <c r="Z1026" s="601"/>
      <c r="AG1026" s="807"/>
      <c r="AH1026" s="446"/>
    </row>
    <row r="1027" spans="18:34">
      <c r="R1027" s="424"/>
      <c r="U1027" s="424"/>
      <c r="V1027" s="424"/>
      <c r="W1027" s="424"/>
      <c r="X1027" s="424"/>
      <c r="Z1027" s="601"/>
      <c r="AG1027" s="807"/>
      <c r="AH1027" s="446"/>
    </row>
    <row r="1028" spans="18:34">
      <c r="R1028" s="424"/>
      <c r="U1028" s="424"/>
      <c r="V1028" s="424"/>
      <c r="W1028" s="424"/>
      <c r="X1028" s="424"/>
      <c r="Z1028" s="601"/>
      <c r="AG1028" s="807"/>
      <c r="AH1028" s="446"/>
    </row>
    <row r="1029" spans="18:34">
      <c r="R1029" s="424"/>
      <c r="U1029" s="424"/>
      <c r="V1029" s="424"/>
      <c r="W1029" s="424"/>
      <c r="X1029" s="424"/>
      <c r="Z1029" s="601"/>
      <c r="AG1029" s="807"/>
      <c r="AH1029" s="446"/>
    </row>
    <row r="1030" spans="18:34">
      <c r="R1030" s="424"/>
      <c r="U1030" s="424"/>
      <c r="V1030" s="424"/>
      <c r="W1030" s="424"/>
      <c r="X1030" s="424"/>
      <c r="Z1030" s="601"/>
      <c r="AG1030" s="807"/>
      <c r="AH1030" s="446"/>
    </row>
    <row r="1031" spans="18:34">
      <c r="R1031" s="424"/>
      <c r="U1031" s="424"/>
      <c r="V1031" s="424"/>
      <c r="W1031" s="424"/>
      <c r="X1031" s="424"/>
      <c r="Z1031" s="601"/>
      <c r="AG1031" s="807"/>
      <c r="AH1031" s="446"/>
    </row>
    <row r="1032" spans="18:34">
      <c r="R1032" s="424"/>
      <c r="U1032" s="424"/>
      <c r="V1032" s="424"/>
      <c r="W1032" s="424"/>
      <c r="X1032" s="424"/>
      <c r="Z1032" s="601"/>
      <c r="AG1032" s="807"/>
      <c r="AH1032" s="446"/>
    </row>
    <row r="1033" spans="18:34">
      <c r="R1033" s="424"/>
      <c r="U1033" s="424"/>
      <c r="V1033" s="424"/>
      <c r="W1033" s="424"/>
      <c r="X1033" s="424"/>
      <c r="Z1033" s="601"/>
      <c r="AG1033" s="807"/>
      <c r="AH1033" s="446"/>
    </row>
    <row r="1034" spans="18:34">
      <c r="R1034" s="424"/>
      <c r="U1034" s="424"/>
      <c r="V1034" s="424"/>
      <c r="W1034" s="424"/>
      <c r="X1034" s="424"/>
      <c r="Z1034" s="601"/>
      <c r="AG1034" s="807"/>
      <c r="AH1034" s="446"/>
    </row>
    <row r="1035" spans="18:34">
      <c r="R1035" s="424"/>
      <c r="U1035" s="424"/>
      <c r="V1035" s="424"/>
      <c r="W1035" s="424"/>
      <c r="X1035" s="424"/>
      <c r="Z1035" s="601"/>
      <c r="AG1035" s="807"/>
      <c r="AH1035" s="446"/>
    </row>
    <row r="1036" spans="18:34">
      <c r="R1036" s="424"/>
      <c r="U1036" s="424"/>
      <c r="V1036" s="424"/>
      <c r="W1036" s="424"/>
      <c r="X1036" s="424"/>
      <c r="Z1036" s="601"/>
      <c r="AG1036" s="807"/>
      <c r="AH1036" s="446"/>
    </row>
    <row r="1037" spans="18:34">
      <c r="R1037" s="424"/>
      <c r="U1037" s="424"/>
      <c r="V1037" s="424"/>
      <c r="W1037" s="424"/>
      <c r="X1037" s="424"/>
      <c r="Z1037" s="601"/>
      <c r="AG1037" s="807"/>
      <c r="AH1037" s="446"/>
    </row>
    <row r="1038" spans="18:34">
      <c r="R1038" s="424"/>
      <c r="U1038" s="424"/>
      <c r="V1038" s="424"/>
      <c r="W1038" s="424"/>
      <c r="X1038" s="424"/>
      <c r="Z1038" s="601"/>
      <c r="AG1038" s="807"/>
      <c r="AH1038" s="446"/>
    </row>
    <row r="1039" spans="18:34">
      <c r="R1039" s="424"/>
      <c r="U1039" s="424"/>
      <c r="V1039" s="424"/>
      <c r="W1039" s="424"/>
      <c r="X1039" s="424"/>
      <c r="Z1039" s="601"/>
      <c r="AG1039" s="807"/>
      <c r="AH1039" s="446"/>
    </row>
    <row r="1040" spans="18:34">
      <c r="R1040" s="424"/>
      <c r="U1040" s="424"/>
      <c r="V1040" s="424"/>
      <c r="W1040" s="424"/>
      <c r="X1040" s="424"/>
      <c r="Z1040" s="601"/>
      <c r="AG1040" s="807"/>
      <c r="AH1040" s="446"/>
    </row>
    <row r="1041" spans="18:34">
      <c r="R1041" s="424"/>
      <c r="U1041" s="424"/>
      <c r="V1041" s="424"/>
      <c r="W1041" s="424"/>
      <c r="X1041" s="424"/>
      <c r="Z1041" s="601"/>
      <c r="AG1041" s="807"/>
      <c r="AH1041" s="446"/>
    </row>
    <row r="1042" spans="18:34">
      <c r="R1042" s="424"/>
      <c r="U1042" s="424"/>
      <c r="V1042" s="424"/>
      <c r="W1042" s="424"/>
      <c r="X1042" s="424"/>
      <c r="Z1042" s="601"/>
      <c r="AG1042" s="807"/>
      <c r="AH1042" s="446"/>
    </row>
    <row r="1043" spans="18:34">
      <c r="R1043" s="424"/>
      <c r="U1043" s="424"/>
      <c r="V1043" s="424"/>
      <c r="W1043" s="424"/>
      <c r="X1043" s="424"/>
      <c r="Z1043" s="601"/>
      <c r="AG1043" s="807"/>
      <c r="AH1043" s="446"/>
    </row>
    <row r="1044" spans="18:34">
      <c r="R1044" s="424"/>
      <c r="U1044" s="424"/>
      <c r="V1044" s="424"/>
      <c r="W1044" s="424"/>
      <c r="X1044" s="424"/>
      <c r="Z1044" s="601"/>
      <c r="AG1044" s="807"/>
      <c r="AH1044" s="446"/>
    </row>
    <row r="1045" spans="18:34">
      <c r="R1045" s="424"/>
      <c r="U1045" s="424"/>
      <c r="V1045" s="424"/>
      <c r="W1045" s="424"/>
      <c r="X1045" s="424"/>
      <c r="Z1045" s="601"/>
      <c r="AG1045" s="807"/>
      <c r="AH1045" s="446"/>
    </row>
    <row r="1046" spans="18:34">
      <c r="R1046" s="424"/>
      <c r="U1046" s="424"/>
      <c r="V1046" s="424"/>
      <c r="W1046" s="424"/>
      <c r="X1046" s="424"/>
      <c r="Z1046" s="601"/>
      <c r="AG1046" s="807"/>
      <c r="AH1046" s="446"/>
    </row>
    <row r="1047" spans="18:34">
      <c r="R1047" s="424"/>
      <c r="U1047" s="424"/>
      <c r="V1047" s="424"/>
      <c r="W1047" s="424"/>
      <c r="X1047" s="424"/>
      <c r="Z1047" s="601"/>
      <c r="AG1047" s="807"/>
      <c r="AH1047" s="446"/>
    </row>
    <row r="1048" spans="18:34">
      <c r="R1048" s="424"/>
      <c r="U1048" s="424"/>
      <c r="V1048" s="424"/>
      <c r="W1048" s="424"/>
      <c r="X1048" s="424"/>
      <c r="Z1048" s="601"/>
      <c r="AG1048" s="807"/>
      <c r="AH1048" s="446"/>
    </row>
    <row r="1049" spans="18:34">
      <c r="R1049" s="424"/>
      <c r="U1049" s="424"/>
      <c r="V1049" s="424"/>
      <c r="W1049" s="424"/>
      <c r="X1049" s="424"/>
      <c r="Z1049" s="601"/>
      <c r="AG1049" s="807"/>
      <c r="AH1049" s="446"/>
    </row>
    <row r="1050" spans="18:34">
      <c r="R1050" s="424"/>
      <c r="U1050" s="424"/>
      <c r="V1050" s="424"/>
      <c r="W1050" s="424"/>
      <c r="X1050" s="424"/>
      <c r="Z1050" s="601"/>
      <c r="AG1050" s="807"/>
      <c r="AH1050" s="446"/>
    </row>
    <row r="1051" spans="18:34">
      <c r="R1051" s="424"/>
      <c r="U1051" s="424"/>
      <c r="V1051" s="424"/>
      <c r="W1051" s="424"/>
      <c r="X1051" s="424"/>
      <c r="Z1051" s="601"/>
      <c r="AG1051" s="807"/>
      <c r="AH1051" s="446"/>
    </row>
    <row r="1052" spans="18:34">
      <c r="R1052" s="424"/>
      <c r="U1052" s="424"/>
      <c r="V1052" s="424"/>
      <c r="W1052" s="424"/>
      <c r="X1052" s="424"/>
      <c r="Z1052" s="601"/>
      <c r="AG1052" s="807"/>
      <c r="AH1052" s="446"/>
    </row>
    <row r="1053" spans="18:34">
      <c r="R1053" s="424"/>
      <c r="U1053" s="424"/>
      <c r="V1053" s="424"/>
      <c r="W1053" s="424"/>
      <c r="X1053" s="424"/>
      <c r="Z1053" s="601"/>
      <c r="AG1053" s="807"/>
      <c r="AH1053" s="446"/>
    </row>
    <row r="1054" spans="18:34">
      <c r="R1054" s="424"/>
      <c r="U1054" s="424"/>
      <c r="V1054" s="424"/>
      <c r="W1054" s="424"/>
      <c r="X1054" s="424"/>
      <c r="Z1054" s="601"/>
      <c r="AG1054" s="807"/>
      <c r="AH1054" s="446"/>
    </row>
    <row r="1055" spans="18:34">
      <c r="R1055" s="424"/>
      <c r="U1055" s="424"/>
      <c r="V1055" s="424"/>
      <c r="W1055" s="424"/>
      <c r="X1055" s="424"/>
      <c r="Z1055" s="601"/>
      <c r="AG1055" s="807"/>
      <c r="AH1055" s="446"/>
    </row>
    <row r="1056" spans="18:34">
      <c r="R1056" s="424"/>
      <c r="U1056" s="424"/>
      <c r="V1056" s="424"/>
      <c r="W1056" s="424"/>
      <c r="X1056" s="424"/>
      <c r="Z1056" s="601"/>
      <c r="AG1056" s="807"/>
      <c r="AH1056" s="446"/>
    </row>
    <row r="1057" spans="18:34">
      <c r="R1057" s="424"/>
      <c r="U1057" s="424"/>
      <c r="V1057" s="424"/>
      <c r="W1057" s="424"/>
      <c r="X1057" s="424"/>
      <c r="Z1057" s="601"/>
      <c r="AG1057" s="807"/>
      <c r="AH1057" s="446"/>
    </row>
    <row r="1058" spans="18:34">
      <c r="R1058" s="424"/>
      <c r="U1058" s="424"/>
      <c r="V1058" s="424"/>
      <c r="W1058" s="424"/>
      <c r="X1058" s="424"/>
      <c r="Z1058" s="601"/>
      <c r="AG1058" s="807"/>
      <c r="AH1058" s="446"/>
    </row>
    <row r="1059" spans="18:34">
      <c r="R1059" s="424"/>
      <c r="U1059" s="424"/>
      <c r="V1059" s="424"/>
      <c r="W1059" s="424"/>
      <c r="X1059" s="424"/>
      <c r="Z1059" s="601"/>
      <c r="AG1059" s="807"/>
      <c r="AH1059" s="446"/>
    </row>
    <row r="1060" spans="18:34">
      <c r="R1060" s="424"/>
      <c r="U1060" s="424"/>
      <c r="V1060" s="424"/>
      <c r="W1060" s="424"/>
      <c r="X1060" s="424"/>
      <c r="Z1060" s="601"/>
      <c r="AG1060" s="807"/>
      <c r="AH1060" s="446"/>
    </row>
    <row r="1061" spans="18:34">
      <c r="R1061" s="424"/>
      <c r="U1061" s="424"/>
      <c r="V1061" s="424"/>
      <c r="W1061" s="424"/>
      <c r="X1061" s="424"/>
      <c r="Z1061" s="601"/>
      <c r="AG1061" s="807"/>
      <c r="AH1061" s="446"/>
    </row>
    <row r="1062" spans="18:34">
      <c r="R1062" s="424"/>
      <c r="U1062" s="424"/>
      <c r="V1062" s="424"/>
      <c r="W1062" s="424"/>
      <c r="X1062" s="424"/>
      <c r="Z1062" s="601"/>
      <c r="AG1062" s="807"/>
      <c r="AH1062" s="446"/>
    </row>
    <row r="1063" spans="18:34">
      <c r="R1063" s="424"/>
      <c r="U1063" s="424"/>
      <c r="V1063" s="424"/>
      <c r="W1063" s="424"/>
      <c r="X1063" s="424"/>
      <c r="Z1063" s="601"/>
      <c r="AG1063" s="807"/>
      <c r="AH1063" s="446"/>
    </row>
    <row r="1064" spans="18:34">
      <c r="R1064" s="424"/>
      <c r="U1064" s="424"/>
      <c r="V1064" s="424"/>
      <c r="W1064" s="424"/>
      <c r="X1064" s="424"/>
      <c r="Z1064" s="601"/>
      <c r="AG1064" s="807"/>
      <c r="AH1064" s="446"/>
    </row>
    <row r="1065" spans="18:34">
      <c r="R1065" s="424"/>
      <c r="U1065" s="424"/>
      <c r="V1065" s="424"/>
      <c r="W1065" s="424"/>
      <c r="X1065" s="424"/>
      <c r="Z1065" s="601"/>
      <c r="AG1065" s="807"/>
      <c r="AH1065" s="446"/>
    </row>
    <row r="1066" spans="18:34">
      <c r="R1066" s="424"/>
      <c r="U1066" s="424"/>
      <c r="V1066" s="424"/>
      <c r="W1066" s="424"/>
      <c r="X1066" s="424"/>
      <c r="Z1066" s="601"/>
      <c r="AG1066" s="807"/>
      <c r="AH1066" s="446"/>
    </row>
    <row r="1067" spans="18:34">
      <c r="R1067" s="424"/>
      <c r="U1067" s="424"/>
      <c r="V1067" s="424"/>
      <c r="W1067" s="424"/>
      <c r="X1067" s="424"/>
      <c r="Z1067" s="601"/>
      <c r="AG1067" s="807"/>
      <c r="AH1067" s="446"/>
    </row>
    <row r="1068" spans="18:34">
      <c r="R1068" s="424"/>
      <c r="U1068" s="424"/>
      <c r="V1068" s="424"/>
      <c r="W1068" s="424"/>
      <c r="X1068" s="424"/>
      <c r="Z1068" s="601"/>
      <c r="AG1068" s="807"/>
      <c r="AH1068" s="446"/>
    </row>
    <row r="1069" spans="18:34">
      <c r="R1069" s="424"/>
      <c r="U1069" s="424"/>
      <c r="V1069" s="424"/>
      <c r="W1069" s="424"/>
      <c r="X1069" s="424"/>
      <c r="Z1069" s="601"/>
      <c r="AG1069" s="807"/>
      <c r="AH1069" s="446"/>
    </row>
    <row r="1070" spans="18:34">
      <c r="R1070" s="424"/>
      <c r="U1070" s="424"/>
      <c r="V1070" s="424"/>
      <c r="W1070" s="424"/>
      <c r="X1070" s="424"/>
      <c r="Z1070" s="601"/>
      <c r="AG1070" s="807"/>
      <c r="AH1070" s="446"/>
    </row>
    <row r="1071" spans="18:34">
      <c r="R1071" s="424"/>
      <c r="U1071" s="424"/>
      <c r="V1071" s="424"/>
      <c r="W1071" s="424"/>
      <c r="X1071" s="424"/>
      <c r="Z1071" s="601"/>
      <c r="AG1071" s="807"/>
      <c r="AH1071" s="446"/>
    </row>
    <row r="1072" spans="18:34">
      <c r="R1072" s="424"/>
      <c r="U1072" s="424"/>
      <c r="V1072" s="424"/>
      <c r="W1072" s="424"/>
      <c r="X1072" s="424"/>
      <c r="Z1072" s="601"/>
      <c r="AG1072" s="807"/>
      <c r="AH1072" s="446"/>
    </row>
    <row r="1073" spans="18:34">
      <c r="R1073" s="424"/>
      <c r="U1073" s="424"/>
      <c r="V1073" s="424"/>
      <c r="W1073" s="424"/>
      <c r="X1073" s="424"/>
      <c r="Z1073" s="601"/>
      <c r="AG1073" s="807"/>
      <c r="AH1073" s="446"/>
    </row>
    <row r="1074" spans="18:34">
      <c r="R1074" s="424"/>
      <c r="U1074" s="424"/>
      <c r="V1074" s="424"/>
      <c r="W1074" s="424"/>
      <c r="X1074" s="424"/>
      <c r="Z1074" s="601"/>
      <c r="AG1074" s="807"/>
      <c r="AH1074" s="446"/>
    </row>
    <row r="1075" spans="18:34">
      <c r="R1075" s="424"/>
      <c r="U1075" s="424"/>
      <c r="V1075" s="424"/>
      <c r="W1075" s="424"/>
      <c r="X1075" s="424"/>
      <c r="Z1075" s="601"/>
      <c r="AG1075" s="807"/>
      <c r="AH1075" s="446"/>
    </row>
    <row r="1076" spans="18:34">
      <c r="R1076" s="424"/>
      <c r="U1076" s="424"/>
      <c r="V1076" s="424"/>
      <c r="W1076" s="424"/>
      <c r="X1076" s="424"/>
      <c r="Z1076" s="601"/>
      <c r="AG1076" s="807"/>
      <c r="AH1076" s="446"/>
    </row>
    <row r="1077" spans="18:34">
      <c r="R1077" s="424"/>
      <c r="U1077" s="424"/>
      <c r="V1077" s="424"/>
      <c r="W1077" s="424"/>
      <c r="X1077" s="424"/>
      <c r="Z1077" s="601"/>
      <c r="AG1077" s="807"/>
      <c r="AH1077" s="446"/>
    </row>
    <row r="1078" spans="18:34">
      <c r="R1078" s="424"/>
      <c r="U1078" s="424"/>
      <c r="V1078" s="424"/>
      <c r="W1078" s="424"/>
      <c r="X1078" s="424"/>
      <c r="Z1078" s="601"/>
      <c r="AG1078" s="807"/>
      <c r="AH1078" s="446"/>
    </row>
    <row r="1079" spans="18:34">
      <c r="R1079" s="424"/>
      <c r="U1079" s="424"/>
      <c r="V1079" s="424"/>
      <c r="W1079" s="424"/>
      <c r="X1079" s="424"/>
      <c r="Z1079" s="601"/>
      <c r="AG1079" s="807"/>
      <c r="AH1079" s="446"/>
    </row>
    <row r="1080" spans="18:34">
      <c r="R1080" s="424"/>
      <c r="U1080" s="424"/>
      <c r="V1080" s="424"/>
      <c r="W1080" s="424"/>
      <c r="X1080" s="424"/>
      <c r="Y1080" s="424"/>
      <c r="Z1080" s="601"/>
      <c r="AB1080" s="603"/>
      <c r="AC1080" s="603"/>
      <c r="AD1080" s="604"/>
      <c r="AE1080" s="605"/>
      <c r="AF1080" s="605"/>
      <c r="AG1080" s="807"/>
      <c r="AH1080" s="446"/>
    </row>
    <row r="1081" spans="18:34">
      <c r="R1081" s="424"/>
      <c r="U1081" s="424"/>
      <c r="V1081" s="424"/>
      <c r="W1081" s="424"/>
      <c r="X1081" s="424"/>
      <c r="Y1081" s="424"/>
      <c r="Z1081" s="601"/>
      <c r="AA1081" s="602"/>
      <c r="AB1081" s="603"/>
      <c r="AC1081" s="603"/>
      <c r="AD1081" s="604"/>
      <c r="AE1081" s="605"/>
      <c r="AF1081" s="605"/>
      <c r="AG1081" s="807"/>
      <c r="AH1081" s="446"/>
    </row>
    <row r="1082" spans="18:34">
      <c r="R1082" s="424"/>
      <c r="U1082" s="424"/>
      <c r="V1082" s="424"/>
      <c r="W1082" s="424"/>
      <c r="X1082" s="424"/>
      <c r="Z1082" s="601"/>
      <c r="AG1082" s="807"/>
      <c r="AH1082" s="446"/>
    </row>
    <row r="1083" spans="18:34">
      <c r="R1083" s="424"/>
      <c r="U1083" s="424"/>
      <c r="V1083" s="424"/>
      <c r="W1083" s="424"/>
      <c r="X1083" s="424"/>
      <c r="Y1083" s="424"/>
      <c r="Z1083" s="601"/>
      <c r="AA1083" s="602"/>
      <c r="AB1083" s="603"/>
      <c r="AC1083" s="603"/>
      <c r="AD1083" s="604"/>
      <c r="AE1083" s="605"/>
      <c r="AF1083" s="605"/>
      <c r="AG1083" s="807"/>
      <c r="AH1083" s="446"/>
    </row>
    <row r="1084" spans="18:34">
      <c r="R1084" s="424"/>
      <c r="U1084" s="424"/>
      <c r="V1084" s="424"/>
      <c r="W1084" s="424"/>
      <c r="X1084" s="424"/>
      <c r="Z1084" s="601"/>
      <c r="AG1084" s="807"/>
      <c r="AH1084" s="446"/>
    </row>
    <row r="1085" spans="18:34">
      <c r="R1085" s="424"/>
      <c r="U1085" s="424"/>
      <c r="V1085" s="424"/>
      <c r="W1085" s="424"/>
      <c r="X1085" s="424"/>
      <c r="Y1085" s="424"/>
      <c r="Z1085" s="601"/>
      <c r="AA1085" s="602"/>
      <c r="AB1085" s="603"/>
      <c r="AC1085" s="603"/>
      <c r="AD1085" s="604"/>
      <c r="AE1085" s="605"/>
      <c r="AF1085" s="605"/>
      <c r="AG1085" s="807"/>
      <c r="AH1085" s="446"/>
    </row>
    <row r="1086" spans="18:34">
      <c r="R1086" s="424"/>
      <c r="U1086" s="424"/>
      <c r="V1086" s="424"/>
      <c r="W1086" s="424"/>
      <c r="Z1086" s="601"/>
      <c r="AG1086" s="807"/>
      <c r="AH1086" s="446"/>
    </row>
    <row r="1087" spans="18:34">
      <c r="R1087" s="424"/>
      <c r="U1087" s="424"/>
      <c r="V1087" s="424"/>
      <c r="W1087" s="424"/>
      <c r="Z1087" s="601"/>
      <c r="AG1087" s="807"/>
      <c r="AH1087" s="446"/>
    </row>
    <row r="1088" spans="18:34">
      <c r="R1088" s="424"/>
      <c r="U1088" s="424"/>
      <c r="V1088" s="424"/>
      <c r="W1088" s="424"/>
      <c r="X1088" s="424"/>
      <c r="Z1088" s="601"/>
      <c r="AG1088" s="807"/>
      <c r="AH1088" s="446"/>
    </row>
    <row r="1089" spans="18:34">
      <c r="R1089" s="424"/>
      <c r="U1089" s="424"/>
      <c r="V1089" s="424"/>
      <c r="W1089" s="424"/>
      <c r="Z1089" s="601"/>
      <c r="AG1089" s="807"/>
      <c r="AH1089" s="446"/>
    </row>
    <row r="1090" spans="18:34">
      <c r="R1090" s="424"/>
      <c r="U1090" s="424"/>
      <c r="Z1090" s="601"/>
      <c r="AG1090" s="807"/>
    </row>
    <row r="1091" spans="18:34">
      <c r="R1091" s="424"/>
      <c r="U1091" s="424"/>
      <c r="Z1091" s="601"/>
      <c r="AG1091" s="807"/>
    </row>
    <row r="1092" spans="18:34">
      <c r="R1092" s="424"/>
      <c r="U1092" s="424"/>
      <c r="Z1092" s="601"/>
      <c r="AG1092" s="807"/>
    </row>
    <row r="1093" spans="18:34">
      <c r="R1093" s="424"/>
      <c r="U1093" s="424"/>
      <c r="Z1093" s="601"/>
      <c r="AG1093" s="807"/>
    </row>
    <row r="1094" spans="18:34">
      <c r="R1094" s="424"/>
      <c r="U1094" s="424"/>
      <c r="Z1094" s="601"/>
      <c r="AG1094" s="807"/>
    </row>
    <row r="1095" spans="18:34">
      <c r="R1095" s="424"/>
      <c r="U1095" s="424"/>
      <c r="Z1095" s="601"/>
      <c r="AG1095" s="807"/>
    </row>
    <row r="1096" spans="18:34">
      <c r="R1096" s="424"/>
      <c r="U1096" s="424"/>
      <c r="Z1096" s="601"/>
      <c r="AG1096" s="807"/>
    </row>
    <row r="1097" spans="18:34">
      <c r="R1097" s="424"/>
      <c r="U1097" s="424"/>
      <c r="Z1097" s="601"/>
      <c r="AG1097" s="807"/>
    </row>
    <row r="1098" spans="18:34">
      <c r="R1098" s="424"/>
      <c r="U1098" s="424"/>
      <c r="Z1098" s="601"/>
      <c r="AG1098" s="807"/>
    </row>
    <row r="1099" spans="18:34">
      <c r="R1099" s="424"/>
      <c r="U1099" s="424"/>
      <c r="Z1099" s="601"/>
      <c r="AG1099" s="807"/>
    </row>
    <row r="1100" spans="18:34">
      <c r="R1100" s="424"/>
      <c r="U1100" s="424"/>
      <c r="Z1100" s="601"/>
      <c r="AG1100" s="807"/>
    </row>
    <row r="1101" spans="18:34">
      <c r="R1101" s="424"/>
      <c r="U1101" s="424"/>
      <c r="Z1101" s="601"/>
      <c r="AG1101" s="807"/>
    </row>
    <row r="1102" spans="18:34">
      <c r="R1102" s="424"/>
      <c r="U1102" s="424"/>
      <c r="Z1102" s="601"/>
      <c r="AG1102" s="807"/>
    </row>
    <row r="1103" spans="18:34">
      <c r="R1103" s="424"/>
      <c r="U1103" s="424"/>
      <c r="Z1103" s="601"/>
      <c r="AG1103" s="807"/>
    </row>
    <row r="1104" spans="18:34">
      <c r="R1104" s="424"/>
      <c r="U1104" s="424"/>
      <c r="Z1104" s="601"/>
      <c r="AG1104" s="807"/>
    </row>
    <row r="1105" spans="18:34">
      <c r="R1105" s="424"/>
      <c r="U1105" s="424"/>
      <c r="V1105" s="424"/>
      <c r="W1105" s="424"/>
      <c r="X1105" s="424"/>
      <c r="Y1105" s="424"/>
      <c r="Z1105" s="601"/>
      <c r="AA1105" s="602"/>
      <c r="AB1105" s="603"/>
      <c r="AC1105" s="603"/>
      <c r="AD1105" s="604"/>
      <c r="AE1105" s="605"/>
      <c r="AF1105" s="605"/>
      <c r="AG1105" s="807"/>
      <c r="AH1105" s="446"/>
    </row>
    <row r="1106" spans="18:34">
      <c r="R1106" s="424"/>
      <c r="U1106" s="424"/>
      <c r="V1106" s="424"/>
      <c r="W1106" s="424"/>
      <c r="X1106" s="424"/>
      <c r="Z1106" s="601"/>
      <c r="AG1106" s="807"/>
      <c r="AH1106" s="446"/>
    </row>
    <row r="1107" spans="18:34">
      <c r="R1107" s="424"/>
      <c r="U1107" s="424"/>
      <c r="V1107" s="424"/>
      <c r="W1107" s="424"/>
      <c r="X1107" s="424"/>
      <c r="Y1107" s="424"/>
      <c r="Z1107" s="601"/>
      <c r="AA1107" s="602"/>
      <c r="AB1107" s="603"/>
      <c r="AC1107" s="603"/>
      <c r="AD1107" s="604"/>
      <c r="AE1107" s="605"/>
      <c r="AF1107" s="605"/>
      <c r="AG1107" s="807"/>
      <c r="AH1107" s="446"/>
    </row>
    <row r="1108" spans="18:34">
      <c r="R1108" s="424"/>
      <c r="U1108" s="424"/>
      <c r="V1108" s="424"/>
      <c r="W1108" s="424"/>
      <c r="X1108" s="424"/>
      <c r="Y1108" s="424"/>
      <c r="Z1108" s="601"/>
      <c r="AA1108" s="602"/>
      <c r="AB1108" s="603"/>
      <c r="AC1108" s="603"/>
      <c r="AD1108" s="604"/>
      <c r="AE1108" s="605"/>
      <c r="AF1108" s="605"/>
      <c r="AG1108" s="807"/>
      <c r="AH1108" s="446"/>
    </row>
    <row r="1109" spans="18:34">
      <c r="R1109" s="424"/>
      <c r="U1109" s="424"/>
      <c r="V1109" s="424"/>
      <c r="W1109" s="424"/>
      <c r="X1109" s="424"/>
      <c r="Z1109" s="601"/>
      <c r="AG1109" s="807"/>
      <c r="AH1109" s="446"/>
    </row>
    <row r="1110" spans="18:34">
      <c r="R1110" s="424"/>
      <c r="U1110" s="424"/>
      <c r="V1110" s="424"/>
      <c r="W1110" s="424"/>
      <c r="X1110" s="424"/>
      <c r="Z1110" s="601"/>
      <c r="AG1110" s="807"/>
      <c r="AH1110" s="446"/>
    </row>
    <row r="1111" spans="18:34">
      <c r="R1111" s="424"/>
      <c r="U1111" s="424"/>
      <c r="V1111" s="424"/>
      <c r="W1111" s="424"/>
      <c r="X1111" s="424"/>
      <c r="Z1111" s="601"/>
      <c r="AG1111" s="807"/>
      <c r="AH1111" s="446"/>
    </row>
    <row r="1112" spans="18:34">
      <c r="R1112" s="424"/>
      <c r="U1112" s="424"/>
      <c r="V1112" s="424"/>
      <c r="W1112" s="424"/>
      <c r="X1112" s="424"/>
      <c r="Z1112" s="601"/>
      <c r="AG1112" s="807"/>
      <c r="AH1112" s="446"/>
    </row>
    <row r="1113" spans="18:34">
      <c r="R1113" s="424"/>
      <c r="U1113" s="424"/>
      <c r="V1113" s="424"/>
      <c r="W1113" s="424"/>
      <c r="X1113" s="424"/>
      <c r="Z1113" s="601"/>
      <c r="AG1113" s="807"/>
      <c r="AH1113" s="446"/>
    </row>
    <row r="1114" spans="18:34">
      <c r="R1114" s="424"/>
      <c r="U1114" s="424"/>
      <c r="V1114" s="424"/>
      <c r="W1114" s="424"/>
      <c r="X1114" s="424"/>
      <c r="Z1114" s="601"/>
      <c r="AG1114" s="807"/>
      <c r="AH1114" s="446"/>
    </row>
    <row r="1115" spans="18:34">
      <c r="R1115" s="424"/>
      <c r="U1115" s="424"/>
      <c r="V1115" s="424"/>
      <c r="W1115" s="424"/>
      <c r="X1115" s="424"/>
      <c r="Z1115" s="601"/>
      <c r="AG1115" s="807"/>
      <c r="AH1115" s="446"/>
    </row>
    <row r="1116" spans="18:34">
      <c r="R1116" s="424"/>
      <c r="U1116" s="424"/>
      <c r="V1116" s="424"/>
      <c r="W1116" s="424"/>
      <c r="X1116" s="424"/>
      <c r="Z1116" s="601"/>
      <c r="AG1116" s="807"/>
      <c r="AH1116" s="446"/>
    </row>
    <row r="1117" spans="18:34">
      <c r="R1117" s="424"/>
      <c r="U1117" s="424"/>
      <c r="V1117" s="424"/>
      <c r="W1117" s="424"/>
      <c r="X1117" s="424"/>
      <c r="Z1117" s="601"/>
      <c r="AG1117" s="807"/>
      <c r="AH1117" s="446"/>
    </row>
    <row r="1118" spans="18:34">
      <c r="R1118" s="424"/>
      <c r="U1118" s="424"/>
      <c r="V1118" s="424"/>
      <c r="W1118" s="424"/>
      <c r="X1118" s="424"/>
      <c r="Z1118" s="601"/>
      <c r="AG1118" s="807"/>
      <c r="AH1118" s="446"/>
    </row>
    <row r="1119" spans="18:34">
      <c r="R1119" s="424"/>
      <c r="U1119" s="424"/>
      <c r="V1119" s="424"/>
      <c r="W1119" s="424"/>
      <c r="X1119" s="424"/>
      <c r="Z1119" s="601"/>
      <c r="AG1119" s="807"/>
      <c r="AH1119" s="446"/>
    </row>
    <row r="1120" spans="18:34">
      <c r="R1120" s="424"/>
      <c r="U1120" s="424"/>
      <c r="V1120" s="424"/>
      <c r="W1120" s="424"/>
      <c r="X1120" s="424"/>
      <c r="Z1120" s="601"/>
      <c r="AG1120" s="807"/>
      <c r="AH1120" s="446"/>
    </row>
    <row r="1121" spans="18:34">
      <c r="R1121" s="424"/>
      <c r="U1121" s="424"/>
      <c r="V1121" s="424"/>
      <c r="W1121" s="424"/>
      <c r="X1121" s="424"/>
      <c r="Z1121" s="601"/>
      <c r="AG1121" s="807"/>
      <c r="AH1121" s="446"/>
    </row>
    <row r="1122" spans="18:34">
      <c r="R1122" s="424"/>
      <c r="U1122" s="424"/>
      <c r="V1122" s="424"/>
      <c r="W1122" s="424"/>
      <c r="X1122" s="424"/>
      <c r="Z1122" s="601"/>
      <c r="AG1122" s="807"/>
      <c r="AH1122" s="446"/>
    </row>
    <row r="1123" spans="18:34">
      <c r="R1123" s="424"/>
      <c r="U1123" s="424"/>
      <c r="V1123" s="424"/>
      <c r="W1123" s="424"/>
      <c r="X1123" s="424"/>
      <c r="Z1123" s="601"/>
      <c r="AG1123" s="807"/>
      <c r="AH1123" s="446"/>
    </row>
    <row r="1124" spans="18:34">
      <c r="R1124" s="424"/>
      <c r="U1124" s="424"/>
      <c r="V1124" s="424"/>
      <c r="W1124" s="424"/>
      <c r="X1124" s="424"/>
      <c r="Z1124" s="601"/>
      <c r="AG1124" s="807"/>
      <c r="AH1124" s="446"/>
    </row>
    <row r="1125" spans="18:34">
      <c r="R1125" s="424"/>
      <c r="U1125" s="424"/>
      <c r="V1125" s="424"/>
      <c r="W1125" s="424"/>
      <c r="X1125" s="424"/>
      <c r="Z1125" s="601"/>
      <c r="AG1125" s="807"/>
      <c r="AH1125" s="446"/>
    </row>
    <row r="1126" spans="18:34">
      <c r="R1126" s="424"/>
      <c r="U1126" s="424"/>
      <c r="V1126" s="424"/>
      <c r="W1126" s="424"/>
      <c r="X1126" s="424"/>
      <c r="Z1126" s="601"/>
      <c r="AG1126" s="807"/>
      <c r="AH1126" s="446"/>
    </row>
    <row r="1127" spans="18:34">
      <c r="R1127" s="424"/>
      <c r="U1127" s="424"/>
      <c r="V1127" s="424"/>
      <c r="W1127" s="424"/>
      <c r="X1127" s="424"/>
      <c r="Z1127" s="601"/>
      <c r="AG1127" s="807"/>
      <c r="AH1127" s="446"/>
    </row>
    <row r="1128" spans="18:34">
      <c r="R1128" s="424"/>
      <c r="U1128" s="424"/>
      <c r="V1128" s="424"/>
      <c r="W1128" s="424"/>
      <c r="X1128" s="424"/>
      <c r="Z1128" s="601"/>
      <c r="AG1128" s="807"/>
      <c r="AH1128" s="446"/>
    </row>
    <row r="1129" spans="18:34">
      <c r="R1129" s="424"/>
      <c r="U1129" s="424"/>
      <c r="V1129" s="424"/>
      <c r="W1129" s="424"/>
      <c r="X1129" s="424"/>
      <c r="Z1129" s="601"/>
      <c r="AG1129" s="807"/>
      <c r="AH1129" s="446"/>
    </row>
    <row r="1130" spans="18:34">
      <c r="R1130" s="424"/>
      <c r="U1130" s="424"/>
      <c r="V1130" s="424"/>
      <c r="W1130" s="424"/>
      <c r="X1130" s="424"/>
      <c r="Z1130" s="601"/>
      <c r="AG1130" s="807"/>
      <c r="AH1130" s="446"/>
    </row>
    <row r="1131" spans="18:34">
      <c r="R1131" s="424"/>
      <c r="U1131" s="424"/>
      <c r="V1131" s="424"/>
      <c r="W1131" s="424"/>
      <c r="X1131" s="424"/>
      <c r="Z1131" s="601"/>
      <c r="AG1131" s="807"/>
      <c r="AH1131" s="446"/>
    </row>
    <row r="1132" spans="18:34">
      <c r="R1132" s="424"/>
      <c r="U1132" s="424"/>
      <c r="V1132" s="424"/>
      <c r="W1132" s="424"/>
      <c r="X1132" s="424"/>
      <c r="Z1132" s="601"/>
      <c r="AG1132" s="807"/>
      <c r="AH1132" s="446"/>
    </row>
    <row r="1133" spans="18:34">
      <c r="R1133" s="424"/>
      <c r="U1133" s="424"/>
      <c r="V1133" s="424"/>
      <c r="W1133" s="424"/>
      <c r="X1133" s="424"/>
      <c r="Z1133" s="601"/>
      <c r="AG1133" s="807"/>
      <c r="AH1133" s="446"/>
    </row>
    <row r="1134" spans="18:34">
      <c r="R1134" s="424"/>
      <c r="U1134" s="424"/>
      <c r="V1134" s="424"/>
      <c r="W1134" s="424"/>
      <c r="X1134" s="424"/>
      <c r="Z1134" s="601"/>
      <c r="AG1134" s="807"/>
      <c r="AH1134" s="446"/>
    </row>
    <row r="1135" spans="18:34">
      <c r="R1135" s="424"/>
      <c r="U1135" s="424"/>
      <c r="V1135" s="424"/>
      <c r="W1135" s="424"/>
      <c r="X1135" s="424"/>
      <c r="Z1135" s="601"/>
      <c r="AG1135" s="807"/>
      <c r="AH1135" s="446"/>
    </row>
    <row r="1136" spans="18:34">
      <c r="R1136" s="424"/>
      <c r="U1136" s="424"/>
      <c r="V1136" s="424"/>
      <c r="W1136" s="424"/>
      <c r="X1136" s="424"/>
      <c r="Z1136" s="601"/>
      <c r="AG1136" s="807"/>
      <c r="AH1136" s="446"/>
    </row>
    <row r="1137" spans="18:34">
      <c r="R1137" s="424"/>
      <c r="U1137" s="424"/>
      <c r="V1137" s="424"/>
      <c r="W1137" s="424"/>
      <c r="X1137" s="424"/>
      <c r="Z1137" s="601"/>
      <c r="AG1137" s="807"/>
      <c r="AH1137" s="446"/>
    </row>
    <row r="1138" spans="18:34">
      <c r="R1138" s="424"/>
      <c r="U1138" s="424"/>
      <c r="V1138" s="424"/>
      <c r="W1138" s="424"/>
      <c r="X1138" s="424"/>
      <c r="Z1138" s="601"/>
      <c r="AG1138" s="807"/>
      <c r="AH1138" s="446"/>
    </row>
    <row r="1139" spans="18:34">
      <c r="R1139" s="424"/>
      <c r="U1139" s="424"/>
      <c r="V1139" s="424"/>
      <c r="W1139" s="424"/>
      <c r="X1139" s="424"/>
      <c r="Z1139" s="601"/>
      <c r="AG1139" s="807"/>
      <c r="AH1139" s="446"/>
    </row>
    <row r="1140" spans="18:34">
      <c r="R1140" s="424"/>
      <c r="U1140" s="424"/>
      <c r="V1140" s="424"/>
      <c r="W1140" s="424"/>
      <c r="X1140" s="424"/>
      <c r="Z1140" s="601"/>
      <c r="AG1140" s="807"/>
      <c r="AH1140" s="446"/>
    </row>
    <row r="1141" spans="18:34">
      <c r="R1141" s="424"/>
      <c r="U1141" s="424"/>
      <c r="V1141" s="424"/>
      <c r="W1141" s="424"/>
      <c r="X1141" s="424"/>
      <c r="Z1141" s="601"/>
      <c r="AG1141" s="807"/>
      <c r="AH1141" s="446"/>
    </row>
    <row r="1142" spans="18:34">
      <c r="R1142" s="424"/>
      <c r="U1142" s="424"/>
      <c r="V1142" s="424"/>
      <c r="W1142" s="424"/>
      <c r="X1142" s="424"/>
      <c r="Z1142" s="601"/>
      <c r="AG1142" s="807"/>
      <c r="AH1142" s="446"/>
    </row>
    <row r="1143" spans="18:34">
      <c r="R1143" s="424"/>
      <c r="U1143" s="424"/>
      <c r="V1143" s="424"/>
      <c r="W1143" s="424"/>
      <c r="X1143" s="424"/>
      <c r="Z1143" s="601"/>
      <c r="AG1143" s="807"/>
      <c r="AH1143" s="446"/>
    </row>
    <row r="1144" spans="18:34">
      <c r="R1144" s="424"/>
      <c r="U1144" s="424"/>
      <c r="V1144" s="424"/>
      <c r="W1144" s="424"/>
      <c r="X1144" s="424"/>
      <c r="Z1144" s="601"/>
      <c r="AG1144" s="807"/>
      <c r="AH1144" s="446"/>
    </row>
    <row r="1145" spans="18:34">
      <c r="R1145" s="424"/>
      <c r="U1145" s="424"/>
      <c r="V1145" s="424"/>
      <c r="W1145" s="424"/>
      <c r="X1145" s="424"/>
      <c r="Z1145" s="601"/>
      <c r="AG1145" s="807"/>
      <c r="AH1145" s="446"/>
    </row>
    <row r="1146" spans="18:34">
      <c r="R1146" s="424"/>
      <c r="U1146" s="424"/>
      <c r="V1146" s="424"/>
      <c r="W1146" s="424"/>
      <c r="X1146" s="424"/>
      <c r="Z1146" s="601"/>
      <c r="AG1146" s="807"/>
      <c r="AH1146" s="446"/>
    </row>
    <row r="1147" spans="18:34">
      <c r="R1147" s="424"/>
      <c r="U1147" s="424"/>
      <c r="V1147" s="424"/>
      <c r="W1147" s="424"/>
      <c r="X1147" s="424"/>
      <c r="Z1147" s="601"/>
      <c r="AG1147" s="807"/>
      <c r="AH1147" s="446"/>
    </row>
    <row r="1148" spans="18:34">
      <c r="R1148" s="424"/>
      <c r="U1148" s="424"/>
      <c r="V1148" s="424"/>
      <c r="W1148" s="424"/>
      <c r="X1148" s="424"/>
      <c r="Z1148" s="601"/>
      <c r="AG1148" s="807"/>
      <c r="AH1148" s="446"/>
    </row>
    <row r="1149" spans="18:34">
      <c r="R1149" s="424"/>
      <c r="U1149" s="424"/>
      <c r="V1149" s="424"/>
      <c r="W1149" s="424"/>
      <c r="X1149" s="424"/>
      <c r="Z1149" s="601"/>
      <c r="AG1149" s="807"/>
      <c r="AH1149" s="446"/>
    </row>
    <row r="1150" spans="18:34">
      <c r="R1150" s="424"/>
      <c r="U1150" s="424"/>
      <c r="V1150" s="424"/>
      <c r="W1150" s="424"/>
      <c r="X1150" s="424"/>
      <c r="Z1150" s="601"/>
      <c r="AG1150" s="807"/>
      <c r="AH1150" s="446"/>
    </row>
    <row r="1151" spans="18:34">
      <c r="R1151" s="424"/>
      <c r="U1151" s="424"/>
      <c r="V1151" s="424"/>
      <c r="W1151" s="424"/>
      <c r="X1151" s="424"/>
      <c r="Z1151" s="601"/>
      <c r="AG1151" s="807"/>
      <c r="AH1151" s="446"/>
    </row>
    <row r="1152" spans="18:34">
      <c r="R1152" s="424"/>
      <c r="U1152" s="424"/>
      <c r="V1152" s="424"/>
      <c r="W1152" s="424"/>
      <c r="X1152" s="424"/>
      <c r="Z1152" s="601"/>
      <c r="AG1152" s="807"/>
      <c r="AH1152" s="446"/>
    </row>
    <row r="1153" spans="18:34">
      <c r="R1153" s="424"/>
      <c r="U1153" s="424"/>
      <c r="V1153" s="424"/>
      <c r="W1153" s="424"/>
      <c r="X1153" s="424"/>
      <c r="Z1153" s="601"/>
      <c r="AG1153" s="807"/>
      <c r="AH1153" s="446"/>
    </row>
    <row r="1154" spans="18:34">
      <c r="R1154" s="424"/>
      <c r="U1154" s="424"/>
      <c r="V1154" s="424"/>
      <c r="W1154" s="424"/>
      <c r="X1154" s="424"/>
      <c r="Z1154" s="601"/>
      <c r="AG1154" s="807"/>
      <c r="AH1154" s="446"/>
    </row>
    <row r="1155" spans="18:34">
      <c r="R1155" s="424"/>
      <c r="U1155" s="424"/>
      <c r="V1155" s="424"/>
      <c r="W1155" s="424"/>
      <c r="X1155" s="424"/>
      <c r="Z1155" s="601"/>
      <c r="AG1155" s="807"/>
      <c r="AH1155" s="446"/>
    </row>
    <row r="1156" spans="18:34">
      <c r="R1156" s="424"/>
      <c r="U1156" s="424"/>
      <c r="V1156" s="424"/>
      <c r="W1156" s="424"/>
      <c r="X1156" s="424"/>
      <c r="Z1156" s="601"/>
      <c r="AG1156" s="807"/>
      <c r="AH1156" s="446"/>
    </row>
    <row r="1157" spans="18:34">
      <c r="R1157" s="424"/>
      <c r="U1157" s="424"/>
      <c r="V1157" s="424"/>
      <c r="W1157" s="424"/>
      <c r="X1157" s="424"/>
      <c r="Z1157" s="601"/>
      <c r="AG1157" s="807"/>
      <c r="AH1157" s="446"/>
    </row>
    <row r="1158" spans="18:34">
      <c r="R1158" s="424"/>
      <c r="U1158" s="424"/>
      <c r="V1158" s="424"/>
      <c r="W1158" s="424"/>
      <c r="X1158" s="424"/>
      <c r="Z1158" s="601"/>
      <c r="AG1158" s="807"/>
      <c r="AH1158" s="446"/>
    </row>
    <row r="1159" spans="18:34">
      <c r="R1159" s="424"/>
      <c r="U1159" s="424"/>
      <c r="V1159" s="424"/>
      <c r="W1159" s="424"/>
      <c r="X1159" s="424"/>
      <c r="Z1159" s="601"/>
      <c r="AG1159" s="807"/>
      <c r="AH1159" s="446"/>
    </row>
    <row r="1160" spans="18:34">
      <c r="R1160" s="424"/>
      <c r="U1160" s="424"/>
      <c r="V1160" s="424"/>
      <c r="W1160" s="424"/>
      <c r="X1160" s="424"/>
      <c r="Z1160" s="601"/>
      <c r="AG1160" s="807"/>
      <c r="AH1160" s="446"/>
    </row>
    <row r="1161" spans="18:34">
      <c r="R1161" s="424"/>
      <c r="U1161" s="424"/>
      <c r="V1161" s="424"/>
      <c r="W1161" s="424"/>
      <c r="X1161" s="424"/>
      <c r="Z1161" s="601"/>
      <c r="AG1161" s="807"/>
      <c r="AH1161" s="446"/>
    </row>
    <row r="1162" spans="18:34">
      <c r="R1162" s="424"/>
      <c r="U1162" s="424"/>
      <c r="V1162" s="424"/>
      <c r="W1162" s="424"/>
      <c r="X1162" s="424"/>
      <c r="Z1162" s="601"/>
      <c r="AG1162" s="807"/>
      <c r="AH1162" s="446"/>
    </row>
    <row r="1163" spans="18:34">
      <c r="R1163" s="424"/>
      <c r="U1163" s="424"/>
      <c r="V1163" s="424"/>
      <c r="W1163" s="424"/>
      <c r="X1163" s="424"/>
      <c r="Z1163" s="601"/>
      <c r="AG1163" s="807"/>
      <c r="AH1163" s="446"/>
    </row>
    <row r="1164" spans="18:34">
      <c r="R1164" s="424"/>
      <c r="U1164" s="424"/>
      <c r="V1164" s="424"/>
      <c r="W1164" s="424"/>
      <c r="X1164" s="424"/>
      <c r="Z1164" s="601"/>
      <c r="AG1164" s="807"/>
      <c r="AH1164" s="446"/>
    </row>
    <row r="1165" spans="18:34">
      <c r="R1165" s="424"/>
      <c r="U1165" s="424"/>
      <c r="V1165" s="424"/>
      <c r="W1165" s="424"/>
      <c r="X1165" s="424"/>
      <c r="Z1165" s="601"/>
      <c r="AG1165" s="807"/>
      <c r="AH1165" s="446"/>
    </row>
    <row r="1166" spans="18:34">
      <c r="R1166" s="424"/>
      <c r="U1166" s="424"/>
      <c r="V1166" s="424"/>
      <c r="W1166" s="424"/>
      <c r="X1166" s="424"/>
      <c r="Z1166" s="601"/>
      <c r="AG1166" s="807"/>
      <c r="AH1166" s="446"/>
    </row>
    <row r="1167" spans="18:34">
      <c r="R1167" s="424"/>
      <c r="U1167" s="424"/>
      <c r="V1167" s="424"/>
      <c r="W1167" s="424"/>
      <c r="X1167" s="424"/>
      <c r="Z1167" s="601"/>
      <c r="AG1167" s="807"/>
      <c r="AH1167" s="446"/>
    </row>
    <row r="1168" spans="18:34">
      <c r="R1168" s="424"/>
      <c r="U1168" s="424"/>
      <c r="V1168" s="424"/>
      <c r="W1168" s="424"/>
      <c r="X1168" s="424"/>
      <c r="Y1168" s="424"/>
      <c r="Z1168" s="601"/>
      <c r="AA1168" s="602"/>
      <c r="AB1168" s="603"/>
      <c r="AC1168" s="603"/>
      <c r="AD1168" s="604"/>
      <c r="AE1168" s="605"/>
      <c r="AF1168" s="605"/>
      <c r="AG1168" s="807"/>
      <c r="AH1168" s="446"/>
    </row>
    <row r="1169" spans="18:34">
      <c r="R1169" s="424"/>
      <c r="U1169" s="424"/>
      <c r="V1169" s="424"/>
      <c r="W1169" s="424"/>
      <c r="X1169" s="424"/>
      <c r="Y1169" s="424"/>
      <c r="Z1169" s="601"/>
      <c r="AA1169" s="602"/>
      <c r="AB1169" s="603"/>
      <c r="AC1169" s="603"/>
      <c r="AD1169" s="604"/>
      <c r="AE1169" s="605"/>
      <c r="AF1169" s="605"/>
      <c r="AG1169" s="807"/>
      <c r="AH1169" s="446"/>
    </row>
    <row r="1170" spans="18:34">
      <c r="R1170" s="424"/>
      <c r="U1170" s="424"/>
      <c r="V1170" s="424"/>
      <c r="W1170" s="424"/>
      <c r="X1170" s="424"/>
      <c r="Z1170" s="601"/>
      <c r="AG1170" s="807"/>
      <c r="AH1170" s="446"/>
    </row>
    <row r="1171" spans="18:34">
      <c r="R1171" s="424"/>
      <c r="U1171" s="424"/>
      <c r="V1171" s="424"/>
      <c r="W1171" s="424"/>
      <c r="X1171" s="424"/>
      <c r="Y1171" s="424"/>
      <c r="Z1171" s="601"/>
      <c r="AA1171" s="602"/>
      <c r="AB1171" s="603"/>
      <c r="AC1171" s="603"/>
      <c r="AD1171" s="604"/>
      <c r="AE1171" s="605"/>
      <c r="AF1171" s="605"/>
      <c r="AG1171" s="807"/>
      <c r="AH1171" s="446"/>
    </row>
    <row r="1172" spans="18:34">
      <c r="R1172" s="424"/>
      <c r="U1172" s="424"/>
      <c r="V1172" s="424"/>
      <c r="W1172" s="424"/>
      <c r="X1172" s="424"/>
      <c r="Z1172" s="601"/>
      <c r="AG1172" s="807"/>
      <c r="AH1172" s="446"/>
    </row>
    <row r="1173" spans="18:34">
      <c r="R1173" s="424"/>
      <c r="U1173" s="424"/>
      <c r="V1173" s="424"/>
      <c r="W1173" s="424"/>
      <c r="X1173" s="424"/>
      <c r="Z1173" s="601"/>
      <c r="AG1173" s="807"/>
      <c r="AH1173" s="446"/>
    </row>
    <row r="1174" spans="18:34">
      <c r="R1174" s="424"/>
      <c r="U1174" s="424"/>
      <c r="V1174" s="424"/>
      <c r="W1174" s="424"/>
      <c r="X1174" s="424"/>
      <c r="Y1174" s="424"/>
      <c r="Z1174" s="601"/>
      <c r="AA1174" s="602"/>
      <c r="AB1174" s="603"/>
      <c r="AC1174" s="603"/>
      <c r="AD1174" s="604"/>
      <c r="AE1174" s="605"/>
      <c r="AF1174" s="605"/>
      <c r="AG1174" s="807"/>
      <c r="AH1174" s="446"/>
    </row>
    <row r="1175" spans="18:34">
      <c r="R1175" s="424"/>
      <c r="U1175" s="424"/>
      <c r="V1175" s="424"/>
      <c r="W1175" s="424"/>
      <c r="X1175" s="424"/>
      <c r="Y1175" s="424"/>
      <c r="Z1175" s="601"/>
      <c r="AA1175" s="602"/>
      <c r="AB1175" s="603"/>
      <c r="AC1175" s="603"/>
      <c r="AD1175" s="604"/>
      <c r="AE1175" s="605"/>
      <c r="AF1175" s="605"/>
      <c r="AG1175" s="807"/>
      <c r="AH1175" s="446"/>
    </row>
    <row r="1176" spans="18:34">
      <c r="R1176" s="424"/>
      <c r="U1176" s="424"/>
      <c r="V1176" s="424"/>
      <c r="W1176" s="424"/>
      <c r="X1176" s="424"/>
      <c r="Z1176" s="601"/>
      <c r="AG1176" s="807"/>
      <c r="AH1176" s="446"/>
    </row>
    <row r="1177" spans="18:34">
      <c r="R1177" s="424"/>
      <c r="U1177" s="424"/>
      <c r="V1177" s="424"/>
      <c r="W1177" s="424"/>
      <c r="X1177" s="424"/>
      <c r="Z1177" s="601"/>
      <c r="AG1177" s="807"/>
      <c r="AH1177" s="446"/>
    </row>
    <row r="1178" spans="18:34">
      <c r="R1178" s="424"/>
      <c r="U1178" s="424"/>
      <c r="V1178" s="424"/>
      <c r="W1178" s="424"/>
      <c r="X1178" s="424"/>
      <c r="Y1178" s="424"/>
      <c r="Z1178" s="601"/>
      <c r="AA1178" s="602"/>
      <c r="AB1178" s="603"/>
      <c r="AC1178" s="603"/>
      <c r="AD1178" s="604"/>
      <c r="AE1178" s="605"/>
      <c r="AF1178" s="605"/>
      <c r="AG1178" s="807"/>
      <c r="AH1178" s="446"/>
    </row>
    <row r="1179" spans="18:34">
      <c r="R1179" s="424"/>
      <c r="U1179" s="424"/>
      <c r="V1179" s="424"/>
      <c r="W1179" s="424"/>
      <c r="X1179" s="424"/>
      <c r="Y1179" s="424"/>
      <c r="Z1179" s="601"/>
      <c r="AA1179" s="602"/>
      <c r="AB1179" s="603"/>
      <c r="AC1179" s="603"/>
      <c r="AD1179" s="604"/>
      <c r="AE1179" s="605"/>
      <c r="AF1179" s="605"/>
      <c r="AG1179" s="807"/>
      <c r="AH1179" s="446"/>
    </row>
    <row r="1180" spans="18:34">
      <c r="R1180" s="424"/>
      <c r="U1180" s="424"/>
      <c r="V1180" s="424"/>
      <c r="W1180" s="424"/>
      <c r="X1180" s="424"/>
      <c r="Z1180" s="601"/>
      <c r="AG1180" s="807"/>
      <c r="AH1180" s="446"/>
    </row>
    <row r="1181" spans="18:34">
      <c r="R1181" s="424"/>
      <c r="Z1181" s="601"/>
      <c r="AG1181" s="807"/>
    </row>
    <row r="1182" spans="18:34">
      <c r="R1182" s="424"/>
      <c r="Z1182" s="601"/>
      <c r="AG1182" s="807"/>
    </row>
    <row r="1183" spans="18:34">
      <c r="R1183" s="424"/>
      <c r="Z1183" s="601"/>
      <c r="AG1183" s="807"/>
    </row>
    <row r="1184" spans="18:34">
      <c r="R1184" s="424"/>
      <c r="Z1184" s="601"/>
      <c r="AG1184" s="807"/>
    </row>
    <row r="1185" spans="18:34">
      <c r="R1185" s="424"/>
      <c r="Z1185" s="601"/>
      <c r="AG1185" s="807"/>
    </row>
    <row r="1186" spans="18:34">
      <c r="R1186" s="424"/>
      <c r="Z1186" s="601"/>
      <c r="AG1186" s="807"/>
    </row>
    <row r="1187" spans="18:34">
      <c r="R1187" s="424"/>
      <c r="Z1187" s="601"/>
      <c r="AG1187" s="807"/>
    </row>
    <row r="1188" spans="18:34">
      <c r="R1188" s="424"/>
      <c r="Z1188" s="601"/>
      <c r="AG1188" s="807"/>
    </row>
    <row r="1189" spans="18:34">
      <c r="R1189" s="424"/>
      <c r="Z1189" s="601"/>
      <c r="AG1189" s="807"/>
    </row>
    <row r="1190" spans="18:34">
      <c r="R1190" s="424"/>
      <c r="Z1190" s="601"/>
      <c r="AG1190" s="807"/>
    </row>
    <row r="1191" spans="18:34">
      <c r="R1191" s="424"/>
      <c r="Z1191" s="601"/>
      <c r="AG1191" s="807"/>
    </row>
    <row r="1192" spans="18:34">
      <c r="R1192" s="424"/>
      <c r="Z1192" s="601"/>
      <c r="AG1192" s="807"/>
    </row>
    <row r="1193" spans="18:34">
      <c r="R1193" s="424"/>
      <c r="Z1193" s="601"/>
      <c r="AG1193" s="807"/>
    </row>
    <row r="1194" spans="18:34">
      <c r="R1194" s="424"/>
      <c r="Z1194" s="601"/>
      <c r="AG1194" s="807"/>
    </row>
    <row r="1195" spans="18:34">
      <c r="R1195" s="424"/>
      <c r="Z1195" s="601"/>
      <c r="AG1195" s="807"/>
    </row>
    <row r="1196" spans="18:34">
      <c r="R1196" s="424"/>
      <c r="U1196" s="424"/>
      <c r="V1196" s="424"/>
      <c r="W1196" s="424"/>
      <c r="Z1196" s="601"/>
      <c r="AG1196" s="807"/>
      <c r="AH1196" s="446"/>
    </row>
    <row r="1197" spans="18:34">
      <c r="R1197" s="424"/>
      <c r="U1197" s="424"/>
      <c r="V1197" s="424"/>
      <c r="W1197" s="424"/>
      <c r="Z1197" s="601"/>
      <c r="AG1197" s="807"/>
      <c r="AH1197" s="446"/>
    </row>
    <row r="1198" spans="18:34">
      <c r="R1198" s="424"/>
      <c r="U1198" s="424"/>
      <c r="V1198" s="424"/>
      <c r="W1198" s="424"/>
      <c r="Z1198" s="601"/>
      <c r="AG1198" s="807"/>
      <c r="AH1198" s="446"/>
    </row>
    <row r="1199" spans="18:34">
      <c r="R1199" s="424"/>
      <c r="U1199" s="424"/>
      <c r="V1199" s="424"/>
      <c r="W1199" s="424"/>
      <c r="X1199" s="424"/>
      <c r="Y1199" s="424"/>
      <c r="Z1199" s="601"/>
      <c r="AA1199" s="602"/>
      <c r="AB1199" s="603"/>
      <c r="AC1199" s="603"/>
      <c r="AD1199" s="604"/>
      <c r="AE1199" s="605"/>
      <c r="AF1199" s="605"/>
      <c r="AG1199" s="807"/>
      <c r="AH1199" s="446"/>
    </row>
    <row r="1200" spans="18:34">
      <c r="R1200" s="424"/>
      <c r="U1200" s="424"/>
      <c r="W1200" s="424"/>
      <c r="X1200" s="424"/>
      <c r="Y1200" s="424"/>
      <c r="Z1200" s="601"/>
      <c r="AA1200" s="602"/>
      <c r="AB1200" s="603"/>
      <c r="AC1200" s="603"/>
      <c r="AD1200" s="604"/>
      <c r="AE1200" s="605"/>
      <c r="AF1200" s="605"/>
      <c r="AG1200" s="807"/>
      <c r="AH1200" s="446"/>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B2270-B103-4164-8EDF-F4E9E60F4C0C}">
  <sheetPr codeName="Sheet18">
    <tabColor theme="5" tint="0.39997558519241921"/>
  </sheetPr>
  <dimension ref="A1:C14"/>
  <sheetViews>
    <sheetView zoomScaleNormal="100" workbookViewId="0">
      <selection activeCell="B19" sqref="B19"/>
    </sheetView>
  </sheetViews>
  <sheetFormatPr defaultRowHeight="14"/>
  <cols>
    <col min="1" max="1" width="40" style="829" customWidth="1"/>
    <col min="2" max="2" width="40.81640625" style="829" customWidth="1"/>
    <col min="3" max="3" width="12.1796875" style="829" bestFit="1" customWidth="1"/>
    <col min="4" max="16384" width="8.7265625" style="829"/>
  </cols>
  <sheetData>
    <row r="1" spans="1:3">
      <c r="A1" s="1219" t="s">
        <v>3889</v>
      </c>
      <c r="B1" s="1219"/>
      <c r="C1" s="1219"/>
    </row>
    <row r="2" spans="1:3">
      <c r="A2" s="829" t="s">
        <v>3890</v>
      </c>
      <c r="B2" s="829" t="s">
        <v>57</v>
      </c>
    </row>
    <row r="3" spans="1:3">
      <c r="A3" s="829" t="s">
        <v>3892</v>
      </c>
      <c r="B3" s="830">
        <v>10258246</v>
      </c>
    </row>
    <row r="4" spans="1:3" ht="28">
      <c r="A4" s="829" t="s">
        <v>3891</v>
      </c>
      <c r="B4" s="831" t="s">
        <v>3899</v>
      </c>
    </row>
    <row r="5" spans="1:3">
      <c r="A5" s="1219" t="s">
        <v>3893</v>
      </c>
      <c r="B5" s="1219"/>
      <c r="C5" s="1219"/>
    </row>
    <row r="6" spans="1:3">
      <c r="A6" s="832" t="s">
        <v>3900</v>
      </c>
      <c r="B6" s="833" t="s">
        <v>3894</v>
      </c>
      <c r="C6" s="829" t="s">
        <v>178</v>
      </c>
    </row>
    <row r="7" spans="1:3">
      <c r="A7" s="1219" t="s">
        <v>3895</v>
      </c>
      <c r="B7" s="1219"/>
      <c r="C7" s="1219"/>
    </row>
    <row r="8" spans="1:3">
      <c r="A8" s="834" t="s">
        <v>202</v>
      </c>
      <c r="B8" s="834" t="s">
        <v>3897</v>
      </c>
      <c r="C8" s="829" t="s">
        <v>203</v>
      </c>
    </row>
    <row r="9" spans="1:3">
      <c r="A9" s="1219" t="s">
        <v>200</v>
      </c>
      <c r="B9" s="1219"/>
      <c r="C9" s="1219"/>
    </row>
    <row r="10" spans="1:3">
      <c r="A10" s="829" t="s">
        <v>174</v>
      </c>
      <c r="B10" s="835" t="s">
        <v>3896</v>
      </c>
      <c r="C10" s="829" t="s">
        <v>175</v>
      </c>
    </row>
    <row r="11" spans="1:3">
      <c r="A11" s="1219" t="s">
        <v>27</v>
      </c>
      <c r="B11" s="1219"/>
      <c r="C11" s="1219"/>
    </row>
    <row r="12" spans="1:3">
      <c r="A12" s="829" t="s">
        <v>3901</v>
      </c>
      <c r="B12" s="845" t="s">
        <v>220</v>
      </c>
    </row>
    <row r="14" spans="1:3">
      <c r="A14" s="1218" t="s">
        <v>3898</v>
      </c>
      <c r="B14" s="1218"/>
      <c r="C14" s="1218"/>
    </row>
  </sheetData>
  <mergeCells count="6">
    <mergeCell ref="A14:C14"/>
    <mergeCell ref="A1:C1"/>
    <mergeCell ref="A5:C5"/>
    <mergeCell ref="A7:C7"/>
    <mergeCell ref="A9:C9"/>
    <mergeCell ref="A11:C11"/>
  </mergeCells>
  <pageMargins left="0.7" right="0.7" top="0.75" bottom="0.75" header="0.3" footer="0.3"/>
  <pageSetup paperSize="9"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E101"/>
  <sheetViews>
    <sheetView topLeftCell="C1" zoomScale="80" zoomScaleNormal="80" workbookViewId="0">
      <selection activeCell="C77" sqref="C77"/>
    </sheetView>
  </sheetViews>
  <sheetFormatPr defaultColWidth="8.7265625" defaultRowHeight="14.5"/>
  <cols>
    <col min="1" max="1" width="18.54296875" style="461" bestFit="1" customWidth="1"/>
    <col min="2" max="2" width="29.81640625" style="461" customWidth="1"/>
    <col min="3" max="3" width="61.54296875" style="461" customWidth="1"/>
    <col min="4" max="4" width="139.1796875" style="461" bestFit="1" customWidth="1"/>
    <col min="5" max="16384" width="8.7265625" style="461"/>
  </cols>
  <sheetData>
    <row r="1" spans="1:4" s="468" customFormat="1">
      <c r="A1" s="468">
        <v>1</v>
      </c>
      <c r="B1" s="468" t="str">
        <f>Master!J4</f>
        <v>Air Mineral pada pelaksanaan kegiatan bulanan Gerakan Bersih Lingkungan Sekolah</v>
      </c>
      <c r="C1" s="385" t="s">
        <v>228</v>
      </c>
      <c r="D1" s="469" t="s">
        <v>2461</v>
      </c>
    </row>
    <row r="2" spans="1:4" s="468" customFormat="1">
      <c r="A2" s="468">
        <v>2</v>
      </c>
      <c r="B2" s="468" t="str">
        <f>Master!J5</f>
        <v>Perbaikan dan Pengaspalan Jalan Sekolah</v>
      </c>
      <c r="C2" s="386" t="s">
        <v>2462</v>
      </c>
      <c r="D2" s="462" t="s">
        <v>2463</v>
      </c>
    </row>
    <row r="3" spans="1:4" s="468" customFormat="1">
      <c r="A3" s="468">
        <v>3</v>
      </c>
      <c r="B3" s="468" t="str">
        <f>Master!J6</f>
        <v>bola lampu hannock-45 watt</v>
      </c>
      <c r="C3" s="381" t="s">
        <v>2235</v>
      </c>
      <c r="D3" s="285" t="s">
        <v>2464</v>
      </c>
    </row>
    <row r="4" spans="1:4" s="468" customFormat="1">
      <c r="A4" s="468">
        <v>4</v>
      </c>
      <c r="B4" s="468" t="str">
        <f>Master!J7</f>
        <v>Plastik Mika</v>
      </c>
      <c r="C4" s="385" t="s">
        <v>2247</v>
      </c>
      <c r="D4" s="283" t="s">
        <v>2465</v>
      </c>
    </row>
    <row r="5" spans="1:4" s="468" customFormat="1">
      <c r="A5" s="468">
        <v>5</v>
      </c>
      <c r="B5" s="468" t="str">
        <f>Master!J8</f>
        <v>Kertas Warna Blank Folio, Ukuran : 8,5 x 14",  70 gram</v>
      </c>
      <c r="C5" s="385" t="s">
        <v>2240</v>
      </c>
      <c r="D5" s="283" t="s">
        <v>100</v>
      </c>
    </row>
    <row r="6" spans="1:4" s="468" customFormat="1">
      <c r="A6" s="468">
        <v>6</v>
      </c>
      <c r="B6" s="468" t="str">
        <f>Master!J9</f>
        <v>Kertas Lain-Lain Kertas Buffalo</v>
      </c>
      <c r="C6" s="381" t="s">
        <v>233</v>
      </c>
      <c r="D6" s="462" t="s">
        <v>101</v>
      </c>
    </row>
    <row r="7" spans="1:4" s="468" customFormat="1">
      <c r="A7" s="468">
        <v>7</v>
      </c>
      <c r="B7" s="468" t="str">
        <f>Master!J10</f>
        <v>Kertas Post-It Warna Warni  Sign Here</v>
      </c>
      <c r="C7" s="385" t="s">
        <v>234</v>
      </c>
      <c r="D7" s="462" t="s">
        <v>102</v>
      </c>
    </row>
    <row r="8" spans="1:4" s="468" customFormat="1">
      <c r="A8" s="468">
        <v>8</v>
      </c>
      <c r="B8" s="468" t="str">
        <f>Master!J11</f>
        <v>Kertas HVS 60 gram Merk : Paper One HVS F4 uk. 8.27"x11.69"</v>
      </c>
      <c r="C8" s="386" t="s">
        <v>2466</v>
      </c>
      <c r="D8" s="470" t="s">
        <v>2467</v>
      </c>
    </row>
    <row r="9" spans="1:4" s="468" customFormat="1">
      <c r="A9" s="468">
        <v>9</v>
      </c>
      <c r="B9" s="468" t="str">
        <f>Master!J12</f>
        <v>Kertas HVS 80 gram Merk : Paper One A4, Ukuran : 8,27" x 11,69", Isi : 500 lembar</v>
      </c>
      <c r="C9" s="385" t="s">
        <v>235</v>
      </c>
      <c r="D9" s="283" t="s">
        <v>104</v>
      </c>
    </row>
    <row r="10" spans="1:4" s="468" customFormat="1">
      <c r="A10" s="468">
        <v>10</v>
      </c>
      <c r="B10" s="468" t="str">
        <f>Master!J13</f>
        <v>Kertas StensiI</v>
      </c>
      <c r="C10" s="463" t="s">
        <v>2468</v>
      </c>
      <c r="D10" s="462" t="s">
        <v>2469</v>
      </c>
    </row>
    <row r="11" spans="1:4" s="468" customFormat="1">
      <c r="A11" s="468">
        <v>11</v>
      </c>
      <c r="B11" s="468" t="str">
        <f>Master!J14</f>
        <v>Kertas Label</v>
      </c>
      <c r="C11" s="384" t="s">
        <v>236</v>
      </c>
      <c r="D11" s="283" t="s">
        <v>106</v>
      </c>
    </row>
    <row r="12" spans="1:4" s="468" customFormat="1">
      <c r="A12" s="468">
        <v>12</v>
      </c>
      <c r="B12" s="468" t="str">
        <f>Master!J15</f>
        <v>Amplop Coklat Merk : GSU Ukuran : 1/2 folio, bergaris</v>
      </c>
      <c r="C12" s="464" t="s">
        <v>2470</v>
      </c>
      <c r="D12" s="462" t="s">
        <v>2471</v>
      </c>
    </row>
    <row r="13" spans="1:4" s="468" customFormat="1">
      <c r="A13" s="468">
        <v>13</v>
      </c>
      <c r="B13" s="468" t="str">
        <f>Master!J16</f>
        <v>Amplop Coklat Merk : Garda Ukuran Cabinet</v>
      </c>
      <c r="C13" s="382" t="s">
        <v>237</v>
      </c>
      <c r="D13" s="283" t="s">
        <v>108</v>
      </c>
    </row>
    <row r="14" spans="1:4" s="468" customFormat="1">
      <c r="A14" s="468">
        <v>14</v>
      </c>
      <c r="B14" s="468" t="str">
        <f>Master!J17</f>
        <v>Amplop Coklat Merk : GSU Ukuran Folio polos</v>
      </c>
      <c r="C14" s="384" t="s">
        <v>238</v>
      </c>
      <c r="D14" s="283" t="s">
        <v>109</v>
      </c>
    </row>
    <row r="15" spans="1:4" s="468" customFormat="1">
      <c r="A15" s="468">
        <v>15</v>
      </c>
      <c r="B15" s="468" t="str">
        <f>Master!J18</f>
        <v>Amplop Panjang Putih Polos Merk : Jaya Ukuran : 11 x 23 cm</v>
      </c>
      <c r="C15" s="382" t="s">
        <v>239</v>
      </c>
      <c r="D15" s="283" t="s">
        <v>110</v>
      </c>
    </row>
    <row r="16" spans="1:4" s="468" customFormat="1">
      <c r="A16" s="468">
        <v>16</v>
      </c>
      <c r="B16" s="468" t="str">
        <f>Master!J19</f>
        <v>Ballpoint Boldiner Standar</v>
      </c>
      <c r="C16" s="382" t="s">
        <v>240</v>
      </c>
      <c r="D16" s="283" t="s">
        <v>111</v>
      </c>
    </row>
    <row r="17" spans="1:4" s="468" customFormat="1">
      <c r="A17" s="468">
        <v>17</v>
      </c>
      <c r="B17" s="468" t="str">
        <f>Master!J20</f>
        <v>Ballpoint Drawing Pen 0,1 Snowman</v>
      </c>
      <c r="C17" s="382" t="s">
        <v>241</v>
      </c>
      <c r="D17" s="283" t="s">
        <v>2472</v>
      </c>
    </row>
    <row r="18" spans="1:4" s="468" customFormat="1">
      <c r="A18" s="468">
        <v>18</v>
      </c>
      <c r="B18" s="468" t="str">
        <f>Master!J21</f>
        <v>Ballpoint Standard AE7</v>
      </c>
      <c r="C18" s="382" t="s">
        <v>242</v>
      </c>
      <c r="D18" s="283" t="s">
        <v>113</v>
      </c>
    </row>
    <row r="19" spans="1:4" s="468" customFormat="1">
      <c r="A19" s="468">
        <v>19</v>
      </c>
      <c r="B19" s="468" t="str">
        <f>Master!J22</f>
        <v>Ballpoint Pilot G2</v>
      </c>
      <c r="C19" s="382" t="s">
        <v>2252</v>
      </c>
      <c r="D19" s="283" t="s">
        <v>114</v>
      </c>
    </row>
    <row r="20" spans="1:4" s="468" customFormat="1">
      <c r="A20" s="468">
        <v>20</v>
      </c>
      <c r="B20" s="468" t="str">
        <f>Master!J23</f>
        <v>Binder Klip  nomor 107</v>
      </c>
      <c r="C20" s="382" t="s">
        <v>2245</v>
      </c>
      <c r="D20" s="283" t="s">
        <v>115</v>
      </c>
    </row>
    <row r="21" spans="1:4" s="468" customFormat="1">
      <c r="A21" s="468">
        <v>21</v>
      </c>
      <c r="B21" s="468" t="str">
        <f>Master!J24</f>
        <v>Binder Klip  nomor 111</v>
      </c>
      <c r="C21" s="382" t="s">
        <v>2259</v>
      </c>
      <c r="D21" s="283" t="s">
        <v>116</v>
      </c>
    </row>
    <row r="22" spans="1:4" s="468" customFormat="1">
      <c r="A22" s="468">
        <v>22</v>
      </c>
      <c r="B22" s="468" t="str">
        <f>Master!J25</f>
        <v>Binder Klip  nomor 200</v>
      </c>
      <c r="C22" s="382" t="s">
        <v>243</v>
      </c>
      <c r="D22" s="283" t="s">
        <v>117</v>
      </c>
    </row>
    <row r="23" spans="1:4" s="468" customFormat="1">
      <c r="A23" s="468">
        <v>23</v>
      </c>
      <c r="B23" s="468" t="str">
        <f>Master!J26</f>
        <v>Binder Klip  nomor 260</v>
      </c>
      <c r="C23" s="382" t="s">
        <v>245</v>
      </c>
      <c r="D23" s="283" t="s">
        <v>2473</v>
      </c>
    </row>
    <row r="24" spans="1:4" s="468" customFormat="1">
      <c r="A24" s="468">
        <v>24</v>
      </c>
      <c r="B24" s="468" t="str">
        <f>Master!J27</f>
        <v>Binder Klip Merk : KENKO nomor 105</v>
      </c>
      <c r="C24" s="382" t="s">
        <v>246</v>
      </c>
      <c r="D24" s="283" t="s">
        <v>119</v>
      </c>
    </row>
    <row r="25" spans="1:4" s="468" customFormat="1">
      <c r="A25" s="468">
        <v>25</v>
      </c>
      <c r="B25" s="468" t="str">
        <f>Master!J28</f>
        <v>Map Binder</v>
      </c>
      <c r="C25" s="382" t="s">
        <v>2250</v>
      </c>
      <c r="D25" s="283" t="s">
        <v>120</v>
      </c>
    </row>
    <row r="26" spans="1:4" s="468" customFormat="1">
      <c r="A26" s="468">
        <v>26</v>
      </c>
      <c r="B26" s="468" t="str">
        <f>Master!J29</f>
        <v>Stofmap Kertas</v>
      </c>
      <c r="C26" s="464" t="s">
        <v>2474</v>
      </c>
      <c r="D26" s="283" t="s">
        <v>2475</v>
      </c>
    </row>
    <row r="27" spans="1:4" s="468" customFormat="1">
      <c r="A27" s="468">
        <v>27</v>
      </c>
      <c r="B27" s="468" t="str">
        <f>Master!J30</f>
        <v>Stofmap Transparan tali</v>
      </c>
      <c r="C27" s="464" t="s">
        <v>2476</v>
      </c>
      <c r="D27" s="465" t="s">
        <v>2477</v>
      </c>
    </row>
    <row r="28" spans="1:4" s="468" customFormat="1">
      <c r="A28" s="468">
        <v>28</v>
      </c>
      <c r="B28" s="468" t="str">
        <f>Master!J31</f>
        <v>Stofmap Transparan</v>
      </c>
      <c r="C28" s="382" t="s">
        <v>2255</v>
      </c>
      <c r="D28" s="283" t="s">
        <v>926</v>
      </c>
    </row>
    <row r="29" spans="1:4" s="468" customFormat="1">
      <c r="A29" s="468">
        <v>29</v>
      </c>
      <c r="B29" s="468" t="str">
        <f>Master!J32</f>
        <v>Binder Klip Ordner</v>
      </c>
      <c r="C29" s="384" t="s">
        <v>2233</v>
      </c>
      <c r="D29" s="465" t="s">
        <v>2478</v>
      </c>
    </row>
    <row r="30" spans="1:4" s="468" customFormat="1">
      <c r="A30" s="468">
        <v>30</v>
      </c>
      <c r="B30" s="468" t="str">
        <f>Master!J33</f>
        <v>Box File Merk : Bantex Ukuran : 115x270x325 mm</v>
      </c>
      <c r="C30" s="382" t="s">
        <v>2262</v>
      </c>
      <c r="D30" s="283" t="s">
        <v>725</v>
      </c>
    </row>
    <row r="31" spans="1:4" s="468" customFormat="1">
      <c r="A31" s="468">
        <v>31</v>
      </c>
      <c r="B31" s="468" t="str">
        <f>Master!J34</f>
        <v>Sampul Plastik</v>
      </c>
      <c r="C31" s="382" t="s">
        <v>2251</v>
      </c>
      <c r="D31" s="462" t="s">
        <v>126</v>
      </c>
    </row>
    <row r="32" spans="1:4" s="468" customFormat="1">
      <c r="A32" s="468">
        <v>32</v>
      </c>
      <c r="B32" s="468" t="str">
        <f>Master!J35</f>
        <v>Tinta Printer Canon 740 Hitam-740 Hitam</v>
      </c>
      <c r="C32" s="382" t="s">
        <v>2261</v>
      </c>
      <c r="D32" s="283" t="s">
        <v>127</v>
      </c>
    </row>
    <row r="33" spans="1:4" s="468" customFormat="1" ht="25">
      <c r="A33" s="468">
        <v>33</v>
      </c>
      <c r="B33" s="468" t="str">
        <f>Master!J36</f>
        <v>Tinta Printer Canon 741 Warna-741 Warna</v>
      </c>
      <c r="C33" s="382" t="s">
        <v>247</v>
      </c>
      <c r="D33" s="283" t="s">
        <v>1160</v>
      </c>
    </row>
    <row r="34" spans="1:4" s="468" customFormat="1">
      <c r="A34" s="468">
        <v>34</v>
      </c>
      <c r="B34" s="468" t="str">
        <f>Master!J37</f>
        <v>C. Tinta Printer EPSON Toner Epson 664 Black</v>
      </c>
      <c r="C34" s="382" t="s">
        <v>248</v>
      </c>
      <c r="D34" s="283" t="s">
        <v>775</v>
      </c>
    </row>
    <row r="35" spans="1:4" s="468" customFormat="1">
      <c r="A35" s="468">
        <v>35</v>
      </c>
      <c r="B35" s="468" t="str">
        <f>Master!J38</f>
        <v>C. Tinta Printer EPSON Tinta Printer Epson Yellow</v>
      </c>
      <c r="C35" s="384" t="s">
        <v>2237</v>
      </c>
      <c r="D35" s="283" t="s">
        <v>130</v>
      </c>
    </row>
    <row r="36" spans="1:4" s="468" customFormat="1">
      <c r="A36" s="468">
        <v>36</v>
      </c>
      <c r="B36" s="468" t="str">
        <f>Master!J39</f>
        <v>C. Tinta Printer EPSON Tinta Printer Epson Blue</v>
      </c>
      <c r="C36" s="382" t="s">
        <v>249</v>
      </c>
      <c r="D36" s="462" t="s">
        <v>131</v>
      </c>
    </row>
    <row r="37" spans="1:4" s="468" customFormat="1">
      <c r="A37" s="468">
        <v>37</v>
      </c>
      <c r="B37" s="468" t="str">
        <f>Master!J40</f>
        <v>C. Tinta Printer EPSON Tinta Printer Epson Read</v>
      </c>
      <c r="C37" s="382" t="s">
        <v>250</v>
      </c>
      <c r="D37" s="283" t="s">
        <v>132</v>
      </c>
    </row>
    <row r="38" spans="1:4" s="468" customFormat="1">
      <c r="A38" s="468">
        <v>38</v>
      </c>
      <c r="B38" s="468" t="str">
        <f>Master!J41</f>
        <v>canon catridge 741-catridge 741</v>
      </c>
      <c r="C38" s="382" t="s">
        <v>251</v>
      </c>
      <c r="D38" s="283" t="s">
        <v>133</v>
      </c>
    </row>
    <row r="39" spans="1:4" s="468" customFormat="1">
      <c r="A39" s="468">
        <v>39</v>
      </c>
      <c r="B39" s="468" t="str">
        <f>Master!J42</f>
        <v>Catridge Printer Epson T 014--</v>
      </c>
      <c r="C39" s="383" t="s">
        <v>2506</v>
      </c>
      <c r="D39" s="283" t="s">
        <v>2479</v>
      </c>
    </row>
    <row r="40" spans="1:4" s="468" customFormat="1">
      <c r="A40" s="468">
        <v>40</v>
      </c>
      <c r="B40" s="468" t="str">
        <f>Master!J43</f>
        <v>Lakban Besar</v>
      </c>
      <c r="C40" s="383" t="s">
        <v>2305</v>
      </c>
      <c r="D40" s="466" t="s">
        <v>2480</v>
      </c>
    </row>
    <row r="41" spans="1:4" s="468" customFormat="1">
      <c r="A41" s="468">
        <v>41</v>
      </c>
      <c r="B41" s="468" t="str">
        <f>Master!J44</f>
        <v>Lakban Bening Sedang</v>
      </c>
      <c r="C41" s="382" t="s">
        <v>2258</v>
      </c>
      <c r="D41" s="283" t="s">
        <v>2481</v>
      </c>
    </row>
    <row r="42" spans="1:4" s="468" customFormat="1">
      <c r="A42" s="468">
        <v>42</v>
      </c>
      <c r="B42" s="468" t="str">
        <f>Master!J45</f>
        <v>Lakban Bening</v>
      </c>
      <c r="C42" s="382" t="s">
        <v>2242</v>
      </c>
      <c r="D42" s="283" t="s">
        <v>137</v>
      </c>
    </row>
    <row r="43" spans="1:4" s="468" customFormat="1">
      <c r="A43" s="468">
        <v>43</v>
      </c>
      <c r="B43" s="468" t="str">
        <f>Master!J46</f>
        <v>Lakban Hitam--</v>
      </c>
      <c r="C43" s="382" t="s">
        <v>2243</v>
      </c>
      <c r="D43" s="283" t="s">
        <v>2482</v>
      </c>
    </row>
    <row r="44" spans="1:4" s="468" customFormat="1">
      <c r="A44" s="468">
        <v>44</v>
      </c>
      <c r="B44" s="468" t="str">
        <f>Master!J47</f>
        <v>lakban hitam-ukuran : lebar 2 inch, panjang 12m, bahan : kain</v>
      </c>
      <c r="C44" s="464" t="s">
        <v>2483</v>
      </c>
      <c r="D44" s="283" t="s">
        <v>2484</v>
      </c>
    </row>
    <row r="45" spans="1:4" s="468" customFormat="1">
      <c r="A45" s="468">
        <v>45</v>
      </c>
      <c r="B45" s="468" t="str">
        <f>Master!J48</f>
        <v>Lakban Hitam uk 2 " Warna hitam uk. 2 "</v>
      </c>
      <c r="C45" s="382" t="s">
        <v>253</v>
      </c>
      <c r="D45" s="283" t="s">
        <v>140</v>
      </c>
    </row>
    <row r="46" spans="1:4" s="468" customFormat="1">
      <c r="A46" s="468">
        <v>46</v>
      </c>
      <c r="B46" s="468" t="str">
        <f>Master!J49</f>
        <v>Lakban warna Uk 2" Warna Coklat Cofiie</v>
      </c>
      <c r="C46" s="382" t="s">
        <v>2244</v>
      </c>
      <c r="D46" s="283" t="s">
        <v>141</v>
      </c>
    </row>
    <row r="47" spans="1:4" s="468" customFormat="1">
      <c r="A47" s="468">
        <v>47</v>
      </c>
      <c r="B47" s="468" t="str">
        <f>Master!J50</f>
        <v>Spidol Refil Spidol White Board Snowman</v>
      </c>
      <c r="C47" s="382" t="s">
        <v>254</v>
      </c>
      <c r="D47" s="283" t="s">
        <v>142</v>
      </c>
    </row>
    <row r="48" spans="1:4" s="468" customFormat="1">
      <c r="A48" s="468">
        <v>48</v>
      </c>
      <c r="B48" s="468" t="str">
        <f>Master!J51</f>
        <v>Spidol White board</v>
      </c>
      <c r="C48" s="382" t="s">
        <v>2246</v>
      </c>
      <c r="D48" s="471" t="s">
        <v>2485</v>
      </c>
    </row>
    <row r="49" spans="1:4" s="468" customFormat="1">
      <c r="A49" s="468">
        <v>49</v>
      </c>
      <c r="B49" s="468" t="str">
        <f>Master!J52</f>
        <v>Stapler HD-10--</v>
      </c>
      <c r="C49" s="382" t="s">
        <v>255</v>
      </c>
      <c r="D49" s="283" t="s">
        <v>144</v>
      </c>
    </row>
    <row r="50" spans="1:4" s="468" customFormat="1">
      <c r="A50" s="468">
        <v>50</v>
      </c>
      <c r="B50" s="468" t="str">
        <f>Master!J53</f>
        <v>Stapler Stapler No, 50 MAX</v>
      </c>
      <c r="C50" s="382" t="s">
        <v>256</v>
      </c>
      <c r="D50" s="283" t="s">
        <v>145</v>
      </c>
    </row>
    <row r="51" spans="1:4" s="468" customFormat="1">
      <c r="A51" s="468">
        <v>51</v>
      </c>
      <c r="B51" s="468" t="str">
        <f>Master!J54</f>
        <v>Lem Fox isi 500 gram--</v>
      </c>
      <c r="C51" s="382" t="s">
        <v>257</v>
      </c>
      <c r="D51" s="283" t="s">
        <v>146</v>
      </c>
    </row>
    <row r="52" spans="1:4" s="468" customFormat="1">
      <c r="A52" s="468">
        <v>52</v>
      </c>
      <c r="B52" s="468" t="str">
        <f>Master!J55</f>
        <v>PAPER CLIP  Paper Clip No 1</v>
      </c>
      <c r="C52" s="382" t="s">
        <v>258</v>
      </c>
      <c r="D52" s="283" t="s">
        <v>1402</v>
      </c>
    </row>
    <row r="53" spans="1:4" s="468" customFormat="1">
      <c r="A53" s="468">
        <v>53</v>
      </c>
      <c r="B53" s="468" t="str">
        <f>Master!J56</f>
        <v>Paper Clip No 1  Paper Clip No 3</v>
      </c>
      <c r="C53" s="382" t="s">
        <v>259</v>
      </c>
      <c r="D53" s="462" t="s">
        <v>148</v>
      </c>
    </row>
    <row r="54" spans="1:4" s="468" customFormat="1">
      <c r="A54" s="468">
        <v>54</v>
      </c>
      <c r="B54" s="468" t="str">
        <f>Master!J57</f>
        <v>Penghapus White Board</v>
      </c>
      <c r="C54" s="382" t="s">
        <v>260</v>
      </c>
      <c r="D54" s="283" t="s">
        <v>149</v>
      </c>
    </row>
    <row r="55" spans="1:4" s="468" customFormat="1">
      <c r="A55" s="468">
        <v>55</v>
      </c>
      <c r="B55" s="468" t="str">
        <f>Master!J58</f>
        <v>Isi Staples Sedang</v>
      </c>
      <c r="C55" s="382" t="s">
        <v>261</v>
      </c>
      <c r="D55" s="283" t="s">
        <v>150</v>
      </c>
    </row>
    <row r="56" spans="1:4" s="468" customFormat="1">
      <c r="A56" s="468">
        <v>56</v>
      </c>
      <c r="B56" s="468" t="str">
        <f>Master!J59</f>
        <v>Isi Staples besar</v>
      </c>
      <c r="C56" s="382" t="s">
        <v>262</v>
      </c>
      <c r="D56" s="283" t="s">
        <v>151</v>
      </c>
    </row>
    <row r="57" spans="1:4" s="468" customFormat="1">
      <c r="A57" s="468">
        <v>57</v>
      </c>
      <c r="B57" s="468" t="str">
        <f>Master!J60</f>
        <v>gunting kertas-ukuran : panjang 21cm x lebar 8cm, stainless steel</v>
      </c>
      <c r="C57" s="384" t="s">
        <v>2236</v>
      </c>
      <c r="D57" s="472" t="s">
        <v>2486</v>
      </c>
    </row>
    <row r="58" spans="1:4" s="468" customFormat="1">
      <c r="A58" s="468">
        <v>58</v>
      </c>
      <c r="B58" s="468" t="str">
        <f>Master!J61</f>
        <v>Pisau Cutter Kenko L-500</v>
      </c>
      <c r="C58" s="464" t="s">
        <v>2487</v>
      </c>
      <c r="D58" s="283" t="s">
        <v>153</v>
      </c>
    </row>
    <row r="59" spans="1:4" s="468" customFormat="1">
      <c r="A59" s="468">
        <v>59</v>
      </c>
      <c r="B59" s="468" t="str">
        <f>Master!J62</f>
        <v>Buku Induk/Inventaris 35 cm x 50 cm</v>
      </c>
      <c r="C59" s="384" t="s">
        <v>289</v>
      </c>
      <c r="D59" s="462" t="s">
        <v>154</v>
      </c>
    </row>
    <row r="60" spans="1:4" s="468" customFormat="1">
      <c r="A60" s="468">
        <v>60</v>
      </c>
      <c r="B60" s="468" t="str">
        <f>Master!J63</f>
        <v>Buku Ekspedisi 100</v>
      </c>
      <c r="C60" s="382" t="s">
        <v>288</v>
      </c>
      <c r="D60" s="462" t="s">
        <v>155</v>
      </c>
    </row>
    <row r="61" spans="1:4" s="468" customFormat="1">
      <c r="A61" s="468">
        <v>61</v>
      </c>
      <c r="B61" s="468" t="str">
        <f>Master!J64</f>
        <v>Baterey Kecil</v>
      </c>
      <c r="C61" s="382" t="s">
        <v>263</v>
      </c>
      <c r="D61" s="462" t="s">
        <v>156</v>
      </c>
    </row>
    <row r="62" spans="1:4" s="468" customFormat="1">
      <c r="A62" s="468">
        <v>62</v>
      </c>
      <c r="B62" s="468" t="str">
        <f>Master!J65</f>
        <v>Baterey Tanggung</v>
      </c>
      <c r="C62" s="382" t="s">
        <v>264</v>
      </c>
      <c r="D62" s="462" t="s">
        <v>157</v>
      </c>
    </row>
    <row r="63" spans="1:4" s="468" customFormat="1">
      <c r="A63" s="468">
        <v>63</v>
      </c>
      <c r="B63" s="468" t="str">
        <f>Master!J66</f>
        <v>Bantalan Cap Besar</v>
      </c>
      <c r="C63" s="467" t="s">
        <v>2488</v>
      </c>
      <c r="D63" s="462" t="s">
        <v>2489</v>
      </c>
    </row>
    <row r="64" spans="1:4" s="468" customFormat="1">
      <c r="A64" s="468">
        <v>64</v>
      </c>
      <c r="B64" s="468" t="str">
        <f>Master!J67</f>
        <v>Bantalan Cap Kecil</v>
      </c>
      <c r="C64" s="382" t="s">
        <v>2260</v>
      </c>
      <c r="D64" s="283" t="s">
        <v>2490</v>
      </c>
    </row>
    <row r="65" spans="1:4" s="468" customFormat="1">
      <c r="A65" s="468">
        <v>65</v>
      </c>
      <c r="B65" s="468" t="str">
        <f>Master!J68</f>
        <v>USB FLASH DISK USB/Flash Disk 4GB</v>
      </c>
      <c r="C65" s="382" t="s">
        <v>2239</v>
      </c>
      <c r="D65" s="283" t="s">
        <v>2491</v>
      </c>
    </row>
    <row r="66" spans="1:4" s="468" customFormat="1">
      <c r="A66" s="468">
        <v>66</v>
      </c>
      <c r="B66" s="468" t="str">
        <f>Master!J69</f>
        <v>Stempel Manual</v>
      </c>
      <c r="C66" s="382" t="s">
        <v>265</v>
      </c>
      <c r="D66" s="283" t="s">
        <v>161</v>
      </c>
    </row>
    <row r="67" spans="1:4" s="468" customFormat="1">
      <c r="A67" s="468">
        <v>67</v>
      </c>
      <c r="B67" s="468" t="str">
        <f>Master!J70</f>
        <v>Stempel Cap</v>
      </c>
      <c r="C67" s="382" t="s">
        <v>2254</v>
      </c>
      <c r="D67" s="283" t="s">
        <v>2492</v>
      </c>
    </row>
    <row r="68" spans="1:4" s="468" customFormat="1">
      <c r="A68" s="468">
        <v>68</v>
      </c>
      <c r="B68" s="481" t="s">
        <v>2567</v>
      </c>
      <c r="C68" s="382" t="s">
        <v>2263</v>
      </c>
      <c r="D68" s="468" t="s">
        <v>2494</v>
      </c>
    </row>
    <row r="69" spans="1:4" s="468" customFormat="1">
      <c r="A69" s="468">
        <v>69</v>
      </c>
      <c r="B69" s="481" t="s">
        <v>2567</v>
      </c>
      <c r="C69" s="382" t="s">
        <v>270</v>
      </c>
      <c r="D69" s="280" t="s">
        <v>548</v>
      </c>
    </row>
    <row r="70" spans="1:4" s="468" customFormat="1">
      <c r="A70" s="468">
        <v>70</v>
      </c>
      <c r="B70" s="481" t="s">
        <v>2567</v>
      </c>
      <c r="C70" s="382" t="s">
        <v>2264</v>
      </c>
      <c r="D70" s="468" t="s">
        <v>2495</v>
      </c>
    </row>
    <row r="71" spans="1:4" s="468" customFormat="1">
      <c r="A71" s="468">
        <v>71</v>
      </c>
      <c r="B71" s="481" t="s">
        <v>2567</v>
      </c>
      <c r="C71" s="382" t="s">
        <v>2265</v>
      </c>
      <c r="D71" s="280" t="s">
        <v>545</v>
      </c>
    </row>
    <row r="72" spans="1:4" s="468" customFormat="1">
      <c r="A72" s="468">
        <v>72</v>
      </c>
      <c r="B72" s="481" t="s">
        <v>2567</v>
      </c>
      <c r="C72" s="382" t="s">
        <v>268</v>
      </c>
      <c r="D72" s="280" t="s">
        <v>558</v>
      </c>
    </row>
    <row r="73" spans="1:4" s="468" customFormat="1">
      <c r="A73" s="468">
        <v>73</v>
      </c>
      <c r="B73" s="481" t="s">
        <v>2567</v>
      </c>
      <c r="C73" s="382" t="s">
        <v>272</v>
      </c>
      <c r="D73" s="280" t="s">
        <v>550</v>
      </c>
    </row>
    <row r="74" spans="1:4" s="468" customFormat="1">
      <c r="A74" s="468">
        <v>74</v>
      </c>
      <c r="B74" s="481" t="s">
        <v>2567</v>
      </c>
      <c r="C74" s="382" t="s">
        <v>2266</v>
      </c>
      <c r="D74" s="468" t="s">
        <v>2496</v>
      </c>
    </row>
    <row r="75" spans="1:4" s="468" customFormat="1">
      <c r="A75" s="468">
        <v>75</v>
      </c>
      <c r="B75" s="481" t="s">
        <v>2567</v>
      </c>
      <c r="C75" s="382" t="s">
        <v>2267</v>
      </c>
      <c r="D75" s="468" t="s">
        <v>2497</v>
      </c>
    </row>
    <row r="76" spans="1:4" s="468" customFormat="1">
      <c r="A76" s="468">
        <v>76</v>
      </c>
      <c r="B76" s="481" t="s">
        <v>2567</v>
      </c>
      <c r="C76" s="382" t="s">
        <v>271</v>
      </c>
      <c r="D76" s="468" t="s">
        <v>2498</v>
      </c>
    </row>
    <row r="77" spans="1:4" s="468" customFormat="1">
      <c r="A77" s="468">
        <v>77</v>
      </c>
      <c r="B77" s="481" t="s">
        <v>2567</v>
      </c>
      <c r="C77" s="382" t="s">
        <v>2268</v>
      </c>
      <c r="D77" s="468" t="s">
        <v>2499</v>
      </c>
    </row>
    <row r="78" spans="1:4" s="468" customFormat="1">
      <c r="A78" s="468">
        <v>78</v>
      </c>
      <c r="B78" s="481" t="s">
        <v>2567</v>
      </c>
      <c r="C78" s="382" t="s">
        <v>276</v>
      </c>
      <c r="D78" s="284" t="s">
        <v>668</v>
      </c>
    </row>
    <row r="79" spans="1:4" s="468" customFormat="1">
      <c r="A79" s="468">
        <v>79</v>
      </c>
      <c r="B79" s="481" t="s">
        <v>2567</v>
      </c>
      <c r="C79" s="382" t="s">
        <v>274</v>
      </c>
      <c r="D79" s="468" t="s">
        <v>2500</v>
      </c>
    </row>
    <row r="80" spans="1:4" s="468" customFormat="1">
      <c r="A80" s="468">
        <v>80</v>
      </c>
      <c r="B80" s="481" t="s">
        <v>2567</v>
      </c>
      <c r="C80" s="382" t="s">
        <v>2269</v>
      </c>
      <c r="D80" s="280" t="s">
        <v>537</v>
      </c>
    </row>
    <row r="81" spans="1:5" s="468" customFormat="1">
      <c r="A81" s="468">
        <v>81</v>
      </c>
      <c r="B81" s="481" t="s">
        <v>2567</v>
      </c>
      <c r="C81" s="382" t="s">
        <v>2270</v>
      </c>
      <c r="D81" s="468" t="s">
        <v>2501</v>
      </c>
    </row>
    <row r="82" spans="1:5" s="468" customFormat="1">
      <c r="A82" s="468">
        <v>82</v>
      </c>
      <c r="B82" s="481" t="s">
        <v>2567</v>
      </c>
      <c r="C82" s="382" t="s">
        <v>275</v>
      </c>
      <c r="D82" s="280" t="s">
        <v>560</v>
      </c>
    </row>
    <row r="83" spans="1:5" s="468" customFormat="1">
      <c r="A83" s="468">
        <v>83</v>
      </c>
      <c r="B83" s="481" t="s">
        <v>2567</v>
      </c>
      <c r="C83" s="382" t="s">
        <v>267</v>
      </c>
      <c r="D83" s="468" t="s">
        <v>2502</v>
      </c>
    </row>
    <row r="84" spans="1:5" s="468" customFormat="1">
      <c r="A84" s="468">
        <v>84</v>
      </c>
      <c r="B84" s="481" t="s">
        <v>2567</v>
      </c>
      <c r="C84" s="382" t="s">
        <v>2271</v>
      </c>
      <c r="D84" s="468" t="s">
        <v>2503</v>
      </c>
    </row>
    <row r="85" spans="1:5" s="468" customFormat="1">
      <c r="A85" s="468">
        <v>85</v>
      </c>
      <c r="B85" s="481" t="s">
        <v>2567</v>
      </c>
      <c r="C85" s="382" t="s">
        <v>2272</v>
      </c>
      <c r="D85" s="468" t="s">
        <v>2505</v>
      </c>
    </row>
    <row r="86" spans="1:5" s="468" customFormat="1">
      <c r="A86" s="468">
        <v>86</v>
      </c>
      <c r="B86" s="481" t="s">
        <v>2567</v>
      </c>
      <c r="C86" s="382" t="s">
        <v>273</v>
      </c>
      <c r="D86" s="280" t="s">
        <v>2493</v>
      </c>
    </row>
    <row r="87" spans="1:5" s="468" customFormat="1">
      <c r="A87" s="468">
        <v>87</v>
      </c>
      <c r="B87" s="481" t="s">
        <v>2567</v>
      </c>
      <c r="C87" s="382" t="s">
        <v>2273</v>
      </c>
      <c r="D87" s="468" t="s">
        <v>2504</v>
      </c>
    </row>
    <row r="88" spans="1:5" s="468" customFormat="1">
      <c r="B88" s="481"/>
      <c r="C88" s="801" t="s">
        <v>3873</v>
      </c>
      <c r="D88" s="481" t="s">
        <v>3874</v>
      </c>
    </row>
    <row r="89" spans="1:5" s="468" customFormat="1">
      <c r="B89" s="481"/>
      <c r="C89" s="801" t="s">
        <v>3395</v>
      </c>
      <c r="D89" s="481" t="s">
        <v>3875</v>
      </c>
    </row>
    <row r="90" spans="1:5" s="468" customFormat="1">
      <c r="B90" s="481"/>
      <c r="C90" s="801" t="s">
        <v>3420</v>
      </c>
      <c r="D90" s="481" t="s">
        <v>3876</v>
      </c>
      <c r="E90" s="468" t="str">
        <f>PROPER(D89)</f>
        <v>Isolasi Bening Sedang Mpi Solatip 24 X 72 Yard 1 Inc</v>
      </c>
    </row>
    <row r="91" spans="1:5" s="468" customFormat="1">
      <c r="B91" s="481"/>
      <c r="C91" s="801"/>
    </row>
    <row r="92" spans="1:5" s="468" customFormat="1">
      <c r="B92" s="481"/>
      <c r="C92" s="801"/>
    </row>
    <row r="93" spans="1:5" s="468" customFormat="1">
      <c r="B93" s="481"/>
      <c r="C93" s="801"/>
    </row>
    <row r="94" spans="1:5" s="468" customFormat="1">
      <c r="B94" s="481"/>
      <c r="C94" s="801"/>
    </row>
    <row r="95" spans="1:5" s="468" customFormat="1">
      <c r="B95" s="481"/>
      <c r="C95" s="801"/>
    </row>
    <row r="96" spans="1:5" s="468" customFormat="1">
      <c r="B96" s="481"/>
      <c r="C96" s="801"/>
    </row>
    <row r="97" spans="1:4" s="468" customFormat="1">
      <c r="B97" s="481"/>
      <c r="C97" s="801"/>
    </row>
    <row r="98" spans="1:4">
      <c r="A98" s="468">
        <v>88</v>
      </c>
      <c r="B98" s="482" t="s">
        <v>8</v>
      </c>
      <c r="C98" t="s">
        <v>467</v>
      </c>
      <c r="D98" t="s">
        <v>81</v>
      </c>
    </row>
    <row r="99" spans="1:4">
      <c r="A99" s="468">
        <v>89</v>
      </c>
      <c r="B99" s="482" t="s">
        <v>2568</v>
      </c>
      <c r="C99" t="s">
        <v>471</v>
      </c>
      <c r="D99" t="s">
        <v>164</v>
      </c>
    </row>
    <row r="100" spans="1:4">
      <c r="A100" s="468">
        <v>90</v>
      </c>
      <c r="B100" s="482" t="s">
        <v>1545</v>
      </c>
      <c r="C100" t="s">
        <v>2442</v>
      </c>
      <c r="D100" t="s">
        <v>163</v>
      </c>
    </row>
    <row r="101" spans="1:4">
      <c r="A101" s="468">
        <v>91</v>
      </c>
      <c r="B101" s="482" t="s">
        <v>280</v>
      </c>
      <c r="C101" t="s">
        <v>3845</v>
      </c>
      <c r="D101" t="s">
        <v>165</v>
      </c>
    </row>
  </sheetData>
  <conditionalFormatting sqref="B1:C67">
    <cfRule type="duplicateValues" dxfId="0" priority="1"/>
  </conditionalFormatting>
  <pageMargins left="0.7" right="0.7" top="0.75" bottom="0.75" header="0.3" footer="0.3"/>
  <pageSetup paperSize="9" orientation="portrait" horizontalDpi="4294967293"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L170"/>
  <sheetViews>
    <sheetView workbookViewId="0">
      <selection activeCell="D17" sqref="D17"/>
    </sheetView>
  </sheetViews>
  <sheetFormatPr defaultRowHeight="14.5"/>
  <cols>
    <col min="2" max="2" width="13.1796875" bestFit="1" customWidth="1"/>
    <col min="3" max="3" width="21.7265625" bestFit="1" customWidth="1"/>
    <col min="4" max="4" width="23.453125" bestFit="1" customWidth="1"/>
    <col min="5" max="5" width="75.26953125" bestFit="1" customWidth="1"/>
    <col min="7" max="7" width="33" bestFit="1" customWidth="1"/>
    <col min="11" max="11" width="48.26953125" customWidth="1"/>
  </cols>
  <sheetData>
    <row r="1" spans="1:12">
      <c r="B1" t="s">
        <v>2519</v>
      </c>
      <c r="C1" t="s">
        <v>2517</v>
      </c>
      <c r="D1" t="s">
        <v>4</v>
      </c>
      <c r="E1" t="s">
        <v>2518</v>
      </c>
    </row>
    <row r="3" spans="1:12">
      <c r="A3">
        <v>1</v>
      </c>
      <c r="B3" s="475" t="s">
        <v>2092</v>
      </c>
      <c r="C3" s="275" t="s">
        <v>10</v>
      </c>
      <c r="D3" s="275" t="s">
        <v>11</v>
      </c>
      <c r="E3" s="275" t="s">
        <v>3886</v>
      </c>
      <c r="F3" t="str">
        <f>B3</f>
        <v>082164895397</v>
      </c>
      <c r="G3" t="s">
        <v>710</v>
      </c>
      <c r="H3" t="e">
        <f>VLOOKUP(G3,'Tabel Bantu'!$K$3:$Q$1022,6,0)</f>
        <v>#N/A</v>
      </c>
    </row>
    <row r="4" spans="1:12">
      <c r="A4">
        <v>2</v>
      </c>
      <c r="B4" s="475" t="s">
        <v>2516</v>
      </c>
      <c r="C4" s="276" t="s">
        <v>2507</v>
      </c>
      <c r="D4" s="474" t="s">
        <v>2508</v>
      </c>
      <c r="E4" s="268" t="s">
        <v>3885</v>
      </c>
      <c r="F4" t="str">
        <f t="shared" ref="F4:F14" si="0">B4</f>
        <v>085297578868</v>
      </c>
      <c r="G4" t="s">
        <v>2437</v>
      </c>
      <c r="K4" t="s">
        <v>467</v>
      </c>
      <c r="L4" t="s">
        <v>81</v>
      </c>
    </row>
    <row r="5" spans="1:12">
      <c r="A5">
        <v>3</v>
      </c>
      <c r="B5" s="475" t="s">
        <v>2513</v>
      </c>
      <c r="C5" s="275" t="s">
        <v>227</v>
      </c>
      <c r="D5" s="275" t="s">
        <v>2509</v>
      </c>
      <c r="E5" s="275" t="s">
        <v>540</v>
      </c>
      <c r="F5" t="str">
        <f t="shared" si="0"/>
        <v>081375309828</v>
      </c>
      <c r="G5" t="s">
        <v>2439</v>
      </c>
      <c r="K5" t="s">
        <v>471</v>
      </c>
      <c r="L5" t="s">
        <v>164</v>
      </c>
    </row>
    <row r="6" spans="1:12">
      <c r="A6">
        <v>4</v>
      </c>
      <c r="B6" s="475" t="s">
        <v>2514</v>
      </c>
      <c r="C6" s="275" t="s">
        <v>12</v>
      </c>
      <c r="D6" s="275" t="s">
        <v>13</v>
      </c>
      <c r="E6" s="275" t="s">
        <v>804</v>
      </c>
      <c r="F6" t="str">
        <f t="shared" si="0"/>
        <v>082166714290</v>
      </c>
      <c r="G6" t="s">
        <v>2440</v>
      </c>
      <c r="K6" t="s">
        <v>484</v>
      </c>
      <c r="L6" t="s">
        <v>163</v>
      </c>
    </row>
    <row r="7" spans="1:12">
      <c r="A7">
        <v>5</v>
      </c>
      <c r="B7" s="475" t="s">
        <v>2512</v>
      </c>
      <c r="C7" s="474" t="s">
        <v>2511</v>
      </c>
      <c r="D7" s="474" t="s">
        <v>2510</v>
      </c>
      <c r="E7" s="275" t="s">
        <v>540</v>
      </c>
      <c r="F7" t="str">
        <f t="shared" si="0"/>
        <v>082166506229</v>
      </c>
      <c r="G7" t="s">
        <v>2441</v>
      </c>
      <c r="K7" t="s">
        <v>487</v>
      </c>
      <c r="L7" t="s">
        <v>165</v>
      </c>
    </row>
    <row r="8" spans="1:12">
      <c r="A8">
        <v>1</v>
      </c>
      <c r="B8" s="476" t="s">
        <v>2530</v>
      </c>
      <c r="C8" s="477" t="s">
        <v>2531</v>
      </c>
      <c r="D8" s="477"/>
      <c r="E8" s="446" t="s">
        <v>2529</v>
      </c>
      <c r="F8" t="str">
        <f t="shared" si="0"/>
        <v>082259370739</v>
      </c>
      <c r="G8" t="s">
        <v>2442</v>
      </c>
      <c r="K8" t="s">
        <v>536</v>
      </c>
      <c r="L8" t="s">
        <v>556</v>
      </c>
    </row>
    <row r="9" spans="1:12">
      <c r="A9">
        <v>2</v>
      </c>
      <c r="B9" s="331" t="s">
        <v>2525</v>
      </c>
      <c r="C9" t="s">
        <v>2520</v>
      </c>
      <c r="D9" t="s">
        <v>1258</v>
      </c>
      <c r="E9" t="s">
        <v>2524</v>
      </c>
      <c r="F9" t="str">
        <f t="shared" si="0"/>
        <v>081264720368</v>
      </c>
      <c r="G9" t="s">
        <v>2443</v>
      </c>
      <c r="K9" t="s">
        <v>544</v>
      </c>
      <c r="L9" t="s">
        <v>558</v>
      </c>
    </row>
    <row r="10" spans="1:12">
      <c r="A10">
        <v>3</v>
      </c>
      <c r="B10" s="475" t="s">
        <v>2515</v>
      </c>
      <c r="C10" s="275" t="s">
        <v>538</v>
      </c>
      <c r="D10" s="275" t="s">
        <v>539</v>
      </c>
      <c r="E10" s="275" t="s">
        <v>540</v>
      </c>
      <c r="F10" t="str">
        <f t="shared" si="0"/>
        <v>081370034744</v>
      </c>
      <c r="G10" t="s">
        <v>2438</v>
      </c>
      <c r="K10" t="s">
        <v>547</v>
      </c>
      <c r="L10" t="s">
        <v>560</v>
      </c>
    </row>
    <row r="11" spans="1:12">
      <c r="A11">
        <v>4</v>
      </c>
      <c r="B11" s="331" t="s">
        <v>2526</v>
      </c>
      <c r="C11" t="s">
        <v>2521</v>
      </c>
      <c r="D11" t="s">
        <v>2527</v>
      </c>
      <c r="E11" t="s">
        <v>2528</v>
      </c>
      <c r="F11" t="str">
        <f t="shared" si="0"/>
        <v>085261247862</v>
      </c>
      <c r="G11" t="s">
        <v>2451</v>
      </c>
      <c r="K11" t="s">
        <v>549</v>
      </c>
      <c r="L11" t="s">
        <v>81</v>
      </c>
    </row>
    <row r="12" spans="1:12">
      <c r="A12">
        <v>5</v>
      </c>
      <c r="B12" s="331" t="s">
        <v>2523</v>
      </c>
      <c r="C12" t="s">
        <v>1040</v>
      </c>
      <c r="D12" t="s">
        <v>2522</v>
      </c>
      <c r="E12" t="s">
        <v>2524</v>
      </c>
      <c r="F12" t="str">
        <f t="shared" si="0"/>
        <v>082324886081</v>
      </c>
      <c r="G12" t="s">
        <v>2444</v>
      </c>
      <c r="K12" t="s">
        <v>2538</v>
      </c>
      <c r="L12" t="s">
        <v>164</v>
      </c>
    </row>
    <row r="13" spans="1:12">
      <c r="F13">
        <f t="shared" si="0"/>
        <v>0</v>
      </c>
      <c r="G13" t="s">
        <v>2445</v>
      </c>
      <c r="K13" t="s">
        <v>554</v>
      </c>
      <c r="L13" t="s">
        <v>165</v>
      </c>
    </row>
    <row r="14" spans="1:12">
      <c r="F14">
        <f t="shared" si="0"/>
        <v>0</v>
      </c>
      <c r="G14" t="s">
        <v>1553</v>
      </c>
      <c r="K14" t="s">
        <v>555</v>
      </c>
      <c r="L14" t="s">
        <v>575</v>
      </c>
    </row>
    <row r="15" spans="1:12">
      <c r="G15" t="s">
        <v>2446</v>
      </c>
      <c r="K15" t="s">
        <v>557</v>
      </c>
      <c r="L15" t="s">
        <v>81</v>
      </c>
    </row>
    <row r="16" spans="1:12">
      <c r="G16" t="s">
        <v>2450</v>
      </c>
      <c r="K16" t="s">
        <v>559</v>
      </c>
      <c r="L16" t="s">
        <v>164</v>
      </c>
    </row>
    <row r="17" spans="7:12">
      <c r="G17" t="s">
        <v>2448</v>
      </c>
      <c r="K17" t="s">
        <v>573</v>
      </c>
      <c r="L17" t="s">
        <v>164</v>
      </c>
    </row>
    <row r="18" spans="7:12">
      <c r="G18" t="s">
        <v>2447</v>
      </c>
      <c r="K18" t="s">
        <v>586</v>
      </c>
      <c r="L18">
        <v>0</v>
      </c>
    </row>
    <row r="19" spans="7:12">
      <c r="G19" t="s">
        <v>2449</v>
      </c>
      <c r="K19" t="s">
        <v>819</v>
      </c>
      <c r="L19" t="s">
        <v>81</v>
      </c>
    </row>
    <row r="20" spans="7:12">
      <c r="G20" t="s">
        <v>2453</v>
      </c>
      <c r="K20" t="s">
        <v>592</v>
      </c>
      <c r="L20" t="s">
        <v>163</v>
      </c>
    </row>
    <row r="21" spans="7:12">
      <c r="G21" t="s">
        <v>2452</v>
      </c>
      <c r="K21" t="s">
        <v>607</v>
      </c>
      <c r="L21">
        <v>0</v>
      </c>
    </row>
    <row r="22" spans="7:12">
      <c r="G22" t="s">
        <v>867</v>
      </c>
      <c r="K22" t="s">
        <v>613</v>
      </c>
      <c r="L22">
        <v>0</v>
      </c>
    </row>
    <row r="23" spans="7:12">
      <c r="G23" t="s">
        <v>2454</v>
      </c>
      <c r="K23" t="s">
        <v>631</v>
      </c>
      <c r="L23" t="s">
        <v>157</v>
      </c>
    </row>
    <row r="24" spans="7:12">
      <c r="G24" t="s">
        <v>1150</v>
      </c>
      <c r="K24" t="s">
        <v>637</v>
      </c>
      <c r="L24" t="s">
        <v>104</v>
      </c>
    </row>
    <row r="25" spans="7:12">
      <c r="G25" t="s">
        <v>2455</v>
      </c>
      <c r="K25" t="s">
        <v>641</v>
      </c>
      <c r="L25" t="s">
        <v>156</v>
      </c>
    </row>
    <row r="26" spans="7:12">
      <c r="G26" t="s">
        <v>2456</v>
      </c>
      <c r="K26" t="s">
        <v>744</v>
      </c>
      <c r="L26" t="s">
        <v>149</v>
      </c>
    </row>
    <row r="27" spans="7:12">
      <c r="G27" t="s">
        <v>806</v>
      </c>
      <c r="K27" t="s">
        <v>882</v>
      </c>
      <c r="L27" t="s">
        <v>120</v>
      </c>
    </row>
    <row r="28" spans="7:12">
      <c r="G28" t="s">
        <v>2457</v>
      </c>
      <c r="K28" t="s">
        <v>2539</v>
      </c>
      <c r="L28" t="s">
        <v>106</v>
      </c>
    </row>
    <row r="29" spans="7:12">
      <c r="G29" t="s">
        <v>2458</v>
      </c>
      <c r="K29" t="s">
        <v>884</v>
      </c>
      <c r="L29" t="s">
        <v>102</v>
      </c>
    </row>
    <row r="30" spans="7:12">
      <c r="G30" t="s">
        <v>2459</v>
      </c>
      <c r="K30" t="s">
        <v>885</v>
      </c>
      <c r="L30" t="s">
        <v>116</v>
      </c>
    </row>
    <row r="31" spans="7:12">
      <c r="G31" t="s">
        <v>2460</v>
      </c>
      <c r="K31" t="s">
        <v>886</v>
      </c>
      <c r="L31" t="s">
        <v>895</v>
      </c>
    </row>
    <row r="32" spans="7:12">
      <c r="K32" t="s">
        <v>712</v>
      </c>
      <c r="L32" t="s">
        <v>101</v>
      </c>
    </row>
    <row r="33" spans="11:12">
      <c r="K33" t="s">
        <v>719</v>
      </c>
      <c r="L33" t="s">
        <v>98</v>
      </c>
    </row>
    <row r="34" spans="11:12">
      <c r="K34" t="s">
        <v>888</v>
      </c>
      <c r="L34" t="s">
        <v>112</v>
      </c>
    </row>
    <row r="35" spans="11:12">
      <c r="K35" t="s">
        <v>2540</v>
      </c>
      <c r="L35" t="s">
        <v>108</v>
      </c>
    </row>
    <row r="36" spans="11:12">
      <c r="K36" t="s">
        <v>889</v>
      </c>
      <c r="L36" t="s">
        <v>145</v>
      </c>
    </row>
    <row r="37" spans="11:12">
      <c r="K37" t="s">
        <v>2462</v>
      </c>
      <c r="L37" t="s">
        <v>141</v>
      </c>
    </row>
    <row r="38" spans="11:12">
      <c r="K38" t="s">
        <v>890</v>
      </c>
      <c r="L38" t="s">
        <v>109</v>
      </c>
    </row>
    <row r="39" spans="11:12">
      <c r="K39" t="s">
        <v>2541</v>
      </c>
      <c r="L39" t="s">
        <v>136</v>
      </c>
    </row>
    <row r="40" spans="11:12">
      <c r="K40" t="s">
        <v>891</v>
      </c>
      <c r="L40" t="s">
        <v>126</v>
      </c>
    </row>
    <row r="41" spans="11:12">
      <c r="K41" t="s">
        <v>2542</v>
      </c>
      <c r="L41" t="s">
        <v>111</v>
      </c>
    </row>
    <row r="42" spans="11:12">
      <c r="K42" t="s">
        <v>771</v>
      </c>
      <c r="L42" t="s">
        <v>900</v>
      </c>
    </row>
    <row r="43" spans="11:12">
      <c r="K43" t="s">
        <v>2543</v>
      </c>
      <c r="L43" t="s">
        <v>113</v>
      </c>
    </row>
    <row r="44" spans="11:12">
      <c r="K44" t="s">
        <v>2544</v>
      </c>
      <c r="L44" t="s">
        <v>162</v>
      </c>
    </row>
    <row r="45" spans="11:12">
      <c r="K45" t="s">
        <v>894</v>
      </c>
      <c r="L45" t="s">
        <v>148</v>
      </c>
    </row>
    <row r="46" spans="11:12">
      <c r="K46" t="s">
        <v>2545</v>
      </c>
      <c r="L46" t="s">
        <v>903</v>
      </c>
    </row>
    <row r="47" spans="11:12">
      <c r="K47" t="s">
        <v>896</v>
      </c>
      <c r="L47" t="s">
        <v>127</v>
      </c>
    </row>
    <row r="48" spans="11:12">
      <c r="K48" t="s">
        <v>767</v>
      </c>
      <c r="L48" t="s">
        <v>123</v>
      </c>
    </row>
    <row r="49" spans="11:12">
      <c r="K49" t="s">
        <v>717</v>
      </c>
      <c r="L49" t="s">
        <v>110</v>
      </c>
    </row>
    <row r="50" spans="11:12">
      <c r="K50" t="s">
        <v>727</v>
      </c>
      <c r="L50" t="s">
        <v>128</v>
      </c>
    </row>
    <row r="51" spans="11:12">
      <c r="K51" t="s">
        <v>2546</v>
      </c>
      <c r="L51" t="s">
        <v>130</v>
      </c>
    </row>
    <row r="52" spans="11:12">
      <c r="K52" t="s">
        <v>2547</v>
      </c>
      <c r="L52" t="s">
        <v>137</v>
      </c>
    </row>
    <row r="53" spans="11:12">
      <c r="K53" t="s">
        <v>786</v>
      </c>
      <c r="L53" t="s">
        <v>133</v>
      </c>
    </row>
    <row r="54" spans="11:12">
      <c r="K54" t="s">
        <v>723</v>
      </c>
      <c r="L54" t="s">
        <v>137</v>
      </c>
    </row>
    <row r="55" spans="11:12">
      <c r="K55" t="s">
        <v>731</v>
      </c>
      <c r="L55" t="s">
        <v>163</v>
      </c>
    </row>
    <row r="56" spans="11:12">
      <c r="K56" t="s">
        <v>899</v>
      </c>
      <c r="L56" t="s">
        <v>81</v>
      </c>
    </row>
    <row r="57" spans="11:12">
      <c r="K57" t="s">
        <v>760</v>
      </c>
      <c r="L57" t="s">
        <v>164</v>
      </c>
    </row>
    <row r="58" spans="11:12">
      <c r="K58" t="s">
        <v>902</v>
      </c>
      <c r="L58" t="s">
        <v>165</v>
      </c>
    </row>
    <row r="59" spans="11:12">
      <c r="K59" t="s">
        <v>752</v>
      </c>
      <c r="L59">
        <v>0</v>
      </c>
    </row>
    <row r="60" spans="11:12">
      <c r="K60" t="s">
        <v>741</v>
      </c>
      <c r="L60">
        <v>0</v>
      </c>
    </row>
    <row r="61" spans="11:12">
      <c r="K61" t="s">
        <v>734</v>
      </c>
      <c r="L61" t="s">
        <v>2566</v>
      </c>
    </row>
    <row r="62" spans="11:12">
      <c r="K62" t="s">
        <v>905</v>
      </c>
      <c r="L62" t="s">
        <v>537</v>
      </c>
    </row>
    <row r="63" spans="11:12">
      <c r="K63" t="s">
        <v>2548</v>
      </c>
      <c r="L63">
        <v>0</v>
      </c>
    </row>
    <row r="64" spans="11:12">
      <c r="K64" t="s">
        <v>2549</v>
      </c>
      <c r="L64">
        <v>0</v>
      </c>
    </row>
    <row r="65" spans="11:12">
      <c r="K65" t="s">
        <v>906</v>
      </c>
      <c r="L65" t="s">
        <v>575</v>
      </c>
    </row>
    <row r="66" spans="11:12">
      <c r="K66" t="s">
        <v>738</v>
      </c>
      <c r="L66" t="s">
        <v>81</v>
      </c>
    </row>
    <row r="67" spans="11:12">
      <c r="K67" t="s">
        <v>907</v>
      </c>
      <c r="L67" t="s">
        <v>163</v>
      </c>
    </row>
    <row r="68" spans="11:12">
      <c r="K68" t="s">
        <v>746</v>
      </c>
      <c r="L68" t="s">
        <v>81</v>
      </c>
    </row>
    <row r="69" spans="11:12">
      <c r="K69" t="s">
        <v>666</v>
      </c>
      <c r="L69" t="s">
        <v>708</v>
      </c>
    </row>
    <row r="70" spans="11:12">
      <c r="K70" t="s">
        <v>671</v>
      </c>
      <c r="L70" t="s">
        <v>718</v>
      </c>
    </row>
    <row r="71" spans="11:12">
      <c r="K71" t="s">
        <v>672</v>
      </c>
      <c r="L71" t="s">
        <v>721</v>
      </c>
    </row>
    <row r="72" spans="11:12">
      <c r="K72" t="s">
        <v>697</v>
      </c>
      <c r="L72" t="s">
        <v>541</v>
      </c>
    </row>
    <row r="73" spans="11:12">
      <c r="K73" t="s">
        <v>700</v>
      </c>
      <c r="L73" t="s">
        <v>757</v>
      </c>
    </row>
    <row r="74" spans="11:12">
      <c r="K74" t="s">
        <v>702</v>
      </c>
      <c r="L74" t="s">
        <v>759</v>
      </c>
    </row>
    <row r="75" spans="11:12">
      <c r="K75" t="s">
        <v>791</v>
      </c>
      <c r="L75" t="s">
        <v>761</v>
      </c>
    </row>
    <row r="76" spans="11:12">
      <c r="K76" t="s">
        <v>708</v>
      </c>
      <c r="L76" t="s">
        <v>763</v>
      </c>
    </row>
    <row r="77" spans="11:12">
      <c r="K77" t="s">
        <v>2550</v>
      </c>
      <c r="L77" t="s">
        <v>777</v>
      </c>
    </row>
    <row r="78" spans="11:12">
      <c r="K78" t="s">
        <v>2551</v>
      </c>
      <c r="L78" t="s">
        <v>784</v>
      </c>
    </row>
    <row r="79" spans="11:12">
      <c r="K79" t="s">
        <v>887</v>
      </c>
      <c r="L79" t="s">
        <v>785</v>
      </c>
    </row>
    <row r="80" spans="11:12">
      <c r="K80" t="s">
        <v>2552</v>
      </c>
      <c r="L80" t="s">
        <v>140</v>
      </c>
    </row>
    <row r="81" spans="11:12">
      <c r="K81" t="s">
        <v>881</v>
      </c>
      <c r="L81" t="s">
        <v>154</v>
      </c>
    </row>
    <row r="82" spans="11:12">
      <c r="K82" t="s">
        <v>2553</v>
      </c>
      <c r="L82" t="s">
        <v>112</v>
      </c>
    </row>
    <row r="83" spans="11:12">
      <c r="K83" t="s">
        <v>2554</v>
      </c>
      <c r="L83" t="s">
        <v>155</v>
      </c>
    </row>
    <row r="84" spans="11:12">
      <c r="K84" t="s">
        <v>912</v>
      </c>
      <c r="L84" t="s">
        <v>537</v>
      </c>
    </row>
    <row r="85" spans="11:12">
      <c r="K85" t="s">
        <v>913</v>
      </c>
      <c r="L85" t="s">
        <v>164</v>
      </c>
    </row>
    <row r="86" spans="11:12">
      <c r="K86" t="s">
        <v>2555</v>
      </c>
      <c r="L86" t="s">
        <v>165</v>
      </c>
    </row>
    <row r="87" spans="11:12">
      <c r="K87" t="s">
        <v>798</v>
      </c>
      <c r="L87">
        <v>0</v>
      </c>
    </row>
    <row r="88" spans="11:12">
      <c r="K88" t="s">
        <v>803</v>
      </c>
      <c r="L88">
        <v>0</v>
      </c>
    </row>
    <row r="89" spans="11:12">
      <c r="K89" t="s">
        <v>808</v>
      </c>
      <c r="L89">
        <v>0</v>
      </c>
    </row>
    <row r="90" spans="11:12">
      <c r="K90" t="s">
        <v>810</v>
      </c>
      <c r="L90">
        <v>0</v>
      </c>
    </row>
    <row r="91" spans="11:12">
      <c r="K91" t="s">
        <v>867</v>
      </c>
      <c r="L91" t="s">
        <v>153</v>
      </c>
    </row>
    <row r="92" spans="11:12">
      <c r="K92" t="s">
        <v>871</v>
      </c>
      <c r="L92" t="s">
        <v>112</v>
      </c>
    </row>
    <row r="93" spans="11:12">
      <c r="K93" t="s">
        <v>874</v>
      </c>
      <c r="L93" t="s">
        <v>140</v>
      </c>
    </row>
    <row r="94" spans="11:12">
      <c r="K94" t="s">
        <v>2556</v>
      </c>
      <c r="L94" t="s">
        <v>100</v>
      </c>
    </row>
    <row r="95" spans="11:12">
      <c r="K95" t="s">
        <v>2557</v>
      </c>
      <c r="L95" t="s">
        <v>138</v>
      </c>
    </row>
    <row r="96" spans="11:12">
      <c r="K96" t="s">
        <v>2558</v>
      </c>
      <c r="L96" t="s">
        <v>148</v>
      </c>
    </row>
    <row r="97" spans="11:12">
      <c r="K97" t="s">
        <v>920</v>
      </c>
      <c r="L97" t="s">
        <v>127</v>
      </c>
    </row>
    <row r="98" spans="11:12">
      <c r="K98" t="s">
        <v>922</v>
      </c>
      <c r="L98" t="s">
        <v>537</v>
      </c>
    </row>
    <row r="99" spans="11:12">
      <c r="K99" t="s">
        <v>2559</v>
      </c>
      <c r="L99">
        <v>0</v>
      </c>
    </row>
    <row r="100" spans="11:12">
      <c r="K100" t="s">
        <v>924</v>
      </c>
      <c r="L100">
        <v>0</v>
      </c>
    </row>
    <row r="101" spans="11:12">
      <c r="K101" t="s">
        <v>2560</v>
      </c>
      <c r="L101">
        <v>0</v>
      </c>
    </row>
    <row r="102" spans="11:12">
      <c r="K102" t="s">
        <v>2561</v>
      </c>
      <c r="L102" t="s">
        <v>164</v>
      </c>
    </row>
    <row r="103" spans="11:12">
      <c r="K103" t="s">
        <v>931</v>
      </c>
      <c r="L103">
        <v>0</v>
      </c>
    </row>
    <row r="104" spans="11:12">
      <c r="K104" t="s">
        <v>948</v>
      </c>
      <c r="L104" t="s">
        <v>131</v>
      </c>
    </row>
    <row r="105" spans="11:12">
      <c r="K105" t="s">
        <v>950</v>
      </c>
      <c r="L105" t="s">
        <v>161</v>
      </c>
    </row>
    <row r="106" spans="11:12">
      <c r="K106" t="s">
        <v>952</v>
      </c>
      <c r="L106" t="s">
        <v>106</v>
      </c>
    </row>
    <row r="107" spans="11:12">
      <c r="K107" t="s">
        <v>954</v>
      </c>
      <c r="L107" t="s">
        <v>110</v>
      </c>
    </row>
    <row r="108" spans="11:12">
      <c r="K108" t="s">
        <v>956</v>
      </c>
      <c r="L108" t="s">
        <v>156</v>
      </c>
    </row>
    <row r="109" spans="11:12">
      <c r="K109" t="s">
        <v>958</v>
      </c>
      <c r="L109" t="s">
        <v>149</v>
      </c>
    </row>
    <row r="110" spans="11:12">
      <c r="K110" t="s">
        <v>960</v>
      </c>
      <c r="L110" t="s">
        <v>914</v>
      </c>
    </row>
    <row r="111" spans="11:12">
      <c r="K111" t="s">
        <v>962</v>
      </c>
      <c r="L111" t="s">
        <v>96</v>
      </c>
    </row>
    <row r="112" spans="11:12">
      <c r="K112" t="s">
        <v>1006</v>
      </c>
      <c r="L112" t="s">
        <v>157</v>
      </c>
    </row>
    <row r="113" spans="11:12">
      <c r="K113" t="s">
        <v>1009</v>
      </c>
      <c r="L113" t="s">
        <v>102</v>
      </c>
    </row>
    <row r="114" spans="11:12">
      <c r="K114" t="s">
        <v>1014</v>
      </c>
      <c r="L114" t="s">
        <v>120</v>
      </c>
    </row>
    <row r="115" spans="11:12">
      <c r="K115" t="s">
        <v>2562</v>
      </c>
      <c r="L115" t="s">
        <v>150</v>
      </c>
    </row>
    <row r="116" spans="11:12">
      <c r="K116" t="s">
        <v>1017</v>
      </c>
      <c r="L116" t="s">
        <v>909</v>
      </c>
    </row>
    <row r="117" spans="11:12">
      <c r="K117" t="s">
        <v>1023</v>
      </c>
      <c r="L117" t="s">
        <v>100</v>
      </c>
    </row>
    <row r="118" spans="11:12">
      <c r="K118" t="s">
        <v>1029</v>
      </c>
      <c r="L118" t="s">
        <v>1034</v>
      </c>
    </row>
    <row r="119" spans="11:12">
      <c r="K119" t="s">
        <v>1129</v>
      </c>
      <c r="L119" t="s">
        <v>918</v>
      </c>
    </row>
    <row r="120" spans="11:12">
      <c r="K120" t="s">
        <v>296</v>
      </c>
      <c r="L120" t="s">
        <v>150</v>
      </c>
    </row>
    <row r="121" spans="11:12">
      <c r="K121" t="s">
        <v>1045</v>
      </c>
      <c r="L121" t="s">
        <v>151</v>
      </c>
    </row>
    <row r="122" spans="11:12">
      <c r="K122" t="s">
        <v>1047</v>
      </c>
      <c r="L122" t="s">
        <v>100</v>
      </c>
    </row>
    <row r="123" spans="11:12">
      <c r="K123" t="s">
        <v>1049</v>
      </c>
      <c r="L123" t="s">
        <v>139</v>
      </c>
    </row>
    <row r="124" spans="11:12">
      <c r="K124" t="s">
        <v>1056</v>
      </c>
      <c r="L124" t="s">
        <v>141</v>
      </c>
    </row>
    <row r="125" spans="11:12">
      <c r="K125" t="s">
        <v>1058</v>
      </c>
      <c r="L125" t="s">
        <v>909</v>
      </c>
    </row>
    <row r="126" spans="11:12">
      <c r="K126" t="s">
        <v>1082</v>
      </c>
      <c r="L126" t="s">
        <v>914</v>
      </c>
    </row>
    <row r="127" spans="11:12">
      <c r="K127" t="s">
        <v>1085</v>
      </c>
      <c r="L127" t="s">
        <v>137</v>
      </c>
    </row>
    <row r="128" spans="11:12">
      <c r="K128" t="s">
        <v>1088</v>
      </c>
      <c r="L128" t="s">
        <v>133</v>
      </c>
    </row>
    <row r="129" spans="11:12">
      <c r="K129" t="s">
        <v>1091</v>
      </c>
      <c r="L129" t="s">
        <v>145</v>
      </c>
    </row>
    <row r="130" spans="11:12">
      <c r="K130" t="s">
        <v>1111</v>
      </c>
      <c r="L130">
        <v>0</v>
      </c>
    </row>
    <row r="131" spans="11:12">
      <c r="K131" t="s">
        <v>1114</v>
      </c>
      <c r="L131" t="s">
        <v>150</v>
      </c>
    </row>
    <row r="132" spans="11:12">
      <c r="K132" t="s">
        <v>1135</v>
      </c>
      <c r="L132">
        <v>0</v>
      </c>
    </row>
    <row r="133" spans="11:12">
      <c r="K133" t="s">
        <v>1137</v>
      </c>
      <c r="L133">
        <v>0</v>
      </c>
    </row>
    <row r="134" spans="11:12">
      <c r="K134" t="s">
        <v>1142</v>
      </c>
      <c r="L134">
        <v>0</v>
      </c>
    </row>
    <row r="135" spans="11:12">
      <c r="K135" t="s">
        <v>1159</v>
      </c>
      <c r="L135" t="s">
        <v>120</v>
      </c>
    </row>
    <row r="136" spans="11:12">
      <c r="K136" t="s">
        <v>1157</v>
      </c>
      <c r="L136" t="s">
        <v>156</v>
      </c>
    </row>
    <row r="137" spans="11:12">
      <c r="K137" t="s">
        <v>1167</v>
      </c>
      <c r="L137" t="s">
        <v>113</v>
      </c>
    </row>
    <row r="138" spans="11:12">
      <c r="K138" t="s">
        <v>1171</v>
      </c>
      <c r="L138" t="s">
        <v>769</v>
      </c>
    </row>
    <row r="139" spans="11:12">
      <c r="K139" t="s">
        <v>1178</v>
      </c>
      <c r="L139" t="s">
        <v>918</v>
      </c>
    </row>
    <row r="140" spans="11:12">
      <c r="K140" t="s">
        <v>1231</v>
      </c>
      <c r="L140" t="s">
        <v>145</v>
      </c>
    </row>
    <row r="141" spans="11:12">
      <c r="K141" t="s">
        <v>1221</v>
      </c>
      <c r="L141" t="s">
        <v>575</v>
      </c>
    </row>
    <row r="142" spans="11:12">
      <c r="K142" t="s">
        <v>1228</v>
      </c>
      <c r="L142" t="s">
        <v>575</v>
      </c>
    </row>
    <row r="143" spans="11:12">
      <c r="K143" t="s">
        <v>1237</v>
      </c>
      <c r="L143">
        <v>0</v>
      </c>
    </row>
    <row r="144" spans="11:12">
      <c r="K144" t="s">
        <v>1239</v>
      </c>
      <c r="L144">
        <v>0</v>
      </c>
    </row>
    <row r="145" spans="11:12">
      <c r="K145" t="s">
        <v>1241</v>
      </c>
      <c r="L145" t="s">
        <v>537</v>
      </c>
    </row>
    <row r="146" spans="11:12">
      <c r="K146" t="s">
        <v>1245</v>
      </c>
      <c r="L146" t="s">
        <v>2566</v>
      </c>
    </row>
    <row r="147" spans="11:12">
      <c r="K147" t="s">
        <v>1277</v>
      </c>
      <c r="L147">
        <v>0</v>
      </c>
    </row>
    <row r="148" spans="11:12">
      <c r="K148" t="s">
        <v>1251</v>
      </c>
      <c r="L148" t="s">
        <v>81</v>
      </c>
    </row>
    <row r="149" spans="11:12">
      <c r="K149" t="s">
        <v>2563</v>
      </c>
      <c r="L149" t="s">
        <v>110</v>
      </c>
    </row>
    <row r="150" spans="11:12">
      <c r="K150" t="s">
        <v>1398</v>
      </c>
      <c r="L150" t="s">
        <v>81</v>
      </c>
    </row>
    <row r="151" spans="11:12">
      <c r="K151" t="s">
        <v>1303</v>
      </c>
      <c r="L151" t="s">
        <v>165</v>
      </c>
    </row>
    <row r="152" spans="11:12">
      <c r="K152" t="s">
        <v>1349</v>
      </c>
      <c r="L152" t="s">
        <v>165</v>
      </c>
    </row>
    <row r="153" spans="11:12">
      <c r="K153" t="s">
        <v>1403</v>
      </c>
      <c r="L153">
        <v>0</v>
      </c>
    </row>
    <row r="154" spans="11:12">
      <c r="K154" t="s">
        <v>1433</v>
      </c>
      <c r="L154" t="s">
        <v>81</v>
      </c>
    </row>
    <row r="155" spans="11:12">
      <c r="K155" t="s">
        <v>716</v>
      </c>
      <c r="L155">
        <v>0</v>
      </c>
    </row>
    <row r="156" spans="11:12">
      <c r="K156" t="s">
        <v>1490</v>
      </c>
      <c r="L156">
        <v>0</v>
      </c>
    </row>
    <row r="157" spans="11:12">
      <c r="K157" t="s">
        <v>1513</v>
      </c>
      <c r="L157">
        <v>0</v>
      </c>
    </row>
    <row r="158" spans="11:12">
      <c r="K158" t="s">
        <v>1530</v>
      </c>
      <c r="L158">
        <v>0</v>
      </c>
    </row>
    <row r="159" spans="11:12">
      <c r="K159" t="s">
        <v>934</v>
      </c>
      <c r="L159">
        <v>0</v>
      </c>
    </row>
    <row r="160" spans="11:12">
      <c r="K160" t="s">
        <v>937</v>
      </c>
      <c r="L160">
        <v>0</v>
      </c>
    </row>
    <row r="161" spans="11:12">
      <c r="K161" t="s">
        <v>943</v>
      </c>
      <c r="L161">
        <v>0</v>
      </c>
    </row>
    <row r="162" spans="11:12">
      <c r="K162" t="s">
        <v>1101</v>
      </c>
      <c r="L162">
        <v>0</v>
      </c>
    </row>
    <row r="163" spans="11:12">
      <c r="K163" t="s">
        <v>1117</v>
      </c>
      <c r="L163">
        <v>0</v>
      </c>
    </row>
    <row r="164" spans="11:12">
      <c r="K164" t="s">
        <v>1147</v>
      </c>
      <c r="L164">
        <v>0</v>
      </c>
    </row>
    <row r="165" spans="11:12">
      <c r="K165" t="s">
        <v>1150</v>
      </c>
      <c r="L165">
        <v>0</v>
      </c>
    </row>
    <row r="166" spans="11:12">
      <c r="K166" t="s">
        <v>1200</v>
      </c>
      <c r="L166">
        <v>0</v>
      </c>
    </row>
    <row r="167" spans="11:12">
      <c r="K167" t="s">
        <v>1307</v>
      </c>
      <c r="L167">
        <v>0</v>
      </c>
    </row>
    <row r="168" spans="11:12">
      <c r="K168" t="s">
        <v>1311</v>
      </c>
      <c r="L168">
        <v>0</v>
      </c>
    </row>
    <row r="169" spans="11:12">
      <c r="K169" t="s">
        <v>2564</v>
      </c>
      <c r="L169">
        <v>0</v>
      </c>
    </row>
    <row r="170" spans="11:12">
      <c r="K170" t="s">
        <v>2565</v>
      </c>
      <c r="L170">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B3:M32"/>
  <sheetViews>
    <sheetView workbookViewId="0">
      <selection activeCell="G7" sqref="G7"/>
    </sheetView>
  </sheetViews>
  <sheetFormatPr defaultRowHeight="14.5"/>
  <cols>
    <col min="2" max="2" width="33" bestFit="1" customWidth="1"/>
    <col min="3" max="5" width="17.7265625" customWidth="1"/>
    <col min="6" max="6" width="19.1796875" customWidth="1"/>
    <col min="7" max="7" width="42.453125" customWidth="1"/>
    <col min="8" max="8" width="41.453125" customWidth="1"/>
    <col min="9" max="9" width="32.81640625" bestFit="1" customWidth="1"/>
  </cols>
  <sheetData>
    <row r="3" spans="2:13">
      <c r="B3" s="1220" t="s">
        <v>2534</v>
      </c>
      <c r="C3" s="1220"/>
      <c r="D3" s="1220"/>
      <c r="E3" s="1220"/>
      <c r="F3" s="1220"/>
      <c r="G3" s="1220"/>
      <c r="H3" s="1220"/>
      <c r="I3" s="1220"/>
    </row>
    <row r="4" spans="2:13" ht="29">
      <c r="B4" s="479" t="s">
        <v>710</v>
      </c>
      <c r="C4" s="275" t="s">
        <v>227</v>
      </c>
      <c r="D4" s="275" t="s">
        <v>538</v>
      </c>
      <c r="E4" s="479" t="s">
        <v>2509</v>
      </c>
      <c r="F4" s="479" t="s">
        <v>539</v>
      </c>
      <c r="G4" s="480" t="s">
        <v>540</v>
      </c>
      <c r="H4" s="480" t="s">
        <v>540</v>
      </c>
      <c r="I4" s="479" t="s">
        <v>710</v>
      </c>
      <c r="M4" t="s">
        <v>8</v>
      </c>
    </row>
    <row r="5" spans="2:13" ht="29">
      <c r="B5" s="479" t="s">
        <v>2437</v>
      </c>
      <c r="C5" s="275" t="s">
        <v>227</v>
      </c>
      <c r="D5" s="275" t="s">
        <v>538</v>
      </c>
      <c r="E5" s="479" t="s">
        <v>2509</v>
      </c>
      <c r="F5" s="479" t="s">
        <v>539</v>
      </c>
      <c r="G5" s="480" t="s">
        <v>540</v>
      </c>
      <c r="H5" s="480" t="s">
        <v>540</v>
      </c>
      <c r="I5" s="479" t="s">
        <v>542</v>
      </c>
      <c r="M5" t="s">
        <v>1545</v>
      </c>
    </row>
    <row r="6" spans="2:13">
      <c r="B6" s="479" t="s">
        <v>2439</v>
      </c>
      <c r="C6" s="479"/>
      <c r="D6" s="479"/>
      <c r="E6" s="479"/>
      <c r="F6" s="479"/>
      <c r="G6" s="480"/>
      <c r="H6" s="480"/>
      <c r="I6" s="479" t="s">
        <v>1007</v>
      </c>
      <c r="M6" s="478" t="s">
        <v>280</v>
      </c>
    </row>
    <row r="7" spans="2:13" ht="29">
      <c r="B7" s="479" t="s">
        <v>2440</v>
      </c>
      <c r="C7" s="275" t="s">
        <v>10</v>
      </c>
      <c r="D7" s="479" t="s">
        <v>2531</v>
      </c>
      <c r="E7" s="479" t="s">
        <v>11</v>
      </c>
      <c r="F7" s="479"/>
      <c r="G7" s="480" t="s">
        <v>473</v>
      </c>
      <c r="H7" s="480" t="s">
        <v>2529</v>
      </c>
      <c r="I7" s="479" t="s">
        <v>280</v>
      </c>
    </row>
    <row r="8" spans="2:13" ht="29">
      <c r="B8" s="479" t="s">
        <v>2441</v>
      </c>
      <c r="C8" s="276" t="s">
        <v>2507</v>
      </c>
      <c r="D8" s="479" t="s">
        <v>2520</v>
      </c>
      <c r="E8" s="479" t="s">
        <v>2508</v>
      </c>
      <c r="F8" s="479" t="s">
        <v>1258</v>
      </c>
      <c r="G8" s="480" t="s">
        <v>2096</v>
      </c>
      <c r="H8" s="480" t="s">
        <v>2524</v>
      </c>
      <c r="I8" s="479" t="s">
        <v>8</v>
      </c>
      <c r="M8" t="s">
        <v>542</v>
      </c>
    </row>
    <row r="9" spans="2:13" ht="29">
      <c r="B9" s="479" t="s">
        <v>2442</v>
      </c>
      <c r="C9" s="275" t="s">
        <v>10</v>
      </c>
      <c r="D9" s="479" t="s">
        <v>2531</v>
      </c>
      <c r="E9" s="479" t="s">
        <v>11</v>
      </c>
      <c r="F9" s="479"/>
      <c r="G9" s="480" t="s">
        <v>473</v>
      </c>
      <c r="H9" s="480" t="s">
        <v>2529</v>
      </c>
      <c r="I9" s="479" t="s">
        <v>1545</v>
      </c>
      <c r="M9" t="s">
        <v>710</v>
      </c>
    </row>
    <row r="10" spans="2:13" ht="29">
      <c r="B10" s="479" t="s">
        <v>2443</v>
      </c>
      <c r="C10" s="275" t="s">
        <v>12</v>
      </c>
      <c r="D10" s="275" t="s">
        <v>12</v>
      </c>
      <c r="E10" s="479" t="s">
        <v>13</v>
      </c>
      <c r="F10" s="479" t="s">
        <v>13</v>
      </c>
      <c r="G10" s="480" t="s">
        <v>804</v>
      </c>
      <c r="H10" s="480" t="s">
        <v>804</v>
      </c>
      <c r="I10" s="479" t="s">
        <v>799</v>
      </c>
      <c r="M10" t="s">
        <v>1553</v>
      </c>
    </row>
    <row r="11" spans="2:13" ht="29">
      <c r="B11" s="479" t="s">
        <v>2438</v>
      </c>
      <c r="C11" s="275" t="s">
        <v>227</v>
      </c>
      <c r="D11" s="275" t="s">
        <v>538</v>
      </c>
      <c r="E11" s="479" t="s">
        <v>2509</v>
      </c>
      <c r="F11" s="479" t="s">
        <v>539</v>
      </c>
      <c r="G11" s="480" t="s">
        <v>540</v>
      </c>
      <c r="H11" s="480" t="s">
        <v>540</v>
      </c>
      <c r="I11" s="479" t="s">
        <v>2438</v>
      </c>
      <c r="M11" t="s">
        <v>1554</v>
      </c>
    </row>
    <row r="12" spans="2:13">
      <c r="B12" s="479" t="s">
        <v>2451</v>
      </c>
      <c r="C12" s="479"/>
      <c r="D12" s="479"/>
      <c r="E12" s="479"/>
      <c r="F12" s="479"/>
      <c r="G12" s="480"/>
      <c r="H12" s="480"/>
      <c r="I12" s="479"/>
      <c r="M12" t="s">
        <v>1555</v>
      </c>
    </row>
    <row r="13" spans="2:13">
      <c r="B13" s="479" t="s">
        <v>2444</v>
      </c>
      <c r="C13" s="275" t="s">
        <v>2533</v>
      </c>
      <c r="D13" s="275" t="s">
        <v>2533</v>
      </c>
      <c r="E13" s="479"/>
      <c r="F13" s="479"/>
      <c r="G13" s="480"/>
      <c r="H13" s="480"/>
      <c r="I13" s="479" t="s">
        <v>2444</v>
      </c>
      <c r="M13" t="s">
        <v>2440</v>
      </c>
    </row>
    <row r="14" spans="2:13">
      <c r="B14" s="479" t="s">
        <v>2445</v>
      </c>
      <c r="C14" s="275" t="s">
        <v>2533</v>
      </c>
      <c r="D14" s="275" t="s">
        <v>2533</v>
      </c>
      <c r="E14" s="479"/>
      <c r="F14" s="479"/>
      <c r="G14" s="480"/>
      <c r="H14" s="480"/>
      <c r="I14" s="479" t="s">
        <v>2445</v>
      </c>
      <c r="M14" t="s">
        <v>698</v>
      </c>
    </row>
    <row r="15" spans="2:13">
      <c r="B15" s="479" t="s">
        <v>1553</v>
      </c>
      <c r="C15" s="479" t="s">
        <v>2532</v>
      </c>
      <c r="D15" s="479" t="s">
        <v>2532</v>
      </c>
      <c r="E15" s="479"/>
      <c r="F15" s="479"/>
      <c r="G15" s="480"/>
      <c r="H15" s="480"/>
      <c r="I15" s="479" t="s">
        <v>2536</v>
      </c>
      <c r="M15" t="s">
        <v>806</v>
      </c>
    </row>
    <row r="16" spans="2:13" ht="29">
      <c r="B16" s="479" t="s">
        <v>2446</v>
      </c>
      <c r="C16" s="275" t="s">
        <v>12</v>
      </c>
      <c r="D16" s="275" t="s">
        <v>12</v>
      </c>
      <c r="E16" s="479" t="s">
        <v>13</v>
      </c>
      <c r="F16" s="479" t="s">
        <v>13</v>
      </c>
      <c r="G16" s="480" t="s">
        <v>804</v>
      </c>
      <c r="H16" s="480" t="s">
        <v>804</v>
      </c>
      <c r="I16" s="479" t="s">
        <v>2535</v>
      </c>
      <c r="M16" t="s">
        <v>2444</v>
      </c>
    </row>
    <row r="17" spans="2:13">
      <c r="B17" s="479" t="s">
        <v>2450</v>
      </c>
      <c r="C17" s="479"/>
      <c r="D17" s="479"/>
      <c r="E17" s="479"/>
      <c r="F17" s="479"/>
      <c r="G17" s="480"/>
      <c r="H17" s="480"/>
      <c r="I17" s="479" t="s">
        <v>2450</v>
      </c>
      <c r="M17" t="s">
        <v>799</v>
      </c>
    </row>
    <row r="18" spans="2:13" ht="29">
      <c r="B18" s="479" t="s">
        <v>2448</v>
      </c>
      <c r="C18" s="275" t="s">
        <v>12</v>
      </c>
      <c r="D18" s="275" t="s">
        <v>12</v>
      </c>
      <c r="E18" s="479" t="s">
        <v>13</v>
      </c>
      <c r="F18" s="479" t="s">
        <v>13</v>
      </c>
      <c r="G18" s="480" t="s">
        <v>804</v>
      </c>
      <c r="H18" s="480" t="s">
        <v>804</v>
      </c>
      <c r="I18" s="479" t="s">
        <v>698</v>
      </c>
      <c r="M18" t="s">
        <v>1007</v>
      </c>
    </row>
    <row r="19" spans="2:13" ht="29">
      <c r="B19" s="479" t="s">
        <v>2447</v>
      </c>
      <c r="C19" s="275" t="s">
        <v>12</v>
      </c>
      <c r="D19" s="275" t="s">
        <v>12</v>
      </c>
      <c r="E19" s="479" t="s">
        <v>13</v>
      </c>
      <c r="F19" s="479" t="s">
        <v>13</v>
      </c>
      <c r="G19" s="480" t="s">
        <v>804</v>
      </c>
      <c r="H19" s="480" t="s">
        <v>804</v>
      </c>
      <c r="I19" s="479" t="s">
        <v>1559</v>
      </c>
      <c r="M19" t="s">
        <v>1559</v>
      </c>
    </row>
    <row r="20" spans="2:13">
      <c r="B20" s="479" t="s">
        <v>2449</v>
      </c>
      <c r="C20" s="479"/>
      <c r="D20" s="479"/>
      <c r="E20" s="479"/>
      <c r="F20" s="479"/>
      <c r="G20" s="480"/>
      <c r="H20" s="480"/>
      <c r="I20" s="479"/>
      <c r="M20" t="s">
        <v>1560</v>
      </c>
    </row>
    <row r="21" spans="2:13">
      <c r="B21" s="479" t="s">
        <v>2453</v>
      </c>
      <c r="C21" s="479"/>
      <c r="D21" s="479"/>
      <c r="E21" s="479"/>
      <c r="F21" s="479"/>
      <c r="G21" s="480"/>
      <c r="H21" s="480"/>
      <c r="I21" s="479"/>
      <c r="M21" t="s">
        <v>2445</v>
      </c>
    </row>
    <row r="22" spans="2:13">
      <c r="B22" s="479" t="s">
        <v>2452</v>
      </c>
      <c r="C22" s="479"/>
      <c r="D22" s="479"/>
      <c r="E22" s="479"/>
      <c r="F22" s="479"/>
      <c r="G22" s="480"/>
      <c r="H22" s="480"/>
      <c r="I22" s="479"/>
      <c r="M22" t="s">
        <v>2438</v>
      </c>
    </row>
    <row r="23" spans="2:13">
      <c r="B23" s="479" t="s">
        <v>867</v>
      </c>
      <c r="C23" s="479"/>
      <c r="D23" s="479"/>
      <c r="E23" s="479"/>
      <c r="F23" s="479"/>
      <c r="G23" s="480"/>
      <c r="H23" s="480"/>
      <c r="I23" s="479"/>
      <c r="M23" t="s">
        <v>303</v>
      </c>
    </row>
    <row r="24" spans="2:13">
      <c r="B24" s="479" t="s">
        <v>2454</v>
      </c>
      <c r="C24" s="479"/>
      <c r="D24" s="479"/>
      <c r="E24" s="479"/>
      <c r="F24" s="479"/>
      <c r="G24" s="480"/>
      <c r="H24" s="480"/>
      <c r="I24" s="479"/>
    </row>
    <row r="25" spans="2:13">
      <c r="B25" s="479" t="s">
        <v>1150</v>
      </c>
      <c r="C25" s="479"/>
      <c r="D25" s="479"/>
      <c r="E25" s="479"/>
      <c r="F25" s="479"/>
      <c r="G25" s="480"/>
      <c r="H25" s="480"/>
      <c r="I25" s="479"/>
    </row>
    <row r="26" spans="2:13">
      <c r="B26" s="479" t="s">
        <v>2455</v>
      </c>
      <c r="C26" s="479"/>
      <c r="D26" s="479"/>
      <c r="E26" s="479"/>
      <c r="F26" s="479"/>
      <c r="G26" s="480"/>
      <c r="H26" s="480"/>
      <c r="I26" s="479"/>
    </row>
    <row r="27" spans="2:13">
      <c r="B27" s="479" t="s">
        <v>2456</v>
      </c>
      <c r="C27" s="479"/>
      <c r="D27" s="479"/>
      <c r="E27" s="479"/>
      <c r="F27" s="479"/>
      <c r="G27" s="480"/>
      <c r="H27" s="480"/>
      <c r="I27" s="479"/>
    </row>
    <row r="28" spans="2:13" ht="29">
      <c r="B28" s="479" t="s">
        <v>806</v>
      </c>
      <c r="C28" s="275" t="s">
        <v>12</v>
      </c>
      <c r="D28" s="275" t="s">
        <v>12</v>
      </c>
      <c r="E28" s="479" t="s">
        <v>13</v>
      </c>
      <c r="F28" s="479" t="s">
        <v>13</v>
      </c>
      <c r="G28" s="480" t="s">
        <v>804</v>
      </c>
      <c r="H28" s="480" t="s">
        <v>804</v>
      </c>
      <c r="I28" s="479"/>
    </row>
    <row r="29" spans="2:13">
      <c r="B29" s="479" t="s">
        <v>2457</v>
      </c>
      <c r="C29" s="479"/>
      <c r="D29" s="479"/>
      <c r="E29" s="479"/>
      <c r="F29" s="479"/>
      <c r="G29" s="480"/>
      <c r="H29" s="480"/>
      <c r="I29" s="479"/>
    </row>
    <row r="30" spans="2:13">
      <c r="B30" s="479" t="s">
        <v>2458</v>
      </c>
      <c r="C30" s="479" t="s">
        <v>2521</v>
      </c>
      <c r="D30" s="479" t="s">
        <v>2521</v>
      </c>
      <c r="E30" s="479" t="s">
        <v>2527</v>
      </c>
      <c r="F30" s="479" t="s">
        <v>2527</v>
      </c>
      <c r="G30" s="480" t="s">
        <v>2528</v>
      </c>
      <c r="H30" s="480" t="s">
        <v>2528</v>
      </c>
      <c r="I30" s="479"/>
    </row>
    <row r="31" spans="2:13">
      <c r="B31" s="479" t="s">
        <v>2459</v>
      </c>
      <c r="C31" s="479" t="s">
        <v>2521</v>
      </c>
      <c r="D31" s="479" t="s">
        <v>2521</v>
      </c>
      <c r="E31" s="479" t="s">
        <v>2527</v>
      </c>
      <c r="F31" s="479" t="s">
        <v>2527</v>
      </c>
      <c r="G31" s="480" t="s">
        <v>2528</v>
      </c>
      <c r="H31" s="480" t="s">
        <v>2528</v>
      </c>
      <c r="I31" s="479"/>
    </row>
    <row r="32" spans="2:13">
      <c r="B32" s="479" t="s">
        <v>2460</v>
      </c>
      <c r="C32" s="479"/>
      <c r="D32" s="479"/>
      <c r="E32" s="479"/>
      <c r="F32" s="479"/>
      <c r="G32" s="480"/>
      <c r="H32" s="480"/>
      <c r="I32" s="479"/>
    </row>
  </sheetData>
  <mergeCells count="1">
    <mergeCell ref="B3:I3"/>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7D780-C81D-461E-A2B5-903B65C1D8D7}">
  <sheetPr codeName="Sheet16"/>
  <dimension ref="B2:F11"/>
  <sheetViews>
    <sheetView workbookViewId="0">
      <selection activeCell="C12" sqref="C12"/>
    </sheetView>
  </sheetViews>
  <sheetFormatPr defaultRowHeight="14.5"/>
  <cols>
    <col min="2" max="2" width="10.6328125" bestFit="1" customWidth="1"/>
  </cols>
  <sheetData>
    <row r="2" spans="2:6">
      <c r="B2" t="s">
        <v>3505</v>
      </c>
      <c r="F2" t="s">
        <v>3517</v>
      </c>
    </row>
    <row r="3" spans="2:6">
      <c r="B3">
        <v>48</v>
      </c>
      <c r="F3">
        <v>52</v>
      </c>
    </row>
    <row r="4" spans="2:6">
      <c r="B4">
        <v>67</v>
      </c>
    </row>
    <row r="5" spans="2:6">
      <c r="B5">
        <v>69</v>
      </c>
      <c r="C5" t="s">
        <v>3518</v>
      </c>
    </row>
    <row r="6" spans="2:6">
      <c r="B6">
        <v>71</v>
      </c>
      <c r="C6" t="s">
        <v>3519</v>
      </c>
    </row>
    <row r="7" spans="2:6">
      <c r="B7">
        <v>72</v>
      </c>
    </row>
    <row r="8" spans="2:6">
      <c r="B8" t="s">
        <v>3521</v>
      </c>
      <c r="C8" t="s">
        <v>3520</v>
      </c>
    </row>
    <row r="9" spans="2:6">
      <c r="B9">
        <v>108</v>
      </c>
      <c r="C9" t="s">
        <v>3522</v>
      </c>
    </row>
    <row r="10" spans="2:6">
      <c r="B10">
        <v>153</v>
      </c>
    </row>
    <row r="11" spans="2:6">
      <c r="B11">
        <v>258</v>
      </c>
      <c r="C11" t="s">
        <v>3523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11</vt:i4>
      </vt:variant>
    </vt:vector>
  </HeadingPairs>
  <TitlesOfParts>
    <vt:vector size="29" baseType="lpstr">
      <vt:lpstr>BACK</vt:lpstr>
      <vt:lpstr>Master Januari-Desemebr 2024</vt:lpstr>
      <vt:lpstr>NO BPU</vt:lpstr>
      <vt:lpstr>Spesifikasi</vt:lpstr>
      <vt:lpstr>01PESAN</vt:lpstr>
      <vt:lpstr>Toko</vt:lpstr>
      <vt:lpstr>03RENCANA</vt:lpstr>
      <vt:lpstr>04SHP</vt:lpstr>
      <vt:lpstr>05BAT</vt:lpstr>
      <vt:lpstr>02BANDING</vt:lpstr>
      <vt:lpstr>Master</vt:lpstr>
      <vt:lpstr>Data2025</vt:lpstr>
      <vt:lpstr>Tabel Bantu</vt:lpstr>
      <vt:lpstr>Data Sekolah</vt:lpstr>
      <vt:lpstr>Sheet1</vt:lpstr>
      <vt:lpstr>Sheet3</vt:lpstr>
      <vt:lpstr>Sheet2</vt:lpstr>
      <vt:lpstr>Gagal Cetak</vt:lpstr>
      <vt:lpstr>Database</vt:lpstr>
      <vt:lpstr>kriteria</vt:lpstr>
      <vt:lpstr>Kriteriaatk2024</vt:lpstr>
      <vt:lpstr>Masteratk2024</vt:lpstr>
      <vt:lpstr>'01PESAN'!Print_Area</vt:lpstr>
      <vt:lpstr>'02BANDING'!Print_Area</vt:lpstr>
      <vt:lpstr>'03RENCANA'!Print_Area</vt:lpstr>
      <vt:lpstr>'04SHP'!Print_Area</vt:lpstr>
      <vt:lpstr>'05BAT'!Print_Area</vt:lpstr>
      <vt:lpstr>BACK!Print_Area</vt:lpstr>
      <vt:lpstr>Toko!Print_Area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Nursari Manullang</dc:creator>
  <cp:lastModifiedBy>Acer</cp:lastModifiedBy>
  <cp:lastPrinted>2025-06-12T04:53:57Z</cp:lastPrinted>
  <dcterms:created xsi:type="dcterms:W3CDTF">2024-03-26T16:08:19Z</dcterms:created>
  <dcterms:modified xsi:type="dcterms:W3CDTF">2026-06-01T12:28:40Z</dcterms:modified>
</cp:coreProperties>
</file>